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59.xml"/>
  <Override ContentType="application/vnd.openxmlformats-officedocument.spreadsheetml.externalLink+xml" PartName="/xl/externalLinks/externalLink6.xml"/>
  <Override ContentType="application/vnd.openxmlformats-officedocument.spreadsheetml.externalLink+xml" PartName="/xl/externalLinks/externalLink60.xml"/>
  <Override ContentType="application/vnd.openxmlformats-officedocument.spreadsheetml.externalLink+xml" PartName="/xl/externalLinks/externalLink61.xml"/>
  <Override ContentType="application/vnd.openxmlformats-officedocument.spreadsheetml.externalLink+xml" PartName="/xl/externalLinks/externalLink62.xml"/>
  <Override ContentType="application/vnd.openxmlformats-officedocument.spreadsheetml.externalLink+xml" PartName="/xl/externalLinks/externalLink63.xml"/>
  <Override ContentType="application/vnd.openxmlformats-officedocument.spreadsheetml.externalLink+xml" PartName="/xl/externalLinks/externalLink64.xml"/>
  <Override ContentType="application/vnd.openxmlformats-officedocument.spreadsheetml.externalLink+xml" PartName="/xl/externalLinks/externalLink65.xml"/>
  <Override ContentType="application/vnd.openxmlformats-officedocument.spreadsheetml.externalLink+xml" PartName="/xl/externalLinks/externalLink66.xml"/>
  <Override ContentType="application/vnd.openxmlformats-officedocument.spreadsheetml.externalLink+xml" PartName="/xl/externalLinks/externalLink67.xml"/>
  <Override ContentType="application/vnd.openxmlformats-officedocument.spreadsheetml.externalLink+xml" PartName="/xl/externalLinks/externalLink68.xml"/>
  <Override ContentType="application/vnd.openxmlformats-officedocument.spreadsheetml.externalLink+xml" PartName="/xl/externalLinks/externalLink69.xml"/>
  <Override ContentType="application/vnd.openxmlformats-officedocument.spreadsheetml.externalLink+xml" PartName="/xl/externalLinks/externalLink7.xml"/>
  <Override ContentType="application/vnd.openxmlformats-officedocument.spreadsheetml.externalLink+xml" PartName="/xl/externalLinks/externalLink70.xml"/>
  <Override ContentType="application/vnd.openxmlformats-officedocument.spreadsheetml.externalLink+xml" PartName="/xl/externalLinks/externalLink71.xml"/>
  <Override ContentType="application/vnd.openxmlformats-officedocument.spreadsheetml.externalLink+xml" PartName="/xl/externalLinks/externalLink72.xml"/>
  <Override ContentType="application/vnd.openxmlformats-officedocument.spreadsheetml.externalLink+xml" PartName="/xl/externalLinks/externalLink73.xml"/>
  <Override ContentType="application/vnd.openxmlformats-officedocument.spreadsheetml.externalLink+xml" PartName="/xl/externalLinks/externalLink74.xml"/>
  <Override ContentType="application/vnd.openxmlformats-officedocument.spreadsheetml.externalLink+xml" PartName="/xl/externalLinks/externalLink75.xml"/>
  <Override ContentType="application/vnd.openxmlformats-officedocument.spreadsheetml.externalLink+xml" PartName="/xl/externalLinks/externalLink76.xml"/>
  <Override ContentType="application/vnd.openxmlformats-officedocument.spreadsheetml.externalLink+xml" PartName="/xl/externalLinks/externalLink7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0" yWindow="-15" windowWidth="19065" windowHeight="7440" tabRatio="882"/>
  </bookViews>
  <sheets>
    <sheet name="ImportantDisclosures" sheetId="131" r:id="rId1"/>
    <sheet name="P&amp;L" sheetId="3" r:id="rId2"/>
    <sheet name="RevBuild" sheetId="51" r:id="rId3"/>
    <sheet name="ccGro" sheetId="118" r:id="rId4"/>
    <sheet name="BalSht " sheetId="106" r:id="rId5"/>
    <sheet name="Cash Flow" sheetId="107" r:id="rId6"/>
    <sheet name="Debt" sheetId="29" r:id="rId7"/>
    <sheet name="IndexInformation" sheetId="132" r:id="rId8"/>
    <sheet name="ModPubIndex" sheetId="133" r:id="rId9"/>
    <sheet name="__FDSCACHE__" sheetId="5" state="veryHidden" r:id="rId10"/>
    <sheet name="MW-Cache" sheetId="13" state="veryHidden" r:id="rId11"/>
    <sheet name="__APW_ACTIVE_FIELD_RESTORE__" sheetId="31" state="veryHidden"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s>
  <definedNames>
    <definedName name="____a1" localSheetId="3" hidden="1">{"comp1",#N/A,FALSE,"COMPS";"footnotes",#N/A,FALSE,"COMPS"}</definedName>
    <definedName name="____a1" hidden="1">{"comp1",#N/A,FALSE,"COMPS";"footnotes",#N/A,FALSE,"COMPS"}</definedName>
    <definedName name="____aa1" localSheetId="3" hidden="1">{#N/A,#N/A,TRUE,"Pro Forma";#N/A,#N/A,TRUE,"PF_Bal";#N/A,#N/A,TRUE,"PF_INC";#N/A,#N/A,TRUE,"CBE";#N/A,#N/A,TRUE,"SWK"}</definedName>
    <definedName name="____aa1" hidden="1">{#N/A,#N/A,TRUE,"Pro Forma";#N/A,#N/A,TRUE,"PF_Bal";#N/A,#N/A,TRUE,"PF_INC";#N/A,#N/A,TRUE,"CBE";#N/A,#N/A,TRUE,"SWK"}</definedName>
    <definedName name="____ab1" localSheetId="3" hidden="1">{"comp1",#N/A,FALSE,"COMPS";"footnotes",#N/A,FALSE,"COMPS"}</definedName>
    <definedName name="____ab1" hidden="1">{"comp1",#N/A,FALSE,"COMPS";"footnotes",#N/A,FALSE,"COMPS"}</definedName>
    <definedName name="____ae1" localSheetId="3" hidden="1">{#N/A,#N/A,FALSE,"Calc";#N/A,#N/A,FALSE,"Sensitivity";#N/A,#N/A,FALSE,"LT Earn.Dil.";#N/A,#N/A,FALSE,"Dil. AVP"}</definedName>
    <definedName name="____ae1" hidden="1">{#N/A,#N/A,FALSE,"Calc";#N/A,#N/A,FALSE,"Sensitivity";#N/A,#N/A,FALSE,"LT Earn.Dil.";#N/A,#N/A,FALSE,"Dil. AVP"}</definedName>
    <definedName name="____af1" hidden="1">"c1455"</definedName>
    <definedName name="____af10" hidden="1">"c2141"</definedName>
    <definedName name="____af11" hidden="1">"c1382"</definedName>
    <definedName name="____af12" hidden="1">"c1385"</definedName>
    <definedName name="____af13" hidden="1">"c1435"</definedName>
    <definedName name="____af14" hidden="1">"c1436"</definedName>
    <definedName name="____af15" hidden="1">"c1424"</definedName>
    <definedName name="____af16" hidden="1">"c1345"</definedName>
    <definedName name="____af18" hidden="1">"c1438"</definedName>
    <definedName name="____af19" localSheetId="3">{"Client Name or Project Name"}</definedName>
    <definedName name="____af19">{"Client Name or Project Name"}</definedName>
    <definedName name="____af2" hidden="1">"c1352"</definedName>
    <definedName name="____af20" localSheetId="3">{"Client Name or Project Name"}</definedName>
    <definedName name="____af20">{"Client Name or Project Name"}</definedName>
    <definedName name="____af21" localSheetId="3">{"Client Name or Project Name"}</definedName>
    <definedName name="____af21">{"Client Name or Project Name"}</definedName>
    <definedName name="____af22" localSheetId="3">{"Client Name or Project Name"}</definedName>
    <definedName name="____af22">{"Client Name or Project Name"}</definedName>
    <definedName name="____af23" localSheetId="3">{126}</definedName>
    <definedName name="____af23">{126}</definedName>
    <definedName name="____af24" localSheetId="3">{1}</definedName>
    <definedName name="____af24">{1}</definedName>
    <definedName name="____af25" localSheetId="3">{0}</definedName>
    <definedName name="____af25">{0}</definedName>
    <definedName name="____af26" localSheetId="3">{126}</definedName>
    <definedName name="____af26">{126}</definedName>
    <definedName name="____af27" localSheetId="3">{"Client Name or Project Name"}</definedName>
    <definedName name="____af27">{"Client Name or Project Name"}</definedName>
    <definedName name="____af28" localSheetId="3">{"Client Name or Project Name"}</definedName>
    <definedName name="____af28">{"Client Name or Project Name"}</definedName>
    <definedName name="____af3" hidden="1">"c1353"</definedName>
    <definedName name="____af30" localSheetId="3">{"Client Name or Project Name"}</definedName>
    <definedName name="____af30">{"Client Name or Project Name"}</definedName>
    <definedName name="____af31" localSheetId="3">{"Client Name or Project Name"}</definedName>
    <definedName name="____af31">{"Client Name or Project Name"}</definedName>
    <definedName name="____af32" localSheetId="3">{"Client Name or Project Name"}</definedName>
    <definedName name="____af32">{"Client Name or Project Name"}</definedName>
    <definedName name="____af33" localSheetId="3">{"Client Name or Project Name"}</definedName>
    <definedName name="____af33">{"Client Name or Project Name"}</definedName>
    <definedName name="____af34" localSheetId="3">{"Client Name or Project Name"}</definedName>
    <definedName name="____af34">{"Client Name or Project Name"}</definedName>
    <definedName name="____af35" localSheetId="3">{"Client Name or Project Name"}</definedName>
    <definedName name="____af35">{"Client Name or Project Name"}</definedName>
    <definedName name="____af36" localSheetId="3">{"Client Name or Project Name"}</definedName>
    <definedName name="____af36">{"Client Name or Project Name"}</definedName>
    <definedName name="____af37" localSheetId="3" hidden="1">{"Client is",#N/A,FALSE,"Client"}</definedName>
    <definedName name="____af37" hidden="1">{"Client is",#N/A,FALSE,"Client"}</definedName>
    <definedName name="____af38" localSheetId="3" hidden="1">{TRUE,TRUE,-1.25,-15.5,456.75,279.75,FALSE,FALSE,TRUE,TRUE,0,1,18,1,199,6,3,4,TRUE,TRUE,3,TRUE,1,TRUE,100,"Swvu.cash.","ACwvu.cash.",1,FALSE,FALSE,0.511811023622047,0.511811023622047,0.511811023622047,0.511811023622047,1,"","",FALSE,FALSE,FALSE,FALSE,1,#N/A,1,1,#DIV/0!,FALSE,"Rwvu.cash.",#N/A,FALSE,FALSE}</definedName>
    <definedName name="____af38" hidden="1">{TRUE,TRUE,-1.25,-15.5,456.75,279.75,FALSE,FALSE,TRUE,TRUE,0,1,18,1,199,6,3,4,TRUE,TRUE,3,TRUE,1,TRUE,100,"Swvu.cash.","ACwvu.cash.",1,FALSE,FALSE,0.511811023622047,0.511811023622047,0.511811023622047,0.511811023622047,1,"","",FALSE,FALSE,FALSE,FALSE,1,#N/A,1,1,#DIV/0!,FALSE,"Rwvu.cash.",#N/A,FALSE,FALSE}</definedName>
    <definedName name="____af39"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____af39" hidden="1">{TRUE,TRUE,-1.25,-15.5,456.75,279.75,FALSE,FALSE,TRUE,TRUE,0,1,21,1,127,6,3,4,TRUE,TRUE,3,TRUE,1,TRUE,100,"Swvu.profits.","ACwvu.profits.",1,FALSE,FALSE,0.511811023622047,0.511811023622047,0.511811023622047,0.511811023622047,1,"","",FALSE,FALSE,FALSE,FALSE,1,#N/A,1,1,#DIV/0!,FALSE,"Rwvu.profits.",#N/A,FALSE,FALSE}</definedName>
    <definedName name="____af4" hidden="1">"c1354"</definedName>
    <definedName name="____af40"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____af40" hidden="1">{TRUE,TRUE,-1.25,-15.5,456.75,279.75,FALSE,FALSE,TRUE,TRUE,0,1,8,1,4,6,3,4,TRUE,TRUE,3,TRUE,1,TRUE,100,"Swvu.turnover.","ACwvu.turnover.",1,FALSE,FALSE,0.511811023622047,0.511811023622047,0.511811023622047,0.511811023622047,1,"","",FALSE,FALSE,FALSE,FALSE,1,#N/A,1,1,#DIV/0!,FALSE,"Rwvu.turnover.",#N/A,FALSE,FALSE}</definedName>
    <definedName name="____af5" hidden="1">"c1411"</definedName>
    <definedName name="____af6" hidden="1">"c1431"</definedName>
    <definedName name="____af7" hidden="1">"c1433"</definedName>
    <definedName name="____af8" hidden="1">"c1434"</definedName>
    <definedName name="____af9" hidden="1">"c1432"</definedName>
    <definedName name="____am1" localSheetId="3" hidden="1">{#N/A,#N/A,TRUE,"Pro Forma";#N/A,#N/A,TRUE,"PF_Bal";#N/A,#N/A,TRUE,"PF_INC";#N/A,#N/A,TRUE,"CBE";#N/A,#N/A,TRUE,"SWK"}</definedName>
    <definedName name="____am1" hidden="1">{#N/A,#N/A,TRUE,"Pro Forma";#N/A,#N/A,TRUE,"PF_Bal";#N/A,#N/A,TRUE,"PF_INC";#N/A,#N/A,TRUE,"CBE";#N/A,#N/A,TRUE,"SWK"}</definedName>
    <definedName name="____as1" localSheetId="3" hidden="1">{"comp1",#N/A,FALSE,"COMPS";"footnotes",#N/A,FALSE,"COMPS"}</definedName>
    <definedName name="____as1" hidden="1">{"comp1",#N/A,FALSE,"COMPS";"footnotes",#N/A,FALSE,"COMPS"}</definedName>
    <definedName name="____ASM1" localSheetId="3">{9}</definedName>
    <definedName name="____ASM1">{9}</definedName>
    <definedName name="____ASM2" localSheetId="3">{9}</definedName>
    <definedName name="____ASM2">{9}</definedName>
    <definedName name="____f1" localSheetId="3" hidden="1">{"assumption cash",#N/A,TRUE,"Merger";"has gets cash",#N/A,TRUE,"Merger";"accretion dilution",#N/A,TRUE,"Merger";"comparison credit stats",#N/A,TRUE,"Merger";"pf credit stats",#N/A,TRUE,"Merger";"pf sheets",#N/A,TRUE,"Merger"}</definedName>
    <definedName name="____f1" hidden="1">{"assumption cash",#N/A,TRUE,"Merger";"has gets cash",#N/A,TRUE,"Merger";"accretion dilution",#N/A,TRUE,"Merger";"comparison credit stats",#N/A,TRUE,"Merger";"pf credit stats",#N/A,TRUE,"Merger";"pf sheets",#N/A,TRUE,"Merger"}</definedName>
    <definedName name="____ik1" localSheetId="3" hidden="1">{"casespecific",#N/A,FALSE,"Assumptions"}</definedName>
    <definedName name="____ik1" hidden="1">{"casespecific",#N/A,FALSE,"Assumptions"}</definedName>
    <definedName name="____P1">[1]Bio!$A$5:$S$293</definedName>
    <definedName name="____P2">[1]Bio!$A$5:$P$293</definedName>
    <definedName name="____ppp1" localSheetId="3">{"Client Name or Project Name"}</definedName>
    <definedName name="____ppp1">{"Client Name or Project Name"}</definedName>
    <definedName name="____rb10" localSheetId="3">{"Client Name or Project Name"}</definedName>
    <definedName name="____rb10">{"Client Name or Project Name"}</definedName>
    <definedName name="____rb12" localSheetId="3">{9}</definedName>
    <definedName name="____rb12">{9}</definedName>
    <definedName name="____rb13" localSheetId="3" hidden="1">{"'Breakup 01 Euro'!$A$3:$I$30"}</definedName>
    <definedName name="____rb13" hidden="1">{"'Breakup 01 Euro'!$A$3:$I$30"}</definedName>
    <definedName name="____rb15" hidden="1">"c1449"</definedName>
    <definedName name="____rb16" hidden="1">"c1343"</definedName>
    <definedName name="____rb17" hidden="1">"c1341"</definedName>
    <definedName name="____rb18" hidden="1">"c1340"</definedName>
    <definedName name="____rb19" hidden="1">"c1344"</definedName>
    <definedName name="____rb20" hidden="1">"c1342"</definedName>
    <definedName name="____rb21" hidden="1">"c1591"</definedName>
    <definedName name="____rb22" hidden="1">"c1346"</definedName>
    <definedName name="____rb23" hidden="1">"c2133"</definedName>
    <definedName name="____rb24" hidden="1">"c1349"</definedName>
    <definedName name="____rb25" hidden="1">"c1350"</definedName>
    <definedName name="____rb26" hidden="1">"c1458"</definedName>
    <definedName name="____rb27" hidden="1">"c116"</definedName>
    <definedName name="____rb28" hidden="1">"c1351"</definedName>
    <definedName name="____rb29" hidden="1">"c1355"</definedName>
    <definedName name="____rb30" hidden="1">"c1357"</definedName>
    <definedName name="____rb31" hidden="1">"c1358"</definedName>
    <definedName name="____rb32" hidden="1">"c1359"</definedName>
    <definedName name="____rb33" hidden="1">"c1362"</definedName>
    <definedName name="____rb34" hidden="1">"c1363"</definedName>
    <definedName name="____rb35" hidden="1">"c1364"</definedName>
    <definedName name="____rb36" hidden="1">"c1365"</definedName>
    <definedName name="____rb37" hidden="1">"c1447"</definedName>
    <definedName name="____rb38" hidden="1">"c1356"</definedName>
    <definedName name="____rb39" hidden="1">"c1360"</definedName>
    <definedName name="____rb40" hidden="1">"c1361"</definedName>
    <definedName name="____rb41" hidden="1">"c1520"</definedName>
    <definedName name="____rb42" hidden="1">"c1367"</definedName>
    <definedName name="____rb43" hidden="1">"c1366"</definedName>
    <definedName name="____rb44" hidden="1">"c1369"</definedName>
    <definedName name="____rb45" hidden="1">"c1370"</definedName>
    <definedName name="____rb46" hidden="1">"c1371"</definedName>
    <definedName name="____rb47" hidden="1">"c1348"</definedName>
    <definedName name="____rb48" hidden="1">"c1451"</definedName>
    <definedName name="____rb49" hidden="1">"c1390"</definedName>
    <definedName name="____rb5" localSheetId="3">{9}</definedName>
    <definedName name="____rb5">{9}</definedName>
    <definedName name="____rb50" hidden="1">"c1428"</definedName>
    <definedName name="____rb51" hidden="1">"c1426"</definedName>
    <definedName name="____rb52" hidden="1">"c1427"</definedName>
    <definedName name="____rb53" hidden="1">"c1429"</definedName>
    <definedName name="____rb54" hidden="1">"c1897"</definedName>
    <definedName name="____rb55" hidden="1">"c1459"</definedName>
    <definedName name="____rb56" hidden="1">"c1405"</definedName>
    <definedName name="____rb57" hidden="1">"c1406"</definedName>
    <definedName name="____rb58" hidden="1">"c1376"</definedName>
    <definedName name="____rb59" hidden="1">"c1377"</definedName>
    <definedName name="____rb60" hidden="1">"c1380"</definedName>
    <definedName name="____rb61" hidden="1">"c1446"</definedName>
    <definedName name="____rb62" hidden="1">"c1378"</definedName>
    <definedName name="____rb63" hidden="1">"c1395"</definedName>
    <definedName name="____rb64" hidden="1">"c1396"</definedName>
    <definedName name="____rb65" hidden="1">"c1375"</definedName>
    <definedName name="____rb66" hidden="1">"c1407"</definedName>
    <definedName name="____rb67" hidden="1">"c1383"</definedName>
    <definedName name="____rb68" hidden="1">"c1393"</definedName>
    <definedName name="____rb69" hidden="1">"c1384"</definedName>
    <definedName name="____rb70" hidden="1">"c1391"</definedName>
    <definedName name="____rb71" hidden="1">"c1386"</definedName>
    <definedName name="____rb72" hidden="1">"c1387"</definedName>
    <definedName name="____rb73" hidden="1">"c1388"</definedName>
    <definedName name="____rb74" hidden="1">"c1389"</definedName>
    <definedName name="____rb75" hidden="1">"c1437"</definedName>
    <definedName name="____rb76" hidden="1">"c1394"</definedName>
    <definedName name="____rb77" hidden="1">"c1368"</definedName>
    <definedName name="____rb78" hidden="1">"c1397"</definedName>
    <definedName name="____rb79" hidden="1">"c1398"</definedName>
    <definedName name="____rb8" localSheetId="3">{9}</definedName>
    <definedName name="____rb8">{9}</definedName>
    <definedName name="____rb9" localSheetId="3">{9}</definedName>
    <definedName name="____rb9">{9}</definedName>
    <definedName name="____rt1" hidden="1">"c1392"</definedName>
    <definedName name="____rt10" hidden="1">"c1409"</definedName>
    <definedName name="____rt11" hidden="1">"c1453"</definedName>
    <definedName name="____rt12" hidden="1">"c1410"</definedName>
    <definedName name="____rt14" hidden="1">"c2128"</definedName>
    <definedName name="____rt15" hidden="1">"c1457"</definedName>
    <definedName name="____rt16" hidden="1">"c1414"</definedName>
    <definedName name="____rt17" hidden="1">"c1416"</definedName>
    <definedName name="____rt18" hidden="1">"c1415"</definedName>
    <definedName name="____rt19" hidden="1">"c1418"</definedName>
    <definedName name="____rt2" hidden="1">"c1399"</definedName>
    <definedName name="____rt20" hidden="1">"c1412"</definedName>
    <definedName name="____rt21" hidden="1">"c1413"</definedName>
    <definedName name="____rt22" hidden="1">"c1452"</definedName>
    <definedName name="____rt24" hidden="1">"c1379"</definedName>
    <definedName name="____rt25" hidden="1">"c1402"</definedName>
    <definedName name="____rt26" hidden="1">"c1417"</definedName>
    <definedName name="____rt27" hidden="1">"c1419"</definedName>
    <definedName name="____rt28" hidden="1">"c1420"</definedName>
    <definedName name="____rt29" hidden="1">"c1421"</definedName>
    <definedName name="____rt3" hidden="1">"c1400"</definedName>
    <definedName name="____rt30" hidden="1">"c1422"</definedName>
    <definedName name="____rt31" hidden="1">"c1347"</definedName>
    <definedName name="____rt32" hidden="1">"c1425"</definedName>
    <definedName name="____rt4" hidden="1">"c1401"</definedName>
    <definedName name="____rt5" hidden="1">"c1423"</definedName>
    <definedName name="____rt6" hidden="1">"c1448"</definedName>
    <definedName name="____rt7" hidden="1">"c1403"</definedName>
    <definedName name="____rt8" hidden="1">"c1404"</definedName>
    <definedName name="____rt9" hidden="1">"c1408"</definedName>
    <definedName name="____t1" localSheetId="3" hidden="1">{"Client is",#N/A,FALSE,"Client"}</definedName>
    <definedName name="____t1" hidden="1">{"Client is",#N/A,FALSE,"Client"}</definedName>
    <definedName name="___a1" localSheetId="3" hidden="1">{"comp1",#N/A,FALSE,"COMPS";"footnotes",#N/A,FALSE,"COMPS"}</definedName>
    <definedName name="___a1" hidden="1">{"comp1",#N/A,FALSE,"COMPS";"footnotes",#N/A,FALSE,"COMPS"}</definedName>
    <definedName name="___aa1" localSheetId="3" hidden="1">{#N/A,#N/A,TRUE,"Pro Forma";#N/A,#N/A,TRUE,"PF_Bal";#N/A,#N/A,TRUE,"PF_INC";#N/A,#N/A,TRUE,"CBE";#N/A,#N/A,TRUE,"SWK"}</definedName>
    <definedName name="___aa1" hidden="1">{#N/A,#N/A,TRUE,"Pro Forma";#N/A,#N/A,TRUE,"PF_Bal";#N/A,#N/A,TRUE,"PF_INC";#N/A,#N/A,TRUE,"CBE";#N/A,#N/A,TRUE,"SWK"}</definedName>
    <definedName name="___ab1" localSheetId="3" hidden="1">{"comp1",#N/A,FALSE,"COMPS";"footnotes",#N/A,FALSE,"COMPS"}</definedName>
    <definedName name="___ab1" hidden="1">{"comp1",#N/A,FALSE,"COMPS";"footnotes",#N/A,FALSE,"COMPS"}</definedName>
    <definedName name="___ae1" localSheetId="3" hidden="1">{#N/A,#N/A,FALSE,"Calc";#N/A,#N/A,FALSE,"Sensitivity";#N/A,#N/A,FALSE,"LT Earn.Dil.";#N/A,#N/A,FALSE,"Dil. AVP"}</definedName>
    <definedName name="___ae1" hidden="1">{#N/A,#N/A,FALSE,"Calc";#N/A,#N/A,FALSE,"Sensitivity";#N/A,#N/A,FALSE,"LT Earn.Dil.";#N/A,#N/A,FALSE,"Dil. AVP"}</definedName>
    <definedName name="___af1" hidden="1">"c1455"</definedName>
    <definedName name="___af10" hidden="1">"c2141"</definedName>
    <definedName name="___af11" hidden="1">"c1382"</definedName>
    <definedName name="___af12" hidden="1">"c1385"</definedName>
    <definedName name="___af13" hidden="1">"c1435"</definedName>
    <definedName name="___af14" hidden="1">"c1436"</definedName>
    <definedName name="___af15" hidden="1">"c1424"</definedName>
    <definedName name="___af16" hidden="1">"c1345"</definedName>
    <definedName name="___af18" hidden="1">"c1438"</definedName>
    <definedName name="___af19" localSheetId="3">{"Client Name or Project Name"}</definedName>
    <definedName name="___af19">{"Client Name or Project Name"}</definedName>
    <definedName name="___af2" hidden="1">"c1352"</definedName>
    <definedName name="___af20" localSheetId="3">{"Client Name or Project Name"}</definedName>
    <definedName name="___af20">{"Client Name or Project Name"}</definedName>
    <definedName name="___af21" localSheetId="3">{"Client Name or Project Name"}</definedName>
    <definedName name="___af21">{"Client Name or Project Name"}</definedName>
    <definedName name="___af22" localSheetId="3">{"Client Name or Project Name"}</definedName>
    <definedName name="___af22">{"Client Name or Project Name"}</definedName>
    <definedName name="___af23" localSheetId="3">{126}</definedName>
    <definedName name="___af23">{126}</definedName>
    <definedName name="___af24" localSheetId="3">{1}</definedName>
    <definedName name="___af24">{1}</definedName>
    <definedName name="___af25" localSheetId="3">{0}</definedName>
    <definedName name="___af25">{0}</definedName>
    <definedName name="___af26" localSheetId="3">{126}</definedName>
    <definedName name="___af26">{126}</definedName>
    <definedName name="___af27" localSheetId="3">{"Client Name or Project Name"}</definedName>
    <definedName name="___af27">{"Client Name or Project Name"}</definedName>
    <definedName name="___af28" localSheetId="3">{"Client Name or Project Name"}</definedName>
    <definedName name="___af28">{"Client Name or Project Name"}</definedName>
    <definedName name="___af3" hidden="1">"c1353"</definedName>
    <definedName name="___af30" localSheetId="3">{"Client Name or Project Name"}</definedName>
    <definedName name="___af30">{"Client Name or Project Name"}</definedName>
    <definedName name="___af31" localSheetId="3">{"Client Name or Project Name"}</definedName>
    <definedName name="___af31">{"Client Name or Project Name"}</definedName>
    <definedName name="___af32" localSheetId="3">{"Client Name or Project Name"}</definedName>
    <definedName name="___af32">{"Client Name or Project Name"}</definedName>
    <definedName name="___af33" localSheetId="3">{"Client Name or Project Name"}</definedName>
    <definedName name="___af33">{"Client Name or Project Name"}</definedName>
    <definedName name="___af34" localSheetId="3">{"Client Name or Project Name"}</definedName>
    <definedName name="___af34">{"Client Name or Project Name"}</definedName>
    <definedName name="___af35" localSheetId="3">{"Client Name or Project Name"}</definedName>
    <definedName name="___af35">{"Client Name or Project Name"}</definedName>
    <definedName name="___af36" localSheetId="3">{"Client Name or Project Name"}</definedName>
    <definedName name="___af36">{"Client Name or Project Name"}</definedName>
    <definedName name="___af37" localSheetId="3" hidden="1">{"Client is",#N/A,FALSE,"Client"}</definedName>
    <definedName name="___af37" hidden="1">{"Client is",#N/A,FALSE,"Client"}</definedName>
    <definedName name="___af38" localSheetId="3" hidden="1">{TRUE,TRUE,-1.25,-15.5,456.75,279.75,FALSE,FALSE,TRUE,TRUE,0,1,18,1,199,6,3,4,TRUE,TRUE,3,TRUE,1,TRUE,100,"Swvu.cash.","ACwvu.cash.",1,FALSE,FALSE,0.511811023622047,0.511811023622047,0.511811023622047,0.511811023622047,1,"","",FALSE,FALSE,FALSE,FALSE,1,#N/A,1,1,#DIV/0!,FALSE,"Rwvu.cash.",#N/A,FALSE,FALSE}</definedName>
    <definedName name="___af38" hidden="1">{TRUE,TRUE,-1.25,-15.5,456.75,279.75,FALSE,FALSE,TRUE,TRUE,0,1,18,1,199,6,3,4,TRUE,TRUE,3,TRUE,1,TRUE,100,"Swvu.cash.","ACwvu.cash.",1,FALSE,FALSE,0.511811023622047,0.511811023622047,0.511811023622047,0.511811023622047,1,"","",FALSE,FALSE,FALSE,FALSE,1,#N/A,1,1,#DIV/0!,FALSE,"Rwvu.cash.",#N/A,FALSE,FALSE}</definedName>
    <definedName name="___af39"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___af39" hidden="1">{TRUE,TRUE,-1.25,-15.5,456.75,279.75,FALSE,FALSE,TRUE,TRUE,0,1,21,1,127,6,3,4,TRUE,TRUE,3,TRUE,1,TRUE,100,"Swvu.profits.","ACwvu.profits.",1,FALSE,FALSE,0.511811023622047,0.511811023622047,0.511811023622047,0.511811023622047,1,"","",FALSE,FALSE,FALSE,FALSE,1,#N/A,1,1,#DIV/0!,FALSE,"Rwvu.profits.",#N/A,FALSE,FALSE}</definedName>
    <definedName name="___af4" hidden="1">"c1354"</definedName>
    <definedName name="___af40"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___af40" hidden="1">{TRUE,TRUE,-1.25,-15.5,456.75,279.75,FALSE,FALSE,TRUE,TRUE,0,1,8,1,4,6,3,4,TRUE,TRUE,3,TRUE,1,TRUE,100,"Swvu.turnover.","ACwvu.turnover.",1,FALSE,FALSE,0.511811023622047,0.511811023622047,0.511811023622047,0.511811023622047,1,"","",FALSE,FALSE,FALSE,FALSE,1,#N/A,1,1,#DIV/0!,FALSE,"Rwvu.turnover.",#N/A,FALSE,FALSE}</definedName>
    <definedName name="___af5" hidden="1">"c1411"</definedName>
    <definedName name="___af6" hidden="1">"c1431"</definedName>
    <definedName name="___af7" hidden="1">"c1433"</definedName>
    <definedName name="___af8" hidden="1">"c1434"</definedName>
    <definedName name="___af9" hidden="1">"c1432"</definedName>
    <definedName name="___am1" localSheetId="3" hidden="1">{#N/A,#N/A,TRUE,"Pro Forma";#N/A,#N/A,TRUE,"PF_Bal";#N/A,#N/A,TRUE,"PF_INC";#N/A,#N/A,TRUE,"CBE";#N/A,#N/A,TRUE,"SWK"}</definedName>
    <definedName name="___am1" hidden="1">{#N/A,#N/A,TRUE,"Pro Forma";#N/A,#N/A,TRUE,"PF_Bal";#N/A,#N/A,TRUE,"PF_INC";#N/A,#N/A,TRUE,"CBE";#N/A,#N/A,TRUE,"SWK"}</definedName>
    <definedName name="___as1" localSheetId="3" hidden="1">{"comp1",#N/A,FALSE,"COMPS";"footnotes",#N/A,FALSE,"COMPS"}</definedName>
    <definedName name="___as1" hidden="1">{"comp1",#N/A,FALSE,"COMPS";"footnotes",#N/A,FALSE,"COMPS"}</definedName>
    <definedName name="___ASM1" localSheetId="3">{9}</definedName>
    <definedName name="___ASM1">{9}</definedName>
    <definedName name="___ASM2" localSheetId="3">{9}</definedName>
    <definedName name="___ASM2">{9}</definedName>
    <definedName name="___f1" localSheetId="3" hidden="1">{"assumption cash",#N/A,TRUE,"Merger";"has gets cash",#N/A,TRUE,"Merger";"accretion dilution",#N/A,TRUE,"Merger";"comparison credit stats",#N/A,TRUE,"Merger";"pf credit stats",#N/A,TRUE,"Merger";"pf sheets",#N/A,TRUE,"Merger"}</definedName>
    <definedName name="___f1" hidden="1">{"assumption cash",#N/A,TRUE,"Merger";"has gets cash",#N/A,TRUE,"Merger";"accretion dilution",#N/A,TRUE,"Merger";"comparison credit stats",#N/A,TRUE,"Merger";"pf credit stats",#N/A,TRUE,"Merger";"pf sheets",#N/A,TRUE,"Merger"}</definedName>
    <definedName name="___ik1" localSheetId="3" hidden="1">{"casespecific",#N/A,FALSE,"Assumptions"}</definedName>
    <definedName name="___ik1" hidden="1">{"casespecific",#N/A,FALSE,"Assumptions"}</definedName>
    <definedName name="___P1">[1]Bio!$A$5:$S$293</definedName>
    <definedName name="___P2">[1]Bio!$A$5:$P$293</definedName>
    <definedName name="___ppp1" localSheetId="3">{"Client Name or Project Name"}</definedName>
    <definedName name="___ppp1">{"Client Name or Project Name"}</definedName>
    <definedName name="___rb10" localSheetId="3">{"Client Name or Project Name"}</definedName>
    <definedName name="___rb10">{"Client Name or Project Name"}</definedName>
    <definedName name="___rb12" localSheetId="3">{9}</definedName>
    <definedName name="___rb12">{9}</definedName>
    <definedName name="___rb13" localSheetId="3" hidden="1">{"'Breakup 01 Euro'!$A$3:$I$30"}</definedName>
    <definedName name="___rb13" hidden="1">{"'Breakup 01 Euro'!$A$3:$I$30"}</definedName>
    <definedName name="___rb15" hidden="1">"c1449"</definedName>
    <definedName name="___rb16" hidden="1">"c1343"</definedName>
    <definedName name="___rb17" hidden="1">"c1341"</definedName>
    <definedName name="___rb18" hidden="1">"c1340"</definedName>
    <definedName name="___rb19" hidden="1">"c1344"</definedName>
    <definedName name="___rb20" hidden="1">"c1342"</definedName>
    <definedName name="___rb21" hidden="1">"c1591"</definedName>
    <definedName name="___rb22" hidden="1">"c1346"</definedName>
    <definedName name="___rb23" hidden="1">"c2133"</definedName>
    <definedName name="___rb24" hidden="1">"c1349"</definedName>
    <definedName name="___rb25" hidden="1">"c1350"</definedName>
    <definedName name="___rb26" hidden="1">"c1458"</definedName>
    <definedName name="___rb27" hidden="1">"c116"</definedName>
    <definedName name="___rb28" hidden="1">"c1351"</definedName>
    <definedName name="___rb29" hidden="1">"c1355"</definedName>
    <definedName name="___rb30" hidden="1">"c1357"</definedName>
    <definedName name="___rb31" hidden="1">"c1358"</definedName>
    <definedName name="___rb32" hidden="1">"c1359"</definedName>
    <definedName name="___rb33" hidden="1">"c1362"</definedName>
    <definedName name="___rb34" hidden="1">"c1363"</definedName>
    <definedName name="___rb35" hidden="1">"c1364"</definedName>
    <definedName name="___rb36" hidden="1">"c1365"</definedName>
    <definedName name="___rb37" hidden="1">"c1447"</definedName>
    <definedName name="___rb38" hidden="1">"c1356"</definedName>
    <definedName name="___rb39" hidden="1">"c1360"</definedName>
    <definedName name="___rb40" hidden="1">"c1361"</definedName>
    <definedName name="___rb41" hidden="1">"c1520"</definedName>
    <definedName name="___rb42" hidden="1">"c1367"</definedName>
    <definedName name="___rb43" hidden="1">"c1366"</definedName>
    <definedName name="___rb44" hidden="1">"c1369"</definedName>
    <definedName name="___rb45" hidden="1">"c1370"</definedName>
    <definedName name="___rb46" hidden="1">"c1371"</definedName>
    <definedName name="___rb47" hidden="1">"c1348"</definedName>
    <definedName name="___rb48" hidden="1">"c1451"</definedName>
    <definedName name="___rb49" hidden="1">"c1390"</definedName>
    <definedName name="___rb5" localSheetId="3">{9}</definedName>
    <definedName name="___rb5">{9}</definedName>
    <definedName name="___rb50" hidden="1">"c1428"</definedName>
    <definedName name="___rb51" hidden="1">"c1426"</definedName>
    <definedName name="___rb52" hidden="1">"c1427"</definedName>
    <definedName name="___rb53" hidden="1">"c1429"</definedName>
    <definedName name="___rb54" hidden="1">"c1897"</definedName>
    <definedName name="___rb55" hidden="1">"c1459"</definedName>
    <definedName name="___rb56" hidden="1">"c1405"</definedName>
    <definedName name="___rb57" hidden="1">"c1406"</definedName>
    <definedName name="___rb58" hidden="1">"c1376"</definedName>
    <definedName name="___rb59" hidden="1">"c1377"</definedName>
    <definedName name="___rb60" hidden="1">"c1380"</definedName>
    <definedName name="___rb61" hidden="1">"c1446"</definedName>
    <definedName name="___rb62" hidden="1">"c1378"</definedName>
    <definedName name="___rb63" hidden="1">"c1395"</definedName>
    <definedName name="___rb64" hidden="1">"c1396"</definedName>
    <definedName name="___rb65" hidden="1">"c1375"</definedName>
    <definedName name="___rb66" hidden="1">"c1407"</definedName>
    <definedName name="___rb67" hidden="1">"c1383"</definedName>
    <definedName name="___rb68" hidden="1">"c1393"</definedName>
    <definedName name="___rb69" hidden="1">"c1384"</definedName>
    <definedName name="___rb70" hidden="1">"c1391"</definedName>
    <definedName name="___rb71" hidden="1">"c1386"</definedName>
    <definedName name="___rb72" hidden="1">"c1387"</definedName>
    <definedName name="___rb73" hidden="1">"c1388"</definedName>
    <definedName name="___rb74" hidden="1">"c1389"</definedName>
    <definedName name="___rb75" hidden="1">"c1437"</definedName>
    <definedName name="___rb76" hidden="1">"c1394"</definedName>
    <definedName name="___rb77" hidden="1">"c1368"</definedName>
    <definedName name="___rb78" hidden="1">"c1397"</definedName>
    <definedName name="___rb79" hidden="1">"c1398"</definedName>
    <definedName name="___rb8" localSheetId="3">{9}</definedName>
    <definedName name="___rb8">{9}</definedName>
    <definedName name="___rb9" localSheetId="3">{9}</definedName>
    <definedName name="___rb9">{9}</definedName>
    <definedName name="___rt1" hidden="1">"c1392"</definedName>
    <definedName name="___rt10" hidden="1">"c1409"</definedName>
    <definedName name="___rt11" hidden="1">"c1453"</definedName>
    <definedName name="___rt12" hidden="1">"c1410"</definedName>
    <definedName name="___rt14" hidden="1">"c2128"</definedName>
    <definedName name="___rt15" hidden="1">"c1457"</definedName>
    <definedName name="___rt16" hidden="1">"c1414"</definedName>
    <definedName name="___rt17" hidden="1">"c1416"</definedName>
    <definedName name="___rt18" hidden="1">"c1415"</definedName>
    <definedName name="___rt19" hidden="1">"c1418"</definedName>
    <definedName name="___rt2" hidden="1">"c1399"</definedName>
    <definedName name="___rt20" hidden="1">"c1412"</definedName>
    <definedName name="___rt21" hidden="1">"c1413"</definedName>
    <definedName name="___rt22" hidden="1">"c1452"</definedName>
    <definedName name="___rt24" hidden="1">"c1379"</definedName>
    <definedName name="___rt25" hidden="1">"c1402"</definedName>
    <definedName name="___rt26" hidden="1">"c1417"</definedName>
    <definedName name="___rt27" hidden="1">"c1419"</definedName>
    <definedName name="___rt28" hidden="1">"c1420"</definedName>
    <definedName name="___rt29" hidden="1">"c1421"</definedName>
    <definedName name="___rt3" hidden="1">"c1400"</definedName>
    <definedName name="___rt30" hidden="1">"c1422"</definedName>
    <definedName name="___rt31" hidden="1">"c1347"</definedName>
    <definedName name="___rt32" hidden="1">"c1425"</definedName>
    <definedName name="___rt4" hidden="1">"c1401"</definedName>
    <definedName name="___rt5" hidden="1">"c1423"</definedName>
    <definedName name="___rt6" hidden="1">"c1448"</definedName>
    <definedName name="___rt7" hidden="1">"c1403"</definedName>
    <definedName name="___rt8" hidden="1">"c1404"</definedName>
    <definedName name="___rt9" hidden="1">"c1408"</definedName>
    <definedName name="___t1" localSheetId="3" hidden="1">{"Client is",#N/A,FALSE,"Client"}</definedName>
    <definedName name="___t1" hidden="1">{"Client is",#N/A,FALSE,"Client"}</definedName>
    <definedName name="__a1" localSheetId="3" hidden="1">{"comp1",#N/A,FALSE,"COMPS";"footnotes",#N/A,FALSE,"COMPS"}</definedName>
    <definedName name="__a1" hidden="1">{"comp1",#N/A,FALSE,"COMPS";"footnotes",#N/A,FALSE,"COMPS"}</definedName>
    <definedName name="__aa1" localSheetId="3" hidden="1">{#N/A,#N/A,TRUE,"Pro Forma";#N/A,#N/A,TRUE,"PF_Bal";#N/A,#N/A,TRUE,"PF_INC";#N/A,#N/A,TRUE,"CBE";#N/A,#N/A,TRUE,"SWK"}</definedName>
    <definedName name="__aa1" hidden="1">{#N/A,#N/A,TRUE,"Pro Forma";#N/A,#N/A,TRUE,"PF_Bal";#N/A,#N/A,TRUE,"PF_INC";#N/A,#N/A,TRUE,"CBE";#N/A,#N/A,TRUE,"SWK"}</definedName>
    <definedName name="__ab1" localSheetId="3" hidden="1">{"comp1",#N/A,FALSE,"COMPS";"footnotes",#N/A,FALSE,"COMPS"}</definedName>
    <definedName name="__ab1" hidden="1">{"comp1",#N/A,FALSE,"COMPS";"footnotes",#N/A,FALSE,"COMPS"}</definedName>
    <definedName name="__ae1" localSheetId="3" hidden="1">{#N/A,#N/A,FALSE,"Calc";#N/A,#N/A,FALSE,"Sensitivity";#N/A,#N/A,FALSE,"LT Earn.Dil.";#N/A,#N/A,FALSE,"Dil. AVP"}</definedName>
    <definedName name="__ae1" hidden="1">{#N/A,#N/A,FALSE,"Calc";#N/A,#N/A,FALSE,"Sensitivity";#N/A,#N/A,FALSE,"LT Earn.Dil.";#N/A,#N/A,FALSE,"Dil. AVP"}</definedName>
    <definedName name="__af1" hidden="1">"c1455"</definedName>
    <definedName name="__af10" hidden="1">"c2141"</definedName>
    <definedName name="__af11" hidden="1">"c1382"</definedName>
    <definedName name="__af12" hidden="1">"c1385"</definedName>
    <definedName name="__af13" hidden="1">"c1435"</definedName>
    <definedName name="__af14" hidden="1">"c1436"</definedName>
    <definedName name="__af15" hidden="1">"c1424"</definedName>
    <definedName name="__af16" hidden="1">"c1345"</definedName>
    <definedName name="__af18" hidden="1">"c1438"</definedName>
    <definedName name="__af19" localSheetId="3">{"Client Name or Project Name"}</definedName>
    <definedName name="__af19">{"Client Name or Project Name"}</definedName>
    <definedName name="__af2" hidden="1">"c1352"</definedName>
    <definedName name="__af20" localSheetId="3">{"Client Name or Project Name"}</definedName>
    <definedName name="__af20">{"Client Name or Project Name"}</definedName>
    <definedName name="__af21" localSheetId="3">{"Client Name or Project Name"}</definedName>
    <definedName name="__af21">{"Client Name or Project Name"}</definedName>
    <definedName name="__af22" localSheetId="3">{"Client Name or Project Name"}</definedName>
    <definedName name="__af22">{"Client Name or Project Name"}</definedName>
    <definedName name="__af23" localSheetId="3">{126}</definedName>
    <definedName name="__af23">{126}</definedName>
    <definedName name="__af24" localSheetId="3">{1}</definedName>
    <definedName name="__af24">{1}</definedName>
    <definedName name="__af25" localSheetId="3">{0}</definedName>
    <definedName name="__af25">{0}</definedName>
    <definedName name="__af26" localSheetId="3">{126}</definedName>
    <definedName name="__af26">{126}</definedName>
    <definedName name="__af27" localSheetId="3">{"Client Name or Project Name"}</definedName>
    <definedName name="__af27">{"Client Name or Project Name"}</definedName>
    <definedName name="__af28" localSheetId="3">{"Client Name or Project Name"}</definedName>
    <definedName name="__af28">{"Client Name or Project Name"}</definedName>
    <definedName name="__af3" hidden="1">"c1353"</definedName>
    <definedName name="__af30" localSheetId="3">{"Client Name or Project Name"}</definedName>
    <definedName name="__af30">{"Client Name or Project Name"}</definedName>
    <definedName name="__af31" localSheetId="3">{"Client Name or Project Name"}</definedName>
    <definedName name="__af31">{"Client Name or Project Name"}</definedName>
    <definedName name="__af32" localSheetId="3">{"Client Name or Project Name"}</definedName>
    <definedName name="__af32">{"Client Name or Project Name"}</definedName>
    <definedName name="__af33" localSheetId="3">{"Client Name or Project Name"}</definedName>
    <definedName name="__af33">{"Client Name or Project Name"}</definedName>
    <definedName name="__af34" localSheetId="3">{"Client Name or Project Name"}</definedName>
    <definedName name="__af34">{"Client Name or Project Name"}</definedName>
    <definedName name="__af35" localSheetId="3">{"Client Name or Project Name"}</definedName>
    <definedName name="__af35">{"Client Name or Project Name"}</definedName>
    <definedName name="__af36" localSheetId="3">{"Client Name or Project Name"}</definedName>
    <definedName name="__af36">{"Client Name or Project Name"}</definedName>
    <definedName name="__af37" localSheetId="3" hidden="1">{"Client is",#N/A,FALSE,"Client"}</definedName>
    <definedName name="__af37" hidden="1">{"Client is",#N/A,FALSE,"Client"}</definedName>
    <definedName name="__af38" localSheetId="3" hidden="1">{TRUE,TRUE,-1.25,-15.5,456.75,279.75,FALSE,FALSE,TRUE,TRUE,0,1,18,1,199,6,3,4,TRUE,TRUE,3,TRUE,1,TRUE,100,"Swvu.cash.","ACwvu.cash.",1,FALSE,FALSE,0.511811023622047,0.511811023622047,0.511811023622047,0.511811023622047,1,"","",FALSE,FALSE,FALSE,FALSE,1,#N/A,1,1,#DIV/0!,FALSE,"Rwvu.cash.",#N/A,FALSE,FALSE}</definedName>
    <definedName name="__af38" hidden="1">{TRUE,TRUE,-1.25,-15.5,456.75,279.75,FALSE,FALSE,TRUE,TRUE,0,1,18,1,199,6,3,4,TRUE,TRUE,3,TRUE,1,TRUE,100,"Swvu.cash.","ACwvu.cash.",1,FALSE,FALSE,0.511811023622047,0.511811023622047,0.511811023622047,0.511811023622047,1,"","",FALSE,FALSE,FALSE,FALSE,1,#N/A,1,1,#DIV/0!,FALSE,"Rwvu.cash.",#N/A,FALSE,FALSE}</definedName>
    <definedName name="__af39"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__af39" hidden="1">{TRUE,TRUE,-1.25,-15.5,456.75,279.75,FALSE,FALSE,TRUE,TRUE,0,1,21,1,127,6,3,4,TRUE,TRUE,3,TRUE,1,TRUE,100,"Swvu.profits.","ACwvu.profits.",1,FALSE,FALSE,0.511811023622047,0.511811023622047,0.511811023622047,0.511811023622047,1,"","",FALSE,FALSE,FALSE,FALSE,1,#N/A,1,1,#DIV/0!,FALSE,"Rwvu.profits.",#N/A,FALSE,FALSE}</definedName>
    <definedName name="__af4" hidden="1">"c1354"</definedName>
    <definedName name="__af40"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__af40" hidden="1">{TRUE,TRUE,-1.25,-15.5,456.75,279.75,FALSE,FALSE,TRUE,TRUE,0,1,8,1,4,6,3,4,TRUE,TRUE,3,TRUE,1,TRUE,100,"Swvu.turnover.","ACwvu.turnover.",1,FALSE,FALSE,0.511811023622047,0.511811023622047,0.511811023622047,0.511811023622047,1,"","",FALSE,FALSE,FALSE,FALSE,1,#N/A,1,1,#DIV/0!,FALSE,"Rwvu.turnover.",#N/A,FALSE,FALSE}</definedName>
    <definedName name="__af5" hidden="1">"c1411"</definedName>
    <definedName name="__af6" hidden="1">"c1431"</definedName>
    <definedName name="__af7" hidden="1">"c1433"</definedName>
    <definedName name="__af8" hidden="1">"c1434"</definedName>
    <definedName name="__af9" hidden="1">"c1432"</definedName>
    <definedName name="__am1" localSheetId="3" hidden="1">{#N/A,#N/A,TRUE,"Pro Forma";#N/A,#N/A,TRUE,"PF_Bal";#N/A,#N/A,TRUE,"PF_INC";#N/A,#N/A,TRUE,"CBE";#N/A,#N/A,TRUE,"SWK"}</definedName>
    <definedName name="__am1" hidden="1">{#N/A,#N/A,TRUE,"Pro Forma";#N/A,#N/A,TRUE,"PF_Bal";#N/A,#N/A,TRUE,"PF_INC";#N/A,#N/A,TRUE,"CBE";#N/A,#N/A,TRUE,"SWK"}</definedName>
    <definedName name="__as1" localSheetId="3" hidden="1">{"comp1",#N/A,FALSE,"COMPS";"footnotes",#N/A,FALSE,"COMPS"}</definedName>
    <definedName name="__as1" hidden="1">{"comp1",#N/A,FALSE,"COMPS";"footnotes",#N/A,FALSE,"COMPS"}</definedName>
    <definedName name="__ASM1" localSheetId="3">{9}</definedName>
    <definedName name="__ASM1">{9}</definedName>
    <definedName name="__ASM2" localSheetId="3">{9}</definedName>
    <definedName name="__ASM2">{9}</definedName>
    <definedName name="__f1" localSheetId="3" hidden="1">{"assumption cash",#N/A,TRUE,"Merger";"has gets cash",#N/A,TRUE,"Merger";"accretion dilution",#N/A,TRUE,"Merger";"comparison credit stats",#N/A,TRUE,"Merger";"pf credit stats",#N/A,TRUE,"Merger";"pf sheets",#N/A,TRUE,"Merger"}</definedName>
    <definedName name="__f1" hidden="1">{"assumption cash",#N/A,TRUE,"Merger";"has gets cash",#N/A,TRUE,"Merger";"accretion dilution",#N/A,TRUE,"Merger";"comparison credit stats",#N/A,TRUE,"Merger";"pf credit stats",#N/A,TRUE,"Merger";"pf sheets",#N/A,TRUE,"Merger"}</definedName>
    <definedName name="__FDS_HYPERLINK_TOGGLE_STATE__" hidden="1">"ON"</definedName>
    <definedName name="__FDS_UNIQUE_RANGE_ID_GENERATOR_COUNTER" localSheetId="3" hidden="1">57</definedName>
    <definedName name="__FDS_UNIQUE_RANGE_ID_GENERATOR_COUNTER" hidden="1">50</definedName>
    <definedName name="__FDS_USED_FOR_REUSING_RANGE_IDS_RECYCLE" localSheetId="3" hidden="1">{414,413,412,411,410,415,408,407,406,405,404,403,409,401,400,399,398,402,396,395,397,393,392,391,390,389,394,387,386,385,384,383,382,388,380,379,378,377,381,375,374,376}</definedName>
    <definedName name="__FDS_USED_FOR_REUSING_RANGE_IDS_RECYCLE" localSheetId="6">{1,1}</definedName>
    <definedName name="__FDS_USED_FOR_REUSING_RANGE_IDS_RECYCLE" hidden="1">{414,413,412,411,410,415,408,407,406,405,404,403,409,401,400,399,398,402,396,395,397,393,392,391,390,389,394,387,386,385,384,383,382,388,380,379,378,377,381,375,374,376}</definedName>
    <definedName name="__ik1" localSheetId="3" hidden="1">{"casespecific",#N/A,FALSE,"Assumptions"}</definedName>
    <definedName name="__ik1" hidden="1">{"casespecific",#N/A,FALSE,"Assumptions"}</definedName>
    <definedName name="__P1">[1]Bio!$A$5:$S$293</definedName>
    <definedName name="__P2">[1]Bio!$A$5:$P$293</definedName>
    <definedName name="__ppp1" localSheetId="3">{"Client Name or Project Name"}</definedName>
    <definedName name="__ppp1">{"Client Name or Project Name"}</definedName>
    <definedName name="__rb10" localSheetId="3">{"Client Name or Project Name"}</definedName>
    <definedName name="__rb10">{"Client Name or Project Name"}</definedName>
    <definedName name="__rb12" localSheetId="3">{9}</definedName>
    <definedName name="__rb12">{9}</definedName>
    <definedName name="__rb13" localSheetId="3" hidden="1">{"'Breakup 01 Euro'!$A$3:$I$30"}</definedName>
    <definedName name="__rb13" hidden="1">{"'Breakup 01 Euro'!$A$3:$I$30"}</definedName>
    <definedName name="__rb15" hidden="1">"c1449"</definedName>
    <definedName name="__rb16" hidden="1">"c1343"</definedName>
    <definedName name="__rb17" hidden="1">"c1341"</definedName>
    <definedName name="__rb18" hidden="1">"c1340"</definedName>
    <definedName name="__rb19" hidden="1">"c1344"</definedName>
    <definedName name="__rb20" hidden="1">"c1342"</definedName>
    <definedName name="__rb21" hidden="1">"c1591"</definedName>
    <definedName name="__rb22" hidden="1">"c1346"</definedName>
    <definedName name="__rb23" hidden="1">"c2133"</definedName>
    <definedName name="__rb24" hidden="1">"c1349"</definedName>
    <definedName name="__rb25" hidden="1">"c1350"</definedName>
    <definedName name="__rb26" hidden="1">"c1458"</definedName>
    <definedName name="__rb27" hidden="1">"c116"</definedName>
    <definedName name="__rb28" hidden="1">"c1351"</definedName>
    <definedName name="__rb29" hidden="1">"c1355"</definedName>
    <definedName name="__rb30" hidden="1">"c1357"</definedName>
    <definedName name="__rb31" hidden="1">"c1358"</definedName>
    <definedName name="__rb32" hidden="1">"c1359"</definedName>
    <definedName name="__rb33" hidden="1">"c1362"</definedName>
    <definedName name="__rb34" hidden="1">"c1363"</definedName>
    <definedName name="__rb35" hidden="1">"c1364"</definedName>
    <definedName name="__rb36" hidden="1">"c1365"</definedName>
    <definedName name="__rb37" hidden="1">"c1447"</definedName>
    <definedName name="__rb38" hidden="1">"c1356"</definedName>
    <definedName name="__rb39" hidden="1">"c1360"</definedName>
    <definedName name="__rb40" hidden="1">"c1361"</definedName>
    <definedName name="__rb41" hidden="1">"c1520"</definedName>
    <definedName name="__rb42" hidden="1">"c1367"</definedName>
    <definedName name="__rb43" hidden="1">"c1366"</definedName>
    <definedName name="__rb44" hidden="1">"c1369"</definedName>
    <definedName name="__rb45" hidden="1">"c1370"</definedName>
    <definedName name="__rb46" hidden="1">"c1371"</definedName>
    <definedName name="__rb47" hidden="1">"c1348"</definedName>
    <definedName name="__rb48" hidden="1">"c1451"</definedName>
    <definedName name="__rb49" hidden="1">"c1390"</definedName>
    <definedName name="__rb5" localSheetId="3">{9}</definedName>
    <definedName name="__rb5">{9}</definedName>
    <definedName name="__rb50" hidden="1">"c1428"</definedName>
    <definedName name="__rb51" hidden="1">"c1426"</definedName>
    <definedName name="__rb52" hidden="1">"c1427"</definedName>
    <definedName name="__rb53" hidden="1">"c1429"</definedName>
    <definedName name="__rb54" hidden="1">"c1897"</definedName>
    <definedName name="__rb55" hidden="1">"c1459"</definedName>
    <definedName name="__rb56" hidden="1">"c1405"</definedName>
    <definedName name="__rb57" hidden="1">"c1406"</definedName>
    <definedName name="__rb58" hidden="1">"c1376"</definedName>
    <definedName name="__rb59" hidden="1">"c1377"</definedName>
    <definedName name="__rb60" hidden="1">"c1380"</definedName>
    <definedName name="__rb61" hidden="1">"c1446"</definedName>
    <definedName name="__rb62" hidden="1">"c1378"</definedName>
    <definedName name="__rb63" hidden="1">"c1395"</definedName>
    <definedName name="__rb64" hidden="1">"c1396"</definedName>
    <definedName name="__rb65" hidden="1">"c1375"</definedName>
    <definedName name="__rb66" hidden="1">"c1407"</definedName>
    <definedName name="__rb67" hidden="1">"c1383"</definedName>
    <definedName name="__rb68" hidden="1">"c1393"</definedName>
    <definedName name="__rb69" hidden="1">"c1384"</definedName>
    <definedName name="__rb70" hidden="1">"c1391"</definedName>
    <definedName name="__rb71" hidden="1">"c1386"</definedName>
    <definedName name="__rb72" hidden="1">"c1387"</definedName>
    <definedName name="__rb73" hidden="1">"c1388"</definedName>
    <definedName name="__rb74" hidden="1">"c1389"</definedName>
    <definedName name="__rb75" hidden="1">"c1437"</definedName>
    <definedName name="__rb76" hidden="1">"c1394"</definedName>
    <definedName name="__rb77" hidden="1">"c1368"</definedName>
    <definedName name="__rb78" hidden="1">"c1397"</definedName>
    <definedName name="__rb79" hidden="1">"c1398"</definedName>
    <definedName name="__rb8" localSheetId="3">{9}</definedName>
    <definedName name="__rb8">{9}</definedName>
    <definedName name="__rb9" localSheetId="3">{9}</definedName>
    <definedName name="__rb9">{9}</definedName>
    <definedName name="__rt1" hidden="1">"c1392"</definedName>
    <definedName name="__rt10" hidden="1">"c1409"</definedName>
    <definedName name="__rt11" hidden="1">"c1453"</definedName>
    <definedName name="__rt12" hidden="1">"c1410"</definedName>
    <definedName name="__rt14" hidden="1">"c2128"</definedName>
    <definedName name="__rt15" hidden="1">"c1457"</definedName>
    <definedName name="__rt16" hidden="1">"c1414"</definedName>
    <definedName name="__rt17" hidden="1">"c1416"</definedName>
    <definedName name="__rt18" hidden="1">"c1415"</definedName>
    <definedName name="__rt19" hidden="1">"c1418"</definedName>
    <definedName name="__rt2" hidden="1">"c1399"</definedName>
    <definedName name="__rt20" hidden="1">"c1412"</definedName>
    <definedName name="__rt21" hidden="1">"c1413"</definedName>
    <definedName name="__rt22" hidden="1">"c1452"</definedName>
    <definedName name="__rt24" hidden="1">"c1379"</definedName>
    <definedName name="__rt25" hidden="1">"c1402"</definedName>
    <definedName name="__rt26" hidden="1">"c1417"</definedName>
    <definedName name="__rt27" hidden="1">"c1419"</definedName>
    <definedName name="__rt28" hidden="1">"c1420"</definedName>
    <definedName name="__rt29" hidden="1">"c1421"</definedName>
    <definedName name="__rt3" hidden="1">"c1400"</definedName>
    <definedName name="__rt30" hidden="1">"c1422"</definedName>
    <definedName name="__rt31" hidden="1">"c1347"</definedName>
    <definedName name="__rt32" hidden="1">"c1425"</definedName>
    <definedName name="__rt4" hidden="1">"c1401"</definedName>
    <definedName name="__rt5" hidden="1">"c1423"</definedName>
    <definedName name="__rt6" hidden="1">"c1448"</definedName>
    <definedName name="__rt7" hidden="1">"c1403"</definedName>
    <definedName name="__rt8" hidden="1">"c1404"</definedName>
    <definedName name="__rt9" hidden="1">"c1408"</definedName>
    <definedName name="__t1" localSheetId="3" hidden="1">{"Client is",#N/A,FALSE,"Client"}</definedName>
    <definedName name="__t1" hidden="1">{"Client is",#N/A,FALSE,"Client"}</definedName>
    <definedName name="_1__FDSAUDITLINK__"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 hidden="1">{"fdsup://directions/FAT Viewer?action=UPDATE&amp;creator=factset&amp;DYN_ARGS=TRUE&amp;DOC_NAME=FAT:FQL_AUDITING_CLIENT_TEMPLATE.FAT&amp;display_string=Audit&amp;VAR:KEY=HIXULSXUDA&amp;VAR:QUERY=KChGRl9ERUJUKFFUUiwwKS1GRl9DQVNIX1NUKFFUUiwwKSlAKEZGX0RFQlQoUVRSLC0xRlEpLUZGX0NBU0hfU","1QoUVRSLC0xRlEpKSk=&amp;WINDOW=FIRST_POPUP&amp;HEIGHT=450&amp;WIDTH=450&amp;START_MAXIMIZED=FALSE&amp;VAR:CALENDAR=US&amp;VAR:SYMBOL=HOLX&amp;VAR:INDEX=0"}</definedName>
    <definedName name="_1__FDSAUDITLINK___1"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_1"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_2"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__FDSAUDITLINK___2"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10__FDSAUDITLINK__"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12.259458&amp;VAR:V0=13.603223&amp;VAR:V1=11.886435&amp;VAR:Y0=2010&amp;VAR:Y1=2011&amp;VAR:P=1137.033723&amp;VAR:DATE=20101004&amp;VAR:THRESH=||||","||"}</definedName>
    <definedName name="_10__FDSAUDITLINK___1"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_1"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_2"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__FDSAUDITLINK___2"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00__FDSAUDITLINK__"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14.851090&amp;VAR:V0=14.863323&amp;VAR:V1=13.509517&amp;VAR:Y0=2007&amp;VAR:Y1=2008&amp;VAR:P=1416.602000&amp;VAR:DATE=20070103&amp;VAR:THRESH=||||","||"}</definedName>
    <definedName name="_100__FDSAUDITLINK___1"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_1"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_2"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0__FDSAUDITLINK___2"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01__FDSAUDITLINK__"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14.871505&amp;VAR:V0=16.140548&amp;VAR:V1=14.778686&amp;VAR:Y0=2006&amp;VAR:Y1=2007&amp;VAR:P=1409.118800&amp;VAR:DATE=20061204&amp;VAR:THRESH=||||","||"}</definedName>
    <definedName name="_101__FDSAUDITLINK___1"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_1"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_2"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1__FDSAUDITLINK___2"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02__FDSAUDITLINK__"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14.871505&amp;VAR:V0=16.140548&amp;VAR:V1=14.778686&amp;VAR:Y0=2006&amp;VAR:Y1=2007&amp;VAR:P=1409.118800&amp;VAR:DATE=20061204&amp;VAR:THRESH=||||","||"}</definedName>
    <definedName name="_102__FDSAUDITLINK___1"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_1"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_2"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2__FDSAUDITLINK___2"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03__FDSAUDITLINK__"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14.474054&amp;VAR:V0=15.621969&amp;VAR:V1=14.275871&amp;VAR:Y0=2006&amp;VAR:Y1=2007&amp;VAR:P=1364.296900&amp;VAR:DATE=20061103&amp;VAR:THRESH=||||","||"}</definedName>
    <definedName name="_103__FDSAUDITLINK___1"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_1"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_2"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3__FDSAUDITLINK___2"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04__FDSAUDITLINK__"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14.474054&amp;VAR:V0=15.621969&amp;VAR:V1=14.275871&amp;VAR:Y0=2006&amp;VAR:Y1=2007&amp;VAR:P=1364.296900&amp;VAR:DATE=20061103&amp;VAR:THRESH=||||","||"}</definedName>
    <definedName name="_104__FDSAUDITLINK___1"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_1"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_2"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4__FDSAUDITLINK___2"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05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14.427684&amp;VAR:V0=15.549321&amp;VAR:V1=14.104462&amp;VAR:Y0=2006&amp;VAR:Y1=2007&amp;VAR:P=1350.217500&amp;VAR:DATE=20061004&amp;VAR:THRESH=||||","||"}</definedName>
    <definedName name="_105__FDSAUDITLINK___1"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_2"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5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06__FDSAUDITLINK__"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14.427684&amp;VAR:V0=15.549321&amp;VAR:V1=14.104462&amp;VAR:Y0=2006&amp;VAR:Y1=2007&amp;VAR:P=1350.217500&amp;VAR:DATE=20061004&amp;VAR:THRESH=||||","||"}</definedName>
    <definedName name="_106__FDSAUDITLINK___1"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_1"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_2"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6__FDSAUDITLINK___2"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07__FDSAUDITLINK__"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0.668493&amp;VAR:V=14.110008&amp;VAR:V0=15.052498&amp;VAR:V1=13.685084&amp;VAR:Y0=2006&amp;VAR:Y1=2007&amp;VAR:P=1311.011000&amp;VAR:DATE=20060901&amp;VAR:THRESH=||||","||"}</definedName>
    <definedName name="_107__FDSAUDITLINK___1"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_1"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_2"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7__FDSAUDITLINK___2"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08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0.668493&amp;VAR:V=14.110008&amp;VAR:V0=15.052498&amp;VAR:V1=13.685084&amp;VAR:Y0=2006&amp;VAR:Y1=2007&amp;VAR:P=1311.011000&amp;VAR:DATE=20060901&amp;VAR:THRESH=||||","||"}</definedName>
    <definedName name="_108__FDSAUDITLINK___1"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_2"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8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09__FDSAUDITLINK__"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13.851212&amp;VAR:V0=14.670310&amp;VAR:V1=13.337519&amp;VAR:Y0=2006&amp;VAR:Y1=2007&amp;VAR:P=1279.362400&amp;VAR:DATE=20060804&amp;VAR:THRESH=||||","||"}</definedName>
    <definedName name="_109__FDSAUDITLINK___1"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_1"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_2"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09__FDSAUDITLINK___2"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11__FDSAUDITLINK__" localSheetId="3"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12.002332&amp;VAR:V0=13.187008&amp;VAR:V1=11.502463&amp;VAR:Y0=2010&amp;VAR:Y1=2011&amp;VAR:P=1104.506616&amp;VAR:DATE=20100903&amp;VAR:THRESH=||||","||"}</definedName>
    <definedName name="_11__FDSAUDITLINK___1" localSheetId="3"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_1"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_2" localSheetId="3"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__FDSAUDITLINK___2" hidden="1">{"fdsup://directions/FAT Viewer?action=UPDATE&amp;creator=factset&amp;DYN_ARGS=TRUE&amp;DOC_NAME=FAT:FQL_AUDITING_CLIENT_TEMPLATE.FAT&amp;display_string=Audit&amp;VAR:KEY=CNIVYLQDOT&amp;VAR:QUERY=RkZfU0hMRFJTX0VRKEFOTiwwKQ==&amp;WINDOW=FIRST_POPUP&amp;HEIGHT=450&amp;WIDTH=450&amp;START_MAXIMIZED=","FALSE&amp;VAR:CALENDAR=US&amp;VAR:SYMBOL=ZMH&amp;VAR:INDEX=0"}</definedName>
    <definedName name="_110__FDSAUDITLINK__"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13.851212&amp;VAR:V0=14.670310&amp;VAR:V1=13.337519&amp;VAR:Y0=2006&amp;VAR:Y1=2007&amp;VAR:P=1279.362400&amp;VAR:DATE=20060804&amp;VAR:THRESH=||||","||"}</definedName>
    <definedName name="_110__FDSAUDITLINK___1"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_1"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_2"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0__FDSAUDITLINK___2"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111__FDSAUDITLINK__"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14.039137&amp;VAR:V0=14.796218&amp;VAR:V1=13.366368&amp;VAR:Y0=2006&amp;VAR:Y1=2007&amp;VAR:P=1280.189000&amp;VAR:DATE=20060703&amp;VAR:THRESH=||||","||"}</definedName>
    <definedName name="_111__FDSAUDITLINK___1"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_1"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_2"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1__FDSAUDITLINK___2"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112__FDSAUDITLINK__"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14.039137&amp;VAR:V0=14.796218&amp;VAR:V1=13.366368&amp;VAR:Y0=2006&amp;VAR:Y1=2007&amp;VAR:P=1280.189000&amp;VAR:DATE=20060703&amp;VAR:THRESH=||||","||"}</definedName>
    <definedName name="_112__FDSAUDITLINK___1"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_1"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_2"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2__FDSAUDITLINK___2"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113__FDSAUDITLINK__"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0.419178&amp;VAR:V=14.308472&amp;VAR:V0=14.919770&amp;VAR:V1=13.539788&amp;VAR:Y0=2006&amp;VAR:Y1=2007&amp;VAR:P=1288.218300&amp;VAR:DATE=20060602&amp;VAR:THRESH=||||","||"}</definedName>
    <definedName name="_113__FDSAUDITLINK___1"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_1"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_2"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3__FDSAUDITLINK___2"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114__FDSAUDITLINK__"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0.419178&amp;VAR:V=14.308472&amp;VAR:V0=14.919770&amp;VAR:V1=13.539788&amp;VAR:Y0=2006&amp;VAR:Y1=2007&amp;VAR:P=1288.218300&amp;VAR:DATE=20060602&amp;VAR:THRESH=||||","||"}</definedName>
    <definedName name="_114__FDSAUDITLINK___1"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_1"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_2"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4__FDSAUDITLINK___2"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115__FDSAUDITLINK__"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14.867865&amp;VAR:V0=15.400064&amp;VAR:V1=13.942740&amp;VAR:Y0=2006&amp;VAR:Y1=2007&amp;VAR:P=1325.760900&amp;VAR:DATE=20060505&amp;VAR:THRESH=||||","||"}</definedName>
    <definedName name="_115__FDSAUDITLINK___1"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_1"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_2"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5__FDSAUDITLINK___2"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116__FDSAUDITLINK__"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14.867865&amp;VAR:V0=15.400064&amp;VAR:V1=13.942740&amp;VAR:Y0=2006&amp;VAR:Y1=2007&amp;VAR:P=1325.760900&amp;VAR:DATE=20060505&amp;VAR:THRESH=||||","||"}</definedName>
    <definedName name="_116__FDSAUDITLINK___1"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_1"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_2"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6__FDSAUDITLINK___2"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117__FDSAUDITLINK__"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14.891503&amp;VAR:V0=15.279489&amp;VAR:V1=13.875714&amp;VAR:Y0=2006&amp;VAR:Y1=2007&amp;VAR:P=1305.934900&amp;VAR:DATE=20060404&amp;VAR:THRESH=||||","||"}</definedName>
    <definedName name="_117__FDSAUDITLINK___1"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_1"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_2"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7__FDSAUDITLINK___2"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118__FDSAUDITLINK__"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14.891503&amp;VAR:V0=15.279489&amp;VAR:V1=13.875714&amp;VAR:Y0=2006&amp;VAR:Y1=2007&amp;VAR:P=1305.934900&amp;VAR:DATE=20060404&amp;VAR:THRESH=||||","||"}</definedName>
    <definedName name="_118__FDSAUDITLINK___1"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_1"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_2"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8__FDSAUDITLINK___2"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119__FDSAUDITLINK__"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0.169863&amp;VAR:V=14.769875&amp;VAR:V0=15.023478&amp;VAR:V1=13.644273&amp;VAR:Y0=2006&amp;VAR:Y1=2007&amp;VAR:P=1287.231200&amp;VAR:DATE=20060303&amp;VAR:THRESH=||||","||"}</definedName>
    <definedName name="_119__FDSAUDITLINK___1"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_1"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_2"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19__FDSAUDITLINK___2"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12__FDSAUDITLINK__"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12.002332&amp;VAR:V0=13.187008&amp;VAR:V1=11.502463&amp;VAR:Y0=2010&amp;VAR:Y1=2011&amp;VAR:P=1104.506616&amp;VAR:DATE=20100903&amp;VAR:THRESH=||||","||"}</definedName>
    <definedName name="_12__FDSAUDITLINK___1"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_1"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_2" localSheetId="3"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__FDSAUDITLINK___2" hidden="1">{"fdsup://directions/FAT Viewer?action=UPDATE&amp;creator=factset&amp;DYN_ARGS=TRUE&amp;DOC_NAME=FAT:FQL_AUDITING_CLIENT_TEMPLATE.FAT&amp;display_string=Audit&amp;VAR:KEY=CNYFUBYFQP&amp;VAR:QUERY=RkZfREVCVChBTk4sMCk=&amp;WINDOW=FIRST_POPUP&amp;HEIGHT=450&amp;WIDTH=450&amp;START_MAXIMIZED=FALSE&amp;VA","R:CALENDAR=US&amp;VAR:SYMBOL=ZMH&amp;VAR:INDEX=0"}</definedName>
    <definedName name="_120__FDSAUDITLINK__"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0.169863&amp;VAR:V=14.769875&amp;VAR:V0=15.023478&amp;VAR:V1=13.644273&amp;VAR:Y0=2006&amp;VAR:Y1=2007&amp;VAR:P=1287.231200&amp;VAR:DATE=20060303&amp;VAR:THRESH=||||","||"}</definedName>
    <definedName name="_120__FDSAUDITLINK___1"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_1"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_2"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0__FDSAUDITLINK___2"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121__FDSAUDITLINK__"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14.683169&amp;VAR:V0=14.808455&amp;VAR:V1=13.531415&amp;VAR:Y0=2006&amp;VAR:Y1=2007&amp;VAR:P=1270.836800&amp;VAR:DATE=20060202&amp;VAR:THRESH=||||","||"}</definedName>
    <definedName name="_121__FDSAUDITLINK___1"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_1"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_2"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1__FDSAUDITLINK___2"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122__FDSAUDITLINK__"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14.683169&amp;VAR:V0=14.808455&amp;VAR:V1=13.531415&amp;VAR:Y0=2006&amp;VAR:Y1=2007&amp;VAR:P=1270.836800&amp;VAR:DATE=20060202&amp;VAR:THRESH=||||","||"}</definedName>
    <definedName name="_122__FDSAUDITLINK___1"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_1"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_2"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2__FDSAUDITLINK___2"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123__FDSAUDITLINK__"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14.730079&amp;VAR:V0=14.739652&amp;VAR:V1=13.659557&amp;VAR:Y0=2006&amp;VAR:Y1=2007&amp;VAR:P=1268.800400&amp;VAR:DATE=20060103&amp;VAR:THRESH=||||","||"}</definedName>
    <definedName name="_123__FDSAUDITLINK___1"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_1"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_2"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3__FDSAUDITLINK___2"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124__FDSAUDITLINK__"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14.730079&amp;VAR:V0=14.739652&amp;VAR:V1=13.659557&amp;VAR:Y0=2006&amp;VAR:Y1=2007&amp;VAR:P=1268.800400&amp;VAR:DATE=20060103&amp;VAR:THRESH=||||","||"}</definedName>
    <definedName name="_124__FDSAUDITLINK___1"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_1"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_2"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4__FDSAUDITLINK___2"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125__FDSAUDITLINK__"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0.920548&amp;VAR:V=14.825031&amp;VAR:V0=16.548683&amp;VAR:V1=14.692946&amp;VAR:Y0=2005&amp;VAR:Y1=2006&amp;VAR:P=1265.080000&amp;VAR:DATE=20051202&amp;VAR:THRESH=||||","||"}</definedName>
    <definedName name="_125__FDSAUDITLINK___1"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_1"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_2"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5__FDSAUDITLINK___2"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126__FDSAUDITLINK__"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0.920548&amp;VAR:V=14.825031&amp;VAR:V0=16.548683&amp;VAR:V1=14.692946&amp;VAR:Y0=2005&amp;VAR:Y1=2006&amp;VAR:P=1265.080000&amp;VAR:DATE=20051202&amp;VAR:THRESH=||||","||"}</definedName>
    <definedName name="_126__FDSAUDITLINK___1"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_1"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_2"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6__FDSAUDITLINK___2"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127__FDSAUDITLINK__"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14.423257&amp;VAR:V0=15.867142&amp;VAR:V1=14.179485&amp;VAR:Y0=2005&amp;VAR:Y1=2006&amp;VAR:P=1219.936300&amp;VAR:DATE=20051103&amp;VAR:THRESH=||||","||"}</definedName>
    <definedName name="_127__FDSAUDITLINK___1"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_1"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_2"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7__FDSAUDITLINK___2"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128__FDSAUDITLINK__"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14.423257&amp;VAR:V0=15.867142&amp;VAR:V1=14.179485&amp;VAR:Y0=2005&amp;VAR:Y1=2006&amp;VAR:P=1219.936300&amp;VAR:DATE=20051103&amp;VAR:THRESH=||||","||"}</definedName>
    <definedName name="_128__FDSAUDITLINK___1"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_1"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_2"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8__FDSAUDITLINK___2"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129__FDSAUDITLINK__"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14.539197&amp;VAR:V0=15.760124&amp;VAR:V1=14.189964&amp;VAR:Y0=2005&amp;VAR:Y1=2006&amp;VAR:P=1214.473400&amp;VAR:DATE=20051004&amp;VAR:THRESH=||||","||"}</definedName>
    <definedName name="_129__FDSAUDITLINK___1"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_1"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_2"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29__FDSAUDITLINK___2"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13__FDSAUDITLINK__"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12.338524&amp;VAR:V0=13.454422&amp;VAR:V1=11.670806&amp;VAR:Y0=2010&amp;VAR:Y1=2011&amp;VAR:P=1127.239110&amp;VAR:DATE=20100804&amp;VAR:THRESH=||||","||"}</definedName>
    <definedName name="_13__FDSAUDITLINK___1"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_1"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_2"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__FDSAUDITLINK___2"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30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14.539197&amp;VAR:V0=15.760124&amp;VAR:V1=14.189964&amp;VAR:Y0=2005&amp;VAR:Y1=2006&amp;VAR:P=1214.473400&amp;VAR:DATE=20051004&amp;VAR:THRESH=||||","||"}</definedName>
    <definedName name="_130__FDSAUDITLINK___1"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_2"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0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31__FDSAUDITLINK__"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0.671233&amp;VAR:V=14.892845&amp;VAR:V0=15.944333&amp;VAR:V1=14.426847&amp;VAR:Y0=2005&amp;VAR:Y1=2006&amp;VAR:P=1218.021100&amp;VAR:DATE=20050902&amp;VAR:THRESH=||||","||"}</definedName>
    <definedName name="_131__FDSAUDITLINK___1"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_1"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_2"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1__FDSAUDITLINK___2"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132__FDSAUDITLINK__"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0.671233&amp;VAR:V=14.892845&amp;VAR:V0=15.944333&amp;VAR:V1=14.426847&amp;VAR:Y0=2005&amp;VAR:Y1=2006&amp;VAR:P=1218.021100&amp;VAR:DATE=20050902&amp;VAR:THRESH=||||","||"}</definedName>
    <definedName name="_132__FDSAUDITLINK___1"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_1"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_2"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2__FDSAUDITLINK___2"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133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15.362821&amp;VAR:V0=16.321445&amp;VAR:V1=14.764623&amp;VAR:Y0=2005&amp;VAR:Y1=2006&amp;VAR:P=1235.858800&amp;VAR:DATE=20050804&amp;VAR:THRESH=||||","||"}</definedName>
    <definedName name="_133__FDSAUDITLINK___1"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_2"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3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134__FDSAUDITLINK__"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15.362821&amp;VAR:V0=16.321445&amp;VAR:V1=14.764623&amp;VAR:Y0=2005&amp;VAR:Y1=2006&amp;VAR:P=1235.858800&amp;VAR:DATE=20050804&amp;VAR:THRESH=||||","||"}</definedName>
    <definedName name="_134__FDSAUDITLINK___1"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_1"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_2"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4__FDSAUDITLINK___2"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135__FDSAUDITLINK__"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0.498630&amp;VAR:V=15.202852&amp;VAR:V0=15.966770&amp;VAR:V1=14.505055&amp;VAR:Y0=2005&amp;VAR:Y1=2006&amp;VAR:P=1194.440200&amp;VAR:DATE=20050701&amp;VAR:THRESH=||||","||"}</definedName>
    <definedName name="_135__FDSAUDITLINK___1"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_1"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_2" localSheetId="3"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5__FDSAUDITLINK___2" hidden="1">{"fdsup://directions/FAT Viewer?action=UPDATE&amp;creator=factset&amp;DYN_ARGS=TRUE&amp;DOC_NAME=FAT:FQL_AUDITING_CLIENT_TEMPLATE.FAT&amp;display_string=Audit&amp;VAR:KEY=CBWBYDQBYR&amp;VAR:QUERY=RkZfRU5UUlBSX1ZBTF9EQUlMWShOT1csLCwsLCdESUwnKQ==&amp;WINDOW=FIRST_POPUP&amp;HEIGHT=450&amp;WIDTH=","450&amp;START_MAXIMIZED=FALSE&amp;VAR:CALENDAR=FIVEDAY&amp;VAR:SYMBOL=LCRY&amp;VAR:INDEX=0"}</definedName>
    <definedName name="_136__FDSAUDITLINK__"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0.498630&amp;VAR:V=15.202852&amp;VAR:V0=15.966770&amp;VAR:V1=14.505055&amp;VAR:Y0=2005&amp;VAR:Y1=2006&amp;VAR:P=1194.440200&amp;VAR:DATE=20050701&amp;VAR:THRESH=||||","||"}</definedName>
    <definedName name="_136__FDSAUDITLINK___1"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_1"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_2" localSheetId="3"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6__FDSAUDITLINK___2" hidden="1">{"fdsup://directions/FAT Viewer?action=UPDATE&amp;creator=factset&amp;DYN_ARGS=TRUE&amp;DOC_NAME=FAT:FQL_AUDITING_CLIENT_TEMPLATE.FAT&amp;display_string=Audit&amp;VAR:KEY=ODUDADIPCV&amp;VAR:QUERY=RkZfRU5UUlBSX1ZBTF9EQUlMWShOT1csLCwsLCdESUwnKQ==&amp;WINDOW=FIRST_POPUP&amp;HEIGHT=450&amp;WIDTH=","450&amp;START_MAXIMIZED=FALSE&amp;VAR:CALENDAR=FIVEDAY&amp;VAR:SYMBOL=TER&amp;VAR:INDEX=0"}</definedName>
    <definedName name="_137__FDSAUDITLINK__"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0.421918&amp;VAR:V=15.361796&amp;VAR:V0=15.989245&amp;VAR:V1=14.577988&amp;VAR:Y0=2005&amp;VAR:Y1=2006&amp;VAR:P=1196.016000&amp;VAR:DATE=20050603&amp;VAR:THRESH=||||","||"}</definedName>
    <definedName name="_137__FDSAUDITLINK___1"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_1"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_2" localSheetId="3"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7__FDSAUDITLINK___2" hidden="1">{"fdsup://directions/FAT Viewer?action=UPDATE&amp;creator=factset&amp;DYN_ARGS=TRUE&amp;DOC_NAME=FAT:FQL_AUDITING_CLIENT_TEMPLATE.FAT&amp;display_string=Audit&amp;VAR:KEY=YHOZMZUDYT&amp;VAR:QUERY=RkZfRU5UUlBSX1ZBTF9EQUlMWShOT1csLCwsLCdESUwnKQ==&amp;WINDOW=FIRST_POPUP&amp;HEIGHT=450&amp;WIDTH=","450&amp;START_MAXIMIZED=FALSE&amp;VAR:CALENDAR=FIVEDAY&amp;VAR:SYMBOL=NATI&amp;VAR:INDEX=0"}</definedName>
    <definedName name="_138__FDSAUDITLINK__"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0.421918&amp;VAR:V=15.361796&amp;VAR:V0=15.989245&amp;VAR:V1=14.577988&amp;VAR:Y0=2005&amp;VAR:Y1=2006&amp;VAR:P=1196.016000&amp;VAR:DATE=20050603&amp;VAR:THRESH=||||","||"}</definedName>
    <definedName name="_138__FDSAUDITLINK___1"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_1"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_2" localSheetId="3"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8__FDSAUDITLINK___2" hidden="1">{"fdsup://directions/FAT Viewer?action=UPDATE&amp;creator=factset&amp;DYN_ARGS=TRUE&amp;DOC_NAME=FAT:FQL_AUDITING_CLIENT_TEMPLATE.FAT&amp;display_string=Audit&amp;VAR:KEY=UZOZGRKXKL&amp;VAR:QUERY=RkZfRU5UUlBSX1ZBTF9EQUlMWShOT1csLCwsLCdESUwnKQ==&amp;WINDOW=FIRST_POPUP&amp;HEIGHT=450&amp;WIDTH=","450&amp;START_MAXIMIZED=FALSE&amp;VAR:CALENDAR=FIVEDAY&amp;VAR:SYMBOL=JDSU&amp;VAR:INDEX=0"}</definedName>
    <definedName name="_139__FDSAUDITLINK__"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15.213811&amp;VAR:V0=15.703392&amp;VAR:V1=14.344618&amp;VAR:Y0=2005&amp;VAR:Y1=2006&amp;VAR:P=1175.650900&amp;VAR:DATE=20050504&amp;VAR:THRESH=||||","||"}</definedName>
    <definedName name="_139__FDSAUDITLINK___1"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_1"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_2" localSheetId="3"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39__FDSAUDITLINK___2" hidden="1">{"fdsup://directions/FAT Viewer?action=UPDATE&amp;creator=factset&amp;DYN_ARGS=TRUE&amp;DOC_NAME=FAT:FQL_AUDITING_CLIENT_TEMPLATE.FAT&amp;display_string=Audit&amp;VAR:KEY=QTSVONSRIP&amp;VAR:QUERY=RkZfRU5UUlBSX1ZBTF9EQUlMWShOT1csLCwsLCdESUwnKQ==&amp;WINDOW=FIRST_POPUP&amp;HEIGHT=450&amp;WIDTH=","450&amp;START_MAXIMIZED=FALSE&amp;VAR:CALENDAR=FIVEDAY&amp;VAR:SYMBOL=DHR&amp;VAR:INDEX=0"}</definedName>
    <definedName name="_14__FDSAUDITLINK__" localSheetId="3"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12.338524&amp;VAR:V0=13.454422&amp;VAR:V1=11.670806&amp;VAR:Y0=2010&amp;VAR:Y1=2011&amp;VAR:P=1127.239110&amp;VAR:DATE=20100804&amp;VAR:THRESH=||||","||"}</definedName>
    <definedName name="_14__FDSAUDITLINK___1" localSheetId="3"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_1"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_2" localSheetId="3"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__FDSAUDITLINK___2" hidden="1">{"fdsup://directions/FAT Viewer?action=UPDATE&amp;creator=factset&amp;DYN_ARGS=TRUE&amp;DOC_NAME=FAT:FQL_AUDITING_CLIENT_TEMPLATE.FAT&amp;display_string=Audit&amp;VAR:KEY=IHYVYNANAD&amp;VAR:QUERY=RkZfU0hMRFJTX0VRKEFOTiwwKQ==&amp;WINDOW=FIRST_POPUP&amp;HEIGHT=450&amp;WIDTH=450&amp;START_MAXIMIZED=","FALSE&amp;VAR:CALENDAR=US&amp;VAR:SYMBOL=MDT&amp;VAR:INDEX=0"}</definedName>
    <definedName name="_140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15.213811&amp;VAR:V0=15.703392&amp;VAR:V1=14.344618&amp;VAR:Y0=2005&amp;VAR:Y1=2006&amp;VAR:P=1175.650900&amp;VAR:DATE=20050504&amp;VAR:THRESH=||||","||"}</definedName>
    <definedName name="_140__FDSAUDITLINK___1"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_2"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0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141__FDSAUDITLINK__"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15.387104&amp;VAR:V0=15.793654&amp;VAR:V1=14.324087&amp;VAR:Y0=2005&amp;VAR:Y1=2006&amp;VAR:P=1176.122900&amp;VAR:DATE=20050404&amp;VAR:THRESH=||||","||"}</definedName>
    <definedName name="_141__FDSAUDITLINK___1"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_1"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_2" localSheetId="3"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1__FDSAUDITLINK___2" hidden="1">{"fdsup://directions/FAT Viewer?action=UPDATE&amp;creator=factset&amp;DYN_ARGS=TRUE&amp;DOC_NAME=FAT:FQL_AUDITING_CLIENT_TEMPLATE.FAT&amp;display_string=Audit&amp;VAR:KEY=SZKFETWBYZ&amp;VAR:QUERY=RkZfRU5UUlBSX1ZBTF9EQUlMWShOT1csLCwsLCdESUwnKQ==&amp;WINDOW=FIRST_POPUP&amp;HEIGHT=450&amp;WIDTH=","450&amp;START_MAXIMIZED=FALSE&amp;VAR:CALENDAR=FIVEDAY&amp;VAR:SYMBOL=ANSS&amp;VAR:INDEX=0"}</definedName>
    <definedName name="_142__FDSAUDITLINK__"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15.387104&amp;VAR:V0=15.793654&amp;VAR:V1=14.324087&amp;VAR:Y0=2005&amp;VAR:Y1=2006&amp;VAR:P=1176.122900&amp;VAR:DATE=20050404&amp;VAR:THRESH=||||","||"}</definedName>
    <definedName name="_142__FDSAUDITLINK___1"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_1"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_2" localSheetId="3"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2__FDSAUDITLINK___2" hidden="1">{"fdsup://directions/FAT Viewer?action=UPDATE&amp;creator=factset&amp;DYN_ARGS=TRUE&amp;DOC_NAME=FAT:FQL_AUDITING_CLIENT_TEMPLATE.FAT&amp;display_string=Audit&amp;VAR:KEY=ALUTYBGPKX&amp;VAR:QUERY=RkZfRU5UUlBSX1ZBTF9EQUlMWShOT1csLCwsLCdESUwnKQ==&amp;WINDOW=FIRST_POPUP&amp;HEIGHT=450&amp;WIDTH=","450&amp;START_MAXIMIZED=FALSE&amp;VAR:CALENDAR=FIVEDAY&amp;VAR:SYMBOL=ARX&amp;VAR:INDEX=0"}</definedName>
    <definedName name="_14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16.199485&amp;VAR:V0=16.486818&amp;VAR:V1=14.950463&amp;VAR:Y0=2005&amp;VAR:Y1=2006&amp;VAR:P=1222.124500&amp;VAR:DATE=20050304&amp;VAR:THRESH=||||","||"}</definedName>
    <definedName name="_14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16.015870&amp;VAR:V0=16.155363&amp;VAR:V1=14.735803&amp;VAR:Y0=2005&amp;VAR:Y1=2006&amp;VAR:P=1193.185300&amp;VAR:DATE=20050202&amp;VAR:THRESH=||||","||"}</definedName>
    <definedName name="_14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16.301356&amp;VAR:V0=16.312931&amp;VAR:V1=15.015694&amp;VAR:Y0=2005&amp;VAR:Y1=2006&amp;VAR:P=1202.084400&amp;VAR:DATE=20050103&amp;VAR:THRESH=||||","||"}</definedName>
    <definedName name="_14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5__123Graph_ACHART_30" hidden="1">[2]Menu!$D$11:$M$11</definedName>
    <definedName name="_15__FDSAUDITLINK__"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11.411280&amp;VAR:V0=12.428474&amp;VAR:V1=10.552354&amp;VAR:Y0=2010&amp;VAR:Y1=2011&amp;VAR:P=1022.582975&amp;VAR:DATE=20100702&amp;VAR:THRESH=||||","||"}</definedName>
    <definedName name="_15__FDSAUDITLINK___1"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_1"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_2" localSheetId="3"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__FDSAUDITLINK___2" hidden="1">{"fdsup://directions/FAT Viewer?action=UPDATE&amp;creator=factset&amp;DYN_ARGS=TRUE&amp;DOC_NAME=FAT:FQL_AUDITING_CLIENT_TEMPLATE.FAT&amp;display_string=Audit&amp;VAR:KEY=WFWDAHQNOB&amp;VAR:QUERY=RkZfREVCVChBTk4sMCk=&amp;WINDOW=FIRST_POPUP&amp;HEIGHT=450&amp;WIDTH=450&amp;START_MAXIMIZED=FALSE&amp;VA","R:CALENDAR=US&amp;VAR:SYMBOL=MDT&amp;VAR:INDEX=0"}</definedName>
    <definedName name="_15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16.271610&amp;VAR:V0=17.919119&amp;VAR:V1=16.148614&amp;VAR:Y0=2004&amp;VAR:Y1=2005&amp;VAR:P=1191.167100&amp;VAR:DATE=20041203&amp;VAR:THRESH=||||","||"}</definedName>
    <definedName name="_15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15.917795&amp;VAR:V0=17.286085&amp;VAR:V1=15.684010&amp;VAR:Y0=2004&amp;VAR:Y1=2005&amp;VAR:P=1143.195400&amp;VAR:DATE=20041103&amp;VAR:THRESH=||||","||"}</definedName>
    <definedName name="_15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0.751366&amp;VAR:V=16.023889&amp;VAR:V0=17.207054&amp;VAR:V1=15.667401&amp;VAR:Y0=2004&amp;VAR:Y1=2005&amp;VAR:P=1131.500900&amp;VAR:DATE=20041001&amp;VAR:THRESH=||||","||"}</definedName>
    <definedName name="_15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15.861591&amp;VAR:V0=16.948303&amp;VAR:V1=15.386287&amp;VAR:Y0=2004&amp;VAR:Y1=2005&amp;VAR:P=1113.630500&amp;VAR:DATE=20040903&amp;VAR:THRESH=||||","||"}</definedName>
    <definedName name="_15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0.590164&amp;VAR:V=15.808436&amp;VAR:V0=16.733698&amp;VAR:V1=15.223867&amp;VAR:Y0=2004&amp;VAR:Y1=2005&amp;VAR:P=1099.687900&amp;VAR:DATE=20040803&amp;VAR:THRESH=||||","||"}</definedName>
    <definedName name="_15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6__123Graph_ALIQUIDS" hidden="1">[3]P!$S$78:$AL$78</definedName>
    <definedName name="_16__FDSAUDITLINK__"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11.411280&amp;VAR:V0=12.428474&amp;VAR:V1=10.552354&amp;VAR:Y0=2010&amp;VAR:Y1=2011&amp;VAR:P=1022.582975&amp;VAR:DATE=20100702&amp;VAR:THRESH=||||","||"}</definedName>
    <definedName name="_16__FDSAUDITLINK___1"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_1"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_2"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__FDSAUDITLINK___2"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6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0.502732&amp;VAR:V=16.356296&amp;VAR:V0=17.204645&amp;VAR:V1=15.595645&amp;VAR:Y0=2004&amp;VAR:Y1=2005&amp;VAR:P=1125.379900&amp;VAR:DATE=20040702&amp;VAR:THRESH=||||","||"}</definedName>
    <definedName name="_16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16.512439&amp;VAR:V0=17.288855&amp;VAR:V1=15.571107&amp;VAR:Y0=2004&amp;VAR:Y1=2005&amp;VAR:P=1122.504200&amp;VAR:DATE=20040604&amp;VAR:THRESH=||||","||"}</definedName>
    <definedName name="_16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0.341530&amp;VAR:V=16.793465&amp;VAR:V0=17.416126&amp;VAR:V1=15.710539&amp;VAR:Y0=2004&amp;VAR:Y1=2005&amp;VAR:P=1119.553600&amp;VAR:DATE=20040504&amp;VAR:THRESH=||||","||"}</definedName>
    <definedName name="_16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0.254098&amp;VAR:V=17.605337&amp;VAR:V0=18.142601&amp;VAR:V1=16.197313&amp;VAR:Y0=2004&amp;VAR:Y1=2005&amp;VAR:P=1141.809800&amp;VAR:DATE=20040402&amp;VAR:THRESH=||||","||"}</definedName>
    <definedName name="_16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18.170143&amp;VAR:V0=18.576833&amp;VAR:V1=16.468838&amp;VAR:Y0=2004&amp;VAR:Y1=2005&amp;VAR:P=1154.875200&amp;VAR:DATE=20040304&amp;VAR:THRESH=||||","||"}</definedName>
    <definedName name="_16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7__FDSAUDITLINK__" localSheetId="3"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12.008593&amp;VAR:V0=12.895105&amp;VAR:V1=10.985388&amp;VAR:Y0=2010&amp;VAR:Y1=2011&amp;VAR:P=1064.875042&amp;VAR:DATE=20100604&amp;VAR:THRESH=||||","||"}</definedName>
    <definedName name="_17__FDSAUDITLINK___1" localSheetId="3"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_1"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_2" localSheetId="3"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__FDSAUDITLINK___2" hidden="1">{"fdsup://directions/FAT Viewer?action=UPDATE&amp;creator=factset&amp;DYN_ARGS=TRUE&amp;DOC_NAME=FAT:FQL_AUDITING_CLIENT_TEMPLATE.FAT&amp;display_string=Audit&amp;VAR:KEY=ADKHANUJIB&amp;VAR:QUERY=RkZfU0hMRFJTX0VRKEFOTiwwKQ==&amp;WINDOW=FIRST_POPUP&amp;HEIGHT=450&amp;WIDTH=450&amp;START_MAXIMIZED=","FALSE&amp;VAR:CALENDAR=US&amp;VAR:SYMBOL=IART&amp;VAR:INDEX=0"}</definedName>
    <definedName name="_17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0.092896&amp;VAR:V=18.137413&amp;VAR:V0=18.353877&amp;VAR:V1=16.264350&amp;VAR:Y0=2004&amp;VAR:Y1=2005&amp;VAR:P=1136.034400&amp;VAR:DATE=20040203&amp;VAR:THRESH=||||","||"}</definedName>
    <definedName name="_17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0.005464&amp;VAR:V=18.043213&amp;VAR:V0=18.053550&amp;VAR:V1=16.340425&amp;VAR:Y0=2004&amp;VAR:Y1=2005&amp;VAR:P=1108.484600&amp;VAR:DATE=20040102&amp;VAR:THRESH=||||","||"}</definedName>
    <definedName name="_17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17.676698&amp;VAR:V0=19.801141&amp;VAR:V1=17.526489&amp;VAR:Y0=2003&amp;VAR:Y1=2004&amp;VAR:P=1069.718500&amp;VAR:DATE=20031204&amp;VAR:THRESH=||||","||"}</definedName>
    <definedName name="_17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17.671446&amp;VAR:V0=19.533441&amp;VAR:V1=17.358831&amp;VAR:Y0=2003&amp;VAR:Y1=2004&amp;VAR:P=1059.015600&amp;VAR:DATE=20031103&amp;VAR:THRESH=||||","||"}</definedName>
    <definedName name="_17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0.756164&amp;VAR:V=17.468920&amp;VAR:V0=19.152586&amp;VAR:V1=16.987376&amp;VAR:Y0=2003&amp;VAR:Y1=2004&amp;VAR:P=1029.848000&amp;VAR:DATE=20031003&amp;VAR:THRESH=||||","||"}</definedName>
    <definedName name="_17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8__FDSAUDITLINK__"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12.008593&amp;VAR:V0=12.895105&amp;VAR:V1=10.985388&amp;VAR:Y0=2010&amp;VAR:Y1=2011&amp;VAR:P=1064.875042&amp;VAR:DATE=20100604&amp;VAR:THRESH=||||","||"}</definedName>
    <definedName name="_18__FDSAUDITLINK___1"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_1"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_2" localSheetId="3"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__FDSAUDITLINK___2" hidden="1">{"fdsup://directions/FAT Viewer?action=UPDATE&amp;creator=factset&amp;DYN_ARGS=TRUE&amp;DOC_NAME=FAT:FQL_AUDITING_CLIENT_TEMPLATE.FAT&amp;display_string=Audit&amp;VAR:KEY=WZKLGRUJID&amp;VAR:QUERY=RkZfREVCVChBTk4sMCk=&amp;WINDOW=FIRST_POPUP&amp;HEIGHT=450&amp;WIDTH=450&amp;START_MAXIMIZED=FALSE&amp;VA","R:CALENDAR=US&amp;VAR:SYMBOL=IART&amp;VAR:INDEX=0"}</definedName>
    <definedName name="_18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17.610116&amp;VAR:V0=19.064788&amp;VAR:V1=16.990773&amp;VAR:Y0=2003&amp;VAR:Y1=2004&amp;VAR:P=1027.970800&amp;VAR:DATE=20030904&amp;VAR:THRESH=||||","||"}</definedName>
    <definedName name="_18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17.011568&amp;VAR:V0=18.265328&amp;VAR:V1=16.242487&amp;VAR:Y0=2003&amp;VAR:Y1=2004&amp;VAR:P=982.815060&amp;VAR:DATE=20030804&amp;VAR:THRESH=|||||","|"}</definedName>
    <definedName name="_18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17.329903&amp;VAR:V0=18.489614&amp;VAR:V1=16.322793&amp;VAR:Y0=2003&amp;VAR:Y1=2004&amp;VAR:P=985.700000&amp;VAR:DATE=20030703&amp;VAR:THRESH=|||||","|"}</definedName>
    <definedName name="_18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17.441062&amp;VAR:V0=18.413787&amp;VAR:V1=16.276167&amp;VAR:Y0=2003&amp;VAR:Y1=2004&amp;VAR:P=986.238900&amp;VAR:DATE=20030604&amp;VAR:THRESH=|||||","|"}</definedName>
    <definedName name="_18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16.613721&amp;VAR:V0=17.383201&amp;VAR:V1=15.312323&amp;VAR:Y0=2003&amp;VAR:Y1=2004&amp;VAR:P=926.548200&amp;VAR:DATE=20030505&amp;VAR:THRESH=|||||","|"}</definedName>
    <definedName name="_18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9__FDSAUDITLINK__"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13.374133&amp;VAR:V0=14.173133&amp;VAR:V1=12.067920&amp;VAR:Y0=2010&amp;VAR:Y1=2011&amp;VAR:P=1165.897009&amp;VAR:DATE=20100505&amp;VAR:THRESH=||||","||"}</definedName>
    <definedName name="_19__FDSAUDITLINK___1"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_1"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_2"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__FDSAUDITLINK___2"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19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15.935705&amp;VAR:V0=16.555331&amp;VAR:V1=14.383667&amp;VAR:Y0=2003&amp;VAR:Y1=2004&amp;VAR:P=878.852500&amp;VAR:DATE=20030404&amp;VAR:THRESH=|||||","|"}</definedName>
    <definedName name="_19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15.166101&amp;VAR:V0=15.576921&amp;VAR:V1=13.492509&amp;VAR:Y0=2003&amp;VAR:Y1=2004&amp;VAR:P=829.851560&amp;VAR:DATE=20030305&amp;VAR:THRESH=|||||","|"}</definedName>
    <definedName name="_19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0.093151&amp;VAR:V=15.834044&amp;VAR:V0=16.044498&amp;VAR:V1=14.041042&amp;VAR:Y0=2003&amp;VAR:Y1=2004&amp;VAR:P=860.321350&amp;VAR:DATE=20030203&amp;VAR:THRESH=|||||","|"}</definedName>
    <definedName name="_19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16.623513&amp;VAR:V0=16.640562&amp;VAR:V1=14.794577&amp;VAR:Y0=2003&amp;VAR:Y1=2004&amp;VAR:P=908.589700&amp;VAR:DATE=20030103&amp;VAR:THRESH=|||||","|"}</definedName>
    <definedName name="_19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16.856770&amp;VAR:V0=18.954232&amp;VAR:V1=16.709068&amp;VAR:Y0=2002&amp;VAR:Y1=2003&amp;VAR:P=917.573000&amp;VAR:DATE=20021204&amp;VAR:THRESH=|||||","|"}</definedName>
    <definedName name="_19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1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1Q_01E">"_01"</definedName>
    <definedName name="_2__FDSAUDITLINK__" localSheetId="3"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2__FDSAUDITLINK___1" localSheetId="3"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_1"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_2" localSheetId="3"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__FDSAUDITLINK___2" hidden="1">{"fdsup://directions/FAT Viewer?action=UPDATE&amp;creator=factset&amp;DYN_ARGS=TRUE&amp;DOC_NAME=FAT:FQL_AUDITING_CLIENT_TEMPLATE.FAT&amp;display_string=Audit&amp;VAR:KEY=INSRWVSTON&amp;VAR:QUERY=RkZfU0hMRFJTX0VRKEFOTiwwKQ==&amp;WINDOW=FIRST_POPUP&amp;HEIGHT=450&amp;WIDTH=450&amp;START_MAXIMIZED=","FALSE&amp;VAR:CALENDAR=US&amp;VAR:SYMBOL=HNSN&amp;VAR:INDEX=0"}</definedName>
    <definedName name="_20__FDSAUDITLINK__" localSheetId="3"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0.342466&amp;VAR:V=13.374133&amp;VAR:V0=14.173133&amp;VAR:V1=12.067920&amp;VAR:Y0=2010&amp;VAR:Y1=2011&amp;VAR:P=1165.897009&amp;VAR:DATE=20100505&amp;VAR:THRESH=||||","||"}</definedName>
    <definedName name="_20__FDSAUDITLINK___1" localSheetId="3"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_1"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_2" localSheetId="3"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__FDSAUDITLINK___2" hidden="1">{"fdsup://directions/FAT Viewer?action=UPDATE&amp;creator=factset&amp;DYN_ARGS=TRUE&amp;DOC_NAME=FAT:FQL_AUDITING_CLIENT_TEMPLATE.FAT&amp;display_string=Audit&amp;VAR:KEY=ATKJAZWHCF&amp;VAR:QUERY=RkZfU0hMRFJTX0VRKEFOTiwwKQ==&amp;WINDOW=FIRST_POPUP&amp;HEIGHT=450&amp;WIDTH=450&amp;START_MAXIMIZED=","FALSE&amp;VAR:CALENDAR=US&amp;VAR:SYMBOL=ISRG&amp;VAR:INDEX=0"}</definedName>
    <definedName name="_20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2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0.835616&amp;VAR:V=16.421120&amp;VAR:V0=18.420501&amp;VAR:V1=16.077821&amp;VAR:Y0=2002&amp;VAR:Y1=2003&amp;VAR:P=900.963600&amp;VAR:DATE=20021101&amp;VAR:THRESH=|||||","|"}</definedName>
    <definedName name="_20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14.434933&amp;VAR:V0=16.235937&amp;VAR:V1=13.943558&amp;VAR:Y0=2002&amp;VAR:Y1=2003&amp;VAR:P=800.582640&amp;VAR:DATE=20021004&amp;VAR:THRESH=|||||","|"}</definedName>
    <definedName name="_20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15.705551&amp;VAR:V0=17.519100&amp;VAR:V1=14.956585&amp;VAR:Y0=2002&amp;VAR:Y1=2003&amp;VAR:P=878.018300&amp;VAR:DATE=20020903&amp;VAR:THRESH=|||||","|"}</definedName>
    <definedName name="_20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0.586301&amp;VAR:V=15.543840&amp;VAR:V0=17.129015&amp;VAR:V1=14.591056&amp;VAR:Y0=2002&amp;VAR:Y1=2003&amp;VAR:P=864.244600&amp;VAR:DATE=20020802&amp;VAR:THRESH=|||||","|"}</definedName>
    <definedName name="_20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17.032547&amp;VAR:V0=18.694216&amp;VAR:V1=15.663010&amp;VAR:Y0=2002&amp;VAR:Y1=2003&amp;VAR:P=953.991400&amp;VAR:DATE=20020703&amp;VAR:THRESH=|||||","|"}</definedName>
    <definedName name="_20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1__123Graph_Aｸﾞﾗﾌ_1" hidden="1">[4]ｾｸﾞﾒﾝﾄ!$E$164:$I$164</definedName>
    <definedName name="_21__FDSAUDITLINK__"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0.249315&amp;VAR:V=14.164330&amp;VAR:V0=14.860196&amp;VAR:V1=12.413992&amp;VAR:Y0=2010&amp;VAR:Y1=2011&amp;VAR:P=1178.102625&amp;VAR:DATE=20100401&amp;VAR:THRESH=||||","||"}</definedName>
    <definedName name="_21__FDSAUDITLINK___1"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_1"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_2" localSheetId="3"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__FDSAUDITLINK___2" hidden="1">{"fdsup://directions/FAT Viewer?action=UPDATE&amp;creator=factset&amp;DYN_ARGS=TRUE&amp;DOC_NAME=FAT:FQL_AUDITING_CLIENT_TEMPLATE.FAT&amp;display_string=Audit&amp;VAR:KEY=OZKFURUTKB&amp;VAR:QUERY=RkZfREVCVChBTk4sMCk=&amp;WINDOW=FIRST_POPUP&amp;HEIGHT=450&amp;WIDTH=450&amp;START_MAXIMIZED=FALSE&amp;VA","R:CALENDAR=US&amp;VAR:SYMBOL=ISRG&amp;VAR:INDEX=0"}</definedName>
    <definedName name="_21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18.639761&amp;VAR:V0=20.141898&amp;VAR:V1=16.929219&amp;VAR:Y0=2002&amp;VAR:Y1=2003&amp;VAR:P=1040.690000&amp;VAR:DATE=20020604&amp;VAR:THRESH=||||","||"}</definedName>
    <definedName name="_21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0.336986&amp;VAR:V=19.503361&amp;VAR:V0=20.734008&amp;VAR:V1=17.463956&amp;VAR:Y0=2002&amp;VAR:Y1=2003&amp;VAR:P=1073.426400&amp;VAR:DATE=20020503&amp;VAR:THRESH=||||","||"}</definedName>
    <definedName name="_21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20.555516&amp;VAR:V0=21.575556&amp;VAR:V1=18.089863&amp;VAR:Y0=2002&amp;VAR:Y1=2003&amp;VAR:P=1126.338500&amp;VAR:DATE=20020404&amp;VAR:THRESH=||||","||"}</definedName>
    <definedName name="_21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21.223563&amp;VAR:V0=21.960290&amp;VAR:V1=18.331236&amp;VAR:Y0=2002&amp;VAR:Y1=2003&amp;VAR:P=1146.135100&amp;VAR:DATE=20020305&amp;VAR:THRESH=||||","||"}</definedName>
    <definedName name="_21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0.087671&amp;VAR:V=21.027244&amp;VAR:V0=21.387065&amp;VAR:V1=17.894356&amp;VAR:Y0=2002&amp;VAR:Y1=2003&amp;VAR:P=1122.195300&amp;VAR:DATE=20020201&amp;VAR:THRESH=||||","||"}</definedName>
    <definedName name="_21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2__123Graph_Aｸﾞﾗﾌ_2" hidden="1">[4]単独!$AR$14:$AR$18</definedName>
    <definedName name="_22__FDSAUDITLINK__"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0.249315&amp;VAR:V=14.164330&amp;VAR:V0=14.860196&amp;VAR:V1=12.413992&amp;VAR:Y0=2010&amp;VAR:Y1=2011&amp;VAR:P=1178.102625&amp;VAR:DATE=20100401&amp;VAR:THRESH=||||","||"}</definedName>
    <definedName name="_22__FDSAUDITLINK___1"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_1"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_2"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__FDSAUDITLINK___2"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2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22.079119&amp;VAR:V0=22.109269&amp;VAR:V1=18.959367&amp;VAR:Y0=2002&amp;VAR:Y1=2003&amp;VAR:P=1165.271400&amp;VAR:DATE=20020103&amp;VAR:THRESH=||||","||"}</definedName>
    <definedName name="_22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21.382697&amp;VAR:V0=24.058771&amp;VAR:V1=21.186894&amp;VAR:Y0=2001&amp;VAR:Y1=2002&amp;VAR:P=1129.900000&amp;VAR:DATE=20011203&amp;VAR:THRESH=||||","||"}</definedName>
    <definedName name="_22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20.201959&amp;VAR:V0=22.832122&amp;VAR:V1=19.763004&amp;VAR:Y0=2001&amp;VAR:Y1=2002&amp;VAR:P=1087.200000&amp;VAR:DATE=20011102&amp;VAR:THRESH=||||","||"}</definedName>
    <definedName name="_22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19.276156&amp;VAR:V0=21.701149&amp;VAR:V1=18.615309&amp;VAR:Y0=2001&amp;VAR:Y1=2002&amp;VAR:P=1069.630000&amp;VAR:DATE=20011004&amp;VAR:THRESH=||||","||"}</definedName>
    <definedName name="_22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0.665753&amp;VAR:V=20.059419&amp;VAR:V0=22.378573&amp;VAR:V1=19.067352&amp;VAR:Y0=2001&amp;VAR:Y1=2002&amp;VAR:P=1133.587900&amp;VAR:DATE=20010831&amp;VAR:THRESH=||||","||"}</definedName>
    <definedName name="_22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3__FDSAUDITLINK__" localSheetId="3"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13.885560&amp;VAR:V0=14.359925&amp;VAR:V1=12.018353&amp;VAR:Y0=2010&amp;VAR:Y1=2011&amp;VAR:P=1138.698076&amp;VAR:DATE=20100305&amp;VAR:THRESH=||||","||"}</definedName>
    <definedName name="_23__FDSAUDITLINK___1" localSheetId="3"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_1"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_2" localSheetId="3"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__FDSAUDITLINK___2" hidden="1">{"fdsup://directions/FAT Viewer?action=UPDATE&amp;creator=factset&amp;DYN_ARGS=TRUE&amp;DOC_NAME=FAT:FQL_AUDITING_CLIENT_TEMPLATE.FAT&amp;display_string=Audit&amp;VAR:KEY=EDUDMBAJMN&amp;VAR:QUERY=RkZfU0hMRFJTX0VRKEFOTiwwKQ==&amp;WINDOW=FIRST_POPUP&amp;HEIGHT=450&amp;WIDTH=450&amp;START_MAXIMIZED=","FALSE&amp;VAR:CALENDAR=US&amp;VAR:SYMBOL=HOLX&amp;VAR:INDEX=0"}</definedName>
    <definedName name="_23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21.573088&amp;VAR:V0=23.738808&amp;VAR:V1=20.282137&amp;VAR:Y0=2001&amp;VAR:Y1=2002&amp;VAR:P=1214.350000&amp;VAR:DATE=20010803&amp;VAR:THRESH=||||","||"}</definedName>
    <definedName name="_23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0.504110&amp;VAR:V=21.437824&amp;VAR:V0=23.151243&amp;VAR:V1=19.982999&amp;VAR:Y0=2001&amp;VAR:Y1=2002&amp;VAR:P=1234.450000&amp;VAR:DATE=20010703&amp;VAR:THRESH=||||","||"}</definedName>
    <definedName name="_23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21.983947&amp;VAR:V0=23.345944&amp;VAR:V1=20.373597&amp;VAR:Y0=2001&amp;VAR:Y1=2002&amp;VAR:P=1267.110000&amp;VAR:DATE=20010604&amp;VAR:THRESH=||||","||"}</definedName>
    <definedName name="_23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21.854708&amp;VAR:V0=23.025443&amp;VAR:V1=19.889248&amp;VAR:Y0=2001&amp;VAR:Y1=2002&amp;VAR:P=1266.610000&amp;VAR:DATE=20010504&amp;VAR:THRESH=||||","||"}</definedName>
    <definedName name="_23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18.821448&amp;VAR:V0=19.505505&amp;VAR:V1=17.093222&amp;VAR:Y0=2001&amp;VAR:Y1=2002&amp;VAR:P=1103.250000&amp;VAR:DATE=20010404&amp;VAR:THRESH=||||","||"}</definedName>
    <definedName name="_23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4__FDSAUDITLINK__"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13.885560&amp;VAR:V0=14.359925&amp;VAR:V1=12.018353&amp;VAR:Y0=2010&amp;VAR:Y1=2011&amp;VAR:P=1138.698076&amp;VAR:DATE=20100305&amp;VAR:THRESH=||||","||"}</definedName>
    <definedName name="_24__FDSAUDITLINK___1"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_1"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_2" localSheetId="3"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__FDSAUDITLINK___2" hidden="1">{"fdsup://directions/FAT Viewer?action=UPDATE&amp;creator=factset&amp;DYN_ARGS=TRUE&amp;DOC_NAME=FAT:FQL_AUDITING_CLIENT_TEMPLATE.FAT&amp;display_string=Audit&amp;VAR:KEY=KPEXYJQLQR&amp;VAR:QUERY=RkZfREVCVChBTk4sMCk=&amp;WINDOW=FIRST_POPUP&amp;HEIGHT=450&amp;WIDTH=450&amp;START_MAXIMIZED=FALSE&amp;VA","R:CALENDAR=US&amp;VAR:SYMBOL=HOLX&amp;VAR:INDEX=0"}</definedName>
    <definedName name="_24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0.167123&amp;VAR:V=20.683632&amp;VAR:V0=21.133754&amp;VAR:V1=18.698851&amp;VAR:Y0=2001&amp;VAR:Y1=2002&amp;VAR:P=1234.180000&amp;VAR:DATE=20010302&amp;VAR:THRESH=||||","||"}</definedName>
    <definedName name="_24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22.399899&amp;VAR:V0=22.646160&amp;VAR:V1=20.190973&amp;VAR:Y0=2001&amp;VAR:Y1=2002&amp;VAR:P=1349.470000&amp;VAR:DATE=20010202&amp;VAR:THRESH=||||","||"}</definedName>
    <definedName name="_24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1.821528&amp;VAR:P=1&amp;VAR:DATE=20110203"}</definedName>
    <definedName name="_24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1.779404&amp;VAR:P=1&amp;VAR:DATE=20110103"}</definedName>
    <definedName name="_24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1.730541&amp;VAR:P=1&amp;VAR:DATE=20101203"}</definedName>
    <definedName name="_24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5__FDSAUDITLINK__"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13.633070&amp;VAR:V0=13.874247&amp;VAR:V1=11.603751&amp;VAR:Y0=2010&amp;VAR:Y1=2011&amp;VAR:P=1103.323052&amp;VAR:DATE=20100202&amp;VAR:THRESH=||||","||"}</definedName>
    <definedName name="_25__FDSAUDITLINK___1"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_1"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_2"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__FDSAUDITLINK___2"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5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1.746705&amp;VAR:P=1&amp;VAR:DATE=20101103"}</definedName>
    <definedName name="_25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1.674824&amp;VAR:P=1&amp;VAR:DATE=20101004"}</definedName>
    <definedName name="_25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1.633646&amp;VAR:P=1&amp;VAR:DATE=20100903"}</definedName>
    <definedName name="_25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1.657488&amp;VAR:P=1&amp;VAR:DATE=20100804"}</definedName>
    <definedName name="_25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1.542532&amp;VAR:P=1&amp;VAR:DATE=20100702"}</definedName>
    <definedName name="_25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6__FDSAUDITLINK__" localSheetId="3"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13.633070&amp;VAR:V0=13.874247&amp;VAR:V1=11.603751&amp;VAR:Y0=2010&amp;VAR:Y1=2011&amp;VAR:P=1103.323052&amp;VAR:DATE=20100202&amp;VAR:THRESH=||||","||"}</definedName>
    <definedName name="_26__FDSAUDITLINK___1" localSheetId="3"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_1"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_2" localSheetId="3"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__FDSAUDITLINK___2" hidden="1">{"fdsup://directions/FAT Viewer?action=UPDATE&amp;creator=factset&amp;DYN_ARGS=TRUE&amp;DOC_NAME=FAT:FQL_AUDITING_CLIENT_TEMPLATE.FAT&amp;display_string=Audit&amp;VAR:KEY=ODONEVYNGP&amp;VAR:QUERY=RkZfU0hMRFJTX0VRKEFOTiwwKQ==&amp;WINDOW=FIRST_POPUP&amp;HEIGHT=450&amp;WIDTH=450&amp;START_MAXIMIZED=","FALSE&amp;VAR:CALENDAR=US&amp;VAR:SYMBOL=MAKO&amp;VAR:INDEX=0"}</definedName>
    <definedName name="_26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1.612415&amp;VAR:P=1&amp;VAR:DATE=20100604"}</definedName>
    <definedName name="_26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1.719501&amp;VAR:P=1&amp;VAR:DATE=20100505"}</definedName>
    <definedName name="_26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1.730992&amp;VAR:P=1&amp;VAR:DATE=20100401"}</definedName>
    <definedName name="_26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1.692202&amp;VAR:P=1&amp;VAR:DATE=20100305"}</definedName>
    <definedName name="_26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1.688553&amp;VAR:P=1&amp;VAR:DATE=20100202"}</definedName>
    <definedName name="_26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7__123Graph_BCHART_111" hidden="1">[2]Menu!$D$24:$M$24</definedName>
    <definedName name="_27__FDSAUDITLINK__"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1.000000&amp;VAR:V=14.251457&amp;VAR:V0=18.282748&amp;VAR:V1=14.251457&amp;VAR:Y0=2009&amp;VAR:Y1=2010&amp;VAR:P=1115.102681&amp;VAR:DATE=20091231&amp;VAR:THRESH=||||","||"}</definedName>
    <definedName name="_27__FDSAUDITLINK___1"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_1"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_2" localSheetId="3"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__FDSAUDITLINK___2" hidden="1">{"fdsup://directions/FAT Viewer?action=UPDATE&amp;creator=factset&amp;DYN_ARGS=TRUE&amp;DOC_NAME=FAT:FQL_AUDITING_CLIENT_TEMPLATE.FAT&amp;display_string=Audit&amp;VAR:KEY=CJSFYZMLYV&amp;VAR:QUERY=RkZfREVCVChBTk4sMCk=&amp;WINDOW=FIRST_POPUP&amp;HEIGHT=450&amp;WIDTH=450&amp;START_MAXIMIZED=FALSE&amp;VA","R:CALENDAR=US&amp;VAR:SYMBOL=MAKO&amp;VAR:INDEX=0"}</definedName>
    <definedName name="_27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1.708889&amp;VAR:P=1&amp;VAR:DATE=20091231"}</definedName>
    <definedName name="_27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1.682223&amp;VAR:P=1&amp;VAR:DATE=20091203"}</definedName>
    <definedName name="_27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1.542028&amp;VAR:P=1&amp;VAR:DATE=20091103"}</definedName>
    <definedName name="_27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1.517806&amp;VAR:P=1&amp;VAR:DATE=20091002"}</definedName>
    <definedName name="_27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1.479540&amp;VAR:P=1&amp;VAR:DATE=20090903"}</definedName>
    <definedName name="_27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8__123Graph_BCHART_112" hidden="1">[2]Menu!$D$18:$M$18</definedName>
    <definedName name="_28__FDSAUDITLINK__"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1.000000&amp;VAR:V=14.251457&amp;VAR:V0=18.282748&amp;VAR:V1=14.251457&amp;VAR:Y0=2009&amp;VAR:Y1=2010&amp;VAR:P=1115.102681&amp;VAR:DATE=20091231&amp;VAR:THRESH=||||","||"}</definedName>
    <definedName name="_28__FDSAUDITLINK___1"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_1"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_2"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__FDSAUDITLINK___2"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28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1.424409&amp;VAR:P=1&amp;VAR:DATE=20090804"}</definedName>
    <definedName name="_28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1.326180&amp;VAR:P=1&amp;VAR:DATE=20090702"}</definedName>
    <definedName name="_28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1.370427&amp;VAR:P=1&amp;VAR:DATE=20090604"}</definedName>
    <definedName name="_28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1.247711&amp;VAR:P=1&amp;VAR:DATE=20090504"}</definedName>
    <definedName name="_28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1.192289&amp;VAR:P=1&amp;VAR:DATE=20090403"}</definedName>
    <definedName name="_28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9__123Graph_BCHART_26" hidden="1">[2]Menu!$D$88:$M$88</definedName>
    <definedName name="_29__FDSAUDITLINK__" localSheetId="3"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14.292160&amp;VAR:V0=17.593214&amp;VAR:V1=14.072771&amp;VAR:Y0=2009&amp;VAR:Y1=2010&amp;VAR:P=1099.922226&amp;VAR:DATE=20091203&amp;VAR:THRESH=||||","||"}</definedName>
    <definedName name="_29__FDSAUDITLINK___1" localSheetId="3"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_1"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_2" localSheetId="3"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__FDSAUDITLINK___2" hidden="1">{"fdsup://directions/FAT Viewer?action=UPDATE&amp;creator=factset&amp;DYN_ARGS=TRUE&amp;DOC_NAME=FAT:FQL_AUDITING_CLIENT_TEMPLATE.FAT&amp;display_string=Audit&amp;VAR:KEY=SPIJALOVOX&amp;VAR:QUERY=RkZfU0hMRFJTX0VRKEFOTiwwKQ==&amp;WINDOW=FIRST_POPUP&amp;HEIGHT=450&amp;WIDTH=450&amp;START_MAXIMIZED=","FALSE&amp;VAR:CALENDAR=US&amp;VAR:SYMBOL=BCR&amp;VAR:INDEX=0"}</definedName>
    <definedName name="_29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1.071133&amp;VAR:P=1&amp;VAR:DATE=20090304"}</definedName>
    <definedName name="_29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1.155717&amp;VAR:P=1&amp;VAR:DATE=20090202"}</definedName>
    <definedName name="_29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1.265845&amp;VAR:P=1&amp;VAR:DATE=20090102"}</definedName>
    <definedName name="_29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1.252604&amp;VAR:P=1&amp;VAR:DATE=20081203"}</definedName>
    <definedName name="_29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1.408078&amp;VAR:P=1&amp;VAR:DATE=20081103"}</definedName>
    <definedName name="_29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2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3__FDSAUDITLINK__"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3__FDSAUDITLINK___1"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_1"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_2" localSheetId="3"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__FDSAUDITLINK___2" hidden="1">{"fdsup://directions/FAT Viewer?action=UPDATE&amp;creator=factset&amp;DYN_ARGS=TRUE&amp;DOC_NAME=FAT:FQL_AUDITING_CLIENT_TEMPLATE.FAT&amp;display_string=Audit&amp;VAR:KEY=UNMNIXCVWL&amp;VAR:QUERY=RkZfREVCVChBTk4sMCk=&amp;WINDOW=FIRST_POPUP&amp;HEIGHT=450&amp;WIDTH=450&amp;START_MAXIMIZED=FALSE&amp;VA","R:CALENDAR=US&amp;VAR:SYMBOL=HNSN&amp;VAR:INDEX=0"}</definedName>
    <definedName name="_30__FDSAUDITLINK__"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14.292160&amp;VAR:V0=17.593214&amp;VAR:V1=14.072771&amp;VAR:Y0=2009&amp;VAR:Y1=2010&amp;VAR:P=1099.922226&amp;VAR:DATE=20091203&amp;VAR:THRESH=||||","||"}</definedName>
    <definedName name="_30__FDSAUDITLINK___1"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_1"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_2" localSheetId="3"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__FDSAUDITLINK___2" hidden="1">{"fdsup://directions/FAT Viewer?action=UPDATE&amp;creator=factset&amp;DYN_ARGS=TRUE&amp;DOC_NAME=FAT:FQL_AUDITING_CLIENT_TEMPLATE.FAT&amp;display_string=Audit&amp;VAR:KEY=SJMDUHEBWL&amp;VAR:QUERY=RkZfREVCVChBTk4sMCk=&amp;WINDOW=FIRST_POPUP&amp;HEIGHT=450&amp;WIDTH=450&amp;START_MAXIMIZED=FALSE&amp;VA","R:CALENDAR=US&amp;VAR:SYMBOL=BCR&amp;VAR:INDEX=0"}</definedName>
    <definedName name="_30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3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1.534903&amp;VAR:P=1&amp;VAR:DATE=20081003"}</definedName>
    <definedName name="_30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1.895948&amp;VAR:P=1&amp;VAR:DATE=20080903"}</definedName>
    <definedName name="_30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1.907333&amp;VAR:P=1&amp;VAR:DATE=20080801"}</definedName>
    <definedName name="_30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1.963732&amp;VAR:P=1&amp;VAR:DATE=20080703"}</definedName>
    <definedName name="_30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2.049965&amp;VAR:P=1&amp;VAR:DATE=20080604"}</definedName>
    <definedName name="_30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1__FDSAUDITLINK__"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13.913139&amp;VAR:V0=16.764521&amp;VAR:V1=13.479984&amp;VAR:Y0=2009&amp;VAR:Y1=2010&amp;VAR:P=1045.408874&amp;VAR:DATE=20091103&amp;VAR:THRESH=||||","||"}</definedName>
    <definedName name="_31__FDSAUDITLINK___1"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_1"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_2"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__FDSAUDITLINK___2"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1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2.153406&amp;VAR:P=1&amp;VAR:DATE=20080502"}</definedName>
    <definedName name="_31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2.089191&amp;VAR:P=1&amp;VAR:DATE=20080404"}</definedName>
    <definedName name="_31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2.021046&amp;VAR:P=1&amp;VAR:DATE=20080304"}</definedName>
    <definedName name="_31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2.092343&amp;VAR:P=1&amp;VAR:DATE=20080201"}</definedName>
    <definedName name="_31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2.218586&amp;VAR:P=1&amp;VAR:DATE=20080103"}</definedName>
    <definedName name="_31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2__FDSAUDITLINK__" localSheetId="3"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13.913139&amp;VAR:V0=16.764521&amp;VAR:V1=13.479984&amp;VAR:Y0=2009&amp;VAR:Y1=2010&amp;VAR:P=1045.408874&amp;VAR:DATE=20091103&amp;VAR:THRESH=||||","||"}</definedName>
    <definedName name="_32__FDSAUDITLINK___1" localSheetId="3"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_1"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_2" localSheetId="3"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__FDSAUDITLINK___2" hidden="1">{"fdsup://directions/FAT Viewer?action=UPDATE&amp;creator=factset&amp;DYN_ARGS=TRUE&amp;DOC_NAME=FAT:FQL_AUDITING_CLIENT_TEMPLATE.FAT&amp;display_string=Audit&amp;VAR:KEY=SBADOJWLUZ&amp;VAR:QUERY=RkZfU0hMRFJTX0VRKEFOTiwwKQ==&amp;WINDOW=FIRST_POPUP&amp;HEIGHT=450&amp;WIDTH=450&amp;START_MAXIMIZED=","FALSE&amp;VAR:CALENDAR=US&amp;VAR:SYMBOL=EW&amp;VAR:INDEX=0"}</definedName>
    <definedName name="_32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2.218348&amp;VAR:P=1&amp;VAR:DATE=20071204"}</definedName>
    <definedName name="_32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2.305240&amp;VAR:P=1&amp;VAR:DATE=20071102"}</definedName>
    <definedName name="_32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2.306122&amp;VAR:P=1&amp;VAR:DATE=20071004"}</definedName>
    <definedName name="_32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2.252037&amp;VAR:P=1&amp;VAR:DATE=20070904"}</definedName>
    <definedName name="_32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2.207110&amp;VAR:P=1&amp;VAR:DATE=20070803"}</definedName>
    <definedName name="_32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3__FDSAUDITLINK__"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0.753425&amp;VAR:V=14.257408&amp;VAR:V0=16.997943&amp;VAR:V1=13.542816&amp;VAR:Y0=2009&amp;VAR:Y1=2010&amp;VAR:P=1025.210463&amp;VAR:DATE=20091002&amp;VAR:THRESH=||||","||"}</definedName>
    <definedName name="_33__FDSAUDITLINK___1"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_1"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_2" localSheetId="3"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__FDSAUDITLINK___2" hidden="1">{"fdsup://directions/FAT Viewer?action=UPDATE&amp;creator=factset&amp;DYN_ARGS=TRUE&amp;DOC_NAME=FAT:FQL_AUDITING_CLIENT_TEMPLATE.FAT&amp;display_string=Audit&amp;VAR:KEY=UZUJEHQVMN&amp;VAR:QUERY=RkZfREVCVChBTk4sMCk=&amp;WINDOW=FIRST_POPUP&amp;HEIGHT=450&amp;WIDTH=450&amp;START_MAXIMIZED=FALSE&amp;VA","R:CALENDAR=US&amp;VAR:SYMBOL=EW&amp;VAR:INDEX=0"}</definedName>
    <definedName name="_33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2.275805&amp;VAR:P=1&amp;VAR:DATE=20070705"}</definedName>
    <definedName name="_33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2.283741&amp;VAR:P=1&amp;VAR:DATE=20070604"}</definedName>
    <definedName name="_33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2.243829&amp;VAR:P=1&amp;VAR:DATE=20070504"}</definedName>
    <definedName name="_33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2.137900&amp;VAR:P=1&amp;VAR:DATE=20070404"}</definedName>
    <definedName name="_33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2.067120&amp;VAR:P=1&amp;VAR:DATE=20070305"}</definedName>
    <definedName name="_33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4__FDSAUDITLINK__"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0.753425&amp;VAR:V=14.257408&amp;VAR:V0=16.997943&amp;VAR:V1=13.542816&amp;VAR:Y0=2009&amp;VAR:Y1=2010&amp;VAR:P=1025.210463&amp;VAR:DATE=20091002&amp;VAR:THRESH=||||","||"}</definedName>
    <definedName name="_34__FDSAUDITLINK___1"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_1"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_2"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__FDSAUDITLINK___2"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4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2.131472&amp;VAR:P=1&amp;VAR:DATE=20070202"}</definedName>
    <definedName name="_34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2.136717&amp;VAR:P=1&amp;VAR:DATE=20070103"}</definedName>
    <definedName name="_34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2.148462&amp;VAR:P=1&amp;VAR:DATE=20061204"}</definedName>
    <definedName name="_34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2.124881&amp;VAR:P=1&amp;VAR:DATE=20061103"}</definedName>
    <definedName name="_34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2.067889&amp;VAR:P=1&amp;VAR:DATE=20061004"}</definedName>
    <definedName name="_34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5__123Graph_Bｸﾞﾗﾌ_1" hidden="1">[4]ｾｸﾞﾒﾝﾄ!$E$165:$I$165</definedName>
    <definedName name="_35__FDSAUDITLINK__" localSheetId="3"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14.230549&amp;VAR:V0=16.643009&amp;VAR:V1=13.298091&amp;VAR:Y0=2009&amp;VAR:Y1=2010&amp;VAR:P=1003.238385&amp;VAR:DATE=20090903&amp;VAR:THRESH=||||","||"}</definedName>
    <definedName name="_35__FDSAUDITLINK___1" localSheetId="3"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_1"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_2" localSheetId="3"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__FDSAUDITLINK___2" hidden="1">{"fdsup://directions/FAT Viewer?action=UPDATE&amp;creator=factset&amp;DYN_ARGS=TRUE&amp;DOC_NAME=FAT:FQL_AUDITING_CLIENT_TEMPLATE.FAT&amp;display_string=Audit&amp;VAR:KEY=WPWDABQVWF&amp;VAR:QUERY=RkZfU0hMRFJTX0VRKEFOTiwwKQ==&amp;WINDOW=FIRST_POPUP&amp;HEIGHT=450&amp;WIDTH=450&amp;START_MAXIMIZED=","FALSE&amp;VAR:CALENDAR=US&amp;VAR:SYMBOL=BSX&amp;VAR:INDEX=0"}</definedName>
    <definedName name="_35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2.030998&amp;VAR:P=1&amp;VAR:DATE=20060901"}</definedName>
    <definedName name="_35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2.076629&amp;VAR:P=1&amp;VAR:DATE=20060804"}</definedName>
    <definedName name="_35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2.095197&amp;VAR:P=1&amp;VAR:DATE=20060703"}</definedName>
    <definedName name="_35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2.104047&amp;VAR:P=1&amp;VAR:DATE=20060602"}</definedName>
    <definedName name="_35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2.150036&amp;VAR:P=1&amp;VAR:DATE=20060505"}</definedName>
    <definedName name="_35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6__123Graph_CCHART_111" hidden="1">[2]Menu!$D$25:$M$25</definedName>
    <definedName name="_36__FDSAUDITLINK__"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0.673973&amp;VAR:V=14.230549&amp;VAR:V0=16.643009&amp;VAR:V1=13.298091&amp;VAR:Y0=2009&amp;VAR:Y1=2010&amp;VAR:P=1003.238385&amp;VAR:DATE=20090903&amp;VAR:THRESH=||||","||"}</definedName>
    <definedName name="_36__FDSAUDITLINK___1"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_1"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_2" localSheetId="3"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__FDSAUDITLINK___2" hidden="1">{"fdsup://directions/FAT Viewer?action=UPDATE&amp;creator=factset&amp;DYN_ARGS=TRUE&amp;DOC_NAME=FAT:FQL_AUDITING_CLIENT_TEMPLATE.FAT&amp;display_string=Audit&amp;VAR:KEY=SPEJQTEBEN&amp;VAR:QUERY=RkZfREVCVChBTk4sMCk=&amp;WINDOW=FIRST_POPUP&amp;HEIGHT=450&amp;WIDTH=450&amp;START_MAXIMIZED=FALSE&amp;VA","R:CALENDAR=US&amp;VAR:SYMBOL=BSX&amp;VAR:INDEX=0"}</definedName>
    <definedName name="_36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2.106068&amp;VAR:P=1&amp;VAR:DATE=20060404"}</definedName>
    <definedName name="_36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2.096924&amp;VAR:P=1&amp;VAR:DATE=20060303"}</definedName>
    <definedName name="_36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2.083735&amp;VAR:P=1&amp;VAR:DATE=20060202"}</definedName>
    <definedName name="_36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2.078322&amp;VAR:P=1&amp;VAR:DATE=20060103"}</definedName>
    <definedName name="_36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2.070017&amp;VAR:P=1&amp;VAR:DATE=20051202"}</definedName>
    <definedName name="_36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7__123Graph_CCHART_112" hidden="1">[2]Menu!$D$19:$M$19</definedName>
    <definedName name="_37__FDSAUDITLINK__"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14.524336&amp;VAR:V0=16.618316&amp;VAR:V1=13.362843&amp;VAR:Y0=2009&amp;VAR:Y1=2010&amp;VAR:P=1005.647437&amp;VAR:DATE=20090804&amp;VAR:THRESH=||||","||"}</definedName>
    <definedName name="_37__FDSAUDITLINK___1"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_1"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_2"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__FDSAUDITLINK___2"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7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2.050054&amp;VAR:P=1&amp;VAR:DATE=20051103"}</definedName>
    <definedName name="_37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2.037205&amp;VAR:P=1&amp;VAR:DATE=20051004"}</definedName>
    <definedName name="_37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2.044522&amp;VAR:P=1&amp;VAR:DATE=20050902"}</definedName>
    <definedName name="_37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2.129833&amp;VAR:P=1&amp;VAR:DATE=20050804"}</definedName>
    <definedName name="_37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2.078921&amp;VAR:P=1&amp;VAR:DATE=20050701"}</definedName>
    <definedName name="_37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8__123Graph_CCHART_26" hidden="1">[2]Menu!$D$92:$M$92</definedName>
    <definedName name="_38__FDSAUDITLINK__" localSheetId="3"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0.591781&amp;VAR:V=14.524336&amp;VAR:V0=16.618316&amp;VAR:V1=13.362843&amp;VAR:Y0=2009&amp;VAR:Y1=2010&amp;VAR:P=1005.647437&amp;VAR:DATE=20090804&amp;VAR:THRESH=||||","||"}</definedName>
    <definedName name="_38__FDSAUDITLINK___1" localSheetId="3"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_1"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_2" localSheetId="3"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__FDSAUDITLINK___2" hidden="1">{"fdsup://directions/FAT Viewer?action=UPDATE&amp;creator=factset&amp;DYN_ARGS=TRUE&amp;DOC_NAME=FAT:FQL_AUDITING_CLIENT_TEMPLATE.FAT&amp;display_string=Audit&amp;VAR:KEY=QBGRYJGXCZ&amp;VAR:QUERY=RkZfU0hMRFJTX0VRKEFOTiwwKQ==&amp;WINDOW=FIRST_POPUP&amp;HEIGHT=450&amp;WIDTH=450&amp;START_MAXIMIZED=","FALSE&amp;VAR:CALENDAR=US&amp;VAR:SYMBOL=BDX&amp;VAR:INDEX=0"}</definedName>
    <definedName name="_38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2.091983&amp;VAR:P=1&amp;VAR:DATE=20050603"}</definedName>
    <definedName name="_38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2.115283&amp;VAR:P=1&amp;VAR:DATE=20050504"}</definedName>
    <definedName name="_38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2.099748&amp;VAR:P=1&amp;VAR:DATE=20050404"}</definedName>
    <definedName name="_38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2.139575&amp;VAR:P=1&amp;VAR:DATE=20050304"}</definedName>
    <definedName name="_38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2.137896&amp;VAR:P=1&amp;VAR:DATE=20050202"}</definedName>
    <definedName name="_38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9__123Graph_CCHART_30" hidden="1">[2]Menu!$D$12:$M$12</definedName>
    <definedName name="_39__FDSAUDITLINK__"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13.383225&amp;VAR:V0=15.113260&amp;VAR:V1=12.015331&amp;VAR:Y0=2009&amp;VAR:Y1=2010&amp;VAR:P=896.423078&amp;VAR:DATE=20090702&amp;VAR:THRESH=|||||","|"}</definedName>
    <definedName name="_39__FDSAUDITLINK___1"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_1"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_2" localSheetId="3"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__FDSAUDITLINK___2" hidden="1">{"fdsup://directions/FAT Viewer?action=UPDATE&amp;creator=factset&amp;DYN_ARGS=TRUE&amp;DOC_NAME=FAT:FQL_AUDITING_CLIENT_TEMPLATE.FAT&amp;display_string=Audit&amp;VAR:KEY=SVATOJKTWJ&amp;VAR:QUERY=RkZfREVCVChBTk4sMCk=&amp;WINDOW=FIRST_POPUP&amp;HEIGHT=450&amp;WIDTH=450&amp;START_MAXIMIZED=FALSE&amp;VA","R:CALENDAR=US&amp;VAR:SYMBOL=BDX&amp;VAR:INDEX=0"}</definedName>
    <definedName name="_39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2.166928&amp;VAR:P=1&amp;VAR:DATE=20050103"}</definedName>
    <definedName name="_39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2.156842&amp;VAR:P=1&amp;VAR:DATE=20041203"}</definedName>
    <definedName name="_39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2.115481&amp;VAR:P=1&amp;VAR:DATE=20041103"}</definedName>
    <definedName name="_39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2.093233&amp;VAR:P=1&amp;VAR:DATE=20041001"}</definedName>
    <definedName name="_39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2.076150&amp;VAR:P=1&amp;VAR:DATE=20040903"}</definedName>
    <definedName name="_39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3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4__FDSAUDITLINK__"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 hidden="1">{"fdsup://directions/FAT Viewer?action=UPDATE&amp;creator=factset&amp;DYN_ARGS=TRUE&amp;DOC_NAME=FAT:FQL_AUDITING_CLIENT_TEMPLATE.FAT&amp;display_string=Audit&amp;VAR:KEY=CPCRGJOXSD&amp;VAR:QUERY=Q1NGX0VOVFJQUl9WQUwoQU5OLDAsLCwsVVNEKQ==&amp;WINDOW=FIRST_POPUP&amp;HEIGHT=450&amp;WIDTH=450&amp;STAR","T_MAXIMIZED=FALSE&amp;VAR:CALENDAR=US&amp;VAR:SYMBOL=HRC&amp;VAR:INDEX=0"}</definedName>
    <definedName name="_4__FDSAUDITLINK___1"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_1"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_2"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__FDSAUDITLINK___2"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40__FDSAUDITLINK__"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0.501370&amp;VAR:V=13.383225&amp;VAR:V0=15.113260&amp;VAR:V1=12.015331&amp;VAR:Y0=2009&amp;VAR:Y1=2010&amp;VAR:P=896.423078&amp;VAR:DATE=20090702&amp;VAR:THRESH=|||||","|"}</definedName>
    <definedName name="_40__FDSAUDITLINK___1"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_1"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_2"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__FDSAUDITLINK___2"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0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4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2.134202&amp;VAR:P=1&amp;VAR:DATE=20040803"}</definedName>
    <definedName name="_40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2.170779&amp;VAR:P=1&amp;VAR:DATE=20040702"}</definedName>
    <definedName name="_40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2.174230&amp;VAR:P=1&amp;VAR:DATE=20040604"}</definedName>
    <definedName name="_40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2.191797&amp;VAR:P=1&amp;VAR:DATE=20040504"}</definedName>
    <definedName name="_40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2.216448&amp;VAR:P=1&amp;VAR:DATE=20040402"}</definedName>
    <definedName name="_40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1__FDSAUDITLINK__" localSheetId="3"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14.327608&amp;VAR:V0=15.860658&amp;VAR:V1=12.668591&amp;VAR:Y0=2009&amp;VAR:Y1=2010&amp;VAR:P=942.463847&amp;VAR:DATE=20090604&amp;VAR:THRESH=|||||","|"}</definedName>
    <definedName name="_41__FDSAUDITLINK___1" localSheetId="3"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_1"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_2" localSheetId="3"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__FDSAUDITLINK___2" hidden="1">{"fdsup://directions/FAT Viewer?action=UPDATE&amp;creator=factset&amp;DYN_ARGS=TRUE&amp;DOC_NAME=FAT:FQL_AUDITING_CLIENT_TEMPLATE.FAT&amp;display_string=Audit&amp;VAR:KEY=AZQJQZGTYH&amp;VAR:QUERY=RkZfU0hMRFJTX0VRKEFOTiwwKQ==&amp;WINDOW=FIRST_POPUP&amp;HEIGHT=450&amp;WIDTH=450&amp;START_MAXIMIZED=","FALSE&amp;VAR:CALENDAR=US&amp;VAR:SYMBOL=JNJ&amp;VAR:INDEX=0"}</definedName>
    <definedName name="_41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2.236377&amp;VAR:P=1&amp;VAR:DATE=20040304"}</definedName>
    <definedName name="_41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2.210385&amp;VAR:P=1&amp;VAR:DATE=20040203"}</definedName>
    <definedName name="_41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2.187893&amp;VAR:P=1&amp;VAR:DATE=20040102"}</definedName>
    <definedName name="_41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2.145169&amp;VAR:P=1&amp;VAR:DATE=20031204"}</definedName>
    <definedName name="_41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2.158971&amp;VAR:P=1&amp;VAR:DATE=20031103"}</definedName>
    <definedName name="_41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2__FDSAUDITLINK__"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14.327608&amp;VAR:V0=15.860658&amp;VAR:V1=12.668591&amp;VAR:Y0=2009&amp;VAR:Y1=2010&amp;VAR:P=942.463847&amp;VAR:DATE=20090604&amp;VAR:THRESH=|||||","|"}</definedName>
    <definedName name="_42__FDSAUDITLINK___1"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_1"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_2" localSheetId="3"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__FDSAUDITLINK___2" hidden="1">{"fdsup://directions/FAT Viewer?action=UPDATE&amp;creator=factset&amp;DYN_ARGS=TRUE&amp;DOC_NAME=FAT:FQL_AUDITING_CLIENT_TEMPLATE.FAT&amp;display_string=Audit&amp;VAR:KEY=ATYJWJEXOT&amp;VAR:QUERY=RkZfREVCVChBTk4sMCk=&amp;WINDOW=FIRST_POPUP&amp;HEIGHT=450&amp;WIDTH=450&amp;START_MAXIMIZED=FALSE&amp;VA","R:CALENDAR=US&amp;VAR:SYMBOL=JNJ&amp;VAR:INDEX=0"}</definedName>
    <definedName name="_42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2.127007&amp;VAR:P=1&amp;VAR:DATE=20031003"}</definedName>
    <definedName name="_42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2.137612&amp;VAR:P=1&amp;VAR:DATE=20030904"}</definedName>
    <definedName name="_42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2.062344&amp;VAR:P=1&amp;VAR:DATE=20030804"}</definedName>
    <definedName name="_42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2.063665&amp;VAR:P=1&amp;VAR:DATE=20030703"}</definedName>
    <definedName name="_42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2.075626&amp;VAR:P=1&amp;VAR:DATE=20030604"}</definedName>
    <definedName name="_42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3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14.271033&amp;VAR:V0=15.568225&amp;VAR:V1=12.282048&amp;VAR:Y0=2009&amp;VAR:Y1=2010&amp;VAR:P=907.237535&amp;VAR:DATE=20090504&amp;VAR:THRESH=|||||","|"}</definedName>
    <definedName name="_43__FDSAUDITLINK___1"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_2"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3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2.063878&amp;VAR:P=1&amp;VAR:DATE=20030505"}</definedName>
    <definedName name="_43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1.990979&amp;VAR:P=1&amp;VAR:DATE=20030404"}</definedName>
    <definedName name="_43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1.923928&amp;VAR:P=1&amp;VAR:DATE=20030305"}</definedName>
    <definedName name="_43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1.897963&amp;VAR:P=1&amp;VAR:DATE=20030203"}</definedName>
    <definedName name="_43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1.973074&amp;VAR:P=1&amp;VAR:DATE=20030103"}</definedName>
    <definedName name="_43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4__123Graph_DCHART_112" hidden="1">[2]Menu!$D$16:$M$16</definedName>
    <definedName name="_44__FDSAUDITLINK__"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14.271033&amp;VAR:V0=15.568225&amp;VAR:V1=12.282048&amp;VAR:Y0=2009&amp;VAR:Y1=2010&amp;VAR:P=907.237535&amp;VAR:DATE=20090504&amp;VAR:THRESH=|||||","|"}</definedName>
    <definedName name="_44__FDSAUDITLINK___1"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_1"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_2"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__FDSAUDITLINK___2"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44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1.996697&amp;VAR:P=1&amp;VAR:DATE=20021204"}</definedName>
    <definedName name="_44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1.958286&amp;VAR:P=1&amp;VAR:DATE=20021101"}</definedName>
    <definedName name="_44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1.836557&amp;VAR:P=1&amp;VAR:DATE=20021004"}</definedName>
    <definedName name="_44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1.935345&amp;VAR:P=1&amp;VAR:DATE=20020903"}</definedName>
    <definedName name="_44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1.915557&amp;VAR:P=1&amp;VAR:DATE=20020802"}</definedName>
    <definedName name="_44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5__123Graph_Dｸﾞﾗﾌ_1" hidden="1">[4]ｾｸﾞﾒﾝﾄ!$E$167:$I$167</definedName>
    <definedName name="_45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0.254795&amp;VAR:V=13.082001&amp;VAR:V0=13.942891&amp;VAR:V1=11.080952&amp;VAR:Y0=2009&amp;VAR:Y1=2010&amp;VAR:P=842.500407&amp;VAR:DATE=20090403&amp;VAR:THRESH=|||||","|"}</definedName>
    <definedName name="_45__FDSAUDITLINK___1"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_2"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45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1.982351&amp;VAR:P=1&amp;VAR:DATE=20020703"}</definedName>
    <definedName name="_45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2.107189&amp;VAR:P=1&amp;VAR:DATE=20020604"}</definedName>
    <definedName name="_45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1.999840&amp;VAR:P=1&amp;VAR:DATE=20020503"}</definedName>
    <definedName name="_45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2.074337&amp;VAR:P=1&amp;VAR:DATE=20020404"}</definedName>
    <definedName name="_45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2.111153&amp;VAR:P=1&amp;VAR:DATE=20020305"}</definedName>
    <definedName name="_45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6__FDSAUDITLINK__"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0.254795&amp;VAR:V=13.082001&amp;VAR:V0=13.942891&amp;VAR:V1=11.080952&amp;VAR:Y0=2009&amp;VAR:Y1=2010&amp;VAR:P=842.500407&amp;VAR:DATE=20090403&amp;VAR:THRESH=|||||","|"}</definedName>
    <definedName name="_46__FDSAUDITLINK___1"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_1"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_2"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__FDSAUDITLINK___2"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6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2.120246&amp;VAR:P=1&amp;VAR:DATE=20020201"}</definedName>
    <definedName name="_46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2.172005&amp;VAR:P=1&amp;VAR:DATE=20020103"}</definedName>
    <definedName name="_46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2.123356&amp;VAR:P=1&amp;VAR:DATE=20011203"}</definedName>
    <definedName name="_46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2.010908&amp;VAR:P=1&amp;VAR:DATE=20011102"}</definedName>
    <definedName name="_46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1.957145&amp;VAR:P=1&amp;VAR:DATE=20011004"}</definedName>
    <definedName name="_46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7__FDSAUDITLINK__" localSheetId="3"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10.807509&amp;VAR:V0=11.293009&amp;VAR:V1=8.960820&amp;VAR:Y0=2009&amp;VAR:Y1=2010&amp;VAR:P=712.865752&amp;VAR:DATE=20090304&amp;VAR:THRESH=||||||"}</definedName>
    <definedName name="_47__FDSAUDITLINK___1" localSheetId="3"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_1"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_2" localSheetId="3"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__FDSAUDITLINK___2" hidden="1">{"fdsup://directions/FAT Viewer?action=UPDATE&amp;creator=factset&amp;DYN_ARGS=TRUE&amp;DOC_NAME=FAT:FQL_AUDITING_CLIENT_TEMPLATE.FAT&amp;display_string=Audit&amp;VAR:KEY=QJQXAFAHUH&amp;VAR:QUERY=RkZfU0hMRFJTX0VRKEFOTiwwKQ==&amp;WINDOW=FIRST_POPUP&amp;HEIGHT=450&amp;WIDTH=450&amp;START_MAXIMIZED=","FALSE&amp;VAR:CALENDAR=US&amp;VAR:SYMBOL=GRFS&amp;VAR:INDEX=0"}</definedName>
    <definedName name="_47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2.035535&amp;VAR:P=1&amp;VAR:DATE=20010831"}</definedName>
    <definedName name="_47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2.190282&amp;VAR:P=1&amp;VAR:DATE=20010803"}</definedName>
    <definedName name="_47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2.212685&amp;VAR:P=1&amp;VAR:DATE=20010703"}</definedName>
    <definedName name="_47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2.267329&amp;VAR:P=1&amp;VAR:DATE=20010604"}</definedName>
    <definedName name="_47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2.311696&amp;VAR:P=1&amp;VAR:DATE=20010504"}</definedName>
    <definedName name="_47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8__FDSAUDITLINK__"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0.172603&amp;VAR:V=10.807509&amp;VAR:V0=11.293009&amp;VAR:V1=8.960820&amp;VAR:Y0=2009&amp;VAR:Y1=2010&amp;VAR:P=712.865752&amp;VAR:DATE=20090304&amp;VAR:THRESH=||||||"}</definedName>
    <definedName name="_48__FDSAUDITLINK___1"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_1"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_2" localSheetId="3"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__FDSAUDITLINK___2" hidden="1">{"fdsup://directions/FAT Viewer?action=UPDATE&amp;creator=factset&amp;DYN_ARGS=TRUE&amp;DOC_NAME=FAT:FQL_AUDITING_CLIENT_TEMPLATE.FAT&amp;display_string=Audit&amp;VAR:KEY=ODYTGVKRIB&amp;VAR:QUERY=RkZfREVCVChBTk4sMCk=&amp;WINDOW=FIRST_POPUP&amp;HEIGHT=450&amp;WIDTH=450&amp;START_MAXIMIZED=FALSE&amp;VA","R:CALENDAR=US&amp;VAR:SYMBOL=GRFS&amp;VAR:INDEX=0"}</definedName>
    <definedName name="_48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2.090174&amp;VAR:P=1&amp;VAR:DATE=20010404"}</definedName>
    <definedName name="_48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2.271824&amp;VAR:P=1&amp;VAR:DATE=20010302"}</definedName>
    <definedName name="_48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SALES&amp;VAR:MEASURE=EVSALES&amp;VAR:NULL=.HTML&amp;VAR:PED=LTM&amp;VAR:PERIOD=FIXED&amp;VAR:THRESH=-|-|-|-|-|-&amp;VAR:PCT=N&amp;VAR:V=2.441691&amp;VAR:P=1&amp;VAR:DATE=20010202"}</definedName>
    <definedName name="_48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1.253723&amp;VAR:V0=1.267823&amp;VAR:V1=1.116454&amp;VAR:Y0=2011&amp;VAR:Y1=2012&amp;VAR:P=1302.260000&amp;VAR:DATE=20110203&amp;VAR:THRESH=|||||","|"}</definedName>
    <definedName name="_48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1.249834&amp;VAR:V0=1.251055&amp;VAR:V1=1.102536&amp;VAR:Y0=2011&amp;VAR:Y1=2012&amp;VAR:P=1271.869879&amp;VAR:DATE=20110103&amp;VAR:THRESH=|||||","|"}</definedName>
    <definedName name="_48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9__FDSAUDITLINK__"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12.224827&amp;VAR:V0=12.524139&amp;VAR:V1=9.855263&amp;VAR:Y0=2009&amp;VAR:Y1=2010&amp;VAR:P=825.437231&amp;VAR:DATE=20090202&amp;VAR:THRESH=||||||"}</definedName>
    <definedName name="_49__FDSAUDITLINK___1"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_1"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_2"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__FDSAUDITLINK___2"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49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1.220185&amp;VAR:V0=1.366058&amp;VAR:V1=1.208066&amp;VAR:Y0=2010&amp;VAR:Y1=2011&amp;VAR:P=1224.707723&amp;VAR:DATE=20101203&amp;VAR:THRESH=|||||","|"}</definedName>
    <definedName name="_49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1.225373&amp;VAR:V0=1.358159&amp;VAR:V1=1.200286&amp;VAR:Y0=2010&amp;VAR:Y1=2011&amp;VAR:P=1197.961445&amp;VAR:DATE=20101103&amp;VAR:THRESH=|||||","|"}</definedName>
    <definedName name="_49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1.168873&amp;VAR:V0=1.292682&amp;VAR:V1=1.129540&amp;VAR:Y0=2010&amp;VAR:Y1=2011&amp;VAR:P=1137.033723&amp;VAR:DATE=20101004&amp;VAR:THRESH=|||||","|"}</definedName>
    <definedName name="_49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1.160686&amp;VAR:V0=1.270029&amp;VAR:V1=1.107792&amp;VAR:Y0=2010&amp;VAR:Y1=2011&amp;VAR:P=1104.506616&amp;VAR:DATE=20100903&amp;VAR:THRESH=|||||","|"}</definedName>
    <definedName name="_49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1.185211&amp;VAR:V0=1.286107&amp;VAR:V1=1.115612&amp;VAR:Y0=2010&amp;VAR:Y1=2011&amp;VAR:P=1127.239110&amp;VAR:DATE=20100804&amp;VAR:THRESH=|||||","|"}</definedName>
    <definedName name="_49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4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5__FDSAUDITLINK__" localSheetId="3"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12.908797&amp;VAR:V0=14.467518&amp;VAR:V1=12.794267&amp;VAR:Y0=2010&amp;VAR:Y1=2011&amp;VAR:P=1224.707723&amp;VAR:DATE=20101203&amp;VAR:THRESH=||||","||"}</definedName>
    <definedName name="_5__FDSAUDITLINK___1" localSheetId="3"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_1"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_2" localSheetId="3"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__FDSAUDITLINK___2" hidden="1">{"fdsup://directions/FAT Viewer?action=UPDATE&amp;creator=factset&amp;DYN_ARGS=TRUE&amp;DOC_NAME=FAT:FQL_AUDITING_CLIENT_TEMPLATE.FAT&amp;display_string=Audit&amp;VAR:KEY=CZONIFIPEV&amp;VAR:QUERY=RkZfU0hMRFJTX0VRKEFOTiwwKQ==&amp;WINDOW=FIRST_POPUP&amp;HEIGHT=450&amp;WIDTH=450&amp;START_MAXIMIZED=","FALSE&amp;VAR:CALENDAR=US&amp;VAR:SYMBOL=HAE&amp;VAR:INDEX=0"}</definedName>
    <definedName name="_50__FDSAUDITLINK__" localSheetId="3"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12.224827&amp;VAR:V0=12.524139&amp;VAR:V1=9.855263&amp;VAR:Y0=2009&amp;VAR:Y1=2010&amp;VAR:P=825.437231&amp;VAR:DATE=20090202&amp;VAR:THRESH=||||||"}</definedName>
    <definedName name="_50__FDSAUDITLINK___1" localSheetId="3"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_1"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_2" localSheetId="3"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__FDSAUDITLINK___2" hidden="1">{"fdsup://directions/FAT Viewer?action=UPDATE&amp;creator=factset&amp;DYN_ARGS=TRUE&amp;DOC_NAME=FAT:FQL_AUDITING_CLIENT_TEMPLATE.FAT&amp;display_string=Audit&amp;VAR:KEY=WFGRSLKHUJ&amp;VAR:QUERY=RkZfU0hMRFJTX0VRKEFOTiwwKQ==&amp;WINDOW=FIRST_POPUP&amp;HEIGHT=450&amp;WIDTH=450&amp;START_MAXIMIZED=","FALSE&amp;VAR:CALENDAR=US&amp;VAR:SYMBOL=SYK&amp;VAR:INDEX=0"}</definedName>
    <definedName name="_50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5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1.102366&amp;VAR:V0=1.192629&amp;VAR:V1=1.012597&amp;VAR:Y0=2010&amp;VAR:Y1=2011&amp;VAR:P=1022.582975&amp;VAR:DATE=20100702&amp;VAR:THRESH=|||||","|"}</definedName>
    <definedName name="_50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1.153826&amp;VAR:V0=1.231260&amp;VAR:V1=1.048915&amp;VAR:Y0=2010&amp;VAR:Y1=2011&amp;VAR:P=1064.875042&amp;VAR:DATE=20100604&amp;VAR:THRESH=|||||","|"}</definedName>
    <definedName name="_50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1.290956&amp;VAR:V0=1.360144&amp;VAR:V1=1.158114&amp;VAR:Y0=2010&amp;VAR:Y1=2011&amp;VAR:P=1165.897009&amp;VAR:DATE=20100505&amp;VAR:THRESH=|||||","|"}</definedName>
    <definedName name="_50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0.249315&amp;VAR:V=1.387347&amp;VAR:V0=1.446722&amp;VAR:V1=1.208571&amp;VAR:Y0=2010&amp;VAR:Y1=2011&amp;VAR:P=1178.102625&amp;VAR:DATE=20100401&amp;VAR:THRESH=|||||","|"}</definedName>
    <definedName name="_50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1.350432&amp;VAR:V0=1.390180&amp;VAR:V1=1.163493&amp;VAR:Y0=2010&amp;VAR:Y1=2011&amp;VAR:P=1138.698076&amp;VAR:DATE=20100305&amp;VAR:THRESH=|||||","|"}</definedName>
    <definedName name="_50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1__FDSAUDITLINK__"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0.005479&amp;VAR:V=12.050607&amp;VAR:V0=12.063590&amp;VAR:V1=10.081315&amp;VAR:Y0=2009&amp;VAR:Y1=2010&amp;VAR:P=931.800806&amp;VAR:DATE=20090102&amp;VAR:THRESH=|||||","|"}</definedName>
    <definedName name="_51__FDSAUDITLINK___1"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_1"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_2" localSheetId="3"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__FDSAUDITLINK___2" hidden="1">{"fdsup://directions/FAT Viewer?action=UPDATE&amp;creator=factset&amp;DYN_ARGS=TRUE&amp;DOC_NAME=FAT:FQL_AUDITING_CLIENT_TEMPLATE.FAT&amp;display_string=Audit&amp;VAR:KEY=GNIPCHATSZ&amp;VAR:QUERY=RkZfREVCVChBTk4sMCk=&amp;WINDOW=FIRST_POPUP&amp;HEIGHT=450&amp;WIDTH=450&amp;START_MAXIMIZED=FALSE&amp;VA","R:CALENDAR=US&amp;VAR:SYMBOL=SYK&amp;VAR:INDEX=0"}</definedName>
    <definedName name="_51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1.331729&amp;VAR:V0=1.351729&amp;VAR:V1=1.130521&amp;VAR:Y0=2010&amp;VAR:Y1=2011&amp;VAR:P=1103.323052&amp;VAR:DATE=20100202&amp;VAR:THRESH=|||||","|"}</definedName>
    <definedName name="_51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1.000000&amp;VAR:V=1.380813&amp;VAR:V0=1.771401&amp;VAR:V1=1.380813&amp;VAR:Y0=2009&amp;VAR:Y1=2010&amp;VAR:P=1115.102681&amp;VAR:DATE=20091231&amp;VAR:THRESH=|||||","|"}</definedName>
    <definedName name="_51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0.923288&amp;VAR:V=1.401115&amp;VAR:V0=1.718636&amp;VAR:V1=1.374733&amp;VAR:Y0=2009&amp;VAR:Y1=2010&amp;VAR:P=1099.922226&amp;VAR:DATE=20091203&amp;VAR:THRESH=|||||","|"}</definedName>
    <definedName name="_51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1.362520&amp;VAR:V0=1.631348&amp;VAR:V1=1.311731&amp;VAR:Y0=2009&amp;VAR:Y1=2010&amp;VAR:P=1045.408874&amp;VAR:DATE=20091103&amp;VAR:THRESH=|||||","|"}</definedName>
    <definedName name="_51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0.753425&amp;VAR:V=1.420560&amp;VAR:V0=1.677457&amp;VAR:V1=1.336485&amp;VAR:Y0=2009&amp;VAR:Y1=2010&amp;VAR:P=1025.210463&amp;VAR:DATE=20091002&amp;VAR:THRESH=|||||","|"}</definedName>
    <definedName name="_51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2__FDSAUDITLINK__"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0.005479&amp;VAR:V=12.050607&amp;VAR:V0=12.063590&amp;VAR:V1=10.081315&amp;VAR:Y0=2009&amp;VAR:Y1=2010&amp;VAR:P=931.800806&amp;VAR:DATE=20090102&amp;VAR:THRESH=|||||","|"}</definedName>
    <definedName name="_52__FDSAUDITLINK___1"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_1"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_2"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__FDSAUDITLINK___2"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2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0.673973&amp;VAR:V=1.425348&amp;VAR:V0=1.648669&amp;VAR:V1=1.317319&amp;VAR:Y0=2009&amp;VAR:Y1=2010&amp;VAR:P=1003.238385&amp;VAR:DATE=20090903&amp;VAR:THRESH=|||||","|"}</definedName>
    <definedName name="_52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1.442829&amp;VAR:V0=1.632026&amp;VAR:V1=1.312317&amp;VAR:Y0=2009&amp;VAR:Y1=2010&amp;VAR:P=1005.647437&amp;VAR:DATE=20090804&amp;VAR:THRESH=|||||","|"}</definedName>
    <definedName name="_52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0.501370&amp;VAR:V=1.319885&amp;VAR:V0=1.471069&amp;VAR:V1=1.169528&amp;VAR:Y0=2009&amp;VAR:Y1=2010&amp;VAR:P=896.423078&amp;VAR:DATE=20090702&amp;VAR:THRESH=||||||"}</definedName>
    <definedName name="_52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1.426924&amp;VAR:V0=1.560273&amp;VAR:V1=1.246257&amp;VAR:Y0=2009&amp;VAR:Y1=2010&amp;VAR:P=942.463847&amp;VAR:DATE=20090604&amp;VAR:THRESH=||||||"}</definedName>
    <definedName name="_52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1.426530&amp;VAR:V0=1.536729&amp;VAR:V1=1.212353&amp;VAR:Y0=2009&amp;VAR:Y1=2010&amp;VAR:P=907.237535&amp;VAR:DATE=20090504&amp;VAR:THRESH=||||||"}</definedName>
    <definedName name="_52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3__FDSAUDITLINK__" localSheetId="3"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10.480073&amp;VAR:V0=11.494022&amp;VAR:V1=10.404043&amp;VAR:Y0=2008&amp;VAR:Y1=2009&amp;VAR:P=870.738773&amp;VAR:DATE=20081203&amp;VAR:THRESH=|||||","|"}</definedName>
    <definedName name="_53__FDSAUDITLINK___1" localSheetId="3"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_1"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_2" localSheetId="3"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__FDSAUDITLINK___2" hidden="1">{"fdsup://directions/FAT Viewer?action=UPDATE&amp;creator=factset&amp;DYN_ARGS=TRUE&amp;DOC_NAME=FAT:FQL_AUDITING_CLIENT_TEMPLATE.FAT&amp;display_string=Audit&amp;VAR:KEY=UPALKLADUR&amp;VAR:QUERY=RkZfU0hMRFJTX0VRKEFOTiwwKQ==&amp;WINDOW=FIRST_POPUP&amp;HEIGHT=450&amp;WIDTH=450&amp;START_MAXIMIZED=","FALSE&amp;VAR:CALENDAR=US&amp;VAR:SYMBOL=G2554F11&amp;VAR:INDEX=0"}</definedName>
    <definedName name="_53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0.254795&amp;VAR:V=1.239160&amp;VAR:V0=1.307544&amp;VAR:V1=1.039156&amp;VAR:Y0=2009&amp;VAR:Y1=2010&amp;VAR:P=842.500407&amp;VAR:DATE=20090403&amp;VAR:THRESH=||||||"}</definedName>
    <definedName name="_53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1.008333&amp;VAR:V0=1.045604&amp;VAR:V1=0.829670&amp;VAR:Y0=2009&amp;VAR:Y1=2010&amp;VAR:P=712.865752&amp;VAR:DATE=20090304&amp;VAR:THRESH=||||||"}</definedName>
    <definedName name="_53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1.142549&amp;VAR:V0=1.164995&amp;VAR:V1=0.916736&amp;VAR:Y0=2009&amp;VAR:Y1=2010&amp;VAR:P=825.437231&amp;VAR:DATE=20090202&amp;VAR:THRESH=||||||"}</definedName>
    <definedName name="_53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0.005479&amp;VAR:V=1.110244&amp;VAR:V0=1.111245&amp;VAR:V1=0.928646&amp;VAR:Y0=2009&amp;VAR:Y1=2010&amp;VAR:P=931.800806&amp;VAR:DATE=20090102&amp;VAR:THRESH=||||||"}</definedName>
    <definedName name="_53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0.952098&amp;VAR:V0=1.043481&amp;VAR:V1=0.944527&amp;VAR:Y0=2008&amp;VAR:Y1=2009&amp;VAR:P=870.738773&amp;VAR:DATE=20081203&amp;VAR:THRESH=||||||"}</definedName>
    <definedName name="_53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4__FDSAUDITLINK__"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0.923497&amp;VAR:V=10.480073&amp;VAR:V0=11.494022&amp;VAR:V1=10.404043&amp;VAR:Y0=2008&amp;VAR:Y1=2009&amp;VAR:P=870.738773&amp;VAR:DATE=20081203&amp;VAR:THRESH=|||||","|"}</definedName>
    <definedName name="_54__FDSAUDITLINK___1"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_1"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_2" localSheetId="3"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__FDSAUDITLINK___2" hidden="1">{"fdsup://directions/FAT Viewer?action=UPDATE&amp;creator=factset&amp;DYN_ARGS=TRUE&amp;DOC_NAME=FAT:FQL_AUDITING_CLIENT_TEMPLATE.FAT&amp;display_string=Audit&amp;VAR:KEY=WFOFIFQHUF&amp;VAR:QUERY=RkZfREVCVChBTk4sMCk=&amp;WINDOW=FIRST_POPUP&amp;HEIGHT=450&amp;WIDTH=450&amp;START_MAXIMIZED=FALSE&amp;VA","R:CALENDAR=US&amp;VAR:SYMBOL=G2554F11&amp;VAR:INDEX=0"}</definedName>
    <definedName name="_54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0.968733&amp;VAR:V0=1.078403&amp;VAR:V1=0.948081&amp;VAR:Y0=2008&amp;VAR:Y1=2009&amp;VAR:P=966.303470&amp;VAR:DATE=20081103&amp;VAR:THRESH=||||||"}</definedName>
    <definedName name="_54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0.756831&amp;VAR:V=0.962463&amp;VAR:V0=1.110990&amp;VAR:V1=0.914741&amp;VAR:Y0=2008&amp;VAR:Y1=2009&amp;VAR:P=1099.233800&amp;VAR:DATE=20081003&amp;VAR:THRESH=|||||","|"}</definedName>
    <definedName name="_54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1.071623&amp;VAR:V0=1.245953&amp;VAR:V1=0.987634&amp;VAR:Y0=2008&amp;VAR:Y1=2009&amp;VAR:P=1274.980300&amp;VAR:DATE=20080903&amp;VAR:THRESH=|||||","|"}</definedName>
    <definedName name="_54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0.584699&amp;VAR:V=1.046821&amp;VAR:V0=1.177112&amp;VAR:V1=0.954278&amp;VAR:Y0=2008&amp;VAR:Y1=2009&amp;VAR:P=1260.313800&amp;VAR:DATE=20080801&amp;VAR:THRESH=|||||","|"}</definedName>
    <definedName name="_54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0.505464&amp;VAR:V=1.011592&amp;VAR:V0=1.103962&amp;VAR:V1=0.921220&amp;VAR:Y0=2008&amp;VAR:Y1=2009&amp;VAR:P=1262.897200&amp;VAR:DATE=20080703&amp;VAR:THRESH=|||||","|"}</definedName>
    <definedName name="_54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5__123Graph_XCHART_112" hidden="1">[2]Menu!$AF$15:$AO$15</definedName>
    <definedName name="_55__FDSAUDITLINK__"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10.923864&amp;VAR:V0=12.187487&amp;VAR:V1=10.714665&amp;VAR:Y0=2008&amp;VAR:Y1=2009&amp;VAR:P=966.303470&amp;VAR:DATE=20081103&amp;VAR:THRESH=|||||","|"}</definedName>
    <definedName name="_55__FDSAUDITLINK___1"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_1"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_2"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__FDSAUDITLINK___2"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5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1.125553&amp;VAR:V0=1.206807&amp;VAR:V1=1.016172&amp;VAR:Y0=2008&amp;VAR:Y1=2009&amp;VAR:P=1377.199500&amp;VAR:DATE=20080604&amp;VAR:THRESH=|||||","|"}</definedName>
    <definedName name="_55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0.336066&amp;VAR:V=1.189746&amp;VAR:V0=1.253573&amp;VAR:V1=1.063651&amp;VAR:Y0=2008&amp;VAR:Y1=2009&amp;VAR:P=1413.897500&amp;VAR:DATE=20080502&amp;VAR:THRESH=|||||","|"}</definedName>
    <definedName name="_55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0.259563&amp;VAR:V=1.117434&amp;VAR:V0=1.158410&amp;VAR:V1=1.000547&amp;VAR:Y0=2008&amp;VAR:Y1=2009&amp;VAR:P=1370.400000&amp;VAR:DATE=20080404&amp;VAR:THRESH=|||||","|"}</definedName>
    <definedName name="_55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1.066895&amp;VAR:V0=1.089418&amp;VAR:V1=0.960615&amp;VAR:Y0=2008&amp;VAR:Y1=2009&amp;VAR:P=1326.753700&amp;VAR:DATE=20080304&amp;VAR:THRESH=|||||","|"}</definedName>
    <definedName name="_55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0.087432&amp;VAR:V=1.103015&amp;VAR:V0=1.113746&amp;VAR:V1=0.991008&amp;VAR:Y0=2008&amp;VAR:Y1=2009&amp;VAR:P=1395.415200&amp;VAR:DATE=20080201&amp;VAR:THRESH=|||||","|"}</definedName>
    <definedName name="_55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6__123Graph_XCHART_30" hidden="1">[2]Menu!$AF$15:$AO$15</definedName>
    <definedName name="_56__FDSAUDITLINK__" localSheetId="3"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0.841530&amp;VAR:V=10.923864&amp;VAR:V0=12.187487&amp;VAR:V1=10.714665&amp;VAR:Y0=2008&amp;VAR:Y1=2009&amp;VAR:P=966.303470&amp;VAR:DATE=20081103&amp;VAR:THRESH=|||||","|"}</definedName>
    <definedName name="_56__FDSAUDITLINK___1" localSheetId="3"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_1"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_2" localSheetId="3"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__FDSAUDITLINK___2" hidden="1">{"fdsup://directions/FAT Viewer?action=UPDATE&amp;creator=factset&amp;DYN_ARGS=TRUE&amp;DOC_NAME=FAT:FQL_AUDITING_CLIENT_TEMPLATE.FAT&amp;display_string=Audit&amp;VAR:KEY=AJONIVGJWF&amp;VAR:QUERY=RkZfU0hMRFJTX0VRKEFOTiwwKQ==&amp;WINDOW=FIRST_POPUP&amp;HEIGHT=450&amp;WIDTH=450&amp;START_MAXIMIZED=","FALSE&amp;VAR:CALENDAR=US&amp;VAR:SYMBOL=CFN&amp;VAR:INDEX=0"}</definedName>
    <definedName name="_56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0.008197&amp;VAR:V=1.124567&amp;VAR:V0=1.125580&amp;VAR:V1=1.002046&amp;VAR:Y0=2008&amp;VAR:Y1=2009&amp;VAR:P=1447.164000&amp;VAR:DATE=20080103&amp;VAR:THRESH=|||||","|"}</definedName>
    <definedName name="_56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1.142390&amp;VAR:V0=1.302620&amp;VAR:V1=1.129590&amp;VAR:Y0=2007&amp;VAR:Y1=2008&amp;VAR:P=1462.790200&amp;VAR:DATE=20071204&amp;VAR:THRESH=|||||","|"}</definedName>
    <definedName name="_56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0.838356&amp;VAR:V=1.178677&amp;VAR:V0=1.303489&amp;VAR:V1=1.154612&amp;VAR:Y0=2007&amp;VAR:Y1=2008&amp;VAR:P=1509.651700&amp;VAR:DATE=20071102&amp;VAR:THRESH=|||||","|"}</definedName>
    <definedName name="_56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1.236877&amp;VAR:V0=1.348794&amp;VAR:V1=1.201322&amp;VAR:Y0=2007&amp;VAR:Y1=2008&amp;VAR:P=1542.837900&amp;VAR:DATE=20071004&amp;VAR:THRESH=|||||","|"}</definedName>
    <definedName name="_56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1.219083&amp;VAR:V0=1.309862&amp;VAR:V1=1.175714&amp;VAR:Y0=2007&amp;VAR:Y1=2008&amp;VAR:P=1489.417600&amp;VAR:DATE=20070904&amp;VAR:THRESH=|||||","|"}</definedName>
    <definedName name="_56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7__123Graph_XLIQUIDS" hidden="1">[3]P!$R$29:$AK$29</definedName>
    <definedName name="_57__FDSAUDITLINK__"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0.756831&amp;VAR:V=11.343061&amp;VAR:V0=13.184840&amp;VAR:V1=10.855829&amp;VAR:Y0=2008&amp;VAR:Y1=2009&amp;VAR:P=1099.233800&amp;VAR:DATE=20081003&amp;VAR:THRESH=||||","||"}</definedName>
    <definedName name="_57__FDSAUDITLINK___1"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_1"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_2" localSheetId="3"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__FDSAUDITLINK___2" hidden="1">{"fdsup://directions/FAT Viewer?action=UPDATE&amp;creator=factset&amp;DYN_ARGS=TRUE&amp;DOC_NAME=FAT:FQL_AUDITING_CLIENT_TEMPLATE.FAT&amp;display_string=Audit&amp;VAR:KEY=IZEFEHWRUL&amp;VAR:QUERY=RkZfREVCVChBTk4sMCk=&amp;WINDOW=FIRST_POPUP&amp;HEIGHT=450&amp;WIDTH=450&amp;START_MAXIMIZED=FALSE&amp;VA","R:CALENDAR=US&amp;VAR:SYMBOL=CFN&amp;VAR:INDEX=0"}</definedName>
    <definedName name="_57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0.589041&amp;VAR:V=1.174451&amp;VAR:V0=1.249277&amp;VAR:V1=1.122247&amp;VAR:Y0=2007&amp;VAR:Y1=2008&amp;VAR:P=1433.057900&amp;VAR:DATE=20070803&amp;VAR:THRESH=|||||","|"}</definedName>
    <definedName name="_57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0.509589&amp;VAR:V=1.271854&amp;VAR:V0=1.341867&amp;VAR:V1=1.204477&amp;VAR:Y0=2007&amp;VAR:Y1=2008&amp;VAR:P=1525.403100&amp;VAR:DATE=20070705&amp;VAR:THRESH=|||||","|"}</definedName>
    <definedName name="_57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1.298790&amp;VAR:V0=1.356466&amp;VAR:V1=1.220649&amp;VAR:Y0=2007&amp;VAR:Y1=2008&amp;VAR:P=1539.181800&amp;VAR:DATE=20070604&amp;VAR:THRESH=|||||","|"}</definedName>
    <definedName name="_57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1.289927&amp;VAR:V0=1.335864&amp;VAR:V1=1.200647&amp;VAR:Y0=2007&amp;VAR:Y1=2008&amp;VAR:P=1505.617000&amp;VAR:DATE=20070504&amp;VAR:THRESH=|||||","|"}</definedName>
    <definedName name="_57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1.268994&amp;VAR:V0=1.303139&amp;VAR:V1=1.170555&amp;VAR:Y0=2007&amp;VAR:Y1=2008&amp;VAR:P=1439.366200&amp;VAR:DATE=20070404&amp;VAR:THRESH=|||||","|"}</definedName>
    <definedName name="_57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8__123Graph_XR_M_MARG" hidden="1">[3]P!$R$29:$AK$29</definedName>
    <definedName name="_58__FDSAUDITLINK__"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0.756831&amp;VAR:V=11.343061&amp;VAR:V0=13.184840&amp;VAR:V1=10.855829&amp;VAR:Y0=2008&amp;VAR:Y1=2009&amp;VAR:P=1099.233800&amp;VAR:DATE=20081003&amp;VAR:THRESH=||||","||"}</definedName>
    <definedName name="_58__FDSAUDITLINK___1"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_1"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_2"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__FDSAUDITLINK___2"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58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1.206041&amp;VAR:V0=1.227591&amp;VAR:V1=1.104689&amp;VAR:Y0=2007&amp;VAR:Y1=2008&amp;VAR:P=1374.122400&amp;VAR:DATE=20070305&amp;VAR:THRESH=|||||","|"}</definedName>
    <definedName name="_58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1.280177&amp;VAR:V0=1.291495&amp;VAR:V1=1.166313&amp;VAR:Y0=2007&amp;VAR:Y1=2008&amp;VAR:P=1448.390100&amp;VAR:DATE=20070202&amp;VAR:THRESH=|||||","|"}</definedName>
    <definedName name="_58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1.240508&amp;VAR:V0=1.241438&amp;VAR:V1=1.128363&amp;VAR:Y0=2007&amp;VAR:Y1=2008&amp;VAR:P=1416.602000&amp;VAR:DATE=20070103&amp;VAR:THRESH=|||||","|"}</definedName>
    <definedName name="_58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1.239440&amp;VAR:V0=1.344490&amp;VAR:V1=1.231049&amp;VAR:Y0=2006&amp;VAR:Y1=2007&amp;VAR:P=1409.118800&amp;VAR:DATE=20061204&amp;VAR:THRESH=|||||","|"}</definedName>
    <definedName name="_58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1.222130&amp;VAR:V0=1.317625&amp;VAR:V1=1.204089&amp;VAR:Y0=2006&amp;VAR:Y1=2007&amp;VAR:P=1364.296900&amp;VAR:DATE=20061103&amp;VAR:THRESH=|||||","|"}</definedName>
    <definedName name="_58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9__FDSAUDITLINK__" localSheetId="3"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12.927442&amp;VAR:V0=15.209304&amp;VAR:V1=12.056009&amp;VAR:Y0=2008&amp;VAR:Y1=2009&amp;VAR:P=1274.980300&amp;VAR:DATE=20080903&amp;VAR:THRESH=||||","||"}</definedName>
    <definedName name="_59__FDSAUDITLINK___1" localSheetId="3"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_1"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_2" localSheetId="3"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__FDSAUDITLINK___2" hidden="1">{"fdsup://directions/FAT Viewer?action=UPDATE&amp;creator=factset&amp;DYN_ARGS=TRUE&amp;DOC_NAME=FAT:FQL_AUDITING_CLIENT_TEMPLATE.FAT&amp;display_string=Audit&amp;VAR:KEY=ULODCZQHUV&amp;VAR:QUERY=RkZfU0hMRFJTX0VRKEFOTiwwKQ==&amp;WINDOW=FIRST_POPUP&amp;HEIGHT=450&amp;WIDTH=450&amp;START_MAXIMIZED=","FALSE&amp;VAR:CALENDAR=US&amp;VAR:SYMBOL=BAX&amp;VAR:INDEX=0"}</definedName>
    <definedName name="_59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1.225547&amp;VAR:V0=1.318527&amp;VAR:V1=1.196008&amp;VAR:Y0=2006&amp;VAR:Y1=2007&amp;VAR:P=1350.217500&amp;VAR:DATE=20061004&amp;VAR:THRESH=|||||","|"}</definedName>
    <definedName name="_59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0.668493&amp;VAR:V=1.192468&amp;VAR:V0=1.269566&amp;VAR:V1=1.154235&amp;VAR:Y0=2006&amp;VAR:Y1=2007&amp;VAR:P=1311.011000&amp;VAR:DATE=20060901&amp;VAR:THRESH=|||||","|"}</definedName>
    <definedName name="_59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1.170882&amp;VAR:V0=1.237409&amp;VAR:V1=1.124991&amp;VAR:Y0=2006&amp;VAR:Y1=2007&amp;VAR:P=1279.362400&amp;VAR:DATE=20060804&amp;VAR:THRESH=|||||","|"}</definedName>
    <definedName name="_59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1.163443&amp;VAR:V0=1.223023&amp;VAR:V1=1.104835&amp;VAR:Y0=2006&amp;VAR:Y1=2007&amp;VAR:P=1280.189000&amp;VAR:DATE=20060703&amp;VAR:THRESH=|||||","|"}</definedName>
    <definedName name="_59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0.419178&amp;VAR:V=1.178852&amp;VAR:V0=1.226401&amp;VAR:V1=1.112967&amp;VAR:Y0=2006&amp;VAR:Y1=2007&amp;VAR:P=1288.218300&amp;VAR:DATE=20060602&amp;VAR:THRESH=|||||","|"}</definedName>
    <definedName name="_59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5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6__FDSAUDITLINK__"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0.923288&amp;VAR:V=12.908797&amp;VAR:V0=14.467518&amp;VAR:V1=12.794267&amp;VAR:Y0=2010&amp;VAR:Y1=2011&amp;VAR:P=1224.707723&amp;VAR:DATE=20101203&amp;VAR:THRESH=||||","||"}</definedName>
    <definedName name="_6__FDSAUDITLINK___1"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_1"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_2" localSheetId="3"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__FDSAUDITLINK___2" hidden="1">{"fdsup://directions/FAT Viewer?action=UPDATE&amp;creator=factset&amp;DYN_ARGS=TRUE&amp;DOC_NAME=FAT:FQL_AUDITING_CLIENT_TEMPLATE.FAT&amp;display_string=Audit&amp;VAR:KEY=KNEDEHEBGJ&amp;VAR:QUERY=RkZfREVCVChBTk4sMCk=&amp;WINDOW=FIRST_POPUP&amp;HEIGHT=450&amp;WIDTH=450&amp;START_MAXIMIZED=FALSE&amp;VA","R:CALENDAR=US&amp;VAR:SYMBOL=HAE&amp;VAR:INDEX=0"}</definedName>
    <definedName name="_60__FDSAUDITLINK__"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0.674863&amp;VAR:V=12.927442&amp;VAR:V0=15.209304&amp;VAR:V1=12.056009&amp;VAR:Y0=2008&amp;VAR:Y1=2009&amp;VAR:P=1274.980300&amp;VAR:DATE=20080903&amp;VAR:THRESH=||||","||"}</definedName>
    <definedName name="_60__FDSAUDITLINK___1"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_1"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_2" localSheetId="3"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__FDSAUDITLINK___2" hidden="1">{"fdsup://directions/FAT Viewer?action=UPDATE&amp;creator=factset&amp;DYN_ARGS=TRUE&amp;DOC_NAME=FAT:FQL_AUDITING_CLIENT_TEMPLATE.FAT&amp;display_string=Audit&amp;VAR:KEY=WVWPYTANCF&amp;VAR:QUERY=RkZfREVCVChBTk4sMCk=&amp;WINDOW=FIRST_POPUP&amp;HEIGHT=450&amp;WIDTH=450&amp;START_MAXIMIZED=FALSE&amp;VA","R:CALENDAR=US&amp;VAR:SYMBOL=BAX&amp;VAR:INDEX=0"}</definedName>
    <definedName name="_60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60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1.224272&amp;VAR:V0=1.265277&amp;VAR:V1=1.145543&amp;VAR:Y0=2006&amp;VAR:Y1=2007&amp;VAR:P=1325.760900&amp;VAR:DATE=20060505&amp;VAR:THRESH=|||||","|"}</definedName>
    <definedName name="_60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1.213580&amp;VAR:V0=1.242989&amp;VAR:V1=1.128792&amp;VAR:Y0=2006&amp;VAR:Y1=2007&amp;VAR:P=1305.934900&amp;VAR:DATE=20060404&amp;VAR:THRESH=|||||","|"}</definedName>
    <definedName name="_60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0.169863&amp;VAR:V=1.209764&amp;VAR:V0=1.228928&amp;VAR:V1=1.116108&amp;VAR:Y0=2006&amp;VAR:Y1=2007&amp;VAR:P=1287.231200&amp;VAR:DATE=20060303&amp;VAR:THRESH=|||||","|"}</definedName>
    <definedName name="_60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1.200789&amp;VAR:V0=1.210225&amp;VAR:V1=1.105859&amp;VAR:Y0=2006&amp;VAR:Y1=2007&amp;VAR:P=1270.836800&amp;VAR:DATE=20060202&amp;VAR:THRESH=|||||","|"}</definedName>
    <definedName name="_60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1.211712&amp;VAR:V0=1.212443&amp;VAR:V1=1.123597&amp;VAR:Y0=2006&amp;VAR:Y1=2007&amp;VAR:P=1268.800400&amp;VAR:DATE=20060103&amp;VAR:THRESH=|||||","|"}</definedName>
    <definedName name="_60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0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1__FDSAUDITLINK__"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0.584699&amp;VAR:V=12.767415&amp;VAR:V0=14.510593&amp;VAR:V1=11.763657&amp;VAR:Y0=2008&amp;VAR:Y1=2009&amp;VAR:P=1260.313800&amp;VAR:DATE=20080801&amp;VAR:THRESH=||||","||"}</definedName>
    <definedName name="_61__FDSAUDITLINK___1"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_1"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_2"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__FDSAUDITLINK___2"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1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1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0.920548&amp;VAR:V=1.216849&amp;VAR:V0=1.356922&amp;VAR:V1=1.204759&amp;VAR:Y0=2005&amp;VAR:Y1=2006&amp;VAR:P=1265.080000&amp;VAR:DATE=20051202&amp;VAR:THRESH=|||||","|"}</definedName>
    <definedName name="_61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1.183982&amp;VAR:V0=1.300308&amp;VAR:V1=1.162005&amp;VAR:Y0=2005&amp;VAR:Y1=2006&amp;VAR:P=1219.936300&amp;VAR:DATE=20051103&amp;VAR:THRESH=|||||","|"}</definedName>
    <definedName name="_61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0.758904&amp;VAR:V=1.207596&amp;VAR:V0=1.306369&amp;VAR:V1=1.176217&amp;VAR:Y0=2005&amp;VAR:Y1=2006&amp;VAR:P=1214.473400&amp;VAR:DATE=20051004&amp;VAR:THRESH=|||||","|"}</definedName>
    <definedName name="_61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0.671233&amp;VAR:V=1.237635&amp;VAR:V0=1.322095&amp;VAR:V1=1.196266&amp;VAR:Y0=2005&amp;VAR:Y1=2006&amp;VAR:P=1218.021100&amp;VAR:DATE=20050902&amp;VAR:THRESH=|||||","|"}</definedName>
    <definedName name="_61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1.274436&amp;VAR:V0=1.350678&amp;VAR:V1=1.221843&amp;VAR:Y0=2005&amp;VAR:Y1=2006&amp;VAR:P=1235.858800&amp;VAR:DATE=20050804&amp;VAR:THRESH=|||||","|"}</definedName>
    <definedName name="_61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1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2__FDSAUDITLINK__" localSheetId="3"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0.584699&amp;VAR:V=12.767415&amp;VAR:V0=14.510593&amp;VAR:V1=11.763657&amp;VAR:Y0=2008&amp;VAR:Y1=2009&amp;VAR:P=1260.313800&amp;VAR:DATE=20080801&amp;VAR:THRESH=||||","||"}</definedName>
    <definedName name="_62__FDSAUDITLINK___1" localSheetId="3"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_1"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_2" localSheetId="3"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__FDSAUDITLINK___2" hidden="1">{"fdsup://directions/FAT Viewer?action=UPDATE&amp;creator=factset&amp;DYN_ARGS=TRUE&amp;DOC_NAME=FAT:FQL_AUDITING_CLIENT_TEMPLATE.FAT&amp;display_string=Audit&amp;VAR:KEY=MHEPWPCLGD&amp;VAR:QUERY=RkZfU0hMRFJTX0VRKEFOTiwwKQ==&amp;WINDOW=FIRST_POPUP&amp;HEIGHT=450&amp;WIDTH=450&amp;START_MAXIMIZED=","FALSE&amp;VAR:CALENDAR=US&amp;VAR:SYMBOL=ABT&amp;VAR:INDEX=0"}</definedName>
    <definedName name="_62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2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0.498630&amp;VAR:V=1.280903&amp;VAR:V0=1.342170&amp;VAR:V1=1.219298&amp;VAR:Y0=2005&amp;VAR:Y1=2006&amp;VAR:P=1194.440200&amp;VAR:DATE=20050701&amp;VAR:THRESH=|||||","|"}</definedName>
    <definedName name="_62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0.421918&amp;VAR:V=1.282465&amp;VAR:V0=1.332071&amp;VAR:V1=1.214499&amp;VAR:Y0=2005&amp;VAR:Y1=2006&amp;VAR:P=1196.016000&amp;VAR:DATE=20050603&amp;VAR:THRESH=|||||","|"}</definedName>
    <definedName name="_62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0.339726&amp;VAR:V=1.281153&amp;VAR:V0=1.319953&amp;VAR:V1=1.205741&amp;VAR:Y0=2005&amp;VAR:Y1=2006&amp;VAR:P=1175.650900&amp;VAR:DATE=20050504&amp;VAR:THRESH=|||||","|"}</definedName>
    <definedName name="_62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1.294468&amp;VAR:V0=1.326249&amp;VAR:V1=1.202844&amp;VAR:Y0=2005&amp;VAR:Y1=2006&amp;VAR:P=1176.122900&amp;VAR:DATE=20050404&amp;VAR:THRESH=|||||","|"}</definedName>
    <definedName name="_62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0.172603&amp;VAR:V=1.354952&amp;VAR:V0=1.377102&amp;VAR:V1=1.248774&amp;VAR:Y0=2005&amp;VAR:Y1=2006&amp;VAR:P=1222.124500&amp;VAR:DATE=20050304&amp;VAR:THRESH=|||||","|"}</definedName>
    <definedName name="_62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2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3__FDSAUDITLINK__"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0.505464&amp;VAR:V=12.624700&amp;VAR:V0=13.890564&amp;VAR:V1=11.591217&amp;VAR:Y0=2008&amp;VAR:Y1=2009&amp;VAR:P=1262.897200&amp;VAR:DATE=20080703&amp;VAR:THRESH=||||","||"}</definedName>
    <definedName name="_63__FDSAUDITLINK___1"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_1"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_2" localSheetId="3"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__FDSAUDITLINK___2" hidden="1">{"fdsup://directions/FAT Viewer?action=UPDATE&amp;creator=factset&amp;DYN_ARGS=TRUE&amp;DOC_NAME=FAT:FQL_AUDITING_CLIENT_TEMPLATE.FAT&amp;display_string=Audit&amp;VAR:KEY=OPKZEZUZEL&amp;VAR:QUERY=RkZfREVCVChBTk4sMCk=&amp;WINDOW=FIRST_POPUP&amp;HEIGHT=450&amp;WIDTH=450&amp;START_MAXIMIZED=FALSE&amp;VA","R:CALENDAR=US&amp;VAR:SYMBOL=ABT&amp;VAR:INDEX=0"}</definedName>
    <definedName name="_63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3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0.090411&amp;VAR:V=1.330207&amp;VAR:V0=1.340859&amp;VAR:V1=1.223039&amp;VAR:Y0=2005&amp;VAR:Y1=2006&amp;VAR:P=1193.185300&amp;VAR:DATE=20050202&amp;VAR:THRESH=|||||","|"}</definedName>
    <definedName name="_63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1.347881&amp;VAR:V0=1.348763&amp;VAR:V1=1.241507&amp;VAR:Y0=2005&amp;VAR:Y1=2006&amp;VAR:P=1202.084400&amp;VAR:DATE=20050103&amp;VAR:THRESH=|||||","|"}</definedName>
    <definedName name="_63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0.923497&amp;VAR:V=1.347936&amp;VAR:V0=1.483280&amp;VAR:V1=1.336724&amp;VAR:Y0=2004&amp;VAR:Y1=2005&amp;VAR:P=1191.167100&amp;VAR:DATE=20041203&amp;VAR:THRESH=|||||","|"}</definedName>
    <definedName name="_63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0.841530&amp;VAR:V=1.322601&amp;VAR:V0=1.434480&amp;VAR:V1=1.301532&amp;VAR:Y0=2004&amp;VAR:Y1=2005&amp;VAR:P=1143.195400&amp;VAR:DATE=20041103&amp;VAR:THRESH=|||||","|"}</definedName>
    <definedName name="_63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0.751366&amp;VAR:V=1.324997&amp;VAR:V0=1.420498&amp;VAR:V1=1.293395&amp;VAR:Y0=2004&amp;VAR:Y1=2005&amp;VAR:P=1131.500900&amp;VAR:DATE=20041001&amp;VAR:THRESH=|||||","|"}</definedName>
    <definedName name="_63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3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4__FDSAUDITLINK__"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0.505464&amp;VAR:V=12.624700&amp;VAR:V0=13.890564&amp;VAR:V1=11.591217&amp;VAR:Y0=2008&amp;VAR:Y1=2009&amp;VAR:P=1262.897200&amp;VAR:DATE=20080703&amp;VAR:THRESH=||||","||"}</definedName>
    <definedName name="_64__FDSAUDITLINK___1"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_1"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_2"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__FDSAUDITLINK___2"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4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4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0.674863&amp;VAR:V=1.315979&amp;VAR:V0=1.403258&amp;VAR:V1=1.273929&amp;VAR:Y0=2004&amp;VAR:Y1=2005&amp;VAR:P=1113.630500&amp;VAR:DATE=20040903&amp;VAR:THRESH=|||||","|"}</definedName>
    <definedName name="_64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0.590164&amp;VAR:V=1.322839&amp;VAR:V0=1.397240&amp;VAR:V1=1.271171&amp;VAR:Y0=2004&amp;VAR:Y1=2005&amp;VAR:P=1099.687900&amp;VAR:DATE=20040803&amp;VAR:THRESH=|||||","|"}</definedName>
    <definedName name="_64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0.502732&amp;VAR:V=1.354892&amp;VAR:V0=1.421737&amp;VAR:V1=1.288774&amp;VAR:Y0=2004&amp;VAR:Y1=2005&amp;VAR:P=1125.379900&amp;VAR:DATE=20040702&amp;VAR:THRESH=|||||","|"}</definedName>
    <definedName name="_64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0.426230&amp;VAR:V=1.362224&amp;VAR:V0=1.422463&amp;VAR:V1=1.281133&amp;VAR:Y0=2004&amp;VAR:Y1=2005&amp;VAR:P=1122.504200&amp;VAR:DATE=20040604&amp;VAR:THRESH=|||||","|"}</definedName>
    <definedName name="_64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0.341530&amp;VAR:V=1.396751&amp;VAR:V0=1.445084&amp;VAR:V1=1.303564&amp;VAR:Y0=2004&amp;VAR:Y1=2005&amp;VAR:P=1119.553600&amp;VAR:DATE=20040504&amp;VAR:THRESH=|||||","|"}</definedName>
    <definedName name="_64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4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5__FDSAUDITLINK__" localSheetId="3"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13.781885&amp;VAR:V0=14.883901&amp;VAR:V1=12.532742&amp;VAR:Y0=2008&amp;VAR:Y1=2009&amp;VAR:P=1377.199500&amp;VAR:DATE=20080604&amp;VAR:THRESH=||||","||"}</definedName>
    <definedName name="_65__FDSAUDITLINK___1" localSheetId="3"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_1"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_2" localSheetId="3"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__FDSAUDITLINK___2" hidden="1">{"fdsup://directions/FAT Viewer?action=UPDATE&amp;creator=factset&amp;DYN_ARGS=TRUE&amp;DOC_NAME=FAT:FQL_AUDITING_CLIENT_TEMPLATE.FAT&amp;display_string=Audit&amp;VAR:KEY=KVAPUVMPGH&amp;VAR:QUERY=RkZfU0hMRFJTX0VRKEFOTiwwKQ==&amp;WINDOW=FIRST_POPUP&amp;HEIGHT=450&amp;WIDTH=450&amp;START_MAXIMIZED=","FALSE&amp;VAR:CALENDAR=US&amp;VAR:SYMBOL=TFX&amp;VAR:INDEX=0"}</definedName>
    <definedName name="_65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5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0.254098&amp;VAR:V=1.467819&amp;VAR:V0=1.508930&amp;VAR:V1=1.347139&amp;VAR:Y0=2004&amp;VAR:Y1=2005&amp;VAR:P=1141.809800&amp;VAR:DATE=20040402&amp;VAR:THRESH=|||||","|"}</definedName>
    <definedName name="_65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0.174863&amp;VAR:V=1.519185&amp;VAR:V0=1.549940&amp;VAR:V1=1.374062&amp;VAR:Y0=2004&amp;VAR:Y1=2005&amp;VAR:P=1154.875200&amp;VAR:DATE=20040304&amp;VAR:THRESH=|||||","|"}</definedName>
    <definedName name="_65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0.092896&amp;VAR:V=1.517276&amp;VAR:V0=1.533494&amp;VAR:V1=1.358911&amp;VAR:Y0=2004&amp;VAR:Y1=2005&amp;VAR:P=1136.034400&amp;VAR:DATE=20040203&amp;VAR:THRESH=|||||","|"}</definedName>
    <definedName name="_65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0.005464&amp;VAR:V=1.498180&amp;VAR:V0=1.498957&amp;VAR:V1=1.356719&amp;VAR:Y0=2004&amp;VAR:Y1=2005&amp;VAR:P=1108.484600&amp;VAR:DATE=20040102&amp;VAR:THRESH=|||||","|"}</definedName>
    <definedName name="_65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0.926027&amp;VAR:V=1.470638&amp;VAR:V0=1.645703&amp;VAR:V1=1.456653&amp;VAR:Y0=2003&amp;VAR:Y1=2004&amp;VAR:P=1069.718500&amp;VAR:DATE=20031204&amp;VAR:THRESH=|||||","|"}</definedName>
    <definedName name="_65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5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6__FDSAUDITLINK__"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0.426230&amp;VAR:V=13.781885&amp;VAR:V0=14.883901&amp;VAR:V1=12.532742&amp;VAR:Y0=2008&amp;VAR:Y1=2009&amp;VAR:P=1377.199500&amp;VAR:DATE=20080604&amp;VAR:THRESH=||||","||"}</definedName>
    <definedName name="_66__FDSAUDITLINK___1"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_1"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_2" localSheetId="3"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__FDSAUDITLINK___2" hidden="1">{"fdsup://directions/FAT Viewer?action=UPDATE&amp;creator=factset&amp;DYN_ARGS=TRUE&amp;DOC_NAME=FAT:FQL_AUDITING_CLIENT_TEMPLATE.FAT&amp;display_string=Audit&amp;VAR:KEY=YBGHCRSVAL&amp;VAR:QUERY=RkZfREVCVChBTk4sMCk=&amp;WINDOW=FIRST_POPUP&amp;HEIGHT=450&amp;WIDTH=450&amp;START_MAXIMIZED=FALSE&amp;VA","R:CALENDAR=US&amp;VAR:SYMBOL=TFX&amp;VAR:INDEX=0"}</definedName>
    <definedName name="_66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6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0.841096&amp;VAR:V=1.470466&amp;VAR:V0=1.622381&amp;VAR:V1=1.441765&amp;VAR:Y0=2003&amp;VAR:Y1=2004&amp;VAR:P=1059.015600&amp;VAR:DATE=20031103&amp;VAR:THRESH=|||||","|"}</definedName>
    <definedName name="_66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0.756164&amp;VAR:V=1.450242&amp;VAR:V0=1.585804&amp;VAR:V1=1.406528&amp;VAR:Y0=2003&amp;VAR:Y1=2004&amp;VAR:P=1029.848000&amp;VAR:DATE=20031003&amp;VAR:THRESH=|||||","|"}</definedName>
    <definedName name="_66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0.676712&amp;VAR:V=1.459965&amp;VAR:V0=1.575986&amp;VAR:V1=1.404538&amp;VAR:Y0=2003&amp;VAR:Y1=2004&amp;VAR:P=1027.970800&amp;VAR:DATE=20030904&amp;VAR:THRESH=|||||","|"}</definedName>
    <definedName name="_66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0.591781&amp;VAR:V=1.409807&amp;VAR:V0=1.508684&amp;VAR:V1=1.341601&amp;VAR:Y0=2003&amp;VAR:Y1=2004&amp;VAR:P=982.815060&amp;VAR:DATE=20030804&amp;VAR:THRESH=||||||"}</definedName>
    <definedName name="_66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0.504110&amp;VAR:V=1.433147&amp;VAR:V0=1.523129&amp;VAR:V1=1.344632&amp;VAR:Y0=2003&amp;VAR:Y1=2004&amp;VAR:P=985.700000&amp;VAR:DATE=20030703&amp;VAR:THRESH=||||||"}</definedName>
    <definedName name="_66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7__FDSAUDITLINK__"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0.336066&amp;VAR:V=14.348521&amp;VAR:V0=15.209530&amp;VAR:V1=12.905216&amp;VAR:Y0=2008&amp;VAR:Y1=2009&amp;VAR:P=1413.897500&amp;VAR:DATE=20080502&amp;VAR:THRESH=||||","||"}</definedName>
    <definedName name="_67__FDSAUDITLINK___1"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_1"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_2"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__FDSAUDITLINK___2"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7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0.424658&amp;VAR:V=1.439871&amp;VAR:V0=1.514534&amp;VAR:V1=1.338715&amp;VAR:Y0=2003&amp;VAR:Y1=2004&amp;VAR:P=986.238900&amp;VAR:DATE=20030604&amp;VAR:THRESH=||||||"}</definedName>
    <definedName name="_671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2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0.342466&amp;VAR:V=1.354900&amp;VAR:V0=1.412529&amp;VAR:V1=1.244253&amp;VAR:Y0=2003&amp;VAR:Y1=2004&amp;VAR:P=926.548200&amp;VAR:DATE=20030505&amp;VAR:THRESH=||||||"}</definedName>
    <definedName name="_673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4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0.257534&amp;VAR:V=1.301695&amp;VAR:V0=1.347207&amp;VAR:V1=1.170486&amp;VAR:Y0=2003&amp;VAR:Y1=2004&amp;VAR:P=878.852500&amp;VAR:DATE=20030404&amp;VAR:THRESH=||||||"}</definedName>
    <definedName name="_675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6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0.175342&amp;VAR:V=1.230591&amp;VAR:V0=1.260158&amp;VAR:V1=1.091531&amp;VAR:Y0=2003&amp;VAR:Y1=2004&amp;VAR:P=829.851560&amp;VAR:DATE=20030305&amp;VAR:THRESH=||||||"}</definedName>
    <definedName name="_677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8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0.093151&amp;VAR:V=1.281200&amp;VAR:V0=1.296277&amp;VAR:V1=1.134413&amp;VAR:Y0=2003&amp;VAR:Y1=2004&amp;VAR:P=860.321350&amp;VAR:DATE=20030203&amp;VAR:THRESH=||||||"}</definedName>
    <definedName name="_679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8__FDSAUDITLINK__" localSheetId="3"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0.336066&amp;VAR:V=14.348521&amp;VAR:V0=15.209530&amp;VAR:V1=12.905216&amp;VAR:Y0=2008&amp;VAR:Y1=2009&amp;VAR:P=1413.897500&amp;VAR:DATE=20080502&amp;VAR:THRESH=||||","||"}</definedName>
    <definedName name="_68__FDSAUDITLINK___1" localSheetId="3"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_1"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_2" localSheetId="3"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__FDSAUDITLINK___2" hidden="1">{"fdsup://directions/FAT Viewer?action=UPDATE&amp;creator=factset&amp;DYN_ARGS=TRUE&amp;DOC_NAME=FAT:FQL_AUDITING_CLIENT_TEMPLATE.FAT&amp;display_string=Audit&amp;VAR:KEY=QJGDGREDEZ&amp;VAR:QUERY=RkZfU0hMRFJTX0VRKEFOTiwwKQ==&amp;WINDOW=FIRST_POPUP&amp;HEIGHT=450&amp;WIDTH=450&amp;START_MAXIMIZED=","FALSE&amp;VAR:CALENDAR=US&amp;VAR:SYMBOL=HRC&amp;VAR:INDEX=0"}</definedName>
    <definedName name="_680__FDSAUDITLINK__" localSheetId="3"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G&amp;VAR:MEASURE=PEG&amp;VAR:NULL=.HTML&amp;VAR:TM=NTMA&amp;VAR:PCT=0.008219&amp;VAR:V=1.317185&amp;VAR:V0=1.318387&amp;VAR:V1=1.172134&amp;VAR:Y0=2003&amp;VAR:Y1=2004&amp;VAR:P=908.589700&amp;VAR:DATE=20030103&amp;VAR:THRESH=||||||"}</definedName>
    <definedName name="_68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8.941114&amp;VAR:P=1&amp;VAR:DATE=20110203"}</definedName>
    <definedName name="_68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8.703001&amp;VAR:P=1&amp;VAR:DATE=20110103"}</definedName>
    <definedName name="_68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8.479990&amp;VAR:P=1&amp;VAR:DATE=20101203"}</definedName>
    <definedName name="_68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8.673443&amp;VAR:P=1&amp;VAR:DATE=20101103"}</definedName>
    <definedName name="_68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9__FDSAUDITLINK__"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0.259563&amp;VAR:V=13.803594&amp;VAR:V0=14.368893&amp;VAR:V1=12.410762&amp;VAR:Y0=2008&amp;VAR:Y1=2009&amp;VAR:P=1370.400000&amp;VAR:DATE=20080404&amp;VAR:THRESH=||||","||"}</definedName>
    <definedName name="_69__FDSAUDITLINK___1"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_1"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_2" localSheetId="3"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__FDSAUDITLINK___2" hidden="1">{"fdsup://directions/FAT Viewer?action=UPDATE&amp;creator=factset&amp;DYN_ARGS=TRUE&amp;DOC_NAME=FAT:FQL_AUDITING_CLIENT_TEMPLATE.FAT&amp;display_string=Audit&amp;VAR:KEY=UFKNODWFEV&amp;VAR:QUERY=RkZfREVCVChBTk4sMCk=&amp;WINDOW=FIRST_POPUP&amp;HEIGHT=450&amp;WIDTH=450&amp;START_MAXIMIZED=FALSE&amp;VA","R:CALENDAR=US&amp;VAR:SYMBOL=HRC&amp;VAR:INDEX=0"}</definedName>
    <definedName name="_69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8.291136&amp;VAR:P=1&amp;VAR:DATE=20101004"}</definedName>
    <definedName name="_69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8.067109&amp;VAR:P=1&amp;VAR:DATE=20100903"}</definedName>
    <definedName name="_69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8.262042&amp;VAR:P=1&amp;VAR:DATE=20100804"}</definedName>
    <definedName name="_69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7.647984&amp;VAR:P=1&amp;VAR:DATE=20100702"}</definedName>
    <definedName name="_69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8.232576&amp;VAR:P=1&amp;VAR:DATE=20100604"}</definedName>
    <definedName name="_69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6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7__123Graph_ACHART_111" hidden="1">[2]Menu!$D$23:$M$23</definedName>
    <definedName name="_7__FDSAUDITLINK__"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12.759761&amp;VAR:V0=14.171356&amp;VAR:V1=12.524075&amp;VAR:Y0=2010&amp;VAR:Y1=2011&amp;VAR:P=1197.961445&amp;VAR:DATE=20101103&amp;VAR:THRESH=||||","||"}</definedName>
    <definedName name="_7__FDSAUDITLINK___1"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_1"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_2"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__FDSAUDITLINK___2"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70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0.259563&amp;VAR:V=13.803594&amp;VAR:V0=14.368893&amp;VAR:V1=12.410762&amp;VAR:Y0=2008&amp;VAR:Y1=2009&amp;VAR:P=1370.400000&amp;VAR:DATE=20080404&amp;VAR:THRESH=||||","||"}</definedName>
    <definedName name="_70__FDSAUDITLINK___1"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_2"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0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7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9.148974&amp;VAR:P=1&amp;VAR:DATE=20100505"}</definedName>
    <definedName name="_70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9.243468&amp;VAR:P=1&amp;VAR:DATE=20100401"}</definedName>
    <definedName name="_70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9.060830&amp;VAR:P=1&amp;VAR:DATE=20100305"}</definedName>
    <definedName name="_70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9.158963&amp;VAR:P=1&amp;VAR:DATE=20100202"}</definedName>
    <definedName name="_70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9.290533&amp;VAR:P=1&amp;VAR:DATE=20091231"}</definedName>
    <definedName name="_70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1__FDSAUDITLINK__"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13.209998&amp;VAR:V0=13.519726&amp;VAR:V1=11.921270&amp;VAR:Y0=2008&amp;VAR:Y1=2009&amp;VAR:P=1326.753700&amp;VAR:DATE=20080304&amp;VAR:THRESH=||||","||"}</definedName>
    <definedName name="_71__FDSAUDITLINK___1"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_1"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_2" localSheetId="3"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__FDSAUDITLINK___2" hidden="1">{"fdsup://directions/FAT Viewer?action=UPDATE&amp;creator=factset&amp;DYN_ARGS=TRUE&amp;DOC_NAME=FAT:FQL_AUDITING_CLIENT_TEMPLATE.FAT&amp;display_string=Audit&amp;VAR:KEY=UPCHEHKTWT&amp;VAR:QUERY=RkZfU0hMRFJTX0VRKEFOTiwwKQ==&amp;WINDOW=FIRST_POPUP&amp;HEIGHT=450&amp;WIDTH=450&amp;START_MAXIMIZED=","FALSE&amp;VAR:CALENDAR=US&amp;VAR:SYMBOL=ABMD&amp;VAR:INDEX=0"}</definedName>
    <definedName name="_71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9.143585&amp;VAR:P=1&amp;VAR:DATE=20091203"}</definedName>
    <definedName name="_71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8.289142&amp;VAR:P=1&amp;VAR:DATE=20091103"}</definedName>
    <definedName name="_71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8.153603&amp;VAR:P=1&amp;VAR:DATE=20091002"}</definedName>
    <definedName name="_71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7.978500&amp;VAR:P=1&amp;VAR:DATE=20090903"}</definedName>
    <definedName name="_71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7.678887&amp;VAR:P=1&amp;VAR:DATE=20090804"}</definedName>
    <definedName name="_71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2__FDSAUDITLINK__"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0.174863&amp;VAR:V=13.209998&amp;VAR:V0=13.519726&amp;VAR:V1=11.921270&amp;VAR:Y0=2008&amp;VAR:Y1=2009&amp;VAR:P=1326.753700&amp;VAR:DATE=20080304&amp;VAR:THRESH=||||","||"}</definedName>
    <definedName name="_72__FDSAUDITLINK___1"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_1"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_2" localSheetId="3"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__FDSAUDITLINK___2" hidden="1">{"fdsup://directions/FAT Viewer?action=UPDATE&amp;creator=factset&amp;DYN_ARGS=TRUE&amp;DOC_NAME=FAT:FQL_AUDITING_CLIENT_TEMPLATE.FAT&amp;display_string=Audit&amp;VAR:KEY=STUXQNKPEF&amp;VAR:QUERY=RkZfREVCVChBTk4sMCk=&amp;WINDOW=FIRST_POPUP&amp;HEIGHT=450&amp;WIDTH=450&amp;START_MAXIMIZED=FALSE&amp;VA","R:CALENDAR=US&amp;VAR:SYMBOL=ABMD&amp;VAR:INDEX=0"}</definedName>
    <definedName name="_72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7.078317&amp;VAR:P=1&amp;VAR:DATE=20090702"}</definedName>
    <definedName name="_72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7.325892&amp;VAR:P=1&amp;VAR:DATE=20090604"}</definedName>
    <definedName name="_72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6.671145&amp;VAR:P=1&amp;VAR:DATE=20090504"}</definedName>
    <definedName name="_72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6.384335&amp;VAR:P=1&amp;VAR:DATE=20090403"}</definedName>
    <definedName name="_72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5.698455&amp;VAR:P=1&amp;VAR:DATE=20090304"}</definedName>
    <definedName name="_72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3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0.087432&amp;VAR:V=13.794320&amp;VAR:V0=13.943693&amp;VAR:V1=12.407054&amp;VAR:Y0=2008&amp;VAR:Y1=2009&amp;VAR:P=1395.415200&amp;VAR:DATE=20080201&amp;VAR:THRESH=||||","||"}</definedName>
    <definedName name="_73__FDSAUDITLINK___1"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_2"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73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6.198306&amp;VAR:P=1&amp;VAR:DATE=20090202"}</definedName>
    <definedName name="_73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6.694002&amp;VAR:P=1&amp;VAR:DATE=20090102"}</definedName>
    <definedName name="_73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6.334980&amp;VAR:P=1&amp;VAR:DATE=20081203"}</definedName>
    <definedName name="_73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6.991200&amp;VAR:P=1&amp;VAR:DATE=20081103"}</definedName>
    <definedName name="_73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7.679877&amp;VAR:P=1&amp;VAR:DATE=20081003"}</definedName>
    <definedName name="_73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4__FDSAUDITLINK__"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0.087432&amp;VAR:V=13.794320&amp;VAR:V0=13.943693&amp;VAR:V1=12.407054&amp;VAR:Y0=2008&amp;VAR:Y1=2009&amp;VAR:P=1395.415200&amp;VAR:DATE=20080201&amp;VAR:THRESH=||||","||"}</definedName>
    <definedName name="_74__FDSAUDITLINK___1"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_1"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_2" localSheetId="3"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__FDSAUDITLINK___2" hidden="1">{"fdsup://directions/FAT Viewer?action=UPDATE&amp;creator=factset&amp;DYN_ARGS=TRUE&amp;DOC_NAME=FAT:FQL_AUDITING_CLIENT_TEMPLATE.FAT&amp;display_string=Audit&amp;VAR:KEY=MZIRGRQDQT&amp;VAR:QUERY=RkZfRU5UUlBSX1ZBTF9EQUlMWShOT1csLCwsLCdESUwnKQ==&amp;WINDOW=FIRST_POPUP&amp;HEIGHT=450&amp;WIDTH=","450&amp;START_MAXIMIZED=FALSE&amp;VAR:CALENDAR=FIVEDAY&amp;VAR:SYMBOL=PACB&amp;VAR:INDEX=0"}</definedName>
    <definedName name="_74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8.640673&amp;VAR:P=1&amp;VAR:DATE=20080903"}</definedName>
    <definedName name="_74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8.615898&amp;VAR:P=1&amp;VAR:DATE=20080801"}</definedName>
    <definedName name="_74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8.738806&amp;VAR:P=1&amp;VAR:DATE=20080703"}</definedName>
    <definedName name="_74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9.269764&amp;VAR:P=1&amp;VAR:DATE=20080604"}</definedName>
    <definedName name="_74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9.637917&amp;VAR:P=1&amp;VAR:DATE=20080502"}</definedName>
    <definedName name="_74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5__FDSAUDITLINK__"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0.008197&amp;VAR:V=14.139373&amp;VAR:V0=14.153661&amp;VAR:V1=12.600275&amp;VAR:Y0=2008&amp;VAR:Y1=2009&amp;VAR:P=1447.164000&amp;VAR:DATE=20080103&amp;VAR:THRESH=||||","||"}</definedName>
    <definedName name="_75__FDSAUDITLINK___1"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_1"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_2" localSheetId="3"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__FDSAUDITLINK___2" hidden="1">{"fdsup://directions/FAT Viewer?action=UPDATE&amp;creator=factset&amp;DYN_ARGS=TRUE&amp;DOC_NAME=FAT:FQL_AUDITING_CLIENT_TEMPLATE.FAT&amp;display_string=Audit&amp;VAR:KEY=EZCLCRSDAP&amp;VAR:QUERY=RkZfRU5UUlBSX1ZBTF9EQUlMWShOT1csLCwsLCdESUwnKQ==&amp;WINDOW=FIRST_POPUP&amp;HEIGHT=450&amp;WIDTH=","450&amp;START_MAXIMIZED=FALSE&amp;VAR:CALENDAR=FIVEDAY&amp;VAR:SYMBOL=AFFX&amp;VAR:INDEX=0"}</definedName>
    <definedName name="_75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9.424413&amp;VAR:P=1&amp;VAR:DATE=20080404"}</definedName>
    <definedName name="_75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9.116974&amp;VAR:P=1&amp;VAR:DATE=20080304"}</definedName>
    <definedName name="_75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9.464734&amp;VAR:P=1&amp;VAR:DATE=20080201"}</definedName>
    <definedName name="_75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9.910656&amp;VAR:P=1&amp;VAR:DATE=20080103"}</definedName>
    <definedName name="_75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9.915987&amp;VAR:P=1&amp;VAR:DATE=20071204"}</definedName>
    <definedName name="_75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6__FDSAUDITLINK__"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0.008197&amp;VAR:V=14.139373&amp;VAR:V0=14.153661&amp;VAR:V1=12.600275&amp;VAR:Y0=2008&amp;VAR:Y1=2009&amp;VAR:P=1447.164000&amp;VAR:DATE=20080103&amp;VAR:THRESH=||||","||"}</definedName>
    <definedName name="_76__FDSAUDITLINK___1"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_1"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_2" localSheetId="3"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__FDSAUDITLINK___2" hidden="1">{"fdsup://directions/FAT Viewer?action=UPDATE&amp;creator=factset&amp;DYN_ARGS=TRUE&amp;DOC_NAME=FAT:FQL_AUDITING_CLIENT_TEMPLATE.FAT&amp;display_string=Audit&amp;VAR:KEY=OLOPGHWHAP&amp;VAR:QUERY=RkZfRU5UUlBSX1ZBTF9EQUlMWShOT1csLCwsLCdESUwnKQ==&amp;WINDOW=FIRST_POPUP&amp;HEIGHT=450&amp;WIDTH=","450&amp;START_MAXIMIZED=FALSE&amp;VAR:CALENDAR=FIVEDAY&amp;VAR:SYMBOL=BDX&amp;VAR:INDEX=0"}</definedName>
    <definedName name="_76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10.136585&amp;VAR:P=1&amp;VAR:DATE=20071102"}</definedName>
    <definedName name="_76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10.127369&amp;VAR:P=1&amp;VAR:DATE=20071004"}</definedName>
    <definedName name="_76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9.826141&amp;VAR:P=1&amp;VAR:DATE=20070904"}</definedName>
    <definedName name="_76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9.742597&amp;VAR:P=1&amp;VAR:DATE=20070803"}</definedName>
    <definedName name="_76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10.126953&amp;VAR:P=1&amp;VAR:DATE=20070705"}</definedName>
    <definedName name="_76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7__FDSAUDITLINK__"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14.204778&amp;VAR:V0=16.219699&amp;VAR:V1=14.065203&amp;VAR:Y0=2007&amp;VAR:Y1=2008&amp;VAR:P=1462.790200&amp;VAR:DATE=20071204&amp;VAR:THRESH=||||","||"}</definedName>
    <definedName name="_77__FDSAUDITLINK___1"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_1"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_2" localSheetId="3"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__FDSAUDITLINK___2" hidden="1">{"fdsup://directions/FAT Viewer?action=UPDATE&amp;creator=factset&amp;DYN_ARGS=TRUE&amp;DOC_NAME=FAT:FQL_AUDITING_CLIENT_TEMPLATE.FAT&amp;display_string=Audit&amp;VAR:KEY=ONQHQDUZKF&amp;VAR:QUERY=RkZfRU5UUlBSX1ZBTF9EQUlMWShOT1csLCwsLCdESUwnKQ==&amp;WINDOW=FIRST_POPUP&amp;HEIGHT=450&amp;WIDTH=","450&amp;START_MAXIMIZED=FALSE&amp;VAR:CALENDAR=FIVEDAY&amp;VAR:SYMBOL=BEC&amp;VAR:INDEX=0"}</definedName>
    <definedName name="_77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10.170300&amp;VAR:P=1&amp;VAR:DATE=20070604"}</definedName>
    <definedName name="_77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9.798459&amp;VAR:P=1&amp;VAR:DATE=20070504"}</definedName>
    <definedName name="_77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9.428311&amp;VAR:P=1&amp;VAR:DATE=20070404"}</definedName>
    <definedName name="_77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9.004281&amp;VAR:P=1&amp;VAR:DATE=20070305"}</definedName>
    <definedName name="_77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9.518798&amp;VAR:P=1&amp;VAR:DATE=20070202"}</definedName>
    <definedName name="_77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8__FDSAUDITLINK__"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0.926027&amp;VAR:V=14.204778&amp;VAR:V0=16.219699&amp;VAR:V1=14.065203&amp;VAR:Y0=2007&amp;VAR:Y1=2008&amp;VAR:P=1462.790200&amp;VAR:DATE=20071204&amp;VAR:THRESH=||||","||"}</definedName>
    <definedName name="_78__FDSAUDITLINK___1"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_1"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_2" localSheetId="3"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__FDSAUDITLINK___2" hidden="1">{"fdsup://directions/FAT Viewer?action=UPDATE&amp;creator=factset&amp;DYN_ARGS=TRUE&amp;DOC_NAME=FAT:FQL_AUDITING_CLIENT_TEMPLATE.FAT&amp;display_string=Audit&amp;VAR:KEY=GPYRITKBWH&amp;VAR:QUERY=RkZfRU5UUlBSX1ZBTF9EQUlMWShOT1csLCwsLCdESUwnKQ==&amp;WINDOW=FIRST_POPUP&amp;HEIGHT=450&amp;WIDTH=","450&amp;START_MAXIMIZED=FALSE&amp;VAR:CALENDAR=FIVEDAY&amp;VAR:SYMBOL=GPRO&amp;VAR:INDEX=0"}</definedName>
    <definedName name="_78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9.292314&amp;VAR:P=1&amp;VAR:DATE=20070103"}</definedName>
    <definedName name="_78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9.356602&amp;VAR:P=1&amp;VAR:DATE=20061204"}</definedName>
    <definedName name="_78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9.353447&amp;VAR:P=1&amp;VAR:DATE=20061103"}</definedName>
    <definedName name="_78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9.233368&amp;VAR:P=1&amp;VAR:DATE=20061004"}</definedName>
    <definedName name="_78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9.057829&amp;VAR:P=1&amp;VAR:DATE=20060901"}</definedName>
    <definedName name="_78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9__FDSAUDITLINK__"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14.610874&amp;VAR:V0=16.190287&amp;VAR:V1=14.341128&amp;VAR:Y0=2007&amp;VAR:Y1=2008&amp;VAR:P=1509.651700&amp;VAR:DATE=20071102&amp;VAR:THRESH=||||","||"}</definedName>
    <definedName name="_79__FDSAUDITLINK___1"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_1"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_2" localSheetId="3"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__FDSAUDITLINK___2" hidden="1">{"fdsup://directions/FAT Viewer?action=UPDATE&amp;creator=factset&amp;DYN_ARGS=TRUE&amp;DOC_NAME=FAT:FQL_AUDITING_CLIENT_TEMPLATE.FAT&amp;display_string=Audit&amp;VAR:KEY=UXUVUJWNOH&amp;VAR:QUERY=RkZfRU5UUlBSX1ZBTF9EQUlMWShOT1csLCwsLCdESUwnKQ==&amp;WINDOW=FIRST_POPUP&amp;HEIGHT=450&amp;WIDTH=","450&amp;START_MAXIMIZED=FALSE&amp;VAR:CALENDAR=FIVEDAY&amp;VAR:SYMBOL=HSP&amp;VAR:INDEX=0"}</definedName>
    <definedName name="_79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9.169279&amp;VAR:P=1&amp;VAR:DATE=20060804"}</definedName>
    <definedName name="_79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9.221990&amp;VAR:P=1&amp;VAR:DATE=20060703"}</definedName>
    <definedName name="_79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9.260679&amp;VAR:P=1&amp;VAR:DATE=20060602"}</definedName>
    <definedName name="_79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9.687273&amp;VAR:P=1&amp;VAR:DATE=20060505"}</definedName>
    <definedName name="_79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9.627583&amp;VAR:P=1&amp;VAR:DATE=20060404"}</definedName>
    <definedName name="_79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7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8__123Graph_ACHART_112" hidden="1">[2]Menu!$D$17:$M$17</definedName>
    <definedName name="_8__FDSAUDITLINK__" localSheetId="3"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0.841096&amp;VAR:V=12.759761&amp;VAR:V0=14.171356&amp;VAR:V1=12.524075&amp;VAR:Y0=2010&amp;VAR:Y1=2011&amp;VAR:P=1197.961445&amp;VAR:DATE=20101103&amp;VAR:THRESH=||||","||"}</definedName>
    <definedName name="_8__FDSAUDITLINK___1" localSheetId="3"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_1"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_2" localSheetId="3"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__FDSAUDITLINK___2" hidden="1">{"fdsup://directions/FAT Viewer?action=UPDATE&amp;creator=factset&amp;DYN_ARGS=TRUE&amp;DOC_NAME=FAT:FQL_AUDITING_CLIENT_TEMPLATE.FAT&amp;display_string=Audit&amp;VAR:KEY=OTKPETWXCN&amp;VAR:QUERY=RkZfU0hMRFJTX0VRKEFOTiwwKQ==&amp;WINDOW=FIRST_POPUP&amp;HEIGHT=450&amp;WIDTH=450&amp;START_MAXIMIZED=","FALSE&amp;VAR:CALENDAR=US&amp;VAR:SYMBOL=STJ&amp;VAR:INDEX=0"}</definedName>
    <definedName name="_80__FDSAUDITLINK__"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0.838356&amp;VAR:V=14.610874&amp;VAR:V0=16.190287&amp;VAR:V1=14.341128&amp;VAR:Y0=2007&amp;VAR:Y1=2008&amp;VAR:P=1509.651700&amp;VAR:DATE=20071102&amp;VAR:THRESH=||||","||"}</definedName>
    <definedName name="_80__FDSAUDITLINK___1"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_1"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_2" localSheetId="3"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__FDSAUDITLINK___2" hidden="1">{"fdsup://directions/FAT Viewer?action=UPDATE&amp;creator=factset&amp;DYN_ARGS=TRUE&amp;DOC_NAME=FAT:FQL_AUDITING_CLIENT_TEMPLATE.FAT&amp;display_string=Audit&amp;VAR:KEY=QDWBINOJIH&amp;VAR:QUERY=RkZfRU5UUlBSX1ZBTF9EQUlMWShOT1csLCwsLCdESUwnKQ==&amp;WINDOW=FIRST_POPUP&amp;HEIGHT=450&amp;WIDTH=","450&amp;START_MAXIMIZED=FALSE&amp;VAR:CALENDAR=FIVEDAY&amp;VAR:SYMBOL=MYGN&amp;VAR:INDEX=0"}</definedName>
    <definedName name="_80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8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9.510110&amp;VAR:P=1&amp;VAR:DATE=20060303"}</definedName>
    <definedName name="_80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9.720403&amp;VAR:P=1&amp;VAR:DATE=20060202"}</definedName>
    <definedName name="_80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9.667035&amp;VAR:P=1&amp;VAR:DATE=20060103"}</definedName>
    <definedName name="_80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9.641316&amp;VAR:P=1&amp;VAR:DATE=20051202"}</definedName>
    <definedName name="_80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9.387299&amp;VAR:P=1&amp;VAR:DATE=20051103"}</definedName>
    <definedName name="_80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1__FDSAUDITLINK__"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14.967944&amp;VAR:V0=16.362378&amp;VAR:V1=14.573382&amp;VAR:Y0=2007&amp;VAR:Y1=2008&amp;VAR:P=1542.837900&amp;VAR:DATE=20071004&amp;VAR:THRESH=||||","||"}</definedName>
    <definedName name="_81__FDSAUDITLINK___1"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_1"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_2" localSheetId="3"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__FDSAUDITLINK___2" hidden="1">{"fdsup://directions/FAT Viewer?action=UPDATE&amp;creator=factset&amp;DYN_ARGS=TRUE&amp;DOC_NAME=FAT:FQL_AUDITING_CLIENT_TEMPLATE.FAT&amp;display_string=Audit&amp;VAR:KEY=KPODUPWHYR&amp;VAR:QUERY=RkZfRU5UUlBSX1ZBTF9EQUlMWShOT1csLCwsLCdESUwnKQ==&amp;WINDOW=FIRST_POPUP&amp;HEIGHT=450&amp;WIDTH=","450&amp;START_MAXIMIZED=FALSE&amp;VAR:CALENDAR=FIVEDAY&amp;VAR:SYMBOL=QGEN&amp;VAR:INDEX=0"}</definedName>
    <definedName name="_81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9.436163&amp;VAR:P=1&amp;VAR:DATE=20051004"}</definedName>
    <definedName name="_81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9.522823&amp;VAR:P=1&amp;VAR:DATE=20050902"}</definedName>
    <definedName name="_81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9.808216&amp;VAR:P=1&amp;VAR:DATE=20050804"}</definedName>
    <definedName name="_81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9.486941&amp;VAR:P=1&amp;VAR:DATE=20050701"}</definedName>
    <definedName name="_81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9.583898&amp;VAR:P=1&amp;VAR:DATE=20050603"}</definedName>
    <definedName name="_81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2__FDSAUDITLINK__"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14.967944&amp;VAR:V0=16.362378&amp;VAR:V1=14.573382&amp;VAR:Y0=2007&amp;VAR:Y1=2008&amp;VAR:P=1542.837900&amp;VAR:DATE=20071004&amp;VAR:THRESH=||||","||"}</definedName>
    <definedName name="_82__FDSAUDITLINK___1"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_1"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_2" localSheetId="3"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__FDSAUDITLINK___2" hidden="1">{"fdsup://directions/FAT Viewer?action=UPDATE&amp;creator=factset&amp;DYN_ARGS=TRUE&amp;DOC_NAME=FAT:FQL_AUDITING_CLIENT_TEMPLATE.FAT&amp;display_string=Audit&amp;VAR:KEY=CBKNWDAHKJ&amp;VAR:QUERY=RkZfRU5UUlBSX1ZBTF9EQUlMWShOT1csLCwsLCdESUwnKQ==&amp;WINDOW=FIRST_POPUP&amp;HEIGHT=450&amp;WIDTH=","450&amp;START_MAXIMIZED=FALSE&amp;VAR:CALENDAR=FIVEDAY&amp;VAR:SYMBOL=BIO&amp;VAR:INDEX=0"}</definedName>
    <definedName name="_82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9.630356&amp;VAR:P=1&amp;VAR:DATE=20050504"}</definedName>
    <definedName name="_82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9.706159&amp;VAR:P=1&amp;VAR:DATE=20050404"}</definedName>
    <definedName name="_82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10.028408&amp;VAR:P=1&amp;VAR:DATE=20050304"}</definedName>
    <definedName name="_82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10.141667&amp;VAR:P=1&amp;VAR:DATE=20050202"}</definedName>
    <definedName name="_82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10.231366&amp;VAR:P=1&amp;VAR:DATE=20050103"}</definedName>
    <definedName name="_82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3__FDSAUDITLINK__"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14.485638&amp;VAR:V0=15.604108&amp;VAR:V1=14.006030&amp;VAR:Y0=2007&amp;VAR:Y1=2008&amp;VAR:P=1489.417600&amp;VAR:DATE=20070904&amp;VAR:THRESH=||||","||"}</definedName>
    <definedName name="_83__FDSAUDITLINK___1"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_1"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_2" localSheetId="3"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__FDSAUDITLINK___2" hidden="1">{"fdsup://directions/FAT Viewer?action=UPDATE&amp;creator=factset&amp;DYN_ARGS=TRUE&amp;DOC_NAME=FAT:FQL_AUDITING_CLIENT_TEMPLATE.FAT&amp;display_string=Audit&amp;VAR:KEY=UNOBIVMNGP&amp;VAR:QUERY=RkZfRU5UUlBSX1ZBTF9EQUlMWShOT1csLCwsLCdESUwnKQ==&amp;WINDOW=FIRST_POPUP&amp;HEIGHT=450&amp;WIDTH=","450&amp;START_MAXIMIZED=FALSE&amp;VAR:CALENDAR=FIVEDAY&amp;VAR:SYMBOL=DNEX&amp;VAR:INDEX=0"}</definedName>
    <definedName name="_83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10.192616&amp;VAR:P=1&amp;VAR:DATE=20041203"}</definedName>
    <definedName name="_83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10.170885&amp;VAR:P=1&amp;VAR:DATE=20041103"}</definedName>
    <definedName name="_83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10.111724&amp;VAR:P=1&amp;VAR:DATE=20041001"}</definedName>
    <definedName name="_83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9.957583&amp;VAR:P=1&amp;VAR:DATE=20040903"}</definedName>
    <definedName name="_83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10.417731&amp;VAR:P=1&amp;VAR:DATE=20040803"}</definedName>
    <definedName name="_83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4__FDSAUDITLINK__"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0.676712&amp;VAR:V=14.485638&amp;VAR:V0=15.604108&amp;VAR:V1=14.006030&amp;VAR:Y0=2007&amp;VAR:Y1=2008&amp;VAR:P=1489.417600&amp;VAR:DATE=20070904&amp;VAR:THRESH=||||","||"}</definedName>
    <definedName name="_84__FDSAUDITLINK___1"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_1"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_2" localSheetId="3"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__FDSAUDITLINK___2" hidden="1">{"fdsup://directions/FAT Viewer?action=UPDATE&amp;creator=factset&amp;DYN_ARGS=TRUE&amp;DOC_NAME=FAT:FQL_AUDITING_CLIENT_TEMPLATE.FAT&amp;display_string=Audit&amp;VAR:KEY=QPUPARQXUX&amp;VAR:QUERY=RkZfRU5UUlBSX1ZBTF9EQUlMWShOT1csLCwsLCdESUwnKQ==&amp;WINDOW=FIRST_POPUP&amp;HEIGHT=450&amp;WIDTH=","450&amp;START_MAXIMIZED=FALSE&amp;VAR:CALENDAR=FIVEDAY&amp;VAR:SYMBOL=LMNX&amp;VAR:INDEX=0"}</definedName>
    <definedName name="_84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10.651409&amp;VAR:P=1&amp;VAR:DATE=20040702"}</definedName>
    <definedName name="_84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10.649679&amp;VAR:P=1&amp;VAR:DATE=20040604"}</definedName>
    <definedName name="_84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10.549106&amp;VAR:P=1&amp;VAR:DATE=20040504"}</definedName>
    <definedName name="_84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10.704497&amp;VAR:P=1&amp;VAR:DATE=20040402"}</definedName>
    <definedName name="_84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10.827780&amp;VAR:P=1&amp;VAR:DATE=20040304"}</definedName>
    <definedName name="_84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5__FDSAUDITLINK__"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14.039542&amp;VAR:V0=14.975632&amp;VAR:V1=13.452863&amp;VAR:Y0=2007&amp;VAR:Y1=2008&amp;VAR:P=1433.057900&amp;VAR:DATE=20070803&amp;VAR:THRESH=||||","||"}</definedName>
    <definedName name="_85__FDSAUDITLINK___1"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_1"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_2" localSheetId="3"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__FDSAUDITLINK___2" hidden="1">{"fdsup://directions/FAT Viewer?action=UPDATE&amp;creator=factset&amp;DYN_ARGS=TRUE&amp;DOC_NAME=FAT:FQL_AUDITING_CLIENT_TEMPLATE.FAT&amp;display_string=Audit&amp;VAR:KEY=ENALIHQZUJ&amp;VAR:QUERY=RkZfRU5UUlBSX1ZBTF9EQUlMWShOT1csLCwsLCdESUwnKQ==&amp;WINDOW=FIRST_POPUP&amp;HEIGHT=450&amp;WIDTH=","450&amp;START_MAXIMIZED=FALSE&amp;VAR:CALENDAR=FIVEDAY&amp;VAR:SYMBOL=SIAL&amp;VAR:INDEX=0"}</definedName>
    <definedName name="_85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11.877560&amp;VAR:P=1&amp;VAR:DATE=20040203"}</definedName>
    <definedName name="_85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11.691075&amp;VAR:P=1&amp;VAR:DATE=20040102"}</definedName>
    <definedName name="_85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11.420972&amp;VAR:P=1&amp;VAR:DATE=20031204"}</definedName>
    <definedName name="_85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11.602767&amp;VAR:P=1&amp;VAR:DATE=20031103"}</definedName>
    <definedName name="_85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11.429638&amp;VAR:P=1&amp;VAR:DATE=20031003"}</definedName>
    <definedName name="_85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6__FDSAUDITLINK__"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0.589041&amp;VAR:V=14.039542&amp;VAR:V0=14.975632&amp;VAR:V1=13.452863&amp;VAR:Y0=2007&amp;VAR:Y1=2008&amp;VAR:P=1433.057900&amp;VAR:DATE=20070803&amp;VAR:THRESH=||||","||"}</definedName>
    <definedName name="_86__FDSAUDITLINK___1"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_1"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_2" localSheetId="3"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__FDSAUDITLINK___2" hidden="1">{"fdsup://directions/FAT Viewer?action=UPDATE&amp;creator=factset&amp;DYN_ARGS=TRUE&amp;DOC_NAME=FAT:FQL_AUDITING_CLIENT_TEMPLATE.FAT&amp;display_string=Audit&amp;VAR:KEY=EPWDAVAVWL&amp;VAR:QUERY=RkZfRU5UUlBSX1ZBTF9EQUlMWShOT1csLCwsLCdESUwnKQ==&amp;WINDOW=FIRST_POPUP&amp;HEIGHT=450&amp;WIDTH=","450&amp;START_MAXIMIZED=FALSE&amp;VAR:CALENDAR=FIVEDAY&amp;VAR:SYMBOL=TECH&amp;VAR:INDEX=0"}</definedName>
    <definedName name="_86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11.518236&amp;VAR:P=1&amp;VAR:DATE=20030904"}</definedName>
    <definedName name="_86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11.047064&amp;VAR:P=1&amp;VAR:DATE=20030804"}</definedName>
    <definedName name="_86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11.088489&amp;VAR:P=1&amp;VAR:DATE=20030703"}</definedName>
    <definedName name="_86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11.113719&amp;VAR:P=1&amp;VAR:DATE=20030604"}</definedName>
    <definedName name="_86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9.855120&amp;VAR:P=1&amp;VAR:DATE=20030505"}</definedName>
    <definedName name="_86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7__FDSAUDITLINK__"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0.509589&amp;VAR:V=15.183746&amp;VAR:V0=16.066332&amp;VAR:V1=14.421340&amp;VAR:Y0=2007&amp;VAR:Y1=2008&amp;VAR:P=1525.403100&amp;VAR:DATE=20070705&amp;VAR:THRESH=||||","||"}</definedName>
    <definedName name="_87__FDSAUDITLINK___1"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_1"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_2" localSheetId="3"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__FDSAUDITLINK___2" hidden="1">{"fdsup://directions/FAT Viewer?action=UPDATE&amp;creator=factset&amp;DYN_ARGS=TRUE&amp;DOC_NAME=FAT:FQL_AUDITING_CLIENT_TEMPLATE.FAT&amp;display_string=Audit&amp;VAR:KEY=CFMTMNEHCF&amp;VAR:QUERY=RkZfRU5UUlBSX1ZBTF9EQUlMWShOT1csLCwsLCdESUwnKQ==&amp;WINDOW=FIRST_POPUP&amp;HEIGHT=450&amp;WIDTH=","450&amp;START_MAXIMIZED=FALSE&amp;VAR:CALENDAR=FIVEDAY&amp;VAR:SYMBOL=ALR&amp;VAR:INDEX=0"}</definedName>
    <definedName name="_87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9.515083&amp;VAR:P=1&amp;VAR:DATE=20030404"}</definedName>
    <definedName name="_87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9.119877&amp;VAR:P=1&amp;VAR:DATE=20030305"}</definedName>
    <definedName name="_87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9.965353&amp;VAR:P=1&amp;VAR:DATE=20030203"}</definedName>
    <definedName name="_87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10.364563&amp;VAR:P=1&amp;VAR:DATE=20030103"}</definedName>
    <definedName name="_87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10.533836&amp;VAR:P=1&amp;VAR:DATE=20021204"}</definedName>
    <definedName name="_87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8__FDSAUDITLINK__"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0.509589&amp;VAR:V=15.183746&amp;VAR:V0=16.066332&amp;VAR:V1=14.421340&amp;VAR:Y0=2007&amp;VAR:Y1=2008&amp;VAR:P=1525.403100&amp;VAR:DATE=20070705&amp;VAR:THRESH=||||","||"}</definedName>
    <definedName name="_88__FDSAUDITLINK___1"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_1"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_2" localSheetId="3"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__FDSAUDITLINK___2" hidden="1">{"fdsup://directions/FAT Viewer?action=UPDATE&amp;creator=factset&amp;DYN_ARGS=TRUE&amp;DOC_NAME=FAT:FQL_AUDITING_CLIENT_TEMPLATE.FAT&amp;display_string=Audit&amp;VAR:KEY=CBUFQRWTMN&amp;VAR:QUERY=RkZfRU5UUlBSX1ZBTF9EQUlMWShOT1csLCwsLCdESUwnKQ==&amp;WINDOW=FIRST_POPUP&amp;HEIGHT=450&amp;WIDTH=","450&amp;START_MAXIMIZED=FALSE&amp;VAR:CALENDAR=FIVEDAY&amp;VAR:SYMBOL=GHDX&amp;VAR:INDEX=0"}</definedName>
    <definedName name="_88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10.417538&amp;VAR:P=1&amp;VAR:DATE=20021101"}</definedName>
    <definedName name="_88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9.620799&amp;VAR:P=1&amp;VAR:DATE=20021004"}</definedName>
    <definedName name="_88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10.282785&amp;VAR:P=1&amp;VAR:DATE=20020903"}</definedName>
    <definedName name="_88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10.192352&amp;VAR:P=1&amp;VAR:DATE=20020802"}</definedName>
    <definedName name="_88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11.043048&amp;VAR:P=1&amp;VAR:DATE=20020703"}</definedName>
    <definedName name="_88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9__FDSAUDITLINK__"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15.501069&amp;VAR:V0=16.233496&amp;VAR:V1=14.608105&amp;VAR:Y0=2007&amp;VAR:Y1=2008&amp;VAR:P=1539.181800&amp;VAR:DATE=20070604&amp;VAR:THRESH=||||","||"}</definedName>
    <definedName name="_89__FDSAUDITLINK___1"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_1"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_2" localSheetId="3"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__FDSAUDITLINK___2" hidden="1">{"fdsup://directions/FAT Viewer?action=UPDATE&amp;creator=factset&amp;DYN_ARGS=TRUE&amp;DOC_NAME=FAT:FQL_AUDITING_CLIENT_TEMPLATE.FAT&amp;display_string=Audit&amp;VAR:KEY=GFSNGJUZGB&amp;VAR:QUERY=RkZfRU5UUlBSX1ZBTF9EQUlMWShOT1csLCwsLCdESUwnKQ==&amp;WINDOW=FIRST_POPUP&amp;HEIGHT=450&amp;WIDTH=","450&amp;START_MAXIMIZED=FALSE&amp;VAR:CALENDAR=FIVEDAY&amp;VAR:SYMBOL=CPHD&amp;VAR:INDEX=0"}</definedName>
    <definedName name="_89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11.896831&amp;VAR:P=1&amp;VAR:DATE=20020604"}</definedName>
    <definedName name="_89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10.986961&amp;VAR:P=1&amp;VAR:DATE=20020503"}</definedName>
    <definedName name="_89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11.512978&amp;VAR:P=1&amp;VAR:DATE=20020404"}</definedName>
    <definedName name="_89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11.744124&amp;VAR:P=1&amp;VAR:DATE=20020305"}</definedName>
    <definedName name="_89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11.588851&amp;VAR:P=1&amp;VAR:DATE=20020201"}</definedName>
    <definedName name="_89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8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9__123Graph_ACHART_26" hidden="1">[2]Menu!$D$83:$M$83</definedName>
    <definedName name="_9__FDSAUDITLINK__"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0.758904&amp;VAR:V=12.259458&amp;VAR:V0=13.603223&amp;VAR:V1=11.886435&amp;VAR:Y0=2010&amp;VAR:Y1=2011&amp;VAR:P=1137.033723&amp;VAR:DATE=20101004&amp;VAR:THRESH=||||","||"}</definedName>
    <definedName name="_9__FDSAUDITLINK___1"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_1"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_2" localSheetId="3"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__FDSAUDITLINK___2" hidden="1">{"fdsup://directions/FAT Viewer?action=UPDATE&amp;creator=factset&amp;DYN_ARGS=TRUE&amp;DOC_NAME=FAT:FQL_AUDITING_CLIENT_TEMPLATE.FAT&amp;display_string=Audit&amp;VAR:KEY=UFOZKPGNCL&amp;VAR:QUERY=RkZfREVCVChBTk4sMCk=&amp;WINDOW=FIRST_POPUP&amp;HEIGHT=450&amp;WIDTH=450&amp;START_MAXIMIZED=FALSE&amp;VA","R:CALENDAR=US&amp;VAR:SYMBOL=STJ&amp;VAR:INDEX=0"}</definedName>
    <definedName name="_90__FDSAUDITLINK__"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0.424658&amp;VAR:V=15.501069&amp;VAR:V0=16.233496&amp;VAR:V1=14.608105&amp;VAR:Y0=2007&amp;VAR:Y1=2008&amp;VAR:P=1539.181800&amp;VAR:DATE=20070604&amp;VAR:THRESH=||||","||"}</definedName>
    <definedName name="_90__FDSAUDITLINK___1"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_1"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_2" localSheetId="3"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__FDSAUDITLINK___2" hidden="1">{"fdsup://directions/FAT Viewer?action=UPDATE&amp;creator=factset&amp;DYN_ARGS=TRUE&amp;DOC_NAME=FAT:FQL_AUDITING_CLIENT_TEMPLATE.FAT&amp;display_string=Audit&amp;VAR:KEY=YHONQXAZSR&amp;VAR:QUERY=RkZfRU5UUlBSX1ZBTF9EQUlMWShOT1csLCwsLCdESUwnKQ==&amp;WINDOW=FIRST_POPUP&amp;HEIGHT=450&amp;WIDTH=","450&amp;START_MAXIMIZED=FALSE&amp;VAR:CALENDAR=FIVEDAY&amp;VAR:SYMBOL=VIVO&amp;VAR:INDEX=0"}</definedName>
    <definedName name="_90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9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11.891066&amp;VAR:P=1&amp;VAR:DATE=20020103"}</definedName>
    <definedName name="_90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11.531613&amp;VAR:P=1&amp;VAR:DATE=20011203"}</definedName>
    <definedName name="_90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10.728211&amp;VAR:P=1&amp;VAR:DATE=20011102"}</definedName>
    <definedName name="_90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10.537662&amp;VAR:P=1&amp;VAR:DATE=20011004"}</definedName>
    <definedName name="_90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10.997960&amp;VAR:P=1&amp;VAR:DATE=20010831"}</definedName>
    <definedName name="_90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1__FDSAUDITLINK__"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15.359263&amp;VAR:V0=15.946908&amp;VAR:V1=14.332751&amp;VAR:Y0=2007&amp;VAR:Y1=2008&amp;VAR:P=1505.617000&amp;VAR:DATE=20070504&amp;VAR:THRESH=||||","||"}</definedName>
    <definedName name="_91__FDSAUDITLINK___1"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_1"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_2" localSheetId="3"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__FDSAUDITLINK___2" hidden="1">{"fdsup://directions/FAT Viewer?action=UPDATE&amp;creator=factset&amp;DYN_ARGS=TRUE&amp;DOC_NAME=FAT:FQL_AUDITING_CLIENT_TEMPLATE.FAT&amp;display_string=Audit&amp;VAR:KEY=KDCPCRGJOX&amp;VAR:QUERY=RkZfRU5UUlBSX1ZBTF9EQUlMWShOT1csLCwsLCdESUwnKQ==&amp;WINDOW=FIRST_POPUP&amp;HEIGHT=450&amp;WIDTH=","450&amp;START_MAXIMIZED=FALSE&amp;VAR:CALENDAR=FIVEDAY&amp;VAR:SYMBOL=ILMN&amp;VAR:INDEX=0"}</definedName>
    <definedName name="_91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11.405821&amp;VAR:P=1&amp;VAR:DATE=20010803"}</definedName>
    <definedName name="_91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11.502147&amp;VAR:P=1&amp;VAR:DATE=20010703"}</definedName>
    <definedName name="_913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4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11.762053&amp;VAR:P=1&amp;VAR:DATE=20010604"}</definedName>
    <definedName name="_915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6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11.356570&amp;VAR:P=1&amp;VAR:DATE=20010504"}</definedName>
    <definedName name="_917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8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10.088822&amp;VAR:P=1&amp;VAR:DATE=20010404"}</definedName>
    <definedName name="_919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2__FDSAUDITLINK__"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0.339726&amp;VAR:V=15.359263&amp;VAR:V0=15.946908&amp;VAR:V1=14.332751&amp;VAR:Y0=2007&amp;VAR:Y1=2008&amp;VAR:P=1505.617000&amp;VAR:DATE=20070504&amp;VAR:THRESH=||||","||"}</definedName>
    <definedName name="_92__FDSAUDITLINK___1"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_1"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_2" localSheetId="3"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__FDSAUDITLINK___2" hidden="1">{"fdsup://directions/FAT Viewer?action=UPDATE&amp;creator=factset&amp;DYN_ARGS=TRUE&amp;DOC_NAME=FAT:FQL_AUDITING_CLIENT_TEMPLATE.FAT&amp;display_string=Audit&amp;VAR:KEY=WNEPKPEBAB&amp;VAR:QUERY=RkZfRU5UUlBSX1ZBTF9EQUlMWShOT1csLCwsLCdESUwnKQ==&amp;WINDOW=FIRST_POPUP&amp;HEIGHT=450&amp;WIDTH=","450&amp;START_MAXIMIZED=FALSE&amp;VAR:CALENDAR=FIVEDAY&amp;VAR:SYMBOL=LIFE&amp;VAR:INDEX=0"}</definedName>
    <definedName name="_920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11.115745&amp;VAR:P=1&amp;VAR:DATE=20010302"}</definedName>
    <definedName name="_921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22__FDSAUDITLINK__" localSheetId="3"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audit&amp;VAR:FQLFORMULA=FMA_EVAL_EBITDA&amp;VAR:MEASURE=EVEBITDA&amp;VAR:NULL=.HTML&amp;VAR:PED=LTM&amp;VAR:PERIOD=FIXED&amp;VAR:THRESH=-|-|-|-|-|-&amp;VAR:PCT=N&amp;VAR:V=12.361258&amp;VAR:P=1&amp;VAR:DATE=20010202"}</definedName>
    <definedName name="_93__FDSAUDITLINK__"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14.940955&amp;VAR:V0=15.376779&amp;VAR:V1=13.812320&amp;VAR:Y0=2007&amp;VAR:Y1=2008&amp;VAR:P=1439.366200&amp;VAR:DATE=20070404&amp;VAR:THRESH=||||","||"}</definedName>
    <definedName name="_93__FDSAUDITLINK___1"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_1"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_2" localSheetId="3"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3__FDSAUDITLINK___2" hidden="1">{"fdsup://directions/FAT Viewer?action=UPDATE&amp;creator=factset&amp;DYN_ARGS=TRUE&amp;DOC_NAME=FAT:FQL_AUDITING_CLIENT_TEMPLATE.FAT&amp;display_string=Audit&amp;VAR:KEY=WHUFCHOVAN&amp;VAR:QUERY=RkZfRU5UUlBSX1ZBTF9EQUlMWShOT1csLCwsLCdESUwnKQ==&amp;WINDOW=FIRST_POPUP&amp;HEIGHT=450&amp;WIDTH=","450&amp;START_MAXIMIZED=FALSE&amp;VAR:CALENDAR=FIVEDAY&amp;VAR:SYMBOL=WAT&amp;VAR:INDEX=0"}</definedName>
    <definedName name="_94__FDSAUDITLINK__"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0.257534&amp;VAR:V=14.940955&amp;VAR:V0=15.376779&amp;VAR:V1=13.812320&amp;VAR:Y0=2007&amp;VAR:Y1=2008&amp;VAR:P=1439.366200&amp;VAR:DATE=20070404&amp;VAR:THRESH=||||","||"}</definedName>
    <definedName name="_94__FDSAUDITLINK___1"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_1"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_2" localSheetId="3"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4__FDSAUDITLINK___2" hidden="1">{"fdsup://directions/FAT Viewer?action=UPDATE&amp;creator=factset&amp;DYN_ARGS=TRUE&amp;DOC_NAME=FAT:FQL_AUDITING_CLIENT_TEMPLATE.FAT&amp;display_string=Audit&amp;VAR:KEY=CBYLCVWFIZ&amp;VAR:QUERY=RkZfRU5UUlBSX1ZBTF9EQUlMWShOT1csLCwsLCdESUwnKQ==&amp;WINDOW=FIRST_POPUP&amp;HEIGHT=450&amp;WIDTH=","450&amp;START_MAXIMIZED=FALSE&amp;VAR:CALENDAR=FIVEDAY&amp;VAR:SYMBOL=TMO&amp;VAR:INDEX=0"}</definedName>
    <definedName name="_95__FDSAUDITLINK__"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14.338099&amp;VAR:V0=14.617803&amp;VAR:V1=13.154320&amp;VAR:Y0=2007&amp;VAR:Y1=2008&amp;VAR:P=1374.122400&amp;VAR:DATE=20070305&amp;VAR:THRESH=||||","||"}</definedName>
    <definedName name="_95__FDSAUDITLINK___1"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_1"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_2" localSheetId="3"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5__FDSAUDITLINK___2" hidden="1">{"fdsup://directions/FAT Viewer?action=UPDATE&amp;creator=factset&amp;DYN_ARGS=TRUE&amp;DOC_NAME=FAT:FQL_AUDITING_CLIENT_TEMPLATE.FAT&amp;display_string=Audit&amp;VAR:KEY=CHSVMLSVYH&amp;VAR:QUERY=RkZfRU5UUlBSX1ZBTF9EQUlMWShOT1csLCwsLCdESUwnKQ==&amp;WINDOW=FIRST_POPUP&amp;HEIGHT=450&amp;WIDTH=","450&amp;START_MAXIMIZED=FALSE&amp;VAR:CALENDAR=FIVEDAY&amp;VAR:SYMBOL=BRKR&amp;VAR:INDEX=0"}</definedName>
    <definedName name="_96__FDSAUDITLINK__"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0.175342&amp;VAR:V=14.338099&amp;VAR:V0=14.617803&amp;VAR:V1=13.154320&amp;VAR:Y0=2007&amp;VAR:Y1=2008&amp;VAR:P=1374.122400&amp;VAR:DATE=20070305&amp;VAR:THRESH=||||","||"}</definedName>
    <definedName name="_96__FDSAUDITLINK___1"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_1"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_2" localSheetId="3"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6__FDSAUDITLINK___2" hidden="1">{"fdsup://directions/FAT Viewer?action=UPDATE&amp;creator=factset&amp;DYN_ARGS=TRUE&amp;DOC_NAME=FAT:FQL_AUDITING_CLIENT_TEMPLATE.FAT&amp;display_string=Audit&amp;VAR:KEY=OZKRUNWHIL&amp;VAR:QUERY=RkZfRU5UUlBSX1ZBTF9EQUlMWShOT1csLCwsLCdESUwnKQ==&amp;WINDOW=FIRST_POPUP&amp;HEIGHT=450&amp;WIDTH=","450&amp;START_MAXIMIZED=FALSE&amp;VAR:CALENDAR=FIVEDAY&amp;VAR:SYMBOL=MTD&amp;VAR:INDEX=0"}</definedName>
    <definedName name="_97__FDSAUDITLINK__"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15.218781&amp;VAR:V0=15.366463&amp;VAR:V1=13.877019&amp;VAR:Y0=2007&amp;VAR:Y1=2008&amp;VAR:P=1448.390100&amp;VAR:DATE=20070202&amp;VAR:THRESH=||||","||"}</definedName>
    <definedName name="_97__FDSAUDITLINK___1"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_1"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_2" localSheetId="3"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7__FDSAUDITLINK___2" hidden="1">{"fdsup://directions/FAT Viewer?action=UPDATE&amp;creator=factset&amp;DYN_ARGS=TRUE&amp;DOC_NAME=FAT:FQL_AUDITING_CLIENT_TEMPLATE.FAT&amp;display_string=Audit&amp;VAR:KEY=EFKFOZQBKX&amp;VAR:QUERY=RkZfRU5UUlBSX1ZBTF9EQUlMWShOT1csLCwsLCdESUwnKQ==&amp;WINDOW=FIRST_POPUP&amp;HEIGHT=450&amp;WIDTH=","450&amp;START_MAXIMIZED=FALSE&amp;VAR:CALENDAR=FIVEDAY&amp;VAR:SYMBOL=PKI&amp;VAR:INDEX=0"}</definedName>
    <definedName name="_98__FDSAUDITLINK__"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0.090411&amp;VAR:V=15.218781&amp;VAR:V0=15.366463&amp;VAR:V1=13.877019&amp;VAR:Y0=2007&amp;VAR:Y1=2008&amp;VAR:P=1448.390100&amp;VAR:DATE=20070202&amp;VAR:THRESH=||||","||"}</definedName>
    <definedName name="_98__FDSAUDITLINK___1"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_1"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_2" localSheetId="3"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8__FDSAUDITLINK___2" hidden="1">{"fdsup://directions/FAT Viewer?action=UPDATE&amp;creator=factset&amp;DYN_ARGS=TRUE&amp;DOC_NAME=FAT:FQL_AUDITING_CLIENT_TEMPLATE.FAT&amp;display_string=Audit&amp;VAR:KEY=AZYZAZOHSN&amp;VAR:QUERY=RkZfRU5UUlBSX1ZBTF9EQUlMWShOT1csLCwsLCdESUwnKQ==&amp;WINDOW=FIRST_POPUP&amp;HEIGHT=450&amp;WIDTH=","450&amp;START_MAXIMIZED=FALSE&amp;VAR:CALENDAR=FIVEDAY&amp;VAR:SYMBOL=A&amp;VAR:INDEX=0"}</definedName>
    <definedName name="_99__FDSAUDITLINK__"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 hidden="1">{"fdsup://directions/FAT%20Viewer?WINDOW=first_popup&amp;DYN_ARGS=TRUE&amp;START_MAXIMIZED=FALSE&amp;TITLEBAR=FactSet Market Aggregates&amp;ACTION=UPDATE&amp;CREATOR=FACTSET&amp;HEIGHT=525&amp;WIDTH=500&amp;DOC_NAME=FAT:FMA_AUDIT_TM.FAT&amp;VAR:CURRENCY=USD&amp;VAR:AUDIT_ID=00000117&amp;VAR:CALC_MODE","=PORTFOLIO&amp;VAR:CHGPERIOD=NA&amp;DISPLAY_STRING=audit&amp;VAR:FQLFORMULA=FMA_PE&amp;VAR:MEASURE=PE&amp;VAR:NULL=.HTML&amp;VAR:TM=NTMA&amp;VAR:PCT=0.008219&amp;VAR:V=14.851090&amp;VAR:V0=14.863323&amp;VAR:V1=13.509517&amp;VAR:Y0=2007&amp;VAR:Y1=2008&amp;VAR:P=1416.602000&amp;VAR:DATE=20070103&amp;VAR:THRESH=||||","||"}</definedName>
    <definedName name="_99__FDSAUDITLINK___1"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_1"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_2" localSheetId="3"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99__FDSAUDITLINK___2" hidden="1">{"fdsup://directions/FAT Viewer?action=UPDATE&amp;creator=factset&amp;DYN_ARGS=TRUE&amp;DOC_NAME=FAT:FQL_AUDITING_CLIENT_TEMPLATE.FAT&amp;display_string=Audit&amp;VAR:KEY=ELINIDUNIT&amp;VAR:QUERY=RkZfRU5UUlBSX1ZBTF9EQUlMWShOT1csLCwsLCdESUwnKQ==&amp;WINDOW=FIRST_POPUP&amp;HEIGHT=450&amp;WIDTH=","450&amp;START_MAXIMIZED=FALSE&amp;VAR:CALENDAR=FIVEDAY&amp;VAR:SYMBOL=ZIGO&amp;VAR:INDEX=0"}</definedName>
    <definedName name="_a1" localSheetId="3" hidden="1">{"comp1",#N/A,FALSE,"COMPS";"footnotes",#N/A,FALSE,"COMPS"}</definedName>
    <definedName name="_a1" localSheetId="6" hidden="1">{"comp1",#N/A,FALSE,"COMPS";"footnotes",#N/A,FALSE,"COMPS"}</definedName>
    <definedName name="_a1" hidden="1">{"comp1",#N/A,FALSE,"COMPS";"footnotes",#N/A,FALSE,"COMPS"}</definedName>
    <definedName name="_aa1" localSheetId="3" hidden="1">{#N/A,#N/A,TRUE,"Pro Forma";#N/A,#N/A,TRUE,"PF_Bal";#N/A,#N/A,TRUE,"PF_INC";#N/A,#N/A,TRUE,"CBE";#N/A,#N/A,TRUE,"SWK"}</definedName>
    <definedName name="_aa1" localSheetId="6" hidden="1">{#N/A,#N/A,TRUE,"Pro Forma";#N/A,#N/A,TRUE,"PF_Bal";#N/A,#N/A,TRUE,"PF_INC";#N/A,#N/A,TRUE,"CBE";#N/A,#N/A,TRUE,"SWK"}</definedName>
    <definedName name="_aa1" hidden="1">{#N/A,#N/A,TRUE,"Pro Forma";#N/A,#N/A,TRUE,"PF_Bal";#N/A,#N/A,TRUE,"PF_INC";#N/A,#N/A,TRUE,"CBE";#N/A,#N/A,TRUE,"SWK"}</definedName>
    <definedName name="_aaa1" localSheetId="3" hidden="1">{"comp1",#N/A,FALSE,"COMPS";"footnotes",#N/A,FALSE,"COMPS"}</definedName>
    <definedName name="_aaa1" hidden="1">{"comp1",#N/A,FALSE,"COMPS";"footnotes",#N/A,FALSE,"COMPS"}</definedName>
    <definedName name="_aab1" localSheetId="3" hidden="1">{"comp1",#N/A,FALSE,"COMPS";"footnotes",#N/A,FALSE,"COMPS"}</definedName>
    <definedName name="_aab1" hidden="1">{"comp1",#N/A,FALSE,"COMPS";"footnotes",#N/A,FALSE,"COMPS"}</definedName>
    <definedName name="_ab1" localSheetId="3" hidden="1">{"comp1",#N/A,FALSE,"COMPS";"footnotes",#N/A,FALSE,"COMPS"}</definedName>
    <definedName name="_ab1" localSheetId="6" hidden="1">{"comp1",#N/A,FALSE,"COMPS";"footnotes",#N/A,FALSE,"COMPS"}</definedName>
    <definedName name="_ab1" hidden="1">{"comp1",#N/A,FALSE,"COMPS";"footnotes",#N/A,FALSE,"COMPS"}</definedName>
    <definedName name="_ae1" localSheetId="3" hidden="1">{#N/A,#N/A,FALSE,"Calc";#N/A,#N/A,FALSE,"Sensitivity";#N/A,#N/A,FALSE,"LT Earn.Dil.";#N/A,#N/A,FALSE,"Dil. AVP"}</definedName>
    <definedName name="_ae1" localSheetId="6" hidden="1">{#N/A,#N/A,FALSE,"Calc";#N/A,#N/A,FALSE,"Sensitivity";#N/A,#N/A,FALSE,"LT Earn.Dil.";#N/A,#N/A,FALSE,"Dil. AVP"}</definedName>
    <definedName name="_ae1" hidden="1">{#N/A,#N/A,FALSE,"Calc";#N/A,#N/A,FALSE,"Sensitivity";#N/A,#N/A,FALSE,"LT Earn.Dil.";#N/A,#N/A,FALSE,"Dil. AVP"}</definedName>
    <definedName name="_aee1" localSheetId="3" hidden="1">{#N/A,#N/A,FALSE,"Calc";#N/A,#N/A,FALSE,"Sensitivity";#N/A,#N/A,FALSE,"LT Earn.Dil.";#N/A,#N/A,FALSE,"Dil. AVP"}</definedName>
    <definedName name="_aee1" hidden="1">{#N/A,#N/A,FALSE,"Calc";#N/A,#N/A,FALSE,"Sensitivity";#N/A,#N/A,FALSE,"LT Earn.Dil.";#N/A,#N/A,FALSE,"Dil. AVP"}</definedName>
    <definedName name="_af1" hidden="1">"c1455"</definedName>
    <definedName name="_af10" hidden="1">"c2141"</definedName>
    <definedName name="_af11" hidden="1">"c1382"</definedName>
    <definedName name="_af12" hidden="1">"c1385"</definedName>
    <definedName name="_af13" hidden="1">"c1435"</definedName>
    <definedName name="_af14" hidden="1">"c1436"</definedName>
    <definedName name="_af15" hidden="1">"c1424"</definedName>
    <definedName name="_af16" hidden="1">"c1345"</definedName>
    <definedName name="_af18" hidden="1">"c1438"</definedName>
    <definedName name="_af19" localSheetId="3">{"Client Name or Project Name"}</definedName>
    <definedName name="_af19" localSheetId="6">{"Client Name or Project Name"}</definedName>
    <definedName name="_af19">{"Client Name or Project Name"}</definedName>
    <definedName name="_af2" hidden="1">"c1352"</definedName>
    <definedName name="_af20" localSheetId="3">{"Client Name or Project Name"}</definedName>
    <definedName name="_af20" localSheetId="6">{"Client Name or Project Name"}</definedName>
    <definedName name="_af20">{"Client Name or Project Name"}</definedName>
    <definedName name="_af21" localSheetId="3">{"Client Name or Project Name"}</definedName>
    <definedName name="_af21" localSheetId="6">{"Client Name or Project Name"}</definedName>
    <definedName name="_af21">{"Client Name or Project Name"}</definedName>
    <definedName name="_af22" localSheetId="3">{"Client Name or Project Name"}</definedName>
    <definedName name="_af22" localSheetId="6">{"Client Name or Project Name"}</definedName>
    <definedName name="_af22">{"Client Name or Project Name"}</definedName>
    <definedName name="_af23" localSheetId="3">{126}</definedName>
    <definedName name="_af23" localSheetId="6">{126}</definedName>
    <definedName name="_af23">{126}</definedName>
    <definedName name="_af24" localSheetId="3">{1}</definedName>
    <definedName name="_af24" localSheetId="6">{1}</definedName>
    <definedName name="_af24">{1}</definedName>
    <definedName name="_af25" localSheetId="3">{0}</definedName>
    <definedName name="_af25" localSheetId="6">{0}</definedName>
    <definedName name="_af25">{0}</definedName>
    <definedName name="_af26" localSheetId="3">{126}</definedName>
    <definedName name="_af26" localSheetId="6">{126}</definedName>
    <definedName name="_af26">{126}</definedName>
    <definedName name="_af27" localSheetId="3">{"Client Name or Project Name"}</definedName>
    <definedName name="_af27" localSheetId="6">{"Client Name or Project Name"}</definedName>
    <definedName name="_af27">{"Client Name or Project Name"}</definedName>
    <definedName name="_af28" localSheetId="3">{"Client Name or Project Name"}</definedName>
    <definedName name="_af28" localSheetId="6">{"Client Name or Project Name"}</definedName>
    <definedName name="_af28">{"Client Name or Project Name"}</definedName>
    <definedName name="_af3" hidden="1">"c1353"</definedName>
    <definedName name="_af30" localSheetId="3">{"Client Name or Project Name"}</definedName>
    <definedName name="_af30" localSheetId="6">{"Client Name or Project Name"}</definedName>
    <definedName name="_af30">{"Client Name or Project Name"}</definedName>
    <definedName name="_af31" localSheetId="3">{"Client Name or Project Name"}</definedName>
    <definedName name="_af31" localSheetId="6">{"Client Name or Project Name"}</definedName>
    <definedName name="_af31">{"Client Name or Project Name"}</definedName>
    <definedName name="_af32" localSheetId="3">{"Client Name or Project Name"}</definedName>
    <definedName name="_af32" localSheetId="6">{"Client Name or Project Name"}</definedName>
    <definedName name="_af32">{"Client Name or Project Name"}</definedName>
    <definedName name="_af33" localSheetId="3">{"Client Name or Project Name"}</definedName>
    <definedName name="_af33" localSheetId="6">{"Client Name or Project Name"}</definedName>
    <definedName name="_af33">{"Client Name or Project Name"}</definedName>
    <definedName name="_af34" localSheetId="3">{"Client Name or Project Name"}</definedName>
    <definedName name="_af34" localSheetId="6">{"Client Name or Project Name"}</definedName>
    <definedName name="_af34">{"Client Name or Project Name"}</definedName>
    <definedName name="_af35" localSheetId="3">{"Client Name or Project Name"}</definedName>
    <definedName name="_af35" localSheetId="6">{"Client Name or Project Name"}</definedName>
    <definedName name="_af35">{"Client Name or Project Name"}</definedName>
    <definedName name="_af36" localSheetId="3">{"Client Name or Project Name"}</definedName>
    <definedName name="_af36" localSheetId="6">{"Client Name or Project Name"}</definedName>
    <definedName name="_af36">{"Client Name or Project Name"}</definedName>
    <definedName name="_af37" localSheetId="3" hidden="1">{"Client is",#N/A,FALSE,"Client"}</definedName>
    <definedName name="_af37" localSheetId="6" hidden="1">{"Client is",#N/A,FALSE,"Client"}</definedName>
    <definedName name="_af37" hidden="1">{"Client is",#N/A,FALSE,"Client"}</definedName>
    <definedName name="_af38" localSheetId="3" hidden="1">{TRUE,TRUE,-1.25,-15.5,456.75,279.75,FALSE,FALSE,TRUE,TRUE,0,1,18,1,199,6,3,4,TRUE,TRUE,3,TRUE,1,TRUE,100,"Swvu.cash.","ACwvu.cash.",1,FALSE,FALSE,0.511811023622047,0.511811023622047,0.511811023622047,0.511811023622047,1,"","",FALSE,FALSE,FALSE,FALSE,1,#N/A,1,1,#DIV/0!,FALSE,"Rwvu.cash.",#N/A,FALSE,FALSE}</definedName>
    <definedName name="_af38" localSheetId="6" hidden="1">{TRUE,TRUE,-1.25,-15.5,456.75,279.75,FALSE,FALSE,TRUE,TRUE,0,1,18,1,199,6,3,4,TRUE,TRUE,3,TRUE,1,TRUE,100,"Swvu.cash.","ACwvu.cash.",1,FALSE,FALSE,0.511811023622047,0.511811023622047,0.511811023622047,0.511811023622047,1,"","",FALSE,FALSE,FALSE,FALSE,1,#N/A,1,1,#DIV/0!,FALSE,"Rwvu.cash.",#N/A,FALSE,FALSE}</definedName>
    <definedName name="_af38" hidden="1">{TRUE,TRUE,-1.25,-15.5,456.75,279.75,FALSE,FALSE,TRUE,TRUE,0,1,18,1,199,6,3,4,TRUE,TRUE,3,TRUE,1,TRUE,100,"Swvu.cash.","ACwvu.cash.",1,FALSE,FALSE,0.511811023622047,0.511811023622047,0.511811023622047,0.511811023622047,1,"","",FALSE,FALSE,FALSE,FALSE,1,#N/A,1,1,#DIV/0!,FALSE,"Rwvu.cash.",#N/A,FALSE,FALSE}</definedName>
    <definedName name="_af39"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_af39" localSheetId="6" hidden="1">{TRUE,TRUE,-1.25,-15.5,456.75,279.75,FALSE,FALSE,TRUE,TRUE,0,1,21,1,127,6,3,4,TRUE,TRUE,3,TRUE,1,TRUE,100,"Swvu.profits.","ACwvu.profits.",1,FALSE,FALSE,0.511811023622047,0.511811023622047,0.511811023622047,0.511811023622047,1,"","",FALSE,FALSE,FALSE,FALSE,1,#N/A,1,1,#DIV/0!,FALSE,"Rwvu.profits.",#N/A,FALSE,FALSE}</definedName>
    <definedName name="_af39" hidden="1">{TRUE,TRUE,-1.25,-15.5,456.75,279.75,FALSE,FALSE,TRUE,TRUE,0,1,21,1,127,6,3,4,TRUE,TRUE,3,TRUE,1,TRUE,100,"Swvu.profits.","ACwvu.profits.",1,FALSE,FALSE,0.511811023622047,0.511811023622047,0.511811023622047,0.511811023622047,1,"","",FALSE,FALSE,FALSE,FALSE,1,#N/A,1,1,#DIV/0!,FALSE,"Rwvu.profits.",#N/A,FALSE,FALSE}</definedName>
    <definedName name="_af4" hidden="1">"c1354"</definedName>
    <definedName name="_af40"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_af40" localSheetId="6" hidden="1">{TRUE,TRUE,-1.25,-15.5,456.75,279.75,FALSE,FALSE,TRUE,TRUE,0,1,8,1,4,6,3,4,TRUE,TRUE,3,TRUE,1,TRUE,100,"Swvu.turnover.","ACwvu.turnover.",1,FALSE,FALSE,0.511811023622047,0.511811023622047,0.511811023622047,0.511811023622047,1,"","",FALSE,FALSE,FALSE,FALSE,1,#N/A,1,1,#DIV/0!,FALSE,"Rwvu.turnover.",#N/A,FALSE,FALSE}</definedName>
    <definedName name="_af40" hidden="1">{TRUE,TRUE,-1.25,-15.5,456.75,279.75,FALSE,FALSE,TRUE,TRUE,0,1,8,1,4,6,3,4,TRUE,TRUE,3,TRUE,1,TRUE,100,"Swvu.turnover.","ACwvu.turnover.",1,FALSE,FALSE,0.511811023622047,0.511811023622047,0.511811023622047,0.511811023622047,1,"","",FALSE,FALSE,FALSE,FALSE,1,#N/A,1,1,#DIV/0!,FALSE,"Rwvu.turnover.",#N/A,FALSE,FALSE}</definedName>
    <definedName name="_af5" hidden="1">"c1411"</definedName>
    <definedName name="_af6" hidden="1">"c1431"</definedName>
    <definedName name="_af7" hidden="1">"c1433"</definedName>
    <definedName name="_af8" hidden="1">"c1434"</definedName>
    <definedName name="_af9" hidden="1">"c1432"</definedName>
    <definedName name="_am1" localSheetId="3" hidden="1">{#N/A,#N/A,TRUE,"Pro Forma";#N/A,#N/A,TRUE,"PF_Bal";#N/A,#N/A,TRUE,"PF_INC";#N/A,#N/A,TRUE,"CBE";#N/A,#N/A,TRUE,"SWK"}</definedName>
    <definedName name="_am1" localSheetId="6" hidden="1">{#N/A,#N/A,TRUE,"Pro Forma";#N/A,#N/A,TRUE,"PF_Bal";#N/A,#N/A,TRUE,"PF_INC";#N/A,#N/A,TRUE,"CBE";#N/A,#N/A,TRUE,"SWK"}</definedName>
    <definedName name="_am1" hidden="1">{#N/A,#N/A,TRUE,"Pro Forma";#N/A,#N/A,TRUE,"PF_Bal";#N/A,#N/A,TRUE,"PF_INC";#N/A,#N/A,TRUE,"CBE";#N/A,#N/A,TRUE,"SWK"}</definedName>
    <definedName name="_amm1" localSheetId="3" hidden="1">{#N/A,#N/A,TRUE,"Pro Forma";#N/A,#N/A,TRUE,"PF_Bal";#N/A,#N/A,TRUE,"PF_INC";#N/A,#N/A,TRUE,"CBE";#N/A,#N/A,TRUE,"SWK"}</definedName>
    <definedName name="_amm1" hidden="1">{#N/A,#N/A,TRUE,"Pro Forma";#N/A,#N/A,TRUE,"PF_Bal";#N/A,#N/A,TRUE,"PF_INC";#N/A,#N/A,TRUE,"CBE";#N/A,#N/A,TRUE,"SWK"}</definedName>
    <definedName name="_as1" localSheetId="3" hidden="1">{"comp1",#N/A,FALSE,"COMPS";"footnotes",#N/A,FALSE,"COMPS"}</definedName>
    <definedName name="_as1" localSheetId="6" hidden="1">{"comp1",#N/A,FALSE,"COMPS";"footnotes",#N/A,FALSE,"COMPS"}</definedName>
    <definedName name="_as1" hidden="1">{"comp1",#N/A,FALSE,"COMPS";"footnotes",#N/A,FALSE,"COMPS"}</definedName>
    <definedName name="_ASM1" localSheetId="3">{9}</definedName>
    <definedName name="_ASM1" localSheetId="6">{9}</definedName>
    <definedName name="_ASM1">{9}</definedName>
    <definedName name="_ASM2" localSheetId="3">{9}</definedName>
    <definedName name="_ASM2" localSheetId="6">{9}</definedName>
    <definedName name="_ASM2">{9}</definedName>
    <definedName name="_ass1" localSheetId="3" hidden="1">{"comp1",#N/A,FALSE,"COMPS";"footnotes",#N/A,FALSE,"COMPS"}</definedName>
    <definedName name="_ass1" hidden="1">{"comp1",#N/A,FALSE,"COMPS";"footnotes",#N/A,FALSE,"COMPS"}</definedName>
    <definedName name="_bdm.02E29E7B1053433EA3CCCBE4E5141596.edm" hidden="1">[5]Sheet1!$A:$IV</definedName>
    <definedName name="_bdm.1334C29876F942D8901AD4770A993668.edm" localSheetId="1" hidden="1">'P&amp;L'!$B$3:$AQ$53</definedName>
    <definedName name="_bdm.1ED62A45DEF247ECA361049A600E2EA7.edm" hidden="1">[6]Comps!$A:$IV</definedName>
    <definedName name="_bdm.2D2AE9F3DE2C4009BE1ADEF0D8291426.edm" hidden="1">'[6]Valuation metrics'!$A:$IV</definedName>
    <definedName name="_bdm.367EA898F586448AA306326C4129ADFD.edm" hidden="1">'[7]M&amp;Acalcs'!$A:$IV</definedName>
    <definedName name="_bdm.6694A034F149482090D1C7073DD8E728.edm" hidden="1">[8]Sheet1!$A:$IV</definedName>
    <definedName name="_bdm.D0F45DF5877447288FB1E0B1EA686B46.edm" hidden="1">[6]RC2!$A:$IV</definedName>
    <definedName name="_bdm.D3D015489E4F45C1905C95E6AA98954C.edm" localSheetId="3" hidden="1">ccGro!$A$2:$U$17</definedName>
    <definedName name="_bdm.DA66EF2E41854969AD44B2D1C775CE0B.edm" hidden="1">'P&amp;L'!$1:$1048576</definedName>
    <definedName name="_bdm.ED20F03133AF48328CFFEBFE37BDAE7F.edm" hidden="1">ccGro!$1:$1048576</definedName>
    <definedName name="_CF_Summary">[6]RC2!$AF$35:$AK$47</definedName>
    <definedName name="_div_yield">[6]RC2!$V$13:$Y$21</definedName>
    <definedName name="_f1" localSheetId="3" hidden="1">{"assumption cash",#N/A,TRUE,"Merger";"has gets cash",#N/A,TRUE,"Merger";"accretion dilution",#N/A,TRUE,"Merger";"comparison credit stats",#N/A,TRUE,"Merger";"pf credit stats",#N/A,TRUE,"Merger";"pf sheets",#N/A,TRUE,"Merger"}</definedName>
    <definedName name="_f1" localSheetId="6" hidden="1">{"assumption cash",#N/A,TRUE,"Merger";"has gets cash",#N/A,TRUE,"Merger";"accretion dilution",#N/A,TRUE,"Merger";"comparison credit stats",#N/A,TRUE,"Merger";"pf credit stats",#N/A,TRUE,"Merger";"pf sheets",#N/A,TRUE,"Merger"}</definedName>
    <definedName name="_f1" hidden="1">{"assumption cash",#N/A,TRUE,"Merger";"has gets cash",#N/A,TRUE,"Merger";"accretion dilution",#N/A,TRUE,"Merger";"comparison credit stats",#N/A,TRUE,"Merger";"pf credit stats",#N/A,TRUE,"Merger";"pf sheets",#N/A,TRUE,"Merger"}</definedName>
    <definedName name="_FCF_yield">[6]Comps!$D$20:$S$35</definedName>
    <definedName name="_fy2001">'[9]5 yr Sales and Earnings'!$C$1:$C$170</definedName>
    <definedName name="_ik1" localSheetId="3" hidden="1">{"casespecific",#N/A,FALSE,"Assumptions"}</definedName>
    <definedName name="_ik1" localSheetId="6" hidden="1">{"casespecific",#N/A,FALSE,"Assumptions"}</definedName>
    <definedName name="_ik1" hidden="1">{"casespecific",#N/A,FALSE,"Assumptions"}</definedName>
    <definedName name="_Order1" hidden="1">255</definedName>
    <definedName name="_Order2" hidden="1">0</definedName>
    <definedName name="_P1">[1]Bio!$A$5:$S$293</definedName>
    <definedName name="_P2">[1]Bio!$A$5:$P$293</definedName>
    <definedName name="_ppp1" localSheetId="3">{"Client Name or Project Name"}</definedName>
    <definedName name="_ppp1" localSheetId="6">{"Client Name or Project Name"}</definedName>
    <definedName name="_ppp1">{"Client Name or Project Name"}</definedName>
    <definedName name="_rb1" localSheetId="3" hidden="1">{"comp1",#N/A,FALSE,"COMPS";"footnotes",#N/A,FALSE,"COMPS"}</definedName>
    <definedName name="_rb1" hidden="1">{"comp1",#N/A,FALSE,"COMPS";"footnotes",#N/A,FALSE,"COMPS"}</definedName>
    <definedName name="_rb10" localSheetId="3">{"Client Name or Project Name"}</definedName>
    <definedName name="_rb10" localSheetId="6">{"Client Name or Project Name"}</definedName>
    <definedName name="_rb10">{"Client Name or Project Name"}</definedName>
    <definedName name="_rb11" localSheetId="3" hidden="1">{"assumption cash",#N/A,TRUE,"Merger";"has gets cash",#N/A,TRUE,"Merger";"accretion dilution",#N/A,TRUE,"Merger";"comparison credit stats",#N/A,TRUE,"Merger";"pf credit stats",#N/A,TRUE,"Merger";"pf sheets",#N/A,TRUE,"Merger"}</definedName>
    <definedName name="_rb11" hidden="1">{"assumption cash",#N/A,TRUE,"Merger";"has gets cash",#N/A,TRUE,"Merger";"accretion dilution",#N/A,TRUE,"Merger";"comparison credit stats",#N/A,TRUE,"Merger";"pf credit stats",#N/A,TRUE,"Merger";"pf sheets",#N/A,TRUE,"Merger"}</definedName>
    <definedName name="_rb12" localSheetId="3">{9}</definedName>
    <definedName name="_rb12" localSheetId="6">{9}</definedName>
    <definedName name="_rb12">{9}</definedName>
    <definedName name="_rb13" localSheetId="3" hidden="1">{"'Breakup 01 Euro'!$A$3:$I$30"}</definedName>
    <definedName name="_rb13" localSheetId="6" hidden="1">{"'Breakup 01 Euro'!$A$3:$I$30"}</definedName>
    <definedName name="_rb13" hidden="1">{"'Breakup 01 Euro'!$A$3:$I$30"}</definedName>
    <definedName name="_rb14" localSheetId="3" hidden="1">{"casespecific",#N/A,FALSE,"Assumptions"}</definedName>
    <definedName name="_rb14" hidden="1">{"casespecific",#N/A,FALSE,"Assumptions"}</definedName>
    <definedName name="_rb15" hidden="1">"c1449"</definedName>
    <definedName name="_rb16" hidden="1">"c1343"</definedName>
    <definedName name="_rb17" hidden="1">"c1341"</definedName>
    <definedName name="_rb18" hidden="1">"c1340"</definedName>
    <definedName name="_rb19" hidden="1">"c1344"</definedName>
    <definedName name="_rb2" localSheetId="3" hidden="1">{#N/A,#N/A,TRUE,"Pro Forma";#N/A,#N/A,TRUE,"PF_Bal";#N/A,#N/A,TRUE,"PF_INC";#N/A,#N/A,TRUE,"CBE";#N/A,#N/A,TRUE,"SWK"}</definedName>
    <definedName name="_rb2" hidden="1">{#N/A,#N/A,TRUE,"Pro Forma";#N/A,#N/A,TRUE,"PF_Bal";#N/A,#N/A,TRUE,"PF_INC";#N/A,#N/A,TRUE,"CBE";#N/A,#N/A,TRUE,"SWK"}</definedName>
    <definedName name="_rb20" hidden="1">"c1342"</definedName>
    <definedName name="_rb21" hidden="1">"c1591"</definedName>
    <definedName name="_rb22" hidden="1">"c1346"</definedName>
    <definedName name="_rb23" hidden="1">"c2133"</definedName>
    <definedName name="_rb24" hidden="1">"c1349"</definedName>
    <definedName name="_rb25" hidden="1">"c1350"</definedName>
    <definedName name="_rb26" hidden="1">"c1458"</definedName>
    <definedName name="_rb27" hidden="1">"c116"</definedName>
    <definedName name="_rb28" hidden="1">"c1351"</definedName>
    <definedName name="_rb29" hidden="1">"c1355"</definedName>
    <definedName name="_rb3" localSheetId="3" hidden="1">{"comp1",#N/A,FALSE,"COMPS";"footnotes",#N/A,FALSE,"COMPS"}</definedName>
    <definedName name="_rb3" hidden="1">{"comp1",#N/A,FALSE,"COMPS";"footnotes",#N/A,FALSE,"COMPS"}</definedName>
    <definedName name="_rb30" hidden="1">"c1357"</definedName>
    <definedName name="_rb31" hidden="1">"c1358"</definedName>
    <definedName name="_rb32" hidden="1">"c1359"</definedName>
    <definedName name="_rb33" hidden="1">"c1362"</definedName>
    <definedName name="_rb34" hidden="1">"c1363"</definedName>
    <definedName name="_rb35" hidden="1">"c1364"</definedName>
    <definedName name="_rb36" hidden="1">"c1365"</definedName>
    <definedName name="_rb37" hidden="1">"c1447"</definedName>
    <definedName name="_rb38" hidden="1">"c1356"</definedName>
    <definedName name="_rb39" hidden="1">"c1360"</definedName>
    <definedName name="_rb4" localSheetId="3" hidden="1">{#N/A,#N/A,FALSE,"Calc";#N/A,#N/A,FALSE,"Sensitivity";#N/A,#N/A,FALSE,"LT Earn.Dil.";#N/A,#N/A,FALSE,"Dil. AVP"}</definedName>
    <definedName name="_rb4" hidden="1">{#N/A,#N/A,FALSE,"Calc";#N/A,#N/A,FALSE,"Sensitivity";#N/A,#N/A,FALSE,"LT Earn.Dil.";#N/A,#N/A,FALSE,"Dil. AVP"}</definedName>
    <definedName name="_rb40" hidden="1">"c1361"</definedName>
    <definedName name="_rb41" hidden="1">"c1520"</definedName>
    <definedName name="_rb42" hidden="1">"c1367"</definedName>
    <definedName name="_rb43" hidden="1">"c1366"</definedName>
    <definedName name="_rb44" hidden="1">"c1369"</definedName>
    <definedName name="_rb45" hidden="1">"c1370"</definedName>
    <definedName name="_rb46" hidden="1">"c1371"</definedName>
    <definedName name="_rb47" hidden="1">"c1348"</definedName>
    <definedName name="_rb48" hidden="1">"c1451"</definedName>
    <definedName name="_rb49" hidden="1">"c1390"</definedName>
    <definedName name="_rb5" localSheetId="3">{9}</definedName>
    <definedName name="_rb5" localSheetId="6">{9}</definedName>
    <definedName name="_rb5">{9}</definedName>
    <definedName name="_rb50" hidden="1">"c1428"</definedName>
    <definedName name="_rb51" hidden="1">"c1426"</definedName>
    <definedName name="_rb52" hidden="1">"c1427"</definedName>
    <definedName name="_rb53" hidden="1">"c1429"</definedName>
    <definedName name="_rb54" hidden="1">"c1897"</definedName>
    <definedName name="_rb55" hidden="1">"c1459"</definedName>
    <definedName name="_rb56" hidden="1">"c1405"</definedName>
    <definedName name="_rb57" hidden="1">"c1406"</definedName>
    <definedName name="_rb58" hidden="1">"c1376"</definedName>
    <definedName name="_rb59" hidden="1">"c1377"</definedName>
    <definedName name="_rb6" localSheetId="3" hidden="1">{#N/A,#N/A,TRUE,"Pro Forma";#N/A,#N/A,TRUE,"PF_Bal";#N/A,#N/A,TRUE,"PF_INC";#N/A,#N/A,TRUE,"CBE";#N/A,#N/A,TRUE,"SWK"}</definedName>
    <definedName name="_rb6" hidden="1">{#N/A,#N/A,TRUE,"Pro Forma";#N/A,#N/A,TRUE,"PF_Bal";#N/A,#N/A,TRUE,"PF_INC";#N/A,#N/A,TRUE,"CBE";#N/A,#N/A,TRUE,"SWK"}</definedName>
    <definedName name="_rb60" hidden="1">"c1380"</definedName>
    <definedName name="_rb61" hidden="1">"c1446"</definedName>
    <definedName name="_rb62" hidden="1">"c1378"</definedName>
    <definedName name="_rb63" hidden="1">"c1395"</definedName>
    <definedName name="_rb64" hidden="1">"c1396"</definedName>
    <definedName name="_rb65" hidden="1">"c1375"</definedName>
    <definedName name="_rb66" hidden="1">"c1407"</definedName>
    <definedName name="_rb67" hidden="1">"c1383"</definedName>
    <definedName name="_rb68" hidden="1">"c1393"</definedName>
    <definedName name="_rb69" hidden="1">"c1384"</definedName>
    <definedName name="_rb7" localSheetId="3" hidden="1">{"comp1",#N/A,FALSE,"COMPS";"footnotes",#N/A,FALSE,"COMPS"}</definedName>
    <definedName name="_rb7" hidden="1">{"comp1",#N/A,FALSE,"COMPS";"footnotes",#N/A,FALSE,"COMPS"}</definedName>
    <definedName name="_rb70" hidden="1">"c1391"</definedName>
    <definedName name="_rb71" hidden="1">"c1386"</definedName>
    <definedName name="_rb72" hidden="1">"c1387"</definedName>
    <definedName name="_rb73" hidden="1">"c1388"</definedName>
    <definedName name="_rb74" hidden="1">"c1389"</definedName>
    <definedName name="_rb75" hidden="1">"c1437"</definedName>
    <definedName name="_rb76" hidden="1">"c1394"</definedName>
    <definedName name="_rb77" hidden="1">"c1368"</definedName>
    <definedName name="_rb78" hidden="1">"c1397"</definedName>
    <definedName name="_rb79" hidden="1">"c1398"</definedName>
    <definedName name="_rb8" localSheetId="3">{9}</definedName>
    <definedName name="_rb8" localSheetId="6">{9}</definedName>
    <definedName name="_rb8">{9}</definedName>
    <definedName name="_rb9" localSheetId="3">{9}</definedName>
    <definedName name="_rb9" localSheetId="6">{9}</definedName>
    <definedName name="_rb9">{9}</definedName>
    <definedName name="_Regression_Int" hidden="1">1</definedName>
    <definedName name="_rt1" hidden="1">"c1392"</definedName>
    <definedName name="_rt10" hidden="1">"c1409"</definedName>
    <definedName name="_rt11" hidden="1">"c1453"</definedName>
    <definedName name="_rt12" hidden="1">"c1410"</definedName>
    <definedName name="_rt14" hidden="1">"c2128"</definedName>
    <definedName name="_rt15" hidden="1">"c1457"</definedName>
    <definedName name="_rt16" hidden="1">"c1414"</definedName>
    <definedName name="_rt17" hidden="1">"c1416"</definedName>
    <definedName name="_rt18" hidden="1">"c1415"</definedName>
    <definedName name="_rt19" hidden="1">"c1418"</definedName>
    <definedName name="_rt2" hidden="1">"c1399"</definedName>
    <definedName name="_rt20" hidden="1">"c1412"</definedName>
    <definedName name="_rt21" hidden="1">"c1413"</definedName>
    <definedName name="_rt22" hidden="1">"c1452"</definedName>
    <definedName name="_rt24" hidden="1">"c1379"</definedName>
    <definedName name="_rt25" hidden="1">"c1402"</definedName>
    <definedName name="_rt26" hidden="1">"c1417"</definedName>
    <definedName name="_rt27" hidden="1">"c1419"</definedName>
    <definedName name="_rt28" hidden="1">"c1420"</definedName>
    <definedName name="_rt29" hidden="1">"c1421"</definedName>
    <definedName name="_rt3" hidden="1">"c1400"</definedName>
    <definedName name="_rt30" hidden="1">"c1422"</definedName>
    <definedName name="_rt31" hidden="1">"c1347"</definedName>
    <definedName name="_rt32" hidden="1">"c1425"</definedName>
    <definedName name="_rt4" hidden="1">"c1401"</definedName>
    <definedName name="_rt5" hidden="1">"c1423"</definedName>
    <definedName name="_rt6" hidden="1">"c1448"</definedName>
    <definedName name="_rt7" hidden="1">"c1403"</definedName>
    <definedName name="_rt8" hidden="1">"c1404"</definedName>
    <definedName name="_rt9" hidden="1">"c1408"</definedName>
    <definedName name="_t1" localSheetId="3" hidden="1">{"Client is",#N/A,FALSE,"Client"}</definedName>
    <definedName name="_t1" localSheetId="6" hidden="1">{"Client is",#N/A,FALSE,"Client"}</definedName>
    <definedName name="_t1" hidden="1">{"Client is",#N/A,FALSE,"Client"}</definedName>
    <definedName name="_TAR2">[10]Inputs!$F$9</definedName>
    <definedName name="aaaaaa1" localSheetId="3" hidden="1">{#N/A,#N/A,TRUE,"Pro Forma";#N/A,#N/A,TRUE,"PF_Bal";#N/A,#N/A,TRUE,"PF_INC";#N/A,#N/A,TRUE,"CBE";#N/A,#N/A,TRUE,"SWK"}</definedName>
    <definedName name="aaaaaa1" hidden="1">{#N/A,#N/A,TRUE,"Pro Forma";#N/A,#N/A,TRUE,"PF_Bal";#N/A,#N/A,TRUE,"PF_INC";#N/A,#N/A,TRUE,"CBE";#N/A,#N/A,TRUE,"SWK"}</definedName>
    <definedName name="abc"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q_name">[11]Inputs!$B$2</definedName>
    <definedName name="AdditionalInstructions">IndexInformation!$B$42</definedName>
    <definedName name="Address" localSheetId="0">ImportantDisclosures!$A$2:$A$2</definedName>
    <definedName name="af" hidden="1">"c1430"</definedName>
    <definedName name="afertgfs" localSheetId="3" hidden="1">{"comp1",#N/A,FALSE,"COMPS";"footnotes",#N/A,FALSE,"COMPS"}</definedName>
    <definedName name="afertgfs" hidden="1">{"comp1",#N/A,FALSE,"COMPS";"footnotes",#N/A,FALSE,"COMPS"}</definedName>
    <definedName name="AllTables" localSheetId="3">{9}</definedName>
    <definedName name="AllTables" localSheetId="6">{9}</definedName>
    <definedName name="AllTables">{9}</definedName>
    <definedName name="alltables1" localSheetId="3">{9}</definedName>
    <definedName name="alltables1" localSheetId="6">{9}</definedName>
    <definedName name="alltables1">{9}</definedName>
    <definedName name="amortization">'[12]Assumptions &amp; Cases'!$F$16</definedName>
    <definedName name="ANA" localSheetId="8">ModPubIndex!$A$7</definedName>
    <definedName name="anscount" hidden="1">1</definedName>
    <definedName name="apple">'[13]Financials Feeder'!$M$13</definedName>
    <definedName name="asdbdbvdfb" localSheetId="3" hidden="1">{0,#N/A,FALSE,0;0,#N/A,FALSE,0}</definedName>
    <definedName name="asdbdbvdfb" hidden="1">{0,#N/A,FALSE,0;0,#N/A,FALSE,0}</definedName>
    <definedName name="asdfbadffbf" localSheetId="3" hidden="1">{#VALUE!,#N/A,TRUE,0;#N/A,#N/A,TRUE,0;#N/A,#N/A,TRUE,0;#N/A,#N/A,TRUE,0;#N/A,#N/A,TRUE,0}</definedName>
    <definedName name="asdfbadffbf" hidden="1">{#VALUE!,#N/A,TRUE,0;#N/A,#N/A,TRUE,0;#N/A,#N/A,TRUE,0;#N/A,#N/A,TRUE,0;#N/A,#N/A,TRUE,0}</definedName>
    <definedName name="asdgasdgg" localSheetId="3" hidden="1">{0,#N/A,FALSE,0}</definedName>
    <definedName name="asdgasdgg" hidden="1">{0,#N/A,FALSE,0}</definedName>
    <definedName name="ASM" localSheetId="3">{9}</definedName>
    <definedName name="ASM" localSheetId="6">{9}</definedName>
    <definedName name="ASM">{9}</definedName>
    <definedName name="ASMM2" localSheetId="3">{9}</definedName>
    <definedName name="ASMM2" localSheetId="6">{9}</definedName>
    <definedName name="ASMM2">{9}</definedName>
    <definedName name="Authors" localSheetId="0">ImportantDisclosures!$A$7</definedName>
    <definedName name="Authors" localSheetId="7">IndexInformation!$B$18</definedName>
    <definedName name="B">'[14]GVAT RI Valuation'!$C$149</definedName>
    <definedName name="bach_share_price">'[15]Accretion-Dilution'!$T$24</definedName>
    <definedName name="bnmjk" localSheetId="3" hidden="1">{#N/A,#N/A,TRUE,"Pro Forma";#N/A,#N/A,TRUE,"PF_Bal";#N/A,#N/A,TRUE,"PF_INC";#N/A,#N/A,TRUE,"CBE";#N/A,#N/A,TRUE,"SWK"}</definedName>
    <definedName name="bnmjk" hidden="1">{#N/A,#N/A,TRUE,"Pro Forma";#N/A,#N/A,TRUE,"PF_Bal";#N/A,#N/A,TRUE,"PF_INC";#N/A,#N/A,TRUE,"CBE";#N/A,#N/A,TRUE,"SWK"}</definedName>
    <definedName name="BRO" localSheetId="8">ModPubIndex!$A$1</definedName>
    <definedName name="BSO">[16]Model_Assumptions!$P$18</definedName>
    <definedName name="Buyer">'[17]M&amp;A inputs'!$J$11</definedName>
    <definedName name="cad">'[18]MOL AccDil Input'!$R$1</definedName>
    <definedName name="cash2">'[19]Trans Inputs'!$B$14</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ashpd">[20]Calcs!$C$10</definedName>
    <definedName name="cb_sChart10D6460A_opts" hidden="1">"1, 1, 1, False, 2, True, False, , 0, False, False, 1, 1"</definedName>
    <definedName name="cb_sChart10D65256_opts" hidden="1">"1, 1, 1, False, 2, True, False, , 0, False, False, 1, 1"</definedName>
    <definedName name="cb_sChart10D653EB_opts" hidden="1">"1, 1, 1, False, 2, True, False, , 0, False, False, 1, 1"</definedName>
    <definedName name="cb_sChart10D65893_opts" hidden="1">"1, 1, 1, False, 2, True, False, , 0, False, False, 1, 1"</definedName>
    <definedName name="cb_sChartEE4CE1B_opts" hidden="1">"1, 4, 1, False, 2, False, False, , 0, False, False, 1, 1"</definedName>
    <definedName name="cb_sChartEE4CF99_opts" hidden="1">"1, 1, 1, False, 2, False, False, , 0, False, False, 1, 1"</definedName>
    <definedName name="cb_sChartEE4DD06_opts" hidden="1">"1, 1, 1, False, 2, False, False, , 0, False, False, 1, 2"</definedName>
    <definedName name="cb_sChartEE4E93B_opts" hidden="1">"1, 1, 1, False, 2, False, False, , 0, False, False, 1, 1"</definedName>
    <definedName name="cb_sChartEE51E95_opts" hidden="1">"1, 1, 1, False, 2, False, False, , 0, False, False, 1, 1"</definedName>
    <definedName name="cb_sChartEED7645_opts" hidden="1">"1, 1, 1, False, 2, False, False, , 0, False, False, 1, 1"</definedName>
    <definedName name="cb_sChartEEDA195_opts" hidden="1">"1, 1, 1, False, 2, False, False, , 0, False, False, 1, 1"</definedName>
    <definedName name="cb_sChartEEDC338_opts" hidden="1">"1, 1, 1, False, 2, False, False, , 0, False, False, 1, 1"</definedName>
    <definedName name="cb_sChartEEDEDB8_opts" hidden="1">"1, 1, 1, False, 2, False, False, , 0, False, True, 1, 1"</definedName>
    <definedName name="cb_sChartEEDEE5A_opts" hidden="1">"1, 3, 1, False, 2, True, False, , 0, False, True, 1, 1"</definedName>
    <definedName name="cb_sChartEEDF178_opts" hidden="1">"1, 3, 1, False, 2, False, False, , 0, False, True, 1, 1"</definedName>
    <definedName name="cb_sChartF6A6B11_opts" hidden="1">"1, 1, 1, False, 2, True, False, , 0, False, False, 1, 1"</definedName>
    <definedName name="cb_sChartFD191DC_opts" hidden="1">"1, 3, 1, False, 2, True, False, , 0, False, True, 1, 1"</definedName>
    <definedName name="cb_sChartFD1A245_opts" hidden="1">"1, 3, 1, False, 2, True, False, , 0, False, True, 1, 1"</definedName>
    <definedName name="cb_sChartFD3F0E9_opts" hidden="1">"1, 3, 1, False, 2, True, False, , 0, False, False, 1, 1"</definedName>
    <definedName name="cb_sChartFD3F27E_opts" hidden="1">"1, 3, 1, False, 2, True, False, , 0, False, True, 1, 1"</definedName>
    <definedName name="cb_sChartFD58483_opts" hidden="1">"1, 1, 1, False, 2, True, False, , 0, False, False, 1, 1"</definedName>
    <definedName name="cb_sChartFD5C4CD_opts" hidden="1">"1, 1, 1, False, 2, True, False, , 0, False, False, 1, 1"</definedName>
    <definedName name="cb_sChartFD5D4CE_opts" hidden="1">"1, 1, 1, False, 2, True, False, , 0, False, False, 1, 1"</definedName>
    <definedName name="cb_sChartFD5DF34_opts" hidden="1">"1, 1, 1, False, 2, True, False, , 0, False, False, 1, 1"</definedName>
    <definedName name="cb_sChartFD5EFC0_opts" hidden="1">"1, 1, 1, False, 2, True, False, , 0, False, False, 1, 1"</definedName>
    <definedName name="cb_sChartFD5FDB9_opts" hidden="1">"1, 1, 1, False, 2, True, False, , 0, False, False, 1, 1"</definedName>
    <definedName name="cb_sChartFE54712_opts" hidden="1">"1, 3, 1, False, 2, True, False, , 0, False, True, 1, 1"</definedName>
    <definedName name="cf">'[20]Target&amp;Acquiror'!$C$2</definedName>
    <definedName name="ChoiceOfChem" localSheetId="3">{"Client Name or Project Name"}</definedName>
    <definedName name="ChoiceOfChem" localSheetId="6">{"Client Name or Project Name"}</definedName>
    <definedName name="ChoiceOfChem">{"Client Name or Project Name"}</definedName>
    <definedName name="Choices_Wrapper" localSheetId="3">#N/A</definedName>
    <definedName name="Choices_Wrapper" localSheetId="6">Debt!Choices_Wrapper</definedName>
    <definedName name="Choices_Wrapper">[0]!Choices_Wrapper</definedName>
    <definedName name="client">'[12]Assumptions &amp; Cases'!$F$6</definedName>
    <definedName name="COGSoverideTitle">[21]INPUTS!$D$33</definedName>
    <definedName name="common">[20]Trans!$E$11</definedName>
    <definedName name="companies">[22]Inputs!$O$15:$CV$110</definedName>
    <definedName name="CompanyName">[23]summary!$J$7</definedName>
    <definedName name="conv_rate">14.5352</definedName>
    <definedName name="copy" localSheetId="3">{9}</definedName>
    <definedName name="copy" localSheetId="6">{9}</definedName>
    <definedName name="copy">{9}</definedName>
    <definedName name="copy2" localSheetId="3">{9}</definedName>
    <definedName name="copy2" localSheetId="6">{9}</definedName>
    <definedName name="copy2">{9}</definedName>
    <definedName name="CopyrightStamp">ImportantDisclosures!$A$27</definedName>
    <definedName name="Cost_of_cash">'[15]Chopin MF Valuation'!$C$10</definedName>
    <definedName name="COU" localSheetId="8">ModPubIndex!$A$5</definedName>
    <definedName name="CQEnd" localSheetId="7">IndexInformation!$B$31</definedName>
    <definedName name="crailtitle">[21]INPUTS!$D$28</definedName>
    <definedName name="curex">[24]Inputs!$R$7</definedName>
    <definedName name="Curr_Date">[25]Comps!$AC$10</definedName>
    <definedName name="Currency" localSheetId="7">IndexInformation!$B$24</definedName>
    <definedName name="CurrentStockPrice" localSheetId="7">IndexInformation!$B$23</definedName>
    <definedName name="CurrQtrEPS" localSheetId="7">IndexInformation!$B$29</definedName>
    <definedName name="CurrYearEPS" localSheetId="7">IndexInformation!$B$11</definedName>
    <definedName name="CurrYearTotalRevenue" localSheetId="7">IndexInformation!$B$10</definedName>
    <definedName name="CurrYearTotalRevenueActual" localSheetId="7">IndexInformation!$B$32</definedName>
    <definedName name="CUSIP" localSheetId="7">IndexInformation!$B$20</definedName>
    <definedName name="CYEnd" localSheetId="7">IndexInformation!$B$30</definedName>
    <definedName name="d" localSheetId="3" hidden="1">{"comp1",#N/A,FALSE,"COMPS";"footnotes",#N/A,FALSE,"COMPS"}</definedName>
    <definedName name="d" hidden="1">{"comp1",#N/A,FALSE,"COMPS";"footnotes",#N/A,FALSE,"COMPS"}</definedName>
    <definedName name="data">[12]Inputs!$I$6:$K$153</definedName>
    <definedName name="_xlnm.Database" localSheetId="6">Debt!_xlnm.Database</definedName>
    <definedName name="_xlnm.Database">[26]!_xlnm.Database</definedName>
    <definedName name="Date" localSheetId="0">ImportantDisclosures!$A$8</definedName>
    <definedName name="date">'[27]Control Page'!$C$9</definedName>
    <definedName name="date2">[28]Evotec!$L$3</definedName>
    <definedName name="Deferred_Taxes">'[29]Bal Sheet &amp; Cash Flow'!$A$10:$IV$10</definedName>
    <definedName name="Deleted" localSheetId="7">IndexInformation!$B$27</definedName>
    <definedName name="Description" localSheetId="7">IndexInformation!$B$7</definedName>
    <definedName name="DEVELOPMENT">5</definedName>
    <definedName name="dfbdfbdfbadfbd" localSheetId="3" hidden="1">{#VALUE!,#N/A,FALSE,0;#N/A,#N/A,FALSE,0;#N/A,#N/A,FALSE,0;#N/A,#N/A,FALSE,0}</definedName>
    <definedName name="dfbdfbdfbadfbd" hidden="1">{#VALUE!,#N/A,FALSE,0;#N/A,#N/A,FALSE,0;#N/A,#N/A,FALSE,0;#N/A,#N/A,FALSE,0}</definedName>
    <definedName name="dfbfdfbgdb" localSheetId="3" hidden="1">{0,#N/A,FALSE,0}</definedName>
    <definedName name="dfbfdfbgdb" hidden="1">{0,#N/A,FALSE,0}</definedName>
    <definedName name="dhdghdghgh" localSheetId="3">{9}</definedName>
    <definedName name="dhdghdghgh">{9}</definedName>
    <definedName name="Discipline" localSheetId="7">IndexInformation!$B$3</definedName>
    <definedName name="DISCIPLINE" localSheetId="8">ModPubIndex!$A$12</definedName>
    <definedName name="DisclosuresText">ImportantDisclosures!$A$22</definedName>
    <definedName name="Distribution" localSheetId="7">IndexInformation!$B$26</definedName>
    <definedName name="DistTable" localSheetId="0">ImportantDisclosures!#REF!</definedName>
    <definedName name="DistTablePreamble" localSheetId="0">ImportantDisclosures!#REF!</definedName>
    <definedName name="DOCDAT" localSheetId="8">ModPubIndex!$A$2</definedName>
    <definedName name="DOCTIME" localSheetId="8">ModPubIndex!$A$3</definedName>
    <definedName name="DocType" localSheetId="7">IndexInformation!$B$5</definedName>
    <definedName name="Download_series" localSheetId="4">[30]!Download_series</definedName>
    <definedName name="Download_series" localSheetId="5">[30]!Download_series</definedName>
    <definedName name="Download_series">[30]!Download_series</definedName>
    <definedName name="DYNO">"TARGET"</definedName>
    <definedName name="EMAIL_ALERT" localSheetId="8">ModPubIndex!$A$10</definedName>
    <definedName name="EmailAlert" localSheetId="7">IndexInformation!$B$28</definedName>
    <definedName name="Epsilon">[31]Inputs!$B$3</definedName>
    <definedName name="equity1">'[32]Trans Sum'!$K$13</definedName>
    <definedName name="EquityAdjustments">0</definedName>
    <definedName name="EquityEmployeeStockOwnershipPlan">0</definedName>
    <definedName name="EquityPaidInCapital">0</definedName>
    <definedName name="EquityTreasuryStock">0</definedName>
    <definedName name="ev.Calculation" hidden="1">-4135</definedName>
    <definedName name="ev.Initialized" hidden="1">FALSE</definedName>
    <definedName name="Exhibit_4">"QSALES1"</definedName>
    <definedName name="FCF">[33]L!$C$13:$P$20</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hsdfhsdfhsdfh" localSheetId="3" hidden="1">{#VALUE!,#N/A,TRUE,0;#N/A,#N/A,TRUE,0;#N/A,#N/A,TRUE,0;#N/A,#N/A,TRUE,0;#N/A,#N/A,TRUE,0}</definedName>
    <definedName name="fhsdfhsdfhsdfh" hidden="1">{#VALUE!,#N/A,TRUE,0;#N/A,#N/A,TRUE,0;#N/A,#N/A,TRUE,0;#N/A,#N/A,TRUE,0;#N/A,#N/A,TRUE,0}</definedName>
    <definedName name="FINCriteriaType">1</definedName>
    <definedName name="FiveYearGrowthRate" localSheetId="7">IndexInformation!$B$16</definedName>
    <definedName name="fmv_04" localSheetId="3">{"Client Name or Project Name"}</definedName>
    <definedName name="fmv_04" localSheetId="6">{"Client Name or Project Name"}</definedName>
    <definedName name="fmv_04">{"Client Name or Project Name"}</definedName>
    <definedName name="FollowingYearEPS" localSheetId="7">IndexInformation!$B$15</definedName>
    <definedName name="FollowingYearTotalRevenue" localSheetId="7">IndexInformation!$B$14</definedName>
    <definedName name="FollowingYearTotalRevenueActual" localSheetId="7">IndexInformation!$B$34</definedName>
    <definedName name="FYE">'[34]DCF Inputs'!$H$11</definedName>
    <definedName name="GBP_ON">[21]INPUTS!$N$19</definedName>
    <definedName name="GDWILL">[35]Calcs!$O$15</definedName>
    <definedName name="gfngfngfndghnmgh" localSheetId="3" hidden="1">{0,#N/A,TRUE,0;0,#N/A,TRUE,0;0,#N/A,TRUE,0;0,#N/A,TRUE,0;0,#N/A,TRUE,0;0,#N/A,TRUE,0}</definedName>
    <definedName name="gfngfngfndghnmgh" hidden="1">{0,#N/A,TRUE,0;0,#N/A,TRUE,0;0,#N/A,TRUE,0;0,#N/A,TRUE,0;0,#N/A,TRUE,0;0,#N/A,TRUE,0}</definedName>
    <definedName name="Graph_Frequency">OFFSET('[36]RESIDUAL INCOME'!$Y$60,0,MATCH(99.9999,'[36]RESIDUAL INCOME'!$Y$60:$BW$60,-1)-1,1,COUNT('[36]RESIDUAL INCOME'!$Y$60:$BW$60)-(MATCH(99.9999,'[36]RESIDUAL INCOME'!$Y$60:$BW$60,-1)-1))</definedName>
    <definedName name="Gross_Capex">'[29]Bal Sheet &amp; Cash Flow'!$A$38:$IV$38</definedName>
    <definedName name="guidance1" localSheetId="3">{9}</definedName>
    <definedName name="guidance1" localSheetId="6">{9}</definedName>
    <definedName name="guidance1">{9}</definedName>
    <definedName name="GW_AMORT_BOOK">[22]Trans_Inputs!$U$39</definedName>
    <definedName name="hgjdfgh" localSheetId="3" hidden="1">{"comp1",#N/A,FALSE,"COMPS";"footnotes",#N/A,FALSE,"COMPS"}</definedName>
    <definedName name="hgjdfgh" hidden="1">{"comp1",#N/A,FALSE,"COMPS";"footnotes",#N/A,FALSE,"COMPS"}</definedName>
    <definedName name="HL" localSheetId="8">ModPubIndex!$A$8</definedName>
    <definedName name="hn.ModelVersion" hidden="1">1</definedName>
    <definedName name="hn.NoUpload" hidden="1">0</definedName>
    <definedName name="HTML_CodePage" hidden="1">1252</definedName>
    <definedName name="HTML_Control" localSheetId="3" hidden="1">{"'Breakup 01 Euro'!$A$3:$I$30"}</definedName>
    <definedName name="HTML_Control" localSheetId="6" hidden="1">{"'Breakup 01 Euro'!$A$3:$I$30"}</definedName>
    <definedName name="HTML_Control" hidden="1">{"'Breakup 01 Euro'!$A$3:$I$30"}</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ncomeEPSFullyDiluted">0</definedName>
    <definedName name="IncomeEPSPrimary">0</definedName>
    <definedName name="IncomeEPSRegular">0</definedName>
    <definedName name="IND" localSheetId="8">ModPubIndex!$A$9</definedName>
    <definedName name="Industry" localSheetId="0">ImportantDisclosures!$A$12</definedName>
    <definedName name="IndustryId">IndexInformation!$B$40</definedName>
    <definedName name="IndustryRating" localSheetId="0">ImportantDisclosures!$A$13</definedName>
    <definedName name="IQ" hidden="1">"c413"</definedName>
    <definedName name="IQ_1_4_CONSTRUCTION_GROSS_LOANS_FFIEC" hidden="1">"c13402"</definedName>
    <definedName name="IQ_1_4_CONSTRUCTION_LL_REC_DOM_FFIEC" hidden="1">"c12899"</definedName>
    <definedName name="IQ_1_4_CONSTRUCTION_LOAN_COMMITMENTS_UNUSED_FFIEC" hidden="1">"c13244"</definedName>
    <definedName name="IQ_1_4_CONSTRUCTION_LOANS_DUE_30_89_FFIEC" hidden="1">"c13257"</definedName>
    <definedName name="IQ_1_4_CONSTRUCTION_LOANS_DUE_90_FFIEC" hidden="1">"c13285"</definedName>
    <definedName name="IQ_1_4_CONSTRUCTION_LOANS_NON_ACCRUAL_FFIEC" hidden="1">"c13311"</definedName>
    <definedName name="IQ_1_4_CONSTRUCTION_RISK_BASED_FFIEC" hidden="1">"c13423"</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BS_AVAIL_SALE_FFIEC" hidden="1">"c12802"</definedName>
    <definedName name="IQ_ABS_FFIEC" hidden="1">"c12788"</definedName>
    <definedName name="IQ_ABS_INVEST_SECURITIES_FFIEC" hidden="1">"c13461"</definedName>
    <definedName name="IQ_ABS_PERIOD" hidden="1">"c13823"</definedName>
    <definedName name="IQ_ACCOUNT_CHANGE" localSheetId="3" hidden="1">"c1449"</definedName>
    <definedName name="IQ_ACCOUNT_CHANGE" hidden="1">"c413"</definedName>
    <definedName name="IQ_ACCOUNTING_FFIEC" hidden="1">"c13054"</definedName>
    <definedName name="IQ_ACCOUNTING_STANDARD" hidden="1">"c4539"</definedName>
    <definedName name="IQ_ACCOUNTS_PAY" localSheetId="3" hidden="1">"c1343"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localSheetId="3" hidden="1">"c1341"</definedName>
    <definedName name="IQ_ACCRUED_EXP" hidden="1">"c8"</definedName>
    <definedName name="IQ_ACCRUED_INTEREST_RECEIVABLE_FFIEC" hidden="1">"c12842"</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localSheetId="3" hidden="1">"c1340"</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localSheetId="3" hidden="1">"c1344"</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DVERTISING_MARKETING_EXPENSES_FFIEC" hidden="1">"c13048"</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S_INVEST_SECURITIES_FFIEC" hidden="1">"c13456"</definedName>
    <definedName name="IQ_AFS_SECURITIES_TIER_1_FFIEC" hidden="1">"c13343"</definedName>
    <definedName name="IQ_AFTER_TAX_INCOME_FDIC" hidden="1">"c6583"</definedName>
    <definedName name="IQ_AGENCY" hidden="1">"c8960"</definedName>
    <definedName name="IQ_AGENCY_INVEST_SECURITIES_FFIEC" hidden="1">"c13458"</definedName>
    <definedName name="IQ_AGG_CORPORATE_SHARES" hidden="1">"c13781"</definedName>
    <definedName name="IQ_AGG_CORPORATE_VALUE" hidden="1">"c13774"</definedName>
    <definedName name="IQ_AGG_ESOP_SHARES" hidden="1">"c13782"</definedName>
    <definedName name="IQ_AGG_ESOP_VALUE" hidden="1">"c13775"</definedName>
    <definedName name="IQ_AGG_FOUNDATION_SHARES" hidden="1">"c13783"</definedName>
    <definedName name="IQ_AGG_FOUNDATION_VALUE" hidden="1">"c13776"</definedName>
    <definedName name="IQ_AGG_HEDGEFUND_SHARES" hidden="1">"c13785"</definedName>
    <definedName name="IQ_AGG_HEDGEFUND_VALUE" hidden="1">"c13778"</definedName>
    <definedName name="IQ_AGG_INSIDER_SHARES" hidden="1">"c13780"</definedName>
    <definedName name="IQ_AGG_INSIDER_VALUE" hidden="1">"c13773"</definedName>
    <definedName name="IQ_AGG_INSTITUTIONAL_SHARES" hidden="1">"c13779"</definedName>
    <definedName name="IQ_AGG_INSTITUTIONAL_VALUE" hidden="1">"c13772"</definedName>
    <definedName name="IQ_AGG_OTHER_SHARES" hidden="1">"c13784"</definedName>
    <definedName name="IQ_AGG_OTHER_VALUE" hidden="1">"c13777"</definedName>
    <definedName name="IQ_AGRICULTURAL_GROSS_LOANS_FFIEC" hidden="1">"c13413"</definedName>
    <definedName name="IQ_AGRICULTURAL_LOANS_FOREIGN_FFIEC" hidden="1">"c13481"</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GRICULTURAL_RISK_BASED_FFIEC" hidden="1">"c13434"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_OTHER_LEASES_CHARGE_OFFS_FFIEC" hidden="1">"c13185"</definedName>
    <definedName name="IQ_ALL_OTHER_LEASES_RECOV_FFIEC" hidden="1">"c13207"</definedName>
    <definedName name="IQ_ALL_OTHER_LOANS_CHARGE_OFFS_FFIEC" hidden="1">"c13183"</definedName>
    <definedName name="IQ_ALL_OTHER_LOANS_RECOV_FFIEC" hidden="1">"c13205"</definedName>
    <definedName name="IQ_ALL_OTHER_TRADING_LIABILITIES_DOM_FFIEC" hidden="1">"c12942"</definedName>
    <definedName name="IQ_ALLOW_BORROW_CONST" hidden="1">"c15"</definedName>
    <definedName name="IQ_ALLOW_CONST" localSheetId="3" hidden="1">"c1342"</definedName>
    <definedName name="IQ_ALLOW_CONST" hidden="1">"c16"</definedName>
    <definedName name="IQ_ALLOW_DOUBT_ACCT" hidden="1">"c2092"</definedName>
    <definedName name="IQ_ALLOW_EQUITY_CONST" hidden="1">"c16"</definedName>
    <definedName name="IQ_ALLOW_LL" hidden="1">"c17"</definedName>
    <definedName name="IQ_ALLOW_LL_LOSSES_FFIEC" hidden="1">"c12810"</definedName>
    <definedName name="IQ_ALLOWABLE_T2_CAPITAL_FFIEC" hidden="1">"c13150"</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CREDIT_LOSSES_OFF_BS_FFIEC" hidden="1">"c12871"</definedName>
    <definedName name="IQ_ALLOWANCE_LL_LOSSES_T2_FFIEC" hidden="1">"c13146"</definedName>
    <definedName name="IQ_ALLOWANCE_NON_PERF_LOANS" hidden="1">"c25"</definedName>
    <definedName name="IQ_ALLOWANCE_TOTAL_LOANS" hidden="1">"c26"</definedName>
    <definedName name="IQ_AMENDED_BALANCE_PREVIOUS_YR_FDIC" hidden="1">"c6499"</definedName>
    <definedName name="IQ_AMORT_EXP_IMPAIRMENT_OTHER_INTANGIBLE_ASSETS_FFIEC" hidden="1">"c13026"</definedName>
    <definedName name="IQ_AMORT_EXPENSE_FDIC" hidden="1">"c6677"</definedName>
    <definedName name="IQ_AMORTIZATION" localSheetId="3" hidden="1">"c1591"</definedName>
    <definedName name="IQ_AMORTIZATION" hidden="1">"c1471"</definedName>
    <definedName name="IQ_AMORTIZED_COST_FDIC" hidden="1">"c6426"</definedName>
    <definedName name="IQ_AMOUNT_FINANCIAL_LOC_CONVEYED_FFIEC" hidden="1">"c13250"</definedName>
    <definedName name="IQ_AMOUNT_PERFORMANCE_LOC_CONVEYED_FFIEC" hidden="1">"c13252"</definedName>
    <definedName name="IQ_AMT_OUT" hidden="1">"c2145"</definedName>
    <definedName name="IQ_ANALYST_DET_EST" hidden="1">"c12043"</definedName>
    <definedName name="IQ_ANALYST_DET_EST_THOM" hidden="1">"c12071"</definedName>
    <definedName name="IQ_ANALYST_EMAIL" hidden="1">"c13738"</definedName>
    <definedName name="IQ_ANALYST_NAME" hidden="1">"c13736"</definedName>
    <definedName name="IQ_ANALYST_NON_PER_DET_EST" hidden="1">"c12755"</definedName>
    <definedName name="IQ_ANALYST_NON_PER_DET_EST_THOM" hidden="1">"c12759"</definedName>
    <definedName name="IQ_ANALYST_PHONE" hidden="1">"c13737"</definedName>
    <definedName name="IQ_ANALYST_START_DATE" hidden="1">"c13740"</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NNUITY_SALES_FEES_COMMISSIONS_FFIEC" hidden="1">"c13007"</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PPLICABLE_INCOME_TAXES_FTE_FFIEC" hidden="1">"c13853"</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SUPPLE" hidden="1">"c13812"</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FAIR_VALUE" hidden="1">"c13843"</definedName>
    <definedName name="IQ_ASSETS_HELD_FDIC" hidden="1">"c6305"</definedName>
    <definedName name="IQ_ASSETS_LEVEL_1" hidden="1">"c13839"</definedName>
    <definedName name="IQ_ASSETS_LEVEL_2" hidden="1">"c13840"</definedName>
    <definedName name="IQ_ASSETS_LEVEL_3" hidden="1">"c13841"</definedName>
    <definedName name="IQ_ASSETS_NAME_AP" hidden="1">"c8921"</definedName>
    <definedName name="IQ_ASSETS_NAME_AP_ABS" hidden="1">"c8940"</definedName>
    <definedName name="IQ_ASSETS_NETTING_OTHER_ADJUSTMENTS" hidden="1">"c13842"</definedName>
    <definedName name="IQ_ASSETS_OPER_LEASE_DEPR" hidden="1">"c2070"</definedName>
    <definedName name="IQ_ASSETS_OPER_LEASE_GROSS" hidden="1">"c2071"</definedName>
    <definedName name="IQ_ASSETS_PER_EMPLOYEE_FDIC" hidden="1">"c6737"</definedName>
    <definedName name="IQ_ASSETS_REPRICE_ASSETS_TOT_FFIEC" hidden="1">"c13454"</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TM_FEES_FFIEC" hidden="1">"c13042"</definedName>
    <definedName name="IQ_ATM_INTERCHANGE_EXPENSES_FFIEC" hidden="1">"c13056"</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AILABLE_SALE_SEC_FFIEC" hidden="1">"c12791"</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DUSTRY_REC_NO" hidden="1">"c4454"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TOTAL_ASSETS_LEVERAGE_CAPITAL_FFIEC" hidden="1">"c13159"</definedName>
    <definedName name="IQ_AVG_TOTAL_ASSETS_LEVERAGE_RATIO_FFIEC" hidden="1">"c13154"</definedName>
    <definedName name="IQ_AVG_VOLUME" localSheetId="3" hidden="1">"c1346"</definedName>
    <definedName name="IQ_AVG_VOLUME" hidden="1">"c65"</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UNUSED" hidden="1">"c7473"</definedName>
    <definedName name="IQ_BALANCE_GOODS_FC_UNUSED" hidden="1">"c7693"</definedName>
    <definedName name="IQ_BALANCE_GOODS_POP_FC_UNUSED" hidden="1">"c7913"</definedName>
    <definedName name="IQ_BALANCE_GOODS_POP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UNUSED" hidden="1">"c7253"</definedName>
    <definedName name="IQ_BALANCE_SERV_APR_FC_UNUSED" hidden="1">"c8355"</definedName>
    <definedName name="IQ_BALANCE_SERV_APR_UNUSED" hidden="1">"c7475"</definedName>
    <definedName name="IQ_BALANCE_SERV_FC_UNUSED" hidden="1">"c7695"</definedName>
    <definedName name="IQ_BALANCE_SERV_POP_FC_UNUSED" hidden="1">"c7915"</definedName>
    <definedName name="IQ_BALANCE_SERV_POP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UNUSED" hidden="1">"c7477"</definedName>
    <definedName name="IQ_BALANCE_TRADE_FC_UNUSED" hidden="1">"c7697"</definedName>
    <definedName name="IQ_BALANCE_TRADE_POP_FC_UNUSED" hidden="1">"c7917"</definedName>
    <definedName name="IQ_BALANCE_TRADE_POP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LOAN_LIST" hidden="1">"c13507"</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ING_FEES_OPERATING_INC_FFIEC" hidden="1">"c13386"</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OUTSTANDING_CURRENT_EST" hidden="1">"c4128"</definedName>
    <definedName name="IQ_BASIC_OUTSTANDING_CURRENT_HIGH_EST" hidden="1">"c4129"</definedName>
    <definedName name="IQ_BASIC_OUTSTANDING_CURRENT_LOW_EST" hidden="1">"c4130"</definedName>
    <definedName name="IQ_BASIC_OUTSTANDING_CURRENT_MEDIAN_EST" hidden="1">"c4131"</definedName>
    <definedName name="IQ_BASIC_OUTSTANDING_CURRENT_NUM_EST" hidden="1">"c4132"</definedName>
    <definedName name="IQ_BASIC_OUTSTANDING_CURRENT_STDDEV_EST" hidden="1">"c4133"</definedName>
    <definedName name="IQ_BASIC_OUTSTANDING_EST" hidden="1">"c4134"</definedName>
    <definedName name="IQ_BASIC_OUTSTANDING_HIGH_EST" hidden="1">"c4135"</definedName>
    <definedName name="IQ_BASIC_OUTSTANDING_LOW_EST" hidden="1">"c4136"</definedName>
    <definedName name="IQ_BASIC_OUTSTANDING_MEDIAN_EST" hidden="1">"c4137"</definedName>
    <definedName name="IQ_BASIC_OUTSTANDING_NUM_EST" hidden="1">"c4138"</definedName>
    <definedName name="IQ_BASIC_OUTSTANDING_STDDEV_EST" hidden="1">"c4139"</definedName>
    <definedName name="IQ_BASIC_WEIGHT" hidden="1">"c87"</definedName>
    <definedName name="IQ_BASIC_WEIGHT_EST" hidden="1">"c4140"</definedName>
    <definedName name="IQ_BASIC_WEIGHT_HIGH_EST" hidden="1">"c4142"</definedName>
    <definedName name="IQ_BASIC_WEIGHT_LOW_EST" hidden="1">"c4143"</definedName>
    <definedName name="IQ_BASIC_WEIGHT_MEDIAN_EST" hidden="1">"c4144"</definedName>
    <definedName name="IQ_BASIC_WEIGHT_NUM_EST" hidden="1">"c4145"</definedName>
    <definedName name="IQ_BASIC_WEIGHT_STDDEV_EST" hidden="1">"c4146"</definedName>
    <definedName name="IQ_BENCHMARK_SECURITY" hidden="1">"c2154"</definedName>
    <definedName name="IQ_BENCHMARK_SPRD" hidden="1">"c2153"</definedName>
    <definedName name="IQ_BENCHMARK_YIELD" hidden="1">"c8955"</definedName>
    <definedName name="IQ_BETA" localSheetId="3" hidden="1">"c2133"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ID" hidden="1">"c13756"</definedName>
    <definedName name="IQ_BOARD_MEMBER_TITLE" hidden="1">"c97"</definedName>
    <definedName name="IQ_BOND_COUPON" hidden="1">"c2183"</definedName>
    <definedName name="IQ_BOND_COUPON_TYPE" hidden="1">"c2184"</definedName>
    <definedName name="IQ_BOND_LIST" hidden="1">"c13505"</definedName>
    <definedName name="IQ_BOND_PRICE" hidden="1">"c2162"</definedName>
    <definedName name="IQ_BORROWED_MONEY_QUARTERLY_AVG_FFIEC" hidden="1">"c13091"</definedName>
    <definedName name="IQ_BORROWINGS_LESS_1YR_ASSETS_TOT_FFIEC" hidden="1">"c13450"</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UNUSED" hidden="1">"c7479"</definedName>
    <definedName name="IQ_BUDGET_BALANCE_FC_UNUSED" hidden="1">"c7699"</definedName>
    <definedName name="IQ_BUDGET_BALANCE_POP_FC_UNUSED" hidden="1">"c7919"</definedName>
    <definedName name="IQ_BUDGET_BALANCE_POP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YOY_FC_UNUSED" hidden="1">"c8139"</definedName>
    <definedName name="IQ_BUDGET_BALANCE_YOY_UNUSED" hidden="1">"c7259"</definedName>
    <definedName name="IQ_BUDGET_RECEIPTS_APR_FC_UNUSED" hidden="1">"c8361"</definedName>
    <definedName name="IQ_BUDGET_RECEIPTS_APR_UNUSED" hidden="1">"c7481"</definedName>
    <definedName name="IQ_BUDGET_RECEIPTS_FC_UNUSED" hidden="1">"c7701"</definedName>
    <definedName name="IQ_BUDGET_RECEIPTS_POP_FC_UNUSED" hidden="1">"c7921"</definedName>
    <definedName name="IQ_BUDGET_RECEIPTS_POP_UNUSED" hidden="1">"c7041"</definedName>
    <definedName name="IQ_BUDGET_RECEIPTS_UNUSED" hidden="1">"c6821"</definedName>
    <definedName name="IQ_BUDGET_RECEIPTS_YOY_FC_UNUSED" hidden="1">"c8141"</definedName>
    <definedName name="IQ_BUDGET_RECEIPTS_YOY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COMBINATIONS_FFIEC" hidden="1">"c12967"</definedName>
    <definedName name="IQ_BUSINESS_DESCRIPTION" hidden="1">"c322"</definedName>
    <definedName name="IQ_BV_ACT_OR_EST_CIQ" hidden="1">"c5068"</definedName>
    <definedName name="IQ_BV_EST" hidden="1">"c5624"</definedName>
    <definedName name="IQ_BV_HIGH_EST" hidden="1">"c5626"</definedName>
    <definedName name="IQ_BV_LOW_EST" hidden="1">"c5627"</definedName>
    <definedName name="IQ_BV_MEDIAN_EST" hidden="1">"c5625"</definedName>
    <definedName name="IQ_BV_NUM_EST" hidden="1">"c5628"</definedName>
    <definedName name="IQ_BV_OVER_SHARES" localSheetId="3" hidden="1">"c1349"</definedName>
    <definedName name="IQ_BV_OVER_SHARES" hidden="1">"c100"</definedName>
    <definedName name="IQ_BV_SHARE" hidden="1">"c100"</definedName>
    <definedName name="IQ_BV_SHARE_ACT_OR_EST" hidden="1">"c3587"</definedName>
    <definedName name="IQ_BV_SHARE_ACT_OR_EST_THOM" hidden="1">"c5312"</definedName>
    <definedName name="IQ_BV_SHARE_DET_EST" hidden="1">"c12047"</definedName>
    <definedName name="IQ_BV_SHARE_DET_EST_CURRENCY" hidden="1">"c12456"</definedName>
    <definedName name="IQ_BV_SHARE_DET_EST_CURRENCY_THOM" hidden="1">"c12476"</definedName>
    <definedName name="IQ_BV_SHARE_DET_EST_DATE" hidden="1">"c12200"</definedName>
    <definedName name="IQ_BV_SHARE_DET_EST_DATE_THOM" hidden="1">"c12225"</definedName>
    <definedName name="IQ_BV_SHARE_DET_EST_INCL" hidden="1">"c12339"</definedName>
    <definedName name="IQ_BV_SHARE_DET_EST_INCL_THOM" hidden="1">"c12359"</definedName>
    <definedName name="IQ_BV_SHARE_DET_EST_ORIGIN" hidden="1">"c12573"</definedName>
    <definedName name="IQ_BV_SHARE_DET_EST_ORIGIN_THOM" hidden="1">"c12595"</definedName>
    <definedName name="IQ_BV_SHARE_DET_EST_THOM" hidden="1">"c12075"</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 hidden="1">"c5629"</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Q_EST_THOM" hidden="1">"c6804"</definedName>
    <definedName name="IQ_CAL_Y" hidden="1">"c102"</definedName>
    <definedName name="IQ_CAL_Y_EST" hidden="1">"c6797"</definedName>
    <definedName name="IQ_CAL_Y_EST_CIQ" hidden="1">"c6809"</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DET_EST" hidden="1">"c12048"</definedName>
    <definedName name="IQ_CAPEX_DET_EST_CURRENCY" hidden="1">"c12457"</definedName>
    <definedName name="IQ_CAPEX_DET_EST_CURRENCY_THOM" hidden="1">"c12477"</definedName>
    <definedName name="IQ_CAPEX_DET_EST_DATE" hidden="1">"c12201"</definedName>
    <definedName name="IQ_CAPEX_DET_EST_DATE_THOM" hidden="1">"c12226"</definedName>
    <definedName name="IQ_CAPEX_DET_EST_INCL" hidden="1">"c12340"</definedName>
    <definedName name="IQ_CAPEX_DET_EST_INCL_THOM" hidden="1">"c12360"</definedName>
    <definedName name="IQ_CAPEX_DET_EST_ORIGIN" hidden="1">"c12765"</definedName>
    <definedName name="IQ_CAPEX_DET_EST_ORIGIN_THOM" hidden="1">"c12596"</definedName>
    <definedName name="IQ_CAPEX_DET_EST_THOM" hidden="1">"c12076"</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localSheetId="3" hidden="1">"c1350"</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localSheetId="3" hidden="1">"c1458"</definedName>
    <definedName name="IQ_CASH" hidden="1">"c118"</definedName>
    <definedName name="IQ_CASH_ACQUIRE_CF" hidden="1">"c1630"</definedName>
    <definedName name="IQ_CASH_BALANCES_DUE_FFIEC" hidden="1">"c12773"</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localSheetId="3" hidden="1">"c1351"</definedName>
    <definedName name="IQ_CASH_DUE_BANKS" hidden="1">"c118"</definedName>
    <definedName name="IQ_CASH_EPS_ACT_OR_EST" hidden="1">"c5638"</definedName>
    <definedName name="IQ_CASH_EPS_ACT_OR_EST_THOM" hidden="1">"c5646"</definedName>
    <definedName name="IQ_CASH_EPS_DET_EST_CURRENCY_THOM" hidden="1">"c12478"</definedName>
    <definedName name="IQ_CASH_EPS_DET_EST_DATE_THOM" hidden="1">"c12227"</definedName>
    <definedName name="IQ_CASH_EPS_DET_EST_INCL_THOM" hidden="1">"c12361"</definedName>
    <definedName name="IQ_CASH_EPS_DET_EST_ORIGIN_THOM" hidden="1">"c12597"</definedName>
    <definedName name="IQ_CASH_EPS_DET_EST_THOM" hidden="1">"c12077"</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FLOW_EST" hidden="1">"c4153"</definedName>
    <definedName name="IQ_CASH_FLOW_HIGH_EST" hidden="1">"c4156"</definedName>
    <definedName name="IQ_CASH_FLOW_LOW_EST" hidden="1">"c4157"</definedName>
    <definedName name="IQ_CASH_FLOW_MEDIAN_EST" hidden="1">"c4158"</definedName>
    <definedName name="IQ_CASH_FLOW_NUM_EST" hidden="1">"c4159"</definedName>
    <definedName name="IQ_CASH_FLOW_STDDEV_EST" hidden="1">"c4160"</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EST" hidden="1">"c4163"</definedName>
    <definedName name="IQ_CASH_OPER_HIGH_EST" hidden="1">"c4166"</definedName>
    <definedName name="IQ_CASH_OPER_LOW_EST" hidden="1">"c4244"</definedName>
    <definedName name="IQ_CASH_OPER_MEDIAN_EST" hidden="1">"c4245"</definedName>
    <definedName name="IQ_CASH_OPER_NAME_AP" hidden="1">"c8926"</definedName>
    <definedName name="IQ_CASH_OPER_NAME_AP_ABS" hidden="1">"c8945"</definedName>
    <definedName name="IQ_CASH_OPER_NUM_EST" hidden="1">"c4246"</definedName>
    <definedName name="IQ_CASH_OPER_STDDEV_EST" hidden="1">"c4247"</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localSheetId="3" hidden="1">"c1355"</definedName>
    <definedName name="IQ_CASH_ST" hidden="1">"c124"</definedName>
    <definedName name="IQ_CASH_ST_INVEST" hidden="1">"c124"</definedName>
    <definedName name="IQ_CASH_ST_INVEST_EST" hidden="1">"c4249"</definedName>
    <definedName name="IQ_CASH_ST_INVEST_HIGH_EST" hidden="1">"c4251"</definedName>
    <definedName name="IQ_CASH_ST_INVEST_LOW_EST" hidden="1">"c4252"</definedName>
    <definedName name="IQ_CASH_ST_INVEST_MEDIAN_EST" hidden="1">"c4253"</definedName>
    <definedName name="IQ_CASH_ST_INVEST_NUM_EST" hidden="1">"c4254"</definedName>
    <definedName name="IQ_CASH_ST_INVEST_STDDEV_EST" hidden="1">"c4255"</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DERIVATIVES_BENEFICIARY_FFIEC" hidden="1">"c13119"</definedName>
    <definedName name="IQ_CDS_DERIVATIVES_GUARANTOR_FFIEC" hidden="1">"c13112"</definedName>
    <definedName name="IQ_CDS_EVAL_DATE" hidden="1">"c6029"</definedName>
    <definedName name="IQ_CDS_LIST" hidden="1">"c13510"</definedName>
    <definedName name="IQ_CDS_LOAN_LIST" hidden="1">"c13518"</definedName>
    <definedName name="IQ_CDS_MID" hidden="1">"c6028"</definedName>
    <definedName name="IQ_CDS_NAME" hidden="1">"c6034"</definedName>
    <definedName name="IQ_CDS_SENIOR_LIST" hidden="1">"c13508"</definedName>
    <definedName name="IQ_CDS_SUB_LIST" hidden="1">"c13509"</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DET_EST" hidden="1">"c12049"</definedName>
    <definedName name="IQ_CFPS_DET_EST_CURRENCY" hidden="1">"c12458"</definedName>
    <definedName name="IQ_CFPS_DET_EST_CURRENCY_THOM" hidden="1">"c12479"</definedName>
    <definedName name="IQ_CFPS_DET_EST_DATE" hidden="1">"c12202"</definedName>
    <definedName name="IQ_CFPS_DET_EST_DATE_THOM" hidden="1">"c12228"</definedName>
    <definedName name="IQ_CFPS_DET_EST_INCL" hidden="1">"c12341"</definedName>
    <definedName name="IQ_CFPS_DET_EST_INCL_THOM" hidden="1">"c12362"</definedName>
    <definedName name="IQ_CFPS_DET_EST_ORIGIN" hidden="1">"c12575"</definedName>
    <definedName name="IQ_CFPS_DET_EST_ORIGIN_THOM" hidden="1">"c12598"</definedName>
    <definedName name="IQ_CFPS_DET_EST_THOM" hidden="1">"c12078"</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FAIR_VALUE_FINANCIAL_LIAB_T1_FFIEC" hidden="1">"c13138"</definedName>
    <definedName name="IQ_CHANGE_FAIR_VALUE_OPTIONS_FFIEC" hidden="1">"c13045"</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UNUSED" hidden="1">"c7620"</definedName>
    <definedName name="IQ_CHANGE_INVENT_REAL_FC_UNUSED" hidden="1">"c7840"</definedName>
    <definedName name="IQ_CHANGE_INVENT_REAL_POP_FC_UNUSED" hidden="1">"c8060"</definedName>
    <definedName name="IQ_CHANGE_INVENT_REAL_POP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localSheetId="3" hidden="1">"c1357"</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IMS_ADJUSTMENT_EXP_PC_FFIEC" hidden="1">"c13100"</definedName>
    <definedName name="IQ_CLASS_MARKETCAP" hidden="1">"c13512"</definedName>
    <definedName name="IQ_CLASS_SHARESOUTSTANDING" hidden="1">"c13513"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D_END_1_4_FAM_LOANS_TOT_LOANS_FFIEC" hidden="1">"c13866"</definedName>
    <definedName name="IQ_CLOSED_END_1_4_FIRST_LIENS_TRADING_DOM_FFIEC" hidden="1">"c12928"</definedName>
    <definedName name="IQ_CLOSED_END_1_4_JR_LIENS_LL_REC_DOM_FFIEC" hidden="1">"c12904"</definedName>
    <definedName name="IQ_CLOSED_END_1_4_JUNIOR_LIENS_TRADING_DOM_FFIEC" hidden="1">"c12929"</definedName>
    <definedName name="IQ_CLOSED_END_SEC_1_4_1ST_LIENS_CHARGE_OFFS_FFIEC" hidden="1">"c13169"</definedName>
    <definedName name="IQ_CLOSED_END_SEC_1_4_1ST_LIENS_DUE_30_89_FFIEC" hidden="1">"c13261"</definedName>
    <definedName name="IQ_CLOSED_END_SEC_1_4_1ST_LIENS_DUE_90_FFIEC" hidden="1">"c13289"</definedName>
    <definedName name="IQ_CLOSED_END_SEC_1_4_1ST_LIENS_NON_ACCRUAL_FFIEC" hidden="1">"c13315"</definedName>
    <definedName name="IQ_CLOSED_END_SEC_1_4_1ST_LIENS_RECOV_FFIEC" hidden="1">"c13191"</definedName>
    <definedName name="IQ_CLOSED_END_SEC_1_4_JR_LIENS_CHARGE_OFFS_FFIEC" hidden="1">"c13170"</definedName>
    <definedName name="IQ_CLOSED_END_SEC_1_4_JR_LIENS_DUE_30_89_FFIEC" hidden="1">"c13262"</definedName>
    <definedName name="IQ_CLOSED_END_SEC_1_4_JR_LIENS_DUE_90_FFIEC" hidden="1">"c13290"</definedName>
    <definedName name="IQ_CLOSED_END_SEC_1_4_JR_LIENS_NON_ACCRUAL_FFIEC" hidden="1">"c13316"</definedName>
    <definedName name="IQ_CLOSED_END_SEC_1_4_JR_LIENS_RECOV_FFIEC" hidden="1">"c13192"</definedName>
    <definedName name="IQ_CLOSED_END_SECURED_1_4_FIRST_LIENS_LL_REC_DOM_FFIEC" hidden="1">"c12903"</definedName>
    <definedName name="IQ_CLOSED_LOANS_GROSS_LOANS_FFIEC" hidden="1">"c13399"</definedName>
    <definedName name="IQ_CLOSED_LOANS_RISK_BASED_FFIEC" hidden="1">"c13420"</definedName>
    <definedName name="IQ_CLOSEPRICE" hidden="1">"c174"</definedName>
    <definedName name="IQ_CLOSEPRICE_ADJ" hidden="1">"c2115"</definedName>
    <definedName name="IQ_CMBS_ISSUED_AVAIL_SALE_FFIEC" hidden="1">"c12800"</definedName>
    <definedName name="IQ_CMBS_ISSUED_FFIEC" hidden="1">"c12786"</definedName>
    <definedName name="IQ_CMO_FDIC" hidden="1">"c6406"</definedName>
    <definedName name="IQ_COGS" hidden="1">"c175"</definedName>
    <definedName name="IQ_COLLATERAL_TYPE" hidden="1">"c8954"</definedName>
    <definedName name="IQ_COLLECTION_DOMESTIC_FDIC" hidden="1">"c6387"</definedName>
    <definedName name="IQ_COM_TARGET_PRICE" hidden="1">"c13606"</definedName>
    <definedName name="IQ_COM_TARGET_PRICE_CIQ" hidden="1">"c13599"</definedName>
    <definedName name="IQ_COM_TARGET_PRICE_HIGH" hidden="1">"c13607"</definedName>
    <definedName name="IQ_COM_TARGET_PRICE_HIGH_CIQ" hidden="1">"c13600"</definedName>
    <definedName name="IQ_COM_TARGET_PRICE_LOW" hidden="1">"c13608"</definedName>
    <definedName name="IQ_COM_TARGET_PRICE_LOW_CIQ" hidden="1">"c13601"</definedName>
    <definedName name="IQ_COM_TARGET_PRICE_MEDIAN" hidden="1">"c13609"</definedName>
    <definedName name="IQ_COM_TARGET_PRICE_MEDIAN_CIQ" hidden="1">"c13602"</definedName>
    <definedName name="IQ_COM_TARGET_PRICE_NUM" hidden="1">"c13604"</definedName>
    <definedName name="IQ_COM_TARGET_PRICE_NUM_CIQ" hidden="1">"c13597"</definedName>
    <definedName name="IQ_COM_TARGET_PRICE_STDDEV" hidden="1">"c13605"</definedName>
    <definedName name="IQ_COM_TARGET_PRICE_STDDEV_CIQ" hidden="1">"c13598"</definedName>
    <definedName name="IQ_COMBINED_RATIO" hidden="1">"c176"</definedName>
    <definedName name="IQ_COMM_IND_LOANS_TOT_LOANS_FFIEC" hidden="1">"c13874"</definedName>
    <definedName name="IQ_COMM_INDUSTRIAL_LOANS_FFIEC" hidden="1">"c12821"</definedName>
    <definedName name="IQ_COMM_INDUSTRIAL_NON_US_LL_REC_FFIEC" hidden="1">"c12888"</definedName>
    <definedName name="IQ_COMM_INDUSTRIAL_US_LL_REC_FFIEC" hidden="1">"c12887"</definedName>
    <definedName name="IQ_COMM_RE_FARM_LOANS_TOT_LOANS_FFIEC" hidden="1">"c13872"</definedName>
    <definedName name="IQ_COMM_RE_NONFARM_NONRES_TOT_LOANS_FFIEC" hidden="1">"c13871"</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GROSS_LOANS_FFIEC" hidden="1">"c13410"</definedName>
    <definedName name="IQ_COMMERCIAL_INDUSTRIAL_LOANS_DUE_30_89_FFIEC" hidden="1">"c13271"</definedName>
    <definedName name="IQ_COMMERCIAL_INDUSTRIAL_LOANS_DUE_90_FFIEC" hidden="1">"c13297"</definedName>
    <definedName name="IQ_COMMERCIAL_INDUSTRIAL_LOANS_LL_REC_DOM_FFIEC" hidden="1">"c12910"</definedName>
    <definedName name="IQ_COMMERCIAL_INDUSTRIAL_LOANS_NET_FDIC" hidden="1">"c6317"</definedName>
    <definedName name="IQ_COMMERCIAL_INDUSTRIAL_LOANS_NON_ACCRUAL_FFIEC" hidden="1">"c13323"</definedName>
    <definedName name="IQ_COMMERCIAL_INDUSTRIAL_NET_CHARGE_OFFS_FDIC" hidden="1">"c6636"</definedName>
    <definedName name="IQ_COMMERCIAL_INDUSTRIAL_NON_US_CHARGE_OFFS_FFIEC" hidden="1">"c13179"</definedName>
    <definedName name="IQ_COMMERCIAL_INDUSTRIAL_NON_US_RECOV_FFIEC" hidden="1">"c13201"</definedName>
    <definedName name="IQ_COMMERCIAL_INDUSTRIAL_RECOVERIES_FDIC" hidden="1">"c6617"</definedName>
    <definedName name="IQ_COMMERCIAL_INDUSTRIAL_RISK_BASED_FFIEC" hidden="1">"c13431"</definedName>
    <definedName name="IQ_COMMERCIAL_INDUSTRIAL_TOTAL_LOANS_FOREIGN_FDIC" hidden="1">"c6451"</definedName>
    <definedName name="IQ_COMMERCIAL_INDUSTRIAL_TRADING_DOM_FFIEC" hidden="1">"c12932"</definedName>
    <definedName name="IQ_COMMERCIAL_INDUSTRIAL_US_CHARGE_OFFS_FFIEC" hidden="1">"c13178"</definedName>
    <definedName name="IQ_COMMERCIAL_INDUSTRIAL_US_RECOV_FFIEC" hidden="1">"c13200"</definedName>
    <definedName name="IQ_COMMERCIAL_MORT" hidden="1">"c179"</definedName>
    <definedName name="IQ_COMMERCIAL_OTHER_LOC_FFIEC" hidden="1">"c13253"</definedName>
    <definedName name="IQ_COMMERCIAL_PAPER_ASSETS_TOT_FFIEC" hidden="1">"c13449"</definedName>
    <definedName name="IQ_COMMERCIAL_PAPER_FFIEC" hidden="1">"c12863"</definedName>
    <definedName name="IQ_COMMERCIAL_RE_CONSTRUCTION_LAND_DEV_FDIC" hidden="1">"c6526"</definedName>
    <definedName name="IQ_COMMERCIAL_RE_GROSS_LOANS_FFIEC" hidden="1">"c13400"</definedName>
    <definedName name="IQ_COMMERCIAL_RE_LOANS_FDIC" hidden="1">"c6312"</definedName>
    <definedName name="IQ_COMMERCIAL_RE_RISK_BASED_FFIEC" hidden="1">"c13421"</definedName>
    <definedName name="IQ_COMMISS_FEES" hidden="1">"c180"</definedName>
    <definedName name="IQ_COMMISSION_DEF" hidden="1">"c181"</definedName>
    <definedName name="IQ_COMMITMENTS_BUY_SEC_OTHER_OFF_BS_FFIEC" hidden="1">"c13128"</definedName>
    <definedName name="IQ_COMMITMENTS_COMMERCIAL_RE_UNUSED_FFIEC" hidden="1">"c13243"</definedName>
    <definedName name="IQ_COMMITMENTS_MATURITY_EXCEEDING_1YR_FDIC" hidden="1">"c6531"</definedName>
    <definedName name="IQ_COMMITMENTS_NOT_SECURED_RE_FDIC" hidden="1">"c6528"</definedName>
    <definedName name="IQ_COMMITMENTS_SECURED_RE_FDIC" hidden="1">"c6527"</definedName>
    <definedName name="IQ_COMMITMENTS_SELL_SEC_OTHER_OFF_BS_FFIEC" hidden="1">"c13129"</definedName>
    <definedName name="IQ_COMMODITY_EXPOSURE_FFIEC" hidden="1">"c13061"</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localSheetId="3" hidden="1">"c1358"</definedName>
    <definedName name="IQ_COMMON_STOCK" hidden="1">"c182"</definedName>
    <definedName name="IQ_COMMON_STOCK_FFIEC" hidden="1">"c12876"</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ETITOR_ALL" hidden="1">"c13754"</definedName>
    <definedName name="IQ_COMPETITOR_NAMED_BY_COMPANY" hidden="1">"c13751"</definedName>
    <definedName name="IQ_COMPETITOR_NAMED_BY_COMPETITOR" hidden="1">"c13752"</definedName>
    <definedName name="IQ_COMPETITOR_NAMED_BY_THIRDPARTY" hidden="1">"c13753"</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OLIDATED_ASSETS_QUARTERLY_AVG_FFIEC" hidden="1">"c13087"</definedName>
    <definedName name="IQ_CONST_LAND_DEV_LOANS_TOT_LOANS_FFIEC" hidden="1">"c13865"</definedName>
    <definedName name="IQ_CONST_LAND_DEVELOP_OTHER_DOM_CHARGE_OFFS_FFIEC" hidden="1">"c13628"</definedName>
    <definedName name="IQ_CONST_LAND_DEVELOP_OTHER_DOM_RECOV_FFIEC" hidden="1">"c13632"</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L_REC_DOM_FFIEC" hidden="1">"c12900"</definedName>
    <definedName name="IQ_CONSTRUCTION_LOANS" hidden="1">"c222"</definedName>
    <definedName name="IQ_CONSTRUCTION_LOANS_DOM_DUE_30_89_FFIEC" hidden="1">"c13256"</definedName>
    <definedName name="IQ_CONSTRUCTION_LOANS_DOM_DUE_90_FFIEC" hidden="1">"c13284"</definedName>
    <definedName name="IQ_CONSTRUCTION_LOANS_DOM_NON_ACCRUAL_FFIEC" hidden="1">"c13310"</definedName>
    <definedName name="IQ_CONSTRUCTION_LOANS_GROSS_LOANS_FFIEC" hidden="1">"c13401"</definedName>
    <definedName name="IQ_CONSTRUCTION_RISK_BASED_FFIEC" hidden="1">"c13422"</definedName>
    <definedName name="IQ_CONSULTING_FFIEC" hidden="1">"c13055"</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ASES_LL_REC_FFIEC" hidden="1">"c12895"</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LOANS_LL_REC_DOM_FFIEC" hidden="1">"c12911"</definedName>
    <definedName name="IQ_CONSUMER_LOANS_TOT_LOANS_FFIEC" hidden="1">"c13875"</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TRIB_ID_DET_EST" hidden="1">"c12045"</definedName>
    <definedName name="IQ_CONTRIB_ID_DET_EST_THOM" hidden="1">"c12073"</definedName>
    <definedName name="IQ_CONTRIB_ID_NON_PER_DET_EST" hidden="1">"c13824"</definedName>
    <definedName name="IQ_CONTRIB_ID_NON_PER_DET_EST_THOM" hidden="1">"c13826"</definedName>
    <definedName name="IQ_CONTRIB_NAME_DET_EST" hidden="1">"c12046"</definedName>
    <definedName name="IQ_CONTRIB_NAME_DET_EST_THOM" hidden="1">"c12074"</definedName>
    <definedName name="IQ_CONTRIB_NAME_NON_PER_DET_EST" hidden="1">"c12760"</definedName>
    <definedName name="IQ_CONTRIB_NAME_NON_PER_DET_EST_THOM" hidden="1">"c12764"</definedName>
    <definedName name="IQ_CONTRIB_REC_DET_EST" hidden="1">"c12051"</definedName>
    <definedName name="IQ_CONTRIB_REC_DET_EST_DATE" hidden="1">"c12204"</definedName>
    <definedName name="IQ_CONTRIB_REC_DET_EST_DATE_THOM" hidden="1">"c12230"</definedName>
    <definedName name="IQ_CONTRIB_REC_DET_EST_ORIGIN" hidden="1">"c12577"</definedName>
    <definedName name="IQ_CONTRIB_REC_DET_EST_ORIGIN_THOM" hidden="1">"c12600"</definedName>
    <definedName name="IQ_CONTRIB_REC_DET_EST_THOM" hidden="1">"c12080"</definedName>
    <definedName name="IQ_CONTRIBUTOR_CIQID" hidden="1">"c13742"</definedName>
    <definedName name="IQ_CONTRIBUTOR_NAME" hidden="1">"c13735"</definedName>
    <definedName name="IQ_CONTRIBUTOR_START_DATE" hidden="1">"c13741"</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SION_COMMON_FFIEC" hidden="1">"c12964"</definedName>
    <definedName name="IQ_CONVERSION_PREF_FFIEC" hidden="1">"c12962"</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E_DEPOSITS_ASSETS_TOT_FFIEC" hidden="1">"c13442"</definedName>
    <definedName name="IQ_CORE_DEPOSITS_FFIEC" hidden="1">"c13862"</definedName>
    <definedName name="IQ_CORE_DEPOSITS_TOT_DEPOSITS_FFIEC" hidden="1">"c13911"</definedName>
    <definedName name="IQ_CORP_GOODS_PRICE_INDEX_APR_FC_UNUSED" hidden="1">"c8381"</definedName>
    <definedName name="IQ_CORP_GOODS_PRICE_INDEX_APR_UNUSED" hidden="1">"c7501"</definedName>
    <definedName name="IQ_CORP_GOODS_PRICE_INDEX_FC_UNUSED" hidden="1">"c7721"</definedName>
    <definedName name="IQ_CORP_GOODS_PRICE_INDEX_POP_FC_UNUSED" hidden="1">"c7941"</definedName>
    <definedName name="IQ_CORP_GOODS_PRICE_INDEX_POP_UNUSED" hidden="1">"c7061"</definedName>
    <definedName name="IQ_CORP_GOODS_PRICE_INDEX_UNUSED" hidden="1">"c6841"</definedName>
    <definedName name="IQ_CORP_GOODS_PRICE_INDEX_YOY_FC_UNUSED" hidden="1">"c8161"</definedName>
    <definedName name="IQ_CORP_GOODS_PRICE_INDEX_YOY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RPORATE_OVER_TOTAL" hidden="1">"c13767"</definedName>
    <definedName name="IQ_COST_BORROWED_FUNDS_FFIEC" hidden="1">"c13492"</definedName>
    <definedName name="IQ_COST_BORROWING" hidden="1">"c2936"</definedName>
    <definedName name="IQ_COST_BORROWINGS" hidden="1">"c225"</definedName>
    <definedName name="IQ_COST_CAPITAL_NEW_BUSINESS" hidden="1">"c9968"</definedName>
    <definedName name="IQ_COST_FOREIGN_DEPOSITS_FFIEC" hidden="1">"c13490"</definedName>
    <definedName name="IQ_COST_FUNDS_PURCHASED_FFIEC" hidden="1">"c13491"</definedName>
    <definedName name="IQ_COST_INT_DEPOSITS_FFIEC" hidden="1">"c13489"</definedName>
    <definedName name="IQ_COST_OF_FUNDING_ASSETS_FDIC" hidden="1">"c6725"</definedName>
    <definedName name="IQ_COST_REV" hidden="1">"c226"</definedName>
    <definedName name="IQ_COST_REVENUE" localSheetId="3" hidden="1">"c1359"</definedName>
    <definedName name="IQ_COST_REVENUE" hidden="1">"c226"</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GROSS_LOANS_FFIEC" hidden="1">"c13412"</definedName>
    <definedName name="IQ_CREDIT_CARD_INTERCHANGE_FEES_FFIEC" hidden="1">"c13046"</definedName>
    <definedName name="IQ_CREDIT_CARD_LINES_FDIC" hidden="1">"c6525"</definedName>
    <definedName name="IQ_CREDIT_CARD_LINES_UNUSED_FFIEC" hidden="1">"c13242"</definedName>
    <definedName name="IQ_CREDIT_CARD_LOANS_CHARGE_OFFS_FFIEC" hidden="1">"c13180"</definedName>
    <definedName name="IQ_CREDIT_CARD_LOANS_DUE_30_89_FFIEC" hidden="1">"c13272"</definedName>
    <definedName name="IQ_CREDIT_CARD_LOANS_DUE_90_FFIEC" hidden="1">"c13298"</definedName>
    <definedName name="IQ_CREDIT_CARD_LOANS_FDIC" hidden="1">"c6319"</definedName>
    <definedName name="IQ_CREDIT_CARD_LOANS_NON_ACCRUAL_FFIEC" hidden="1">"c13324"</definedName>
    <definedName name="IQ_CREDIT_CARD_LOANS_RECOV_FFIEC" hidden="1">"c13202"</definedName>
    <definedName name="IQ_CREDIT_CARD_NET_CHARGE_OFFS_FDIC" hidden="1">"c6654"</definedName>
    <definedName name="IQ_CREDIT_CARD_RECOVERIES_FDIC" hidden="1">"c6653"</definedName>
    <definedName name="IQ_CREDIT_CARD_RISK_BASED_FFIEC" hidden="1">"c13433"</definedName>
    <definedName name="IQ_CREDIT_CARDS_CONSUMER_LOANS_FFIEC" hidden="1">"c12822"</definedName>
    <definedName name="IQ_CREDIT_CARDS_LL_REC_FFIEC" hidden="1">"c12889"</definedName>
    <definedName name="IQ_CREDIT_CARDS_LOANS_TRADING_DOM_FFIEC" hidden="1">"c12933"</definedName>
    <definedName name="IQ_CREDIT_EXPOSURE" hidden="1">"c10038"</definedName>
    <definedName name="IQ_CREDIT_EXPOSURE_FFIEC" hidden="1">"c13062"</definedName>
    <definedName name="IQ_CREDIT_LOSS_CF" hidden="1">"c232"</definedName>
    <definedName name="IQ_CREDIT_LOSS_PROVISION_NET_CHARGE_OFFS_FDIC" hidden="1">"c6734"</definedName>
    <definedName name="IQ_CREDIT_LOSSES_DERIVATIVES_FFIEC" hidden="1">"c13068"</definedName>
    <definedName name="IQ_CREDIT_OPTIONS_DERIVATIVES_BENEFICIARY_FFIEC" hidden="1">"c13121"</definedName>
    <definedName name="IQ_CREDIT_OPTIONS_DERIVATIVES_GUARANTOR_FFIEC" hidden="1">"c13114"</definedName>
    <definedName name="IQ_CUMULATIVE_PREFERREDS_T2_FFIEC" hidden="1">"c13145"</definedName>
    <definedName name="IQ_CUMULATIVE_SPLIT_FACTOR" hidden="1">"c2094"</definedName>
    <definedName name="IQ_CURR_ACCT_BALANCE_APR_FC_UNUSED" hidden="1">"c8387"</definedName>
    <definedName name="IQ_CURR_ACCT_BALANCE_APR_UNUSED" hidden="1">"c7507"</definedName>
    <definedName name="IQ_CURR_ACCT_BALANCE_FC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USTOMER_LIAB_ACCEPTANCES_OUT_FFIEC" hidden="1">"c12835"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A_PROCESSING_EXP_FFIEC" hidden="1">"c13047"</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localSheetId="3" hidden="1">"c1362"</definedName>
    <definedName name="IQ_DAYS_PAY_OUTST" hidden="1">"c274"</definedName>
    <definedName name="IQ_DAYS_PAYABLE_OUT" hidden="1">"c274"</definedName>
    <definedName name="IQ_DAYS_SALES_OUT" hidden="1">"c275"</definedName>
    <definedName name="IQ_DAYS_SALES_OUTST" localSheetId="3" hidden="1">"c1363"</definedName>
    <definedName name="IQ_DAYS_SALES_OUTST" hidden="1">"c275"</definedName>
    <definedName name="IQ_DEBT_1_5_INVEST_SECURITIES_FFIEC" hidden="1">"c13465"</definedName>
    <definedName name="IQ_DEBT_ADJ" hidden="1">"c2515"</definedName>
    <definedName name="IQ_DEBT_ADJ_PCT" hidden="1">"c2516"</definedName>
    <definedName name="IQ_DEBT_EQUITY_EST" hidden="1">"c4257"</definedName>
    <definedName name="IQ_DEBT_EQUITY_HIGH_EST" hidden="1">"c4258"</definedName>
    <definedName name="IQ_DEBT_EQUITY_LOW_EST" hidden="1">"c4259"</definedName>
    <definedName name="IQ_DEBT_EQUITY_MEDIAN_EST" hidden="1">"c4260"</definedName>
    <definedName name="IQ_DEBT_EQUITY_NUM_EST" hidden="1">"c4261"</definedName>
    <definedName name="IQ_DEBT_EQUITY_STDDEV_EST" hidden="1">"c4262"</definedName>
    <definedName name="IQ_DEBT_EQUIV_NET_PBO" hidden="1">"c2938"</definedName>
    <definedName name="IQ_DEBT_EQUIV_OPER_LEASE" hidden="1">"c2935"</definedName>
    <definedName name="IQ_DEBT_LESS_1YR_INVEST_SECURITIES_FFIEC" hidden="1">"c13464"</definedName>
    <definedName name="IQ_DEBT_MATURING_MORE_THAN_ONE_YEAR_FFIEC" hidden="1">"c13164"</definedName>
    <definedName name="IQ_DEBT_MATURING_WITHIN_ONE_YEAR_FFIEC" hidden="1">"c13163"</definedName>
    <definedName name="IQ_DEBT_SEC_OVER_5YR_INVEST_SECURITIES_FFIEC" hidden="1">"c13466"</definedName>
    <definedName name="IQ_DEBT_SECURITIES_FOREIGN_FFIEC" hidden="1">"c13484"</definedName>
    <definedName name="IQ_DEBT_SECURITIES_OTHER_ASSETS_DUE_30_89_FFIEC" hidden="1">"c13279"</definedName>
    <definedName name="IQ_DEBT_SECURITIES_OTHER_ASSETS_DUE_90_FFIEC" hidden="1">"c13305"</definedName>
    <definedName name="IQ_DEBT_SECURITIES_OTHER_ASSETS_NON_ACCRUAL_FFIEC" hidden="1">"c13331"</definedName>
    <definedName name="IQ_DECREASE_INT_EXPENSE_FFIEC" hidden="1">"c13064"</definedName>
    <definedName name="IQ_DEDUCTIONS_TOTAL_RISK_BASED_CAPITAL_FFIEC" hidden="1">"c13152"</definedName>
    <definedName name="IQ_DEF_ACQ_CST" localSheetId="3" hidden="1">"c1364"</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localSheetId="3" hidden="1">"c1365"</definedName>
    <definedName name="IQ_DEF_INC_TAX" hidden="1">"c313"</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localSheetId="3" hidden="1">"c1447"</definedName>
    <definedName name="IQ_DEFERRED_INC_TAX" hidden="1">"c315"</definedName>
    <definedName name="IQ_DEFERRED_TAX_ASSETS_FFIEC" hidden="1">"c12843"</definedName>
    <definedName name="IQ_DEFERRED_TAX_ASSETS_T1_FFIEC" hidden="1">"c13141"</definedName>
    <definedName name="IQ_DEFERRED_TAX_LIAB_FFIEC" hidden="1">"c12870"</definedName>
    <definedName name="IQ_DEFERRED_TAXES" localSheetId="3" hidden="1">"c1356"</definedName>
    <definedName name="IQ_DEFERRED_TAXES" hidden="1">"c147"</definedName>
    <definedName name="IQ_DEMAND_DEP" hidden="1">"c320"</definedName>
    <definedName name="IQ_DEMAND_DEPOSITS_COMMERCIAL_BANK_SUBS_FFIEC" hidden="1">"c12945"</definedName>
    <definedName name="IQ_DEMAND_DEPOSITS_FDIC" hidden="1">"c6489"</definedName>
    <definedName name="IQ_DEMAND_DEPOSITS_TOT_DEPOSITS_FFIEC" hidden="1">"c13902"</definedName>
    <definedName name="IQ_DEPOSIT_ACCOUNTS_LESS_THAN_100K_FDIC" hidden="1">"c6494"</definedName>
    <definedName name="IQ_DEPOSIT_ACCOUNTS_MORE_THAN_100K_FDIC" hidden="1">"c6492"</definedName>
    <definedName name="IQ_DEPOSITORY_INST_ACCEPTANCES_LL_REC_DOM_FFIEC" hidden="1">"c12908"</definedName>
    <definedName name="IQ_DEPOSITORY_INST_GROSS_LOANS_FFIEC" hidden="1">"c13409"</definedName>
    <definedName name="IQ_DEPOSITORY_INST_RISK_BASED_FFIEC" hidden="1">"c13430"</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100K_MORE_ASSETS_TOT_FFIEC" hidden="1">"c13444"</definedName>
    <definedName name="IQ_DEPOSITS_DOM_FFIEC" hidden="1">"c12850"</definedName>
    <definedName name="IQ_DEPOSITS_FAIR_VALUE_TOT_FFIEC" hidden="1">"c13213"</definedName>
    <definedName name="IQ_DEPOSITS_FIN" hidden="1">"c321"</definedName>
    <definedName name="IQ_DEPOSITS_FOREIGN_FFIEC" hidden="1">"c12853"</definedName>
    <definedName name="IQ_DEPOSITS_HELD_DOMESTIC_FDIC" hidden="1">"c6340"</definedName>
    <definedName name="IQ_DEPOSITS_HELD_FOREIGN_FDIC" hidden="1">"c6341"</definedName>
    <definedName name="IQ_DEPOSITS_INTEREST_SECURITIES" hidden="1">"c5509"</definedName>
    <definedName name="IQ_DEPOSITS_LESS_100K_COMMERCIAL_BANK_SUBS_FFIEC" hidden="1">"c12948"</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LEVEL_1_FFIEC" hidden="1">"c13221"</definedName>
    <definedName name="IQ_DEPOSITS_LEVEL_2_FFIEC" hidden="1">"c13229"</definedName>
    <definedName name="IQ_DEPOSITS_LEVEL_3_FFIEC" hidden="1">"c13237"</definedName>
    <definedName name="IQ_DEPOSITS_MORE_100K_COMMERCIAL_BANK_SUBS_FFIEC" hidden="1">"c12949"</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localSheetId="3" hidden="1">"c1360"</definedName>
    <definedName name="IQ_DEPRE_AMORT" hidden="1">"c247"</definedName>
    <definedName name="IQ_DEPRE_AMORT_SUPPL" hidden="1">"c1593"</definedName>
    <definedName name="IQ_DEPRE_DEPLE" localSheetId="3" hidden="1">"c1361"</definedName>
    <definedName name="IQ_DEPRE_DEPLE" hidden="1">"c261"</definedName>
    <definedName name="IQ_DEPRE_SUPP" hidden="1">"c1443"</definedName>
    <definedName name="IQ_DERIVATIVES_FDIC" hidden="1">"c6523"</definedName>
    <definedName name="IQ_DERIVATIVES_NEGATIVE_FAIR_VALUE_DOM_FFIEC" hidden="1">"c12943"</definedName>
    <definedName name="IQ_DERIVATIVES_NEGATIVE_VALUE_FFIEC" hidden="1">"c12861"</definedName>
    <definedName name="IQ_DERIVATIVES_POS_FAIR_VALUE_FFIEC" hidden="1">"c12827"</definedName>
    <definedName name="IQ_DERIVATIVES_POSITIVE_FAIR_VALUE_TRADING_DOM_FFIEC" hidden="1">"c12938"</definedName>
    <definedName name="IQ_DESCRIPTION_LONG" localSheetId="3" hidden="1">"c1520"</definedName>
    <definedName name="IQ_DESCRIPTION_LONG" hidden="1">"c322"</definedName>
    <definedName name="IQ_DEVELOP_LAND" hidden="1">"c323"</definedName>
    <definedName name="IQ_DIC" hidden="1">"c13834"</definedName>
    <definedName name="IQ_DIFF_LASTCLOSE_TARGET_PRICE" hidden="1">"c1854"</definedName>
    <definedName name="IQ_DIFF_LASTCLOSE_TARGET_PRICE_CIQ" hidden="1">"c4767"</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OUTSTANDING_CURRENT_EST" hidden="1">"c4263"</definedName>
    <definedName name="IQ_DILUT_OUTSTANDING_CURRENT_HIGH_EST" hidden="1">"c4264"</definedName>
    <definedName name="IQ_DILUT_OUTSTANDING_CURRENT_LOW_EST" hidden="1">"c4265"</definedName>
    <definedName name="IQ_DILUT_OUTSTANDING_CURRENT_MEDIAN_EST" hidden="1">"c4266"</definedName>
    <definedName name="IQ_DILUT_OUTSTANDING_CURRENT_NUM_EST" hidden="1">"c4267"</definedName>
    <definedName name="IQ_DILUT_OUTSTANDING_CURRENT_STDDEV_EST" hidden="1">"c4268"</definedName>
    <definedName name="IQ_DILUT_WEIGHT" hidden="1">"c326"</definedName>
    <definedName name="IQ_DILUT_WEIGHT_EST" hidden="1">"c4269"</definedName>
    <definedName name="IQ_DILUT_WEIGHT_HIGH_EST" hidden="1">"c4271"</definedName>
    <definedName name="IQ_DILUT_WEIGHT_LOW_EST" hidden="1">"c4272"</definedName>
    <definedName name="IQ_DILUT_WEIGHT_MEDIAN_EST" hidden="1">"c4273"</definedName>
    <definedName name="IQ_DILUT_WEIGHT_NUM_EST" hidden="1">"c4274"</definedName>
    <definedName name="IQ_DILUT_WEIGHT_STDDEV_EST" hidden="1">"c4275"</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RECTORS_FEES_FFIEC" hidden="1">"c13049"</definedName>
    <definedName name="IQ_DISALLOWED_DEFERRED_TAX_ASSETS_FFIEC" hidden="1">"c13157"</definedName>
    <definedName name="IQ_DISALLOWED_GOODWILL_INTANGIBLE_ASSETS_FFIEC" hidden="1">"c13155"</definedName>
    <definedName name="IQ_DISALLOWED_GOODWILL_INTANGIBLES_T1_FFIEC" hidden="1">"c13137"</definedName>
    <definedName name="IQ_DISALLOWED_SERVICING_ASSETS_FFIEC" hidden="1">"c13156"</definedName>
    <definedName name="IQ_DISALLOWED_SERVICING_ASSETS_T1_FFIEC" hidden="1">"c13140"</definedName>
    <definedName name="IQ_DISCONT_OPER" localSheetId="3" hidden="1">"c1367"</definedName>
    <definedName name="IQ_DISCONT_OPER" hidden="1">"c333"</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EST" hidden="1">"c4277"</definedName>
    <definedName name="IQ_DISTRIBUTABLE_CASH_HIGH_EST" hidden="1">"c4280"</definedName>
    <definedName name="IQ_DISTRIBUTABLE_CASH_LOW_EST" hidden="1">"c4281"</definedName>
    <definedName name="IQ_DISTRIBUTABLE_CASH_MEDIAN_EST" hidden="1">"c4282"</definedName>
    <definedName name="IQ_DISTRIBUTABLE_CASH_NUM_EST" hidden="1">"c4283"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STRIBUTABLE_CASH_SHARE_EST" hidden="1">"c4285"</definedName>
    <definedName name="IQ_DISTRIBUTABLE_CASH_SHARE_HIGH_EST" hidden="1">"c4288"</definedName>
    <definedName name="IQ_DISTRIBUTABLE_CASH_SHARE_LOW_EST" hidden="1">"c4289"</definedName>
    <definedName name="IQ_DISTRIBUTABLE_CASH_SHARE_MEDIAN_EST" hidden="1">"c4290"</definedName>
    <definedName name="IQ_DISTRIBUTABLE_CASH_SHARE_NUM_EST" hidden="1">"c4291"</definedName>
    <definedName name="IQ_DISTRIBUTABLE_CASH_SHARE_STDDEV_EST" hidden="1">"c4292"</definedName>
    <definedName name="IQ_DISTRIBUTABLE_CASH_STDDEV_EST" hidden="1">"c4294"</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localSheetId="3" hidden="1">"c1366"</definedName>
    <definedName name="IQ_DIVID_SHARE" hidden="1">"c330"</definedName>
    <definedName name="IQ_DIVIDEND_EST" hidden="1">"c4296"</definedName>
    <definedName name="IQ_DIVIDEND_HIGH_EST" hidden="1">"c4297"</definedName>
    <definedName name="IQ_DIVIDEND_LOW_EST" hidden="1">"c4298"</definedName>
    <definedName name="IQ_DIVIDEND_MEDIAN_EST" hidden="1">"c4299"</definedName>
    <definedName name="IQ_DIVIDEND_NUM_EST" hidden="1">"c4300"</definedName>
    <definedName name="IQ_DIVIDEND_STDDEV_EST" hidden="1">"c4301"</definedName>
    <definedName name="IQ_DIVIDEND_YIELD" hidden="1">"c332"</definedName>
    <definedName name="IQ_DIVIDENDS_DECLARED_COMMON_FDIC" hidden="1">"c6659"</definedName>
    <definedName name="IQ_DIVIDENDS_DECLARED_COMMON_FFIEC" hidden="1">"c12969"</definedName>
    <definedName name="IQ_DIVIDENDS_DECLARED_PREFERRED_FDIC" hidden="1">"c6658"</definedName>
    <definedName name="IQ_DIVIDENDS_DECLARED_PREFERRED_FFIEC" hidden="1">"c12968"</definedName>
    <definedName name="IQ_DIVIDENDS_FDIC" hidden="1">"c6660"</definedName>
    <definedName name="IQ_DIVIDENDS_NET_INCOME_FFIEC" hidden="1">"c13349"</definedName>
    <definedName name="IQ_DIVIDENDS_PAID_DECLARED_PERIOD_COVERED" hidden="1">"c9960"</definedName>
    <definedName name="IQ_DIVIDENDS_PAID_DECLARED_PERIOD_GROUP" hidden="1">"c9946"</definedName>
    <definedName name="IQ_DNB_OTHER_EXP_INC_TAX_US" hidden="1">"c6787"</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OM_OFFICE_DEPOSITS_TOT_DEPOSITS_FFIEC" hidden="1">"c13910"</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DET_EST" hidden="1">"c12052"</definedName>
    <definedName name="IQ_DPS_DET_EST_CURRENCY" hidden="1">"c12459"</definedName>
    <definedName name="IQ_DPS_DET_EST_CURRENCY_THOM" hidden="1">"c12480"</definedName>
    <definedName name="IQ_DPS_DET_EST_DATE" hidden="1">"c12205"</definedName>
    <definedName name="IQ_DPS_DET_EST_DATE_THOM" hidden="1">"c12231"</definedName>
    <definedName name="IQ_DPS_DET_EST_INCL" hidden="1">"c12342"</definedName>
    <definedName name="IQ_DPS_DET_EST_INCL_THOM" hidden="1">"c12363"</definedName>
    <definedName name="IQ_DPS_DET_EST_ORIGIN" hidden="1">"c12578"</definedName>
    <definedName name="IQ_DPS_DET_EST_ORIGIN_THOM" hidden="1">"c12601"</definedName>
    <definedName name="IQ_DPS_DET_EST_THOM" hidden="1">"c12081"</definedName>
    <definedName name="IQ_DPS_EST" hidden="1">"c1674"</definedName>
    <definedName name="IQ_DPS_EST_BOTTOM_UP" hidden="1">"c5493"</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AVG_ASSETS_FFIEC" hidden="1">"c13354"</definedName>
    <definedName name="IQ_EARNING_ASSETS_FDIC" hidden="1">"c6360"</definedName>
    <definedName name="IQ_EARNING_ASSETS_QUARTERLY_AVG_FFIEC" hidden="1">"c13086"</definedName>
    <definedName name="IQ_EARNING_ASSETS_REPRICE_ASSETS_TOT_FFIEC" hidden="1">"c13451"</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ANNOUNCE_DATE_THOM" hidden="1">"c5093"</definedName>
    <definedName name="IQ_EARNINGS_CO_FFIEC" hidden="1">"c13032"</definedName>
    <definedName name="IQ_EARNINGS_COVERAGE_LOSSES_FFIEC" hidden="1">"c13351"</definedName>
    <definedName name="IQ_EARNINGS_COVERAGE_NET_CHARGE_OFFS_FDIC" hidden="1">"c6735"</definedName>
    <definedName name="IQ_EARNINGS_LIFE_INSURANCE_FFIEC" hidden="1">"c13041"</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DET_EST" hidden="1">"c12053"</definedName>
    <definedName name="IQ_EBIT_DET_EST_CURRENCY" hidden="1">"c12460"</definedName>
    <definedName name="IQ_EBIT_DET_EST_CURRENCY_THOM" hidden="1">"c12481"</definedName>
    <definedName name="IQ_EBIT_DET_EST_DATE" hidden="1">"c12206"</definedName>
    <definedName name="IQ_EBIT_DET_EST_DATE_THOM" hidden="1">"c12232"</definedName>
    <definedName name="IQ_EBIT_DET_EST_INCL" hidden="1">"c12343"</definedName>
    <definedName name="IQ_EBIT_DET_EST_INCL_THOM" hidden="1">"c12364"</definedName>
    <definedName name="IQ_EBIT_DET_EST_ORIGIN" hidden="1">"c12579"</definedName>
    <definedName name="IQ_EBIT_DET_EST_ORIGIN_THOM" hidden="1">"c12602"</definedName>
    <definedName name="IQ_EBIT_DET_EST_THOM" hidden="1">"c12082"</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W_ACT_OR_EST" hidden="1">"c4306"</definedName>
    <definedName name="IQ_EBIT_GW_EST" hidden="1">"c4305"</definedName>
    <definedName name="IQ_EBIT_GW_HIGH_EST" hidden="1">"c4308"</definedName>
    <definedName name="IQ_EBIT_GW_LOW_EST" hidden="1">"c4309"</definedName>
    <definedName name="IQ_EBIT_GW_MEDIAN_EST" hidden="1">"c4310"</definedName>
    <definedName name="IQ_EBIT_GW_NUM_EST" hidden="1">"c4311"</definedName>
    <definedName name="IQ_EBIT_GW_STDDEV_EST" hidden="1">"c4312"</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localSheetId="3" hidden="1">"c1369"</definedName>
    <definedName name="IQ_EBIT_OVER_IE" hidden="1">"c360"</definedName>
    <definedName name="IQ_EBIT_SBC_ACT_OR_EST" hidden="1">"c4316"</definedName>
    <definedName name="IQ_EBIT_SBC_ACT_OR_EST_CIQ" hidden="1">"c4841"</definedName>
    <definedName name="IQ_EBIT_SBC_EST" hidden="1">"c4315"</definedName>
    <definedName name="IQ_EBIT_SBC_GW_ACT_OR_EST" hidden="1">"c4320"</definedName>
    <definedName name="IQ_EBIT_SBC_GW_ACT_OR_EST_CIQ" hidden="1">"c4845"</definedName>
    <definedName name="IQ_EBIT_SBC_GW_EST" hidden="1">"c4319"</definedName>
    <definedName name="IQ_EBIT_SBC_GW_HIGH_EST" hidden="1">"c4322"</definedName>
    <definedName name="IQ_EBIT_SBC_GW_LOW_EST" hidden="1">"c4323"</definedName>
    <definedName name="IQ_EBIT_SBC_GW_MEDIAN_EST" hidden="1">"c4324"</definedName>
    <definedName name="IQ_EBIT_SBC_GW_NUM_EST" hidden="1">"c4325"</definedName>
    <definedName name="IQ_EBIT_SBC_GW_STDDEV_EST" hidden="1">"c4326"</definedName>
    <definedName name="IQ_EBIT_SBC_HIGH_EST" hidden="1">"c4328"</definedName>
    <definedName name="IQ_EBIT_SBC_LOW_EST" hidden="1">"c4329"</definedName>
    <definedName name="IQ_EBIT_SBC_MEDIAN_EST" hidden="1">"c4330"</definedName>
    <definedName name="IQ_EBIT_SBC_NUM_EST" hidden="1">"c4331"</definedName>
    <definedName name="IQ_EBIT_SBC_STDDEV_EST" hidden="1">"c4332"</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ACT_OR_EST_THOM" hidden="1">"c5300"</definedName>
    <definedName name="IQ_EBITDA_CAPEX_INT" hidden="1">"c368"</definedName>
    <definedName name="IQ_EBITDA_CAPEX_OVER_TOTAL_IE" localSheetId="3" hidden="1">"c1370"</definedName>
    <definedName name="IQ_EBITDA_CAPEX_OVER_TOTAL_IE" hidden="1">"c368"</definedName>
    <definedName name="IQ_EBITDA_DET_EST" hidden="1">"c12054"</definedName>
    <definedName name="IQ_EBITDA_DET_EST_CURRENCY" hidden="1">"c12461"</definedName>
    <definedName name="IQ_EBITDA_DET_EST_CURRENCY_THOM" hidden="1">"c12482"</definedName>
    <definedName name="IQ_EBITDA_DET_EST_DATE" hidden="1">"c12207"</definedName>
    <definedName name="IQ_EBITDA_DET_EST_DATE_THOM" hidden="1">"c12233"</definedName>
    <definedName name="IQ_EBITDA_DET_EST_INCL" hidden="1">"c12344"</definedName>
    <definedName name="IQ_EBITDA_DET_EST_INCL_THOM" hidden="1">"c12365"</definedName>
    <definedName name="IQ_EBITDA_DET_EST_ORIGIN" hidden="1">"c12580"</definedName>
    <definedName name="IQ_EBITDA_DET_EST_ORIGIN_THOM" hidden="1">"c12603"</definedName>
    <definedName name="IQ_EBITDA_DET_EST_THOM" hidden="1">"c12083"</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ST_THOM" hidden="1">"c3658"</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CIQ" hidden="1">"c3625"</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MEDIAN_EST_THOM" hidden="1">"c3659"</definedName>
    <definedName name="IQ_EBITDA_NUM_EST" hidden="1">"c374"</definedName>
    <definedName name="IQ_EBITDA_NUM_EST_CIQ" hidden="1">"c3626"</definedName>
    <definedName name="IQ_EBITDA_NUM_EST_REUT" hidden="1">"c3644"</definedName>
    <definedName name="IQ_EBITDA_NUM_EST_THOM" hidden="1">"c3662"</definedName>
    <definedName name="IQ_EBITDA_OVER_TOTAL_IE" localSheetId="3" hidden="1">"c1371"</definedName>
    <definedName name="IQ_EBITDA_OVER_TOTAL_IE" hidden="1">"c373"</definedName>
    <definedName name="IQ_EBITDA_SBC_ACT_OR_EST" hidden="1">"c4337"</definedName>
    <definedName name="IQ_EBITDA_SBC_ACT_OR_EST_CIQ" hidden="1">"c4862"</definedName>
    <definedName name="IQ_EBITDA_SBC_EST" hidden="1">"c4336"</definedName>
    <definedName name="IQ_EBITDA_SBC_HIGH_EST" hidden="1">"c4339"</definedName>
    <definedName name="IQ_EBITDA_SBC_LOW_EST" hidden="1">"c4340"</definedName>
    <definedName name="IQ_EBITDA_SBC_MEDIAN_EST" hidden="1">"c4341"</definedName>
    <definedName name="IQ_EBITDA_SBC_NUM_EST" hidden="1">"c4342"</definedName>
    <definedName name="IQ_EBITDA_SBC_STDDEV_EST" hidden="1">"c4343"</definedName>
    <definedName name="IQ_EBITDA_STDDEV_EST" hidden="1">"c375"</definedName>
    <definedName name="IQ_EBITDA_STDDEV_EST_CIQ" hidden="1">"c3627"</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FIEC" hidden="1">"c13029"</definedName>
    <definedName name="IQ_EBT_FIN" hidden="1">"c386"</definedName>
    <definedName name="IQ_EBT_FTE_FFIEC" hidden="1">"c13037"</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EST" hidden="1">"c4349"</definedName>
    <definedName name="IQ_EBT_SBC_GW_ACT_OR_EST" hidden="1">"c4354"</definedName>
    <definedName name="IQ_EBT_SBC_GW_ACT_OR_EST_CIQ" hidden="1">"c4879"</definedName>
    <definedName name="IQ_EBT_SBC_GW_EST" hidden="1">"c4353"</definedName>
    <definedName name="IQ_EBT_SBC_GW_HIGH_EST" hidden="1">"c4356"</definedName>
    <definedName name="IQ_EBT_SBC_GW_LOW_EST" hidden="1">"c4357"</definedName>
    <definedName name="IQ_EBT_SBC_GW_MEDIAN_EST" hidden="1">"c4358"</definedName>
    <definedName name="IQ_EBT_SBC_GW_NUM_EST" hidden="1">"c4359"</definedName>
    <definedName name="IQ_EBT_SBC_GW_STDDEV_EST" hidden="1">"c4360"</definedName>
    <definedName name="IQ_EBT_SBC_HIGH_EST" hidden="1">"c4362"</definedName>
    <definedName name="IQ_EBT_SBC_LOW_EST" hidden="1">"c4363"</definedName>
    <definedName name="IQ_EBT_SBC_MEDIAN_EST" hidden="1">"c4364"</definedName>
    <definedName name="IQ_EBT_SBC_NUM_EST" hidden="1">"c4365"</definedName>
    <definedName name="IQ_EBT_SBC_STDDEV_EST" hidden="1">"c4366"</definedName>
    <definedName name="IQ_EBT_SUBTOTAL_AP" hidden="1">"c8982"</definedName>
    <definedName name="IQ_EBT_UTI" hidden="1">"c390"</definedName>
    <definedName name="IQ_ECO_METRIC_6825_UNUSED" hidden="1">"c6825"</definedName>
    <definedName name="IQ_ECO_METRIC_6839_UNUSED" hidden="1">"c6839"</definedName>
    <definedName name="IQ_ECO_METRIC_6896_UNUSED" hidden="1">"c6896"</definedName>
    <definedName name="IQ_ECO_METRIC_6897_UNUSED" hidden="1">"c6897"</definedName>
    <definedName name="IQ_ECO_METRIC_6927" hidden="1">"c6927"</definedName>
    <definedName name="IQ_ECO_METRIC_6988_UNUSED" hidden="1">"c6988"</definedName>
    <definedName name="IQ_ECO_METRIC_7045_UNUSED" hidden="1">"c7045"</definedName>
    <definedName name="IQ_ECO_METRIC_7059_UNUSED" hidden="1">"c7059"</definedName>
    <definedName name="IQ_ECO_METRIC_7116_UNUSED" hidden="1">"c7116"</definedName>
    <definedName name="IQ_ECO_METRIC_7117_UNUSED" hidden="1">"c7117"</definedName>
    <definedName name="IQ_ECO_METRIC_7147" hidden="1">"c7147"</definedName>
    <definedName name="IQ_ECO_METRIC_7208_UNUSED" hidden="1">"c7208"</definedName>
    <definedName name="IQ_ECO_METRIC_7265_UNUSED" hidden="1">"c7265"</definedName>
    <definedName name="IQ_ECO_METRIC_7279_UNUSED" hidden="1">"c7279"</definedName>
    <definedName name="IQ_ECO_METRIC_7336_UNUSED" hidden="1">"c7336"</definedName>
    <definedName name="IQ_ECO_METRIC_7337_UNUSED" hidden="1">"c7337"</definedName>
    <definedName name="IQ_ECO_METRIC_7367" hidden="1">"c7367"</definedName>
    <definedName name="IQ_ECO_METRIC_7428_UNUSED" hidden="1">"c7428"</definedName>
    <definedName name="IQ_ECO_METRIC_7556_UNUSED" hidden="1">"c7556"</definedName>
    <definedName name="IQ_ECO_METRIC_7557_UNUSED" hidden="1">"c7557"</definedName>
    <definedName name="IQ_ECO_METRIC_7587" hidden="1">"c7587"</definedName>
    <definedName name="IQ_ECO_METRIC_7648_UNUSED" hidden="1">"c7648"</definedName>
    <definedName name="IQ_ECO_METRIC_7704" hidden="1">"c7704"</definedName>
    <definedName name="IQ_ECO_METRIC_7705_UNUSED" hidden="1">"c7705"</definedName>
    <definedName name="IQ_ECO_METRIC_7706" hidden="1">"c7706"</definedName>
    <definedName name="IQ_ECO_METRIC_7718" hidden="1">"c7718"</definedName>
    <definedName name="IQ_ECO_METRIC_7719_UNUSED" hidden="1">"c7719"</definedName>
    <definedName name="IQ_ECO_METRIC_7776_UNUSED" hidden="1">"c7776"</definedName>
    <definedName name="IQ_ECO_METRIC_7777_UNUSED" hidden="1">"c7777"</definedName>
    <definedName name="IQ_ECO_METRIC_7807" hidden="1">"c7807"</definedName>
    <definedName name="IQ_ECO_METRIC_7811" hidden="1">"c7811"</definedName>
    <definedName name="IQ_ECO_METRIC_7868_UNUSED" hidden="1">"c7868"</definedName>
    <definedName name="IQ_ECO_METRIC_7873" hidden="1">"c7873"</definedName>
    <definedName name="IQ_ECO_METRIC_7924" hidden="1">"c7924"</definedName>
    <definedName name="IQ_ECO_METRIC_7925_UNUSED" hidden="1">"c7925"</definedName>
    <definedName name="IQ_ECO_METRIC_7926" hidden="1">"c7926"</definedName>
    <definedName name="IQ_ECO_METRIC_7938" hidden="1">"c7938"</definedName>
    <definedName name="IQ_ECO_METRIC_7939_UNUSED" hidden="1">"c7939"</definedName>
    <definedName name="IQ_ECO_METRIC_7996_UNUSED" hidden="1">"c7996"</definedName>
    <definedName name="IQ_ECO_METRIC_7997_UNUSED" hidden="1">"c7997"</definedName>
    <definedName name="IQ_ECO_METRIC_8027" hidden="1">"c8027"</definedName>
    <definedName name="IQ_ECO_METRIC_8031" hidden="1">"c8031"</definedName>
    <definedName name="IQ_ECO_METRIC_8088_UNUSED" hidden="1">"c8088"</definedName>
    <definedName name="IQ_ECO_METRIC_8093" hidden="1">"c8093"</definedName>
    <definedName name="IQ_ECO_METRIC_8144" hidden="1">"c8144"</definedName>
    <definedName name="IQ_ECO_METRIC_8145_UNUSED" hidden="1">"c8145"</definedName>
    <definedName name="IQ_ECO_METRIC_8146" hidden="1">"c8146"</definedName>
    <definedName name="IQ_ECO_METRIC_8158" hidden="1">"c8158"</definedName>
    <definedName name="IQ_ECO_METRIC_8159_UNUSED" hidden="1">"c8159"</definedName>
    <definedName name="IQ_ECO_METRIC_8216_UNUSED" hidden="1">"c8216"</definedName>
    <definedName name="IQ_ECO_METRIC_8217_UNUSED" hidden="1">"c8217"</definedName>
    <definedName name="IQ_ECO_METRIC_8247" hidden="1">"c8247"</definedName>
    <definedName name="IQ_ECO_METRIC_8251" hidden="1">"c8251"</definedName>
    <definedName name="IQ_ECO_METRIC_8308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7_UNUSED" hidden="1">"c8437"</definedName>
    <definedName name="IQ_ECO_METRIC_8467" hidden="1">"c8467"</definedName>
    <definedName name="IQ_ECO_METRIC_8471" hidden="1">"c8471"</definedName>
    <definedName name="IQ_ECO_METRIC_8528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MPLOYEES_FFIEC" hidden="1">"c13035"</definedName>
    <definedName name="IQ_ENTERPRISE_VALUE" localSheetId="3" hidden="1">"c1348"</definedName>
    <definedName name="IQ_ENTERPRISE_VALUE" hidden="1">"c84"</definedName>
    <definedName name="IQ_ENTITLEMENT_DET_EST" hidden="1">"c12044"</definedName>
    <definedName name="IQ_ENTITLEMENT_DET_EST_THOM" hidden="1">"c12072"</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CT_OR_EST_THOM" hidden="1">"c5298"</definedName>
    <definedName name="IQ_EPS_AP" hidden="1">"c8880"</definedName>
    <definedName name="IQ_EPS_AP_ABS" hidden="1">"c8899"</definedName>
    <definedName name="IQ_EPS_DET_EST" hidden="1">"c13571"</definedName>
    <definedName name="IQ_EPS_DET_EST_CURRENCY" hidden="1">"c13583"</definedName>
    <definedName name="IQ_EPS_DET_EST_CURRENCY_THOM" hidden="1">"c12484"</definedName>
    <definedName name="IQ_EPS_DET_EST_DATE" hidden="1">"c13575"</definedName>
    <definedName name="IQ_EPS_DET_EST_DATE_THOM" hidden="1">"c12235"</definedName>
    <definedName name="IQ_EPS_DET_EST_INCL" hidden="1">"c13587"</definedName>
    <definedName name="IQ_EPS_DET_EST_INCL_THOM" hidden="1">"c12367"</definedName>
    <definedName name="IQ_EPS_DET_EST_ORIGIN" hidden="1">"c13579"</definedName>
    <definedName name="IQ_EPS_DET_EST_ORIGIN_THOM" hidden="1">"c12605"</definedName>
    <definedName name="IQ_EPS_DET_EST_THOM" hidden="1">"c12085"</definedName>
    <definedName name="IQ_EPS_EST" hidden="1">"c399"</definedName>
    <definedName name="IQ_EPS_EST_BOTTOM_UP" hidden="1">"c5489"</definedName>
    <definedName name="IQ_EPS_EST_BOTTOM_UP_CIQ" hidden="1">"c12026"</definedName>
    <definedName name="IQ_EPS_EST_BOTTOM_UP_THOM" hidden="1">"c5647"</definedName>
    <definedName name="IQ_EPS_EST_CIQ" hidden="1">"c4994"</definedName>
    <definedName name="IQ_EPS_EST_REUT" hidden="1">"c5453"</definedName>
    <definedName name="IQ_EPS_EST_THOM" hidden="1">"c5290"</definedName>
    <definedName name="IQ_EPS_GW_ACT_OR_EST" hidden="1">"c2223"</definedName>
    <definedName name="IQ_EPS_GW_ACT_OR_EST_CIQ" hidden="1">"c5066"</definedName>
    <definedName name="IQ_EPS_GW_DET_EST" hidden="1">"c12056"</definedName>
    <definedName name="IQ_EPS_GW_DET_EST_CURRENCY" hidden="1">"c12463"</definedName>
    <definedName name="IQ_EPS_GW_DET_EST_CURRENCY_THOM" hidden="1">"c12485"</definedName>
    <definedName name="IQ_EPS_GW_DET_EST_DATE" hidden="1">"c12209"</definedName>
    <definedName name="IQ_EPS_GW_DET_EST_DATE_THOM" hidden="1">"c12236"</definedName>
    <definedName name="IQ_EPS_GW_DET_EST_INCL" hidden="1">"c12346"</definedName>
    <definedName name="IQ_EPS_GW_DET_EST_INCL_THOM" hidden="1">"c12368"</definedName>
    <definedName name="IQ_EPS_GW_DET_EST_ORIGIN" hidden="1">"c12582"</definedName>
    <definedName name="IQ_EPS_GW_DET_EST_ORIGIN_THOM" hidden="1">"c12606"</definedName>
    <definedName name="IQ_EPS_GW_DET_EST_THOM" hidden="1">"c12086"</definedName>
    <definedName name="IQ_EPS_GW_EST" hidden="1">"c1737"</definedName>
    <definedName name="IQ_EPS_GW_EST_BOTTOM_UP" hidden="1">"c5491"</definedName>
    <definedName name="IQ_EPS_GW_EST_BOTTOM_UP_CIQ" hidden="1">"c12028"</definedName>
    <definedName name="IQ_EPS_GW_EST_CIQ" hidden="1">"c4723"</definedName>
    <definedName name="IQ_EPS_GW_EST_THOM" hidden="1">"c5133"</definedName>
    <definedName name="IQ_EPS_GW_HIGH_EST" hidden="1">"c1739"</definedName>
    <definedName name="IQ_EPS_GW_HIGH_EST_CIQ" hidden="1">"c4725"</definedName>
    <definedName name="IQ_EPS_GW_HIGH_EST_THOM" hidden="1">"c5135"</definedName>
    <definedName name="IQ_EPS_GW_LOW_EST" hidden="1">"c1740"</definedName>
    <definedName name="IQ_EPS_GW_LOW_EST_CIQ" hidden="1">"c4726"</definedName>
    <definedName name="IQ_EPS_GW_LOW_EST_THOM" hidden="1">"c5136"</definedName>
    <definedName name="IQ_EPS_GW_MEDIAN_EST" hidden="1">"c1738"</definedName>
    <definedName name="IQ_EPS_GW_MEDIAN_EST_CIQ" hidden="1">"c4724"</definedName>
    <definedName name="IQ_EPS_GW_MEDIAN_EST_THOM" hidden="1">"c5134"</definedName>
    <definedName name="IQ_EPS_GW_NUM_EST" hidden="1">"c1741"</definedName>
    <definedName name="IQ_EPS_GW_NUM_EST_CIQ" hidden="1">"c4727"</definedName>
    <definedName name="IQ_EPS_GW_NUM_EST_THOM" hidden="1">"c5137"</definedName>
    <definedName name="IQ_EPS_GW_STDDEV_EST" hidden="1">"c1742"</definedName>
    <definedName name="IQ_EPS_GW_STDDEV_EST_CIQ" hidden="1">"c4728"</definedName>
    <definedName name="IQ_EPS_GW_STDDEV_EST_THOM" hidden="1">"c5138"</definedName>
    <definedName name="IQ_EPS_HIGH_EST" hidden="1">"c400"</definedName>
    <definedName name="IQ_EPS_HIGH_EST_CIQ" hidden="1">"c4995"</definedName>
    <definedName name="IQ_EPS_HIGH_EST_REUT" hidden="1">"c5454"</definedName>
    <definedName name="IQ_EPS_HIGH_EST_THOM" hidden="1">"c5291"</definedName>
    <definedName name="IQ_EPS_LOW_EST" hidden="1">"c401"</definedName>
    <definedName name="IQ_EPS_LOW_EST_CIQ" hidden="1">"c4996"</definedName>
    <definedName name="IQ_EPS_LOW_EST_REUT" hidden="1">"c5455"</definedName>
    <definedName name="IQ_EPS_LOW_EST_THOM" hidden="1">"c5292"</definedName>
    <definedName name="IQ_EPS_MEDIAN_EST" hidden="1">"c1661"</definedName>
    <definedName name="IQ_EPS_MEDIAN_EST_CIQ" hidden="1">"c4997"</definedName>
    <definedName name="IQ_EPS_MEDIAN_EST_REUT" hidden="1">"c5456"</definedName>
    <definedName name="IQ_EPS_MEDIAN_EST_THOM" hidden="1">"c5293"</definedName>
    <definedName name="IQ_EPS_NAME_AP" hidden="1">"c8918"</definedName>
    <definedName name="IQ_EPS_NAME_AP_ABS" hidden="1">"c8937"</definedName>
    <definedName name="IQ_EPS_NORM" hidden="1">"c1902"</definedName>
    <definedName name="IQ_EPS_NORM_DET_EST" hidden="1">"c12058"</definedName>
    <definedName name="IQ_EPS_NORM_DET_EST_CURRENCY" hidden="1">"c12465"</definedName>
    <definedName name="IQ_EPS_NORM_DET_EST_DATE" hidden="1">"c12211"</definedName>
    <definedName name="IQ_EPS_NORM_DET_EST_INCL" hidden="1">"c12348"</definedName>
    <definedName name="IQ_EPS_NORM_DET_EST_ORIGIN" hidden="1">"c12583"</definedName>
    <definedName name="IQ_EPS_NORM_DET_EST_ORIGIN_THOM" hidden="1">"c12607"</definedName>
    <definedName name="IQ_EPS_NORM_EST" hidden="1">"c2226"</definedName>
    <definedName name="IQ_EPS_NORM_EST_BOTTOM_UP" hidden="1">"c5490"</definedName>
    <definedName name="IQ_EPS_NORM_EST_BOTTOM_UP_CIQ" hidden="1">"c12027"</definedName>
    <definedName name="IQ_EPS_NORM_EST_CIQ" hidden="1">"c4667"</definedName>
    <definedName name="IQ_EPS_NORM_HIGH_EST" hidden="1">"c2228"</definedName>
    <definedName name="IQ_EPS_NORM_HIGH_EST_CIQ" hidden="1">"c4669"</definedName>
    <definedName name="IQ_EPS_NORM_LOW_EST" hidden="1">"c2229"</definedName>
    <definedName name="IQ_EPS_NORM_LOW_EST_CIQ" hidden="1">"c4670"</definedName>
    <definedName name="IQ_EPS_NORM_MEDIAN_EST" hidden="1">"c2227"</definedName>
    <definedName name="IQ_EPS_NORM_MEDIAN_EST_CIQ" hidden="1">"c4668"</definedName>
    <definedName name="IQ_EPS_NORM_NUM_EST" hidden="1">"c2230"</definedName>
    <definedName name="IQ_EPS_NORM_NUM_EST_CIQ" hidden="1">"c4671"</definedName>
    <definedName name="IQ_EPS_NORM_STDDEV_EST" hidden="1">"c2231"</definedName>
    <definedName name="IQ_EPS_NORM_STDDEV_EST_CIQ" hidden="1">"c4672"</definedName>
    <definedName name="IQ_EPS_NUM_EST" hidden="1">"c402"</definedName>
    <definedName name="IQ_EPS_NUM_EST_CIQ" hidden="1">"c4992"</definedName>
    <definedName name="IQ_EPS_NUM_EST_REUT" hidden="1">"c5451"</definedName>
    <definedName name="IQ_EPS_NUM_EST_THOM" hidden="1">"c5288"</definedName>
    <definedName name="IQ_EPS_REPORT_ACT_OR_EST" hidden="1">"c2224"</definedName>
    <definedName name="IQ_EPS_REPORT_ACT_OR_EST_CIQ" hidden="1">"c5067"</definedName>
    <definedName name="IQ_EPS_REPORT_ACT_OR_EST_THOM" hidden="1">"c5307"</definedName>
    <definedName name="IQ_EPS_REPORTED_DET_EST" hidden="1">"c12057"</definedName>
    <definedName name="IQ_EPS_REPORTED_DET_EST_CURRENCY" hidden="1">"c12464"</definedName>
    <definedName name="IQ_EPS_REPORTED_DET_EST_CURRENCY_THOM" hidden="1">"c12486"</definedName>
    <definedName name="IQ_EPS_REPORTED_DET_EST_DATE" hidden="1">"c12210"</definedName>
    <definedName name="IQ_EPS_REPORTED_DET_EST_DATE_THOM" hidden="1">"c12237"</definedName>
    <definedName name="IQ_EPS_REPORTED_DET_EST_INCL" hidden="1">"c12347"</definedName>
    <definedName name="IQ_EPS_REPORTED_DET_EST_INCL_THOM" hidden="1">"c12369"</definedName>
    <definedName name="IQ_EPS_REPORTED_DET_EST_ORIGIN" hidden="1">"c12772"</definedName>
    <definedName name="IQ_EPS_REPORTED_DET_EST_ORIGIN_THOM" hidden="1">"c13511"</definedName>
    <definedName name="IQ_EPS_REPORTED_DET_EST_THOM" hidden="1">"c12087"</definedName>
    <definedName name="IQ_EPS_REPORTED_EST" hidden="1">"c1744"</definedName>
    <definedName name="IQ_EPS_REPORTED_EST_BOTTOM_UP" hidden="1">"c5492"</definedName>
    <definedName name="IQ_EPS_REPORTED_EST_BOTTOM_UP_CIQ" hidden="1">"c12029"</definedName>
    <definedName name="IQ_EPS_REPORTED_EST_CIQ" hidden="1">"c4730"</definedName>
    <definedName name="IQ_EPS_REPORTED_EST_THOM" hidden="1">"c5140"</definedName>
    <definedName name="IQ_EPS_REPORTED_HIGH_EST" hidden="1">"c1746"</definedName>
    <definedName name="IQ_EPS_REPORTED_HIGH_EST_CIQ" hidden="1">"c4732"</definedName>
    <definedName name="IQ_EPS_REPORTED_HIGH_EST_THOM" hidden="1">"c5142"</definedName>
    <definedName name="IQ_EPS_REPORTED_LOW_EST" hidden="1">"c1747"</definedName>
    <definedName name="IQ_EPS_REPORTED_LOW_EST_CIQ" hidden="1">"c4733"</definedName>
    <definedName name="IQ_EPS_REPORTED_LOW_EST_THOM" hidden="1">"c5143"</definedName>
    <definedName name="IQ_EPS_REPORTED_MEDIAN_EST" hidden="1">"c1745"</definedName>
    <definedName name="IQ_EPS_REPORTED_MEDIAN_EST_CIQ" hidden="1">"c4731"</definedName>
    <definedName name="IQ_EPS_REPORTED_MEDIAN_EST_THOM" hidden="1">"c5141"</definedName>
    <definedName name="IQ_EPS_REPORTED_NUM_EST" hidden="1">"c1748"</definedName>
    <definedName name="IQ_EPS_REPORTED_NUM_EST_CIQ" hidden="1">"c4734"</definedName>
    <definedName name="IQ_EPS_REPORTED_NUM_EST_THOM" hidden="1">"c5144"</definedName>
    <definedName name="IQ_EPS_REPORTED_STDDEV_EST" hidden="1">"c1749"</definedName>
    <definedName name="IQ_EPS_REPORTED_STDDEV_EST_CIQ" hidden="1">"c4735"</definedName>
    <definedName name="IQ_EPS_REPORTED_STDDEV_EST_THOM" hidden="1">"c5145"</definedName>
    <definedName name="IQ_EPS_SBC_ACT_OR_EST" hidden="1">"c4376"</definedName>
    <definedName name="IQ_EPS_SBC_ACT_OR_EST_CIQ" hidden="1">"c4901"</definedName>
    <definedName name="IQ_EPS_SBC_EST" hidden="1">"c4375"</definedName>
    <definedName name="IQ_EPS_SBC_GW_ACT_OR_EST" hidden="1">"c4380"</definedName>
    <definedName name="IQ_EPS_SBC_GW_ACT_OR_EST_CIQ" hidden="1">"c4905"</definedName>
    <definedName name="IQ_EPS_SBC_GW_EST" hidden="1">"c4379"</definedName>
    <definedName name="IQ_EPS_SBC_GW_HIGH_EST" hidden="1">"c4382"</definedName>
    <definedName name="IQ_EPS_SBC_GW_LOW_EST" hidden="1">"c4383"</definedName>
    <definedName name="IQ_EPS_SBC_GW_MEDIAN_EST" hidden="1">"c4384"</definedName>
    <definedName name="IQ_EPS_SBC_GW_NUM_EST" hidden="1">"c4385"</definedName>
    <definedName name="IQ_EPS_SBC_GW_STDDEV_EST" hidden="1">"c4386"</definedName>
    <definedName name="IQ_EPS_SBC_HIGH_EST" hidden="1">"c4388"</definedName>
    <definedName name="IQ_EPS_SBC_LOW_EST" hidden="1">"c4389"</definedName>
    <definedName name="IQ_EPS_SBC_MEDIAN_EST" hidden="1">"c4390"</definedName>
    <definedName name="IQ_EPS_SBC_NUM_EST" hidden="1">"c4391"</definedName>
    <definedName name="IQ_EPS_SBC_STDDEV_EST" hidden="1">"c4392"</definedName>
    <definedName name="IQ_EPS_STDDEV_EST" hidden="1">"c403"</definedName>
    <definedName name="IQ_EPS_STDDEV_EST_CIQ" hidden="1">"c4993"</definedName>
    <definedName name="IQ_EPS_STDDEV_EST_REUT" hidden="1">"c5452"</definedName>
    <definedName name="IQ_EPS_STDDEV_EST_THOM" hidden="1">"c5289"</definedName>
    <definedName name="IQ_EQUITY_AFFIL" localSheetId="3" hidden="1">"c1451"</definedName>
    <definedName name="IQ_EQUITY_AFFIL" hidden="1">"c552"</definedName>
    <definedName name="IQ_EQUITY_AP" hidden="1">"c8887"</definedName>
    <definedName name="IQ_EQUITY_AP_ABS" hidden="1">"c8906"</definedName>
    <definedName name="IQ_EQUITY_ASSETS_TOT_FFIEC" hidden="1">"c13436"</definedName>
    <definedName name="IQ_EQUITY_BEG_EXCL_FFIEC" hidden="1">"c12957"</definedName>
    <definedName name="IQ_EQUITY_BEG_FFIEC" hidden="1">"c12959"</definedName>
    <definedName name="IQ_EQUITY_CAPITAL_ASSETS_FDIC" hidden="1">"c6744"</definedName>
    <definedName name="IQ_EQUITY_CAPITAL_QUARTERLY_AVG_FFIEC" hidden="1">"c13092"</definedName>
    <definedName name="IQ_EQUITY_ENDING_FFIEC" hidden="1">"c12973"</definedName>
    <definedName name="IQ_EQUITY_FDIC" hidden="1">"c6353"</definedName>
    <definedName name="IQ_EQUITY_INDEX_EXPOSURE_FFIEC" hidden="1">"c13060"</definedName>
    <definedName name="IQ_EQUITY_METHOD" hidden="1">"c404"</definedName>
    <definedName name="IQ_EQUITY_NAME_AP" hidden="1">"c8925"</definedName>
    <definedName name="IQ_EQUITY_NAME_AP_ABS" hidden="1">"c8944"</definedName>
    <definedName name="IQ_EQUITY_SEC_FAIR_VALUE_FFIEC" hidden="1">"c12805"</definedName>
    <definedName name="IQ_EQUITY_SEC_INVEST_SECURITIES_FFIEC" hidden="1">"c13463"</definedName>
    <definedName name="IQ_EQUITY_SECURITIES_FDIC" hidden="1">"c6304"</definedName>
    <definedName name="IQ_EQUITY_SECURITIES_WITHOUT_FAIR_VALUES_FFIEC" hidden="1">"c12846"</definedName>
    <definedName name="IQ_EQUITY_SECURITY_EXPOSURES_FDIC" hidden="1">"c6664"</definedName>
    <definedName name="IQ_EQV_OVER_BV" hidden="1">"c1596"</definedName>
    <definedName name="IQ_EQV_OVER_LTM_PRETAX_INC" localSheetId="3" hidden="1">"c1390"</definedName>
    <definedName name="IQ_EQV_OVER_LTM_PRETAX_INC" hidden="1">"c739"</definedName>
    <definedName name="IQ_ESOP_DEBT" hidden="1">"c1597"</definedName>
    <definedName name="IQ_ESOP_DEBT_GUARANTEED_FFIEC" hidden="1">"c12971"</definedName>
    <definedName name="IQ_ESOP_OVER_TOTAL" hidden="1">"c13768"</definedName>
    <definedName name="IQ_EST_ACT_BV" hidden="1">"c5630"</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ASH_FLOW" hidden="1">"c4394"</definedName>
    <definedName name="IQ_EST_ACT_CASH_OPER" hidden="1">"c4395"</definedName>
    <definedName name="IQ_EST_ACT_CFPS" hidden="1">"c1673"</definedName>
    <definedName name="IQ_EST_ACT_CFPS_THOM" hidden="1">"c4012"</definedName>
    <definedName name="IQ_EST_ACT_DISTRIBUTABLE_CASH" hidden="1">"c4396"</definedName>
    <definedName name="IQ_EST_ACT_DISTRIBUTABLE_CASH_SHARE" hidden="1">"c4397"</definedName>
    <definedName name="IQ_EST_ACT_DPS" hidden="1">"c1680"</definedName>
    <definedName name="IQ_EST_ACT_DPS_THOM" hidden="1">"c4019"</definedName>
    <definedName name="IQ_EST_ACT_EBIT" hidden="1">"c1687"</definedName>
    <definedName name="IQ_EST_ACT_EBIT_GW" hidden="1">"c4398"</definedName>
    <definedName name="IQ_EST_ACT_EBIT_SBC" hidden="1">"c4399"</definedName>
    <definedName name="IQ_EST_ACT_EBIT_SBC_GW" hidden="1">"c4400"</definedName>
    <definedName name="IQ_EST_ACT_EBIT_THOM" hidden="1">"c5111"</definedName>
    <definedName name="IQ_EST_ACT_EBITDA" hidden="1">"c1664"</definedName>
    <definedName name="IQ_EST_ACT_EBITDA_CIQ" hidden="1">"c3667"</definedName>
    <definedName name="IQ_EST_ACT_EBITDA_SBC" hidden="1">"c4401"</definedName>
    <definedName name="IQ_EST_ACT_EBITDA_THOM" hidden="1">"c3998"</definedName>
    <definedName name="IQ_EST_ACT_EBT_SBC" hidden="1">"c4402"</definedName>
    <definedName name="IQ_EST_ACT_EBT_SBC_GW" hidden="1">"c4403"</definedName>
    <definedName name="IQ_EST_ACT_EPS" hidden="1">"c1648"</definedName>
    <definedName name="IQ_EST_ACT_EPS_CIQ" hidden="1">"c4998"</definedName>
    <definedName name="IQ_EST_ACT_EPS_GW" hidden="1">"c1743"</definedName>
    <definedName name="IQ_EST_ACT_EPS_GW_CIQ" hidden="1">"c4729"</definedName>
    <definedName name="IQ_EST_ACT_EPS_GW_THOM" hidden="1">"c5139"</definedName>
    <definedName name="IQ_EST_ACT_EPS_NORM" hidden="1">"c2232"</definedName>
    <definedName name="IQ_EST_ACT_EPS_NORM_CIQ" hidden="1">"c4673"</definedName>
    <definedName name="IQ_EST_ACT_EPS_REPORTED" hidden="1">"c1750"</definedName>
    <definedName name="IQ_EST_ACT_EPS_REPORTED_CIQ" hidden="1">"c4736"</definedName>
    <definedName name="IQ_EST_ACT_EPS_REPORTED_THOM" hidden="1">"c5146"</definedName>
    <definedName name="IQ_EST_ACT_EPS_SBC" hidden="1">"c4404"</definedName>
    <definedName name="IQ_EST_ACT_EPS_SBC_GW" hidden="1">"c4405"</definedName>
    <definedName name="IQ_EST_ACT_EPS_THOM" hidden="1">"c5294"</definedName>
    <definedName name="IQ_EST_ACT_FFO" hidden="1">"c4407"</definedName>
    <definedName name="IQ_EST_ACT_FFO_ADJ" hidden="1">"c4406"</definedName>
    <definedName name="IQ_EST_ACT_FFO_SHARE" hidden="1">"c1666"</definedName>
    <definedName name="IQ_EST_ACT_FFO_SHARE_THOM" hidden="1">"c4005"</definedName>
    <definedName name="IQ_EST_ACT_GROSS_MARGIN" hidden="1">"c5553"</definedName>
    <definedName name="IQ_EST_ACT_GROSS_MARGIN_THOM" hidden="1">"c5561"</definedName>
    <definedName name="IQ_EST_ACT_MAINT_CAPEX" hidden="1">"c4408"</definedName>
    <definedName name="IQ_EST_ACT_NAV" hidden="1">"c1757"</definedName>
    <definedName name="IQ_EST_ACT_NAV_SHARE" hidden="1">"c5608"</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SBC" hidden="1">"c4409"</definedName>
    <definedName name="IQ_EST_ACT_NI_SBC_GW" hidden="1">"c4410"</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CURRING_PROFIT_SHARE" hidden="1">"c4412"</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CIQ" hidden="1">"c3666"</definedName>
    <definedName name="IQ_EST_ACT_REV_THOM" hidden="1">"c3997"</definedName>
    <definedName name="IQ_EST_BV_SHARE_DIFF" hidden="1">"c4147"</definedName>
    <definedName name="IQ_EST_BV_SHARE_SURPRISE_PERCENT" hidden="1">"c4148"</definedName>
    <definedName name="IQ_EST_CAPEX_DIFF" hidden="1">"c4149"</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APEX_SURPRISE_PERCENT" hidden="1">"c4151"</definedName>
    <definedName name="IQ_EST_CASH_FLOW_DIFF" hidden="1">"c4152"</definedName>
    <definedName name="IQ_EST_CASH_FLOW_SURPRISE_PERCENT" hidden="1">"c4161"</definedName>
    <definedName name="IQ_EST_CASH_OPER_DIFF" hidden="1">"c4162"</definedName>
    <definedName name="IQ_EST_CASH_OPER_SURPRISE_PERCENT" hidden="1">"c4248"</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CIQ" hidden="1">"c4769"</definedName>
    <definedName name="IQ_EST_CURRENCY_REUT" hidden="1">"c5437"</definedName>
    <definedName name="IQ_EST_CURRENCY_THOM" hidden="1">"c5280"</definedName>
    <definedName name="IQ_EST_DATE" hidden="1">"c1634"</definedName>
    <definedName name="IQ_EST_DATE_CIQ" hidden="1">"c4770"</definedName>
    <definedName name="IQ_EST_DATE_REUT" hidden="1">"c5438"</definedName>
    <definedName name="IQ_EST_DATE_THOM" hidden="1">"c5281"</definedName>
    <definedName name="IQ_EST_DISTRIBUTABLE_CASH_DIFF" hidden="1">"c4276"</definedName>
    <definedName name="IQ_EST_DISTRIBUTABLE_CASH_GROWTH_1YR" hidden="1">"c4413"</definedName>
    <definedName name="IQ_EST_DISTRIBUTABLE_CASH_GROWTH_2YR" hidden="1">"c4414"</definedName>
    <definedName name="IQ_EST_DISTRIBUTABLE_CASH_GROWTH_Q_1YR" hidden="1">"c4415"</definedName>
    <definedName name="IQ_EST_DISTRIBUTABLE_CASH_SEQ_GROWTH_Q" hidden="1">"c4416"</definedName>
    <definedName name="IQ_EST_DISTRIBUTABLE_CASH_SHARE_DIFF" hidden="1">"c4284"</definedName>
    <definedName name="IQ_EST_DISTRIBUTABLE_CASH_SHARE_GROWTH_1YR" hidden="1">"c4417"</definedName>
    <definedName name="IQ_EST_DISTRIBUTABLE_CASH_SHARE_GROWTH_2YR" hidden="1">"c4418"</definedName>
    <definedName name="IQ_EST_DISTRIBUTABLE_CASH_SHARE_GROWTH_Q_1YR" hidden="1">"c4419"</definedName>
    <definedName name="IQ_EST_DISTRIBUTABLE_CASH_SHARE_SEQ_GROWTH_Q" hidden="1">"c4420"</definedName>
    <definedName name="IQ_EST_DISTRIBUTABLE_CASH_SHARE_SURPRISE_PERCENT" hidden="1">"c4293"</definedName>
    <definedName name="IQ_EST_DISTRIBUTABLE_CASH_SURPRISE_PERCENT" hidden="1">"c4295"</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GW_DIFF" hidden="1">"c4304"</definedName>
    <definedName name="IQ_EST_EBIT_GW_SURPRISE_PERCENT" hidden="1">"c4313"</definedName>
    <definedName name="IQ_EST_EBIT_SBC_DIFF" hidden="1">"c4314"</definedName>
    <definedName name="IQ_EST_EBIT_SBC_GW_DIFF" hidden="1">"c4318"</definedName>
    <definedName name="IQ_EST_EBIT_SBC_GW_SURPRISE_PERCENT" hidden="1">"c4327"</definedName>
    <definedName name="IQ_EST_EBIT_SBC_SURPRISE_PERCENT" hidden="1">"c4333"</definedName>
    <definedName name="IQ_EST_EBIT_SURPRISE_PERCENT" hidden="1">"c1876"</definedName>
    <definedName name="IQ_EST_EBIT_SURPRISE_PERCENT_THOM" hidden="1">"c5193"</definedName>
    <definedName name="IQ_EST_EBITDA_DIFF" hidden="1">"c1867"</definedName>
    <definedName name="IQ_EST_EBITDA_DIFF_CIQ" hidden="1">"c3719"</definedName>
    <definedName name="IQ_EST_EBITDA_DIFF_THOM" hidden="1">"c5184"</definedName>
    <definedName name="IQ_EST_EBITDA_GROWTH_1YR" hidden="1">"c1766"</definedName>
    <definedName name="IQ_EST_EBITDA_GROWTH_1YR_CIQ" hidden="1">"c3695"</definedName>
    <definedName name="IQ_EST_EBITDA_GROWTH_1YR_THOM" hidden="1">"c5161"</definedName>
    <definedName name="IQ_EST_EBITDA_GROWTH_2YR" hidden="1">"c1767"</definedName>
    <definedName name="IQ_EST_EBITDA_GROWTH_2YR_CIQ" hidden="1">"c3696"</definedName>
    <definedName name="IQ_EST_EBITDA_GROWTH_2YR_THOM" hidden="1">"c5162"</definedName>
    <definedName name="IQ_EST_EBITDA_GROWTH_Q_1YR" hidden="1">"c1768"</definedName>
    <definedName name="IQ_EST_EBITDA_GROWTH_Q_1YR_CIQ" hidden="1">"c3697"</definedName>
    <definedName name="IQ_EST_EBITDA_GROWTH_Q_1YR_THOM" hidden="1">"c5163"</definedName>
    <definedName name="IQ_EST_EBITDA_SBC_DIFF" hidden="1">"c4335"</definedName>
    <definedName name="IQ_EST_EBITDA_SBC_SURPRISE_PERCENT" hidden="1">"c4344"</definedName>
    <definedName name="IQ_EST_EBITDA_SEQ_GROWTH_Q" hidden="1">"c1769"</definedName>
    <definedName name="IQ_EST_EBITDA_SEQ_GROWTH_Q_CIQ" hidden="1">"c3698"</definedName>
    <definedName name="IQ_EST_EBITDA_SEQ_GROWTH_Q_THOM" hidden="1">"c5164"</definedName>
    <definedName name="IQ_EST_EBITDA_SURPRISE_PERCENT" hidden="1">"c1868"</definedName>
    <definedName name="IQ_EST_EBITDA_SURPRISE_PERCENT_CIQ" hidden="1">"c3720"</definedName>
    <definedName name="IQ_EST_EBITDA_SURPRISE_PERCENT_THOM" hidden="1">"c5185"</definedName>
    <definedName name="IQ_EST_EBT_SBC_DIFF" hidden="1">"c4348"</definedName>
    <definedName name="IQ_EST_EBT_SBC_GW_DIFF" hidden="1">"c4352"</definedName>
    <definedName name="IQ_EST_EBT_SBC_GW_SURPRISE_PERCENT" hidden="1">"c4361"</definedName>
    <definedName name="IQ_EST_EBT_SBC_SURPRISE_PERCENT" hidden="1">"c4367"</definedName>
    <definedName name="IQ_EST_EPS_DIFF" hidden="1">"c1864"</definedName>
    <definedName name="IQ_EST_EPS_DIFF_CIQ" hidden="1">"c4999"</definedName>
    <definedName name="IQ_EST_EPS_DIFF_THOM" hidden="1">"c5295"</definedName>
    <definedName name="IQ_EST_EPS_GROWTH_1YR" hidden="1">"c1636"</definedName>
    <definedName name="IQ_EST_EPS_GROWTH_1YR_CIQ" hidden="1">"c3628"</definedName>
    <definedName name="IQ_EST_EPS_GROWTH_1YR_REUT" hidden="1">"c3646"</definedName>
    <definedName name="IQ_EST_EPS_GROWTH_1YR_THOM" hidden="1">"c3664"</definedName>
    <definedName name="IQ_EST_EPS_GROWTH_2YR" hidden="1">"c1637"</definedName>
    <definedName name="IQ_EST_EPS_GROWTH_2YR_CIQ" hidden="1">"c3689"</definedName>
    <definedName name="IQ_EST_EPS_GROWTH_2YR_THOM" hidden="1">"c5154"</definedName>
    <definedName name="IQ_EST_EPS_GROWTH_5YR" hidden="1">"c1655"</definedName>
    <definedName name="IQ_EST_EPS_GROWTH_5YR_BOTTOM_UP" hidden="1">"c5487"</definedName>
    <definedName name="IQ_EST_EPS_GROWTH_5YR_BOTTOM_UP_CIQ" hidden="1">"c12024"</definedName>
    <definedName name="IQ_EST_EPS_GROWTH_5YR_CIQ" hidden="1">"c3615"</definedName>
    <definedName name="IQ_EST_EPS_GROWTH_5YR_HIGH" hidden="1">"c1657"</definedName>
    <definedName name="IQ_EST_EPS_GROWTH_5YR_HIGH_CIQ" hidden="1">"c4663"</definedName>
    <definedName name="IQ_EST_EPS_GROWTH_5YR_HIGH_THOM" hidden="1">"c5101"</definedName>
    <definedName name="IQ_EST_EPS_GROWTH_5YR_LOW" hidden="1">"c1658"</definedName>
    <definedName name="IQ_EST_EPS_GROWTH_5YR_LOW_CIQ" hidden="1">"c4664"</definedName>
    <definedName name="IQ_EST_EPS_GROWTH_5YR_LOW_THOM" hidden="1">"c5102"</definedName>
    <definedName name="IQ_EST_EPS_GROWTH_5YR_MEDIAN" hidden="1">"c1656"</definedName>
    <definedName name="IQ_EST_EPS_GROWTH_5YR_MEDIAN_CIQ" hidden="1">"c5480"</definedName>
    <definedName name="IQ_EST_EPS_GROWTH_5YR_MEDIAN_THOM" hidden="1">"c5100"</definedName>
    <definedName name="IQ_EST_EPS_GROWTH_5YR_NUM" hidden="1">"c1659"</definedName>
    <definedName name="IQ_EST_EPS_GROWTH_5YR_NUM_CIQ" hidden="1">"c4665"</definedName>
    <definedName name="IQ_EST_EPS_GROWTH_5YR_NUM_THOM" hidden="1">"c5103"</definedName>
    <definedName name="IQ_EST_EPS_GROWTH_5YR_REUT" hidden="1">"c3633"</definedName>
    <definedName name="IQ_EST_EPS_GROWTH_5YR_STDDEV" hidden="1">"c1660"</definedName>
    <definedName name="IQ_EST_EPS_GROWTH_5YR_STDDEV_CIQ" hidden="1">"c4666"</definedName>
    <definedName name="IQ_EST_EPS_GROWTH_5YR_STDDEV_THOM" hidden="1">"c5104"</definedName>
    <definedName name="IQ_EST_EPS_GROWTH_5YR_THOM" hidden="1">"c3651"</definedName>
    <definedName name="IQ_EST_EPS_GROWTH_Q_1YR" hidden="1">"c1641"</definedName>
    <definedName name="IQ_EST_EPS_GROWTH_Q_1YR_CIQ" hidden="1">"c4744"</definedName>
    <definedName name="IQ_EST_EPS_GROWTH_Q_1YR_REUT" hidden="1">"c5410"</definedName>
    <definedName name="IQ_EST_EPS_GROWTH_Q_1YR_THOM" hidden="1">"c5155"</definedName>
    <definedName name="IQ_EST_EPS_GW_DIFF" hidden="1">"c1891"</definedName>
    <definedName name="IQ_EST_EPS_GW_DIFF_CIQ" hidden="1">"c4761"</definedName>
    <definedName name="IQ_EST_EPS_GW_DIFF_THOM" hidden="1">"c5200"</definedName>
    <definedName name="IQ_EST_EPS_GW_SURPRISE_PERCENT" hidden="1">"c1892"</definedName>
    <definedName name="IQ_EST_EPS_GW_SURPRISE_PERCENT_CIQ" hidden="1">"c4762"</definedName>
    <definedName name="IQ_EST_EPS_GW_SURPRISE_PERCENT_THOM" hidden="1">"c5201"</definedName>
    <definedName name="IQ_EST_EPS_NORM_DIFF" hidden="1">"c2247"</definedName>
    <definedName name="IQ_EST_EPS_NORM_DIFF_CIQ" hidden="1">"c4745"</definedName>
    <definedName name="IQ_EST_EPS_NORM_SURPRISE_PERCENT" hidden="1">"c2248"</definedName>
    <definedName name="IQ_EST_EPS_NORM_SURPRISE_PERCENT_CIQ" hidden="1">"c4746"</definedName>
    <definedName name="IQ_EST_EPS_REPORT_DIFF" hidden="1">"c1893"</definedName>
    <definedName name="IQ_EST_EPS_REPORT_DIFF_CIQ" hidden="1">"c4763"</definedName>
    <definedName name="IQ_EST_EPS_REPORT_DIFF_THOM" hidden="1">"c5202"</definedName>
    <definedName name="IQ_EST_EPS_REPORT_SURPRISE_PERCENT" hidden="1">"c1894"</definedName>
    <definedName name="IQ_EST_EPS_REPORT_SURPRISE_PERCENT_CIQ" hidden="1">"c4764"</definedName>
    <definedName name="IQ_EST_EPS_REPORT_SURPRISE_PERCENT_THOM" hidden="1">"c5203"</definedName>
    <definedName name="IQ_EST_EPS_SBC_DIFF" hidden="1">"c4374"</definedName>
    <definedName name="IQ_EST_EPS_SBC_GW_DIFF" hidden="1">"c4378"</definedName>
    <definedName name="IQ_EST_EPS_SBC_GW_SURPRISE_PERCENT" hidden="1">"c4387"</definedName>
    <definedName name="IQ_EST_EPS_SBC_SURPRISE_PERCENT" hidden="1">"c4393"</definedName>
    <definedName name="IQ_EST_EPS_SEQ_GROWTH_Q" hidden="1">"c1764"</definedName>
    <definedName name="IQ_EST_EPS_SEQ_GROWTH_Q_CIQ" hidden="1">"c3690"</definedName>
    <definedName name="IQ_EST_EPS_SEQ_GROWTH_Q_THOM" hidden="1">"c5156"</definedName>
    <definedName name="IQ_EST_EPS_SURPRISE_PERCENT" hidden="1">"c1635"</definedName>
    <definedName name="IQ_EST_EPS_SURPRISE_PERCENT_CIQ" hidden="1">"c5000"</definedName>
    <definedName name="IQ_EST_EPS_SURPRISE_PERCENT_THOM" hidden="1">"c5296"</definedName>
    <definedName name="IQ_EST_FAIR_VALUE_MORT_SERVICING_ASSETS_FFIEC" hidden="1">"c12956"</definedName>
    <definedName name="IQ_EST_FFO_ADJ_DIFF" hidden="1">"c4433"</definedName>
    <definedName name="IQ_EST_FFO_ADJ_GROWTH_1YR" hidden="1">"c4421"</definedName>
    <definedName name="IQ_EST_FFO_ADJ_GROWTH_2YR" hidden="1">"c4422"</definedName>
    <definedName name="IQ_EST_FFO_ADJ_GROWTH_Q_1YR" hidden="1">"c4423"</definedName>
    <definedName name="IQ_EST_FFO_ADJ_SEQ_GROWTH_Q" hidden="1">"c4424"</definedName>
    <definedName name="IQ_EST_FFO_ADJ_SURPRISE_PERCENT" hidden="1">"c4442"</definedName>
    <definedName name="IQ_EST_FFO_DIFF" hidden="1">"c4444"</definedName>
    <definedName name="IQ_EST_FFO_GROWTH_1YR" hidden="1">"c4425"</definedName>
    <definedName name="IQ_EST_FFO_GROWTH_1YR_THOM" hidden="1">"c5170"</definedName>
    <definedName name="IQ_EST_FFO_GROWTH_2YR" hidden="1">"c4426"</definedName>
    <definedName name="IQ_EST_FFO_GROWTH_2YR_THOM" hidden="1">"c5171"</definedName>
    <definedName name="IQ_EST_FFO_GROWTH_Q_1YR" hidden="1">"c4427"</definedName>
    <definedName name="IQ_EST_FFO_GROWTH_Q_1YR_THOM" hidden="1">"c5172"</definedName>
    <definedName name="IQ_EST_FFO_SEQ_GROWTH_Q" hidden="1">"c4428"</definedName>
    <definedName name="IQ_EST_FFO_SEQ_GROWTH_Q_THOM" hidden="1">"c5173"</definedName>
    <definedName name="IQ_EST_FFO_SHARE_DIFF" hidden="1">"c1869"</definedName>
    <definedName name="IQ_EST_FFO_SHARE_DIFF_THOM" hidden="1">"c5186"</definedName>
    <definedName name="IQ_EST_FFO_SHARE_GROWTH_1YR" hidden="1">"c1770"</definedName>
    <definedName name="IQ_EST_FFO_SHARE_GROWTH_2YR" hidden="1">"c1771"</definedName>
    <definedName name="IQ_EST_FFO_SHARE_GROWTH_Q_1YR" hidden="1">"c1772"</definedName>
    <definedName name="IQ_EST_FFO_SHARE_SEQ_GROWTH_Q" hidden="1">"c1773"</definedName>
    <definedName name="IQ_EST_FFO_SHARE_SURPRISE_PERCENT" hidden="1">"c1870"</definedName>
    <definedName name="IQ_EST_FFO_SHARE_SURPRISE_PERCENT_THOM" hidden="1">"c5187"</definedName>
    <definedName name="IQ_EST_FFO_SURPRISE_PERCENT" hidden="1">"c4453"</definedName>
    <definedName name="IQ_EST_FOOTNOTE" hidden="1">"c4540"</definedName>
    <definedName name="IQ_EST_FOOTNOTE_CIQ" hidden="1">"c12022"</definedName>
    <definedName name="IQ_EST_FOOTNOTE_THOM" hidden="1">"c5313"</definedName>
    <definedName name="IQ_EST_MAINT_CAPEX_DIFF" hidden="1">"c4456"</definedName>
    <definedName name="IQ_EST_MAINT_CAPEX_GROWTH_1YR" hidden="1">"c4429"</definedName>
    <definedName name="IQ_EST_MAINT_CAPEX_GROWTH_2YR" hidden="1">"c4430"</definedName>
    <definedName name="IQ_EST_MAINT_CAPEX_GROWTH_Q_1YR" hidden="1">"c4431"</definedName>
    <definedName name="IQ_EST_MAINT_CAPEX_SEQ_GROWTH_Q" hidden="1">"c4432"</definedName>
    <definedName name="IQ_EST_MAINT_CAPEX_SURPRISE_PERCENT" hidden="1">"c4465"</definedName>
    <definedName name="IQ_EST_NAV_DIFF" hidden="1">"c1895"</definedName>
    <definedName name="IQ_EST_NAV_SHARE_SURPRISE_PERCENT" hidden="1">"c1896"</definedName>
    <definedName name="IQ_EST_NAV_SURPRISE_PERCENT" hidden="1">"c12040"</definedName>
    <definedName name="IQ_EST_NET_DEBT_DIFF" hidden="1">"c4466"</definedName>
    <definedName name="IQ_EST_NET_DEBT_SURPRISE_PERCENT" hidden="1">"c4468"</definedName>
    <definedName name="IQ_EST_NEXT_EARNINGS_DATE" hidden="1">"c13591"</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BC_DIFF" hidden="1">"c4472"</definedName>
    <definedName name="IQ_EST_NI_SBC_GW_DIFF" hidden="1">"c4476"</definedName>
    <definedName name="IQ_EST_NI_SBC_GW_SURPRISE_PERCENT" hidden="1">"c4485"</definedName>
    <definedName name="IQ_EST_NI_SBC_SURPRISE_PERCENT" hidden="1">"c4491"</definedName>
    <definedName name="IQ_EST_NI_SURPRISE_PERCENT" hidden="1">"c1886"</definedName>
    <definedName name="IQ_EST_NI_SURPRISE_PERCENT_THOM" hidden="1">"c5199"</definedName>
    <definedName name="IQ_EST_NUM_BUY" hidden="1">"c1759"</definedName>
    <definedName name="IQ_EST_NUM_HIGH_REC" hidden="1">"c5649"</definedName>
    <definedName name="IQ_EST_NUM_HIGH_REC_CIQ" hidden="1">"c3701"</definedName>
    <definedName name="IQ_EST_NUM_HIGH_REC_THOM" hidden="1">"c5166"</definedName>
    <definedName name="IQ_EST_NUM_HIGHEST_REC" hidden="1">"c5648"</definedName>
    <definedName name="IQ_EST_NUM_HIGHEST_REC_CIQ" hidden="1">"c3700"</definedName>
    <definedName name="IQ_EST_NUM_HIGHEST_REC_THOM" hidden="1">"c5165"</definedName>
    <definedName name="IQ_EST_NUM_HOLD" hidden="1">"c1761"</definedName>
    <definedName name="IQ_EST_NUM_LOW_REC" hidden="1">"c5651"</definedName>
    <definedName name="IQ_EST_NUM_LOW_REC_CIQ" hidden="1">"c3703"</definedName>
    <definedName name="IQ_EST_NUM_LOW_REC_THOM" hidden="1">"c5168"</definedName>
    <definedName name="IQ_EST_NUM_LOWEST_REC" hidden="1">"c5652"</definedName>
    <definedName name="IQ_EST_NUM_LOWEST_REC_CIQ" hidden="1">"c3704"</definedName>
    <definedName name="IQ_EST_NUM_LOWEST_REC_THOM" hidden="1">"c5169"</definedName>
    <definedName name="IQ_EST_NUM_NEUTRAL_REC" hidden="1">"c5650"</definedName>
    <definedName name="IQ_EST_NUM_NEUTRAL_REC_CIQ" hidden="1">"c3702"</definedName>
    <definedName name="IQ_EST_NUM_NEUTRAL_REC_THOM" hidden="1">"c5167"</definedName>
    <definedName name="IQ_EST_NUM_NO_OPINION" hidden="1">"c1758"</definedName>
    <definedName name="IQ_EST_NUM_NO_OPINION_CIQ" hidden="1">"c3699"</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CURRING_PROFIT_SHARE_DIFF" hidden="1">"c4505"</definedName>
    <definedName name="IQ_EST_RECURRING_PROFIT_SHARE_SURPRISE_PERCENT" hidden="1">"c4515"</definedName>
    <definedName name="IQ_EST_REV_DIFF" hidden="1">"c1865"</definedName>
    <definedName name="IQ_EST_REV_DIFF_CIQ" hidden="1">"c3717"</definedName>
    <definedName name="IQ_EST_REV_DIFF_THOM" hidden="1">"c5182"</definedName>
    <definedName name="IQ_EST_REV_GROWTH_1YR" hidden="1">"c1638"</definedName>
    <definedName name="IQ_EST_REV_GROWTH_1YR_CIQ" hidden="1">"c3691"</definedName>
    <definedName name="IQ_EST_REV_GROWTH_1YR_THOM" hidden="1">"c5157"</definedName>
    <definedName name="IQ_EST_REV_GROWTH_2YR" hidden="1">"c1639"</definedName>
    <definedName name="IQ_EST_REV_GROWTH_2YR_CIQ" hidden="1">"c3692"</definedName>
    <definedName name="IQ_EST_REV_GROWTH_2YR_THOM" hidden="1">"c5158"</definedName>
    <definedName name="IQ_EST_REV_GROWTH_Q_1YR" hidden="1">"c1640"</definedName>
    <definedName name="IQ_EST_REV_GROWTH_Q_1YR_CIQ" hidden="1">"c3693"</definedName>
    <definedName name="IQ_EST_REV_GROWTH_Q_1YR_THOM" hidden="1">"c5159"</definedName>
    <definedName name="IQ_EST_REV_SEQ_GROWTH_Q" hidden="1">"c1765"</definedName>
    <definedName name="IQ_EST_REV_SEQ_GROWTH_Q_CIQ" hidden="1">"c3694"</definedName>
    <definedName name="IQ_EST_REV_SEQ_GROWTH_Q_THOM" hidden="1">"c5160"</definedName>
    <definedName name="IQ_EST_REV_SURPRISE_PERCENT" hidden="1">"c1866"</definedName>
    <definedName name="IQ_EST_REV_SURPRISE_PERCENT_CIQ" hidden="1">"c3718"</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localSheetId="3" hidden="1">"c1428"</definedName>
    <definedName name="IQ_EV_OVER_EMPLOYEE" hidden="1">"c1225"</definedName>
    <definedName name="IQ_EV_OVER_LTM_EBIT" localSheetId="3" hidden="1">"c1426"</definedName>
    <definedName name="IQ_EV_OVER_LTM_EBIT" hidden="1">"c1221"</definedName>
    <definedName name="IQ_EV_OVER_LTM_EBITDA" localSheetId="3" hidden="1">"c1427"</definedName>
    <definedName name="IQ_EV_OVER_LTM_EBITDA" hidden="1">"c1223"</definedName>
    <definedName name="IQ_EV_OVER_LTM_REVENUE" localSheetId="3" hidden="1">"c1429"</definedName>
    <definedName name="IQ_EV_OVER_LTM_REVENUE" hidden="1">"c1227"</definedName>
    <definedName name="IQ_EVAL_DATE" hidden="1">"c2180"</definedName>
    <definedName name="IQ_EVENT_DATE" hidden="1">"c13819"</definedName>
    <definedName name="IQ_EVENT_ID" hidden="1">"c13818"</definedName>
    <definedName name="IQ_EVENT_TIME" hidden="1">"c13820"</definedName>
    <definedName name="IQ_EVENT_TYPE" hidden="1">"c13821"</definedName>
    <definedName name="IQ_EXCHANGE" hidden="1">"c405"</definedName>
    <definedName name="IQ_EXCISE_TAXES_EXCL_SALES" hidden="1">"c5515"</definedName>
    <definedName name="IQ_EXCISE_TAXES_INCL_SALES" hidden="1">"c5514"</definedName>
    <definedName name="IQ_EXERCISE_PRICE" localSheetId="3" hidden="1">"c1897"</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FIXED_ASSETS_FFIEC" hidden="1">"c13024"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LORE_DRILL_EXP_TOTAL" hidden="1">"c13850"</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UNUSED" hidden="1">"c7632"</definedName>
    <definedName name="IQ_EXPORTS_GOODS_REAL_SAAR_FC_UNUSED" hidden="1">"c7852"</definedName>
    <definedName name="IQ_EXPORTS_GOODS_REAL_SAAR_POP" hidden="1">"c11931"</definedName>
    <definedName name="IQ_EXPORTS_GOODS_REAL_SAAR_POP_FC_UNUSED" hidden="1">"c8072"</definedName>
    <definedName name="IQ_EXPORTS_GOODS_REAL_SAAR_POP_UNUSED" hidden="1">"c7192"</definedName>
    <definedName name="IQ_EXPORTS_GOODS_REAL_SAAR_UNUSED" hidden="1">"c6972"</definedName>
    <definedName name="IQ_EXPORTS_GOODS_REAL_SAAR_YOY" hidden="1">"c11932"</definedName>
    <definedName name="IQ_EXPORTS_GOODS_REAL_SAAR_YOY_FC_UNUSED" hidden="1">"c8292"</definedName>
    <definedName name="IQ_EXPORTS_GOODS_REAL_SAAR_YOY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UNUSED" hidden="1">"c7636"</definedName>
    <definedName name="IQ_EXPORTS_SERVICES_REAL_SAAR_FC_UNUSED" hidden="1">"c7856"</definedName>
    <definedName name="IQ_EXPORTS_SERVICES_REAL_SAAR_POP" hidden="1">"c11935"</definedName>
    <definedName name="IQ_EXPORTS_SERVICES_REAL_SAAR_POP_FC_UNUSED" hidden="1">"c8076"</definedName>
    <definedName name="IQ_EXPORTS_SERVICES_REAL_SAAR_POP_UNUSED" hidden="1">"c7196"</definedName>
    <definedName name="IQ_EXPORTS_SERVICES_REAL_SAAR_UNUSED" hidden="1">"c6976"</definedName>
    <definedName name="IQ_EXPORTS_SERVICES_REAL_SAAR_YOY" hidden="1">"c11936"</definedName>
    <definedName name="IQ_EXPORTS_SERVICES_REAL_SAAR_YOY_FC_UNUSED" hidden="1">"c8296"</definedName>
    <definedName name="IQ_EXPORTS_SERVICES_REAL_SAAR_YOY_UNUSED" hidden="1">"c7416"</definedName>
    <definedName name="IQ_EXPORTS_SERVICES_REAL_YOY" hidden="1">"c7417"</definedName>
    <definedName name="IQ_EXPORTS_SERVICES_REAL_YOY_FC" hidden="1">"c8297"</definedName>
    <definedName name="IQ_EXPORTS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AVG_ASSETS_FFIEC" hidden="1">"c13369"</definedName>
    <definedName name="IQ_EXTRA_ITEMS" localSheetId="3" hidden="1">"c1459"</definedName>
    <definedName name="IQ_EXTRA_ITEMS" hidden="1">"c413"</definedName>
    <definedName name="IQ_EXTRAORDINARY_GAINS_FDIC" hidden="1">"c6586"</definedName>
    <definedName name="IQ_EXTRAORDINARY_ITEMS_FFIEC" hidden="1">"c13033"</definedName>
    <definedName name="IQ_FAD" hidden="1">"c8757"</definedName>
    <definedName name="IQ_FAD_PAYOUT_RATIO" hidden="1">"c8872"</definedName>
    <definedName name="IQ_FAIR_VALUE_CHANGE_INCL_EARNINGS" hidden="1">"c13849"</definedName>
    <definedName name="IQ_FAIR_VALUE_FDIC" hidden="1">"c6427"</definedName>
    <definedName name="IQ_FARM_LOANS_NET_FDIC" hidden="1">"c6316"</definedName>
    <definedName name="IQ_FARM_LOANS_TOT_LOANS_FFIEC" hidden="1">"c13870"</definedName>
    <definedName name="IQ_FARM_LOANS_TOTAL_LOANS_FOREIGN_FDIC" hidden="1">"c6450"</definedName>
    <definedName name="IQ_FARMLAND_LOANS_FDIC" hidden="1">"c6314"</definedName>
    <definedName name="IQ_FDIC" hidden="1">"c417"</definedName>
    <definedName name="IQ_FDIC_DEPOSIT_INSURANCE_FFIEC" hidden="1">"c13053"</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DOM_FFIEC" hidden="1">"c12856"</definedName>
    <definedName name="IQ_FED_FUNDS_PURCHASED_FDIC" hidden="1">"c6343"</definedName>
    <definedName name="IQ_FED_FUNDS_PURCHASED_QUARTERLY_AVG_FFIEC" hidden="1">"c13090"</definedName>
    <definedName name="IQ_FED_FUNDS_SOLD_DOM_FFIEC" hidden="1">"c12806"</definedName>
    <definedName name="IQ_FED_FUNDS_SOLD_FDIC" hidden="1">"c6307"</definedName>
    <definedName name="IQ_FED_FUNDS_SOLD_QUARTERLY_AVG_FFIEC" hidden="1">"c13080"</definedName>
    <definedName name="IQ_FEDFUNDS_SOLD" hidden="1">"c2256"</definedName>
    <definedName name="IQ_FEES_COMMISSIONS_BROKERAGE_FFIEC" hidden="1">"c13005"</definedName>
    <definedName name="IQ_FFO" hidden="1">"c1574"</definedName>
    <definedName name="IQ_FFO_ACT_OR_EST" hidden="1">"c4446"</definedName>
    <definedName name="IQ_FFO_ADJ_ACT_OR_EST" hidden="1">"c4435"</definedName>
    <definedName name="IQ_FFO_ADJ_ACT_OR_EST_CIQ" hidden="1">"c4960"</definedName>
    <definedName name="IQ_FFO_ADJ_EST" hidden="1">"c4434"</definedName>
    <definedName name="IQ_FFO_ADJ_HIGH_EST" hidden="1">"c4437"</definedName>
    <definedName name="IQ_FFO_ADJ_LOW_EST" hidden="1">"c4438"</definedName>
    <definedName name="IQ_FFO_ADJ_MEDIAN_EST" hidden="1">"c4439"</definedName>
    <definedName name="IQ_FFO_ADJ_NUM_EST" hidden="1">"c4440"</definedName>
    <definedName name="IQ_FFO_ADJ_STDDEV_EST" hidden="1">"c4441"</definedName>
    <definedName name="IQ_FFO_EST" hidden="1">"c4445"</definedName>
    <definedName name="IQ_FFO_HIGH_EST" hidden="1">"c4448"</definedName>
    <definedName name="IQ_FFO_LOW_EST" hidden="1">"c4449"</definedName>
    <definedName name="IQ_FFO_MEDIAN_EST" hidden="1">"c4450"</definedName>
    <definedName name="IQ_FFO_NUM_EST" hidden="1">"c4451"</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FO_SHARE_EST" hidden="1">"c418"</definedName>
    <definedName name="IQ_FFO_SHARE_EST_DET_EST" hidden="1">"c12059"</definedName>
    <definedName name="IQ_FFO_SHARE_EST_DET_EST_CURRENCY" hidden="1">"c12466"</definedName>
    <definedName name="IQ_FFO_SHARE_EST_DET_EST_CURRENCY_THOM" hidden="1">"c12487"</definedName>
    <definedName name="IQ_FFO_SHARE_EST_DET_EST_DATE" hidden="1">"c12212"</definedName>
    <definedName name="IQ_FFO_SHARE_EST_DET_EST_DATE_THOM" hidden="1">"c12238"</definedName>
    <definedName name="IQ_FFO_SHARE_EST_DET_EST_INCL" hidden="1">"c12349"</definedName>
    <definedName name="IQ_FFO_SHARE_EST_DET_EST_INCL_THOM" hidden="1">"c12370"</definedName>
    <definedName name="IQ_FFO_SHARE_EST_DET_EST_ORIGIN" hidden="1">"c12722"</definedName>
    <definedName name="IQ_FFO_SHARE_EST_DET_EST_ORIGIN_THOM" hidden="1">"c12608"</definedName>
    <definedName name="IQ_FFO_SHARE_EST_DET_EST_THOM" hidden="1">"c12088"</definedName>
    <definedName name="IQ_FFO_SHARE_EST_THOM" hidden="1">"c3999"</definedName>
    <definedName name="IQ_FFO_SHARE_HIGH_EST" hidden="1">"c419"</definedName>
    <definedName name="IQ_FFO_SHARE_HIGH_EST_THOM" hidden="1">"c4001"</definedName>
    <definedName name="IQ_FFO_SHARE_LOW_EST" hidden="1">"c420"</definedName>
    <definedName name="IQ_FFO_SHARE_LOW_EST_THOM" hidden="1">"c4002"</definedName>
    <definedName name="IQ_FFO_SHARE_MEDIAN_EST" hidden="1">"c1665"</definedName>
    <definedName name="IQ_FFO_SHARE_MEDIAN_EST_THOM" hidden="1">"c4000"</definedName>
    <definedName name="IQ_FFO_SHARE_NUM_EST" hidden="1">"c421"</definedName>
    <definedName name="IQ_FFO_SHARE_NUM_EST_THOM" hidden="1">"c4003"</definedName>
    <definedName name="IQ_FFO_SHARE_STDDEV_EST" hidden="1">"c422"</definedName>
    <definedName name="IQ_FFO_SHARE_STDDEV_EST_THOM" hidden="1">"c4004"</definedName>
    <definedName name="IQ_FFO_STDDEV_EST" hidden="1">"c4452"</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DUCIARY_INCOME_OPERATING_INC_FFIEC" hidden="1">"c13383"</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AL_LOC_FOREIGN_GUARANTEES_FFIEC" hidden="1">"c13249"</definedName>
    <definedName name="IQ_FINANCIAL_SERVICING_ASSETS_FAIR_VALUE_TOT_FFIEC" hidden="1">"c13212"</definedName>
    <definedName name="IQ_FINANCIAL_SERVICING_ASSETS_LEVEL_1_FFIEC" hidden="1">"c13220"</definedName>
    <definedName name="IQ_FINANCIAL_SERVICING_ASSETS_LEVEL_2_FFIEC" hidden="1">"c13228"</definedName>
    <definedName name="IQ_FINANCIAL_SERVICING_ASSETS_LEVEL_3_FFIEC" hidden="1">"c13236"</definedName>
    <definedName name="IQ_FINANCIAL_SERVICING_LIAB_FAIR_VALUE_TOT_FFIEC" hidden="1">"c13215"</definedName>
    <definedName name="IQ_FINANCIAL_SERVICING_LIAB_LEVEL_1_FFIEC" hidden="1">"c13223"</definedName>
    <definedName name="IQ_FINANCIAL_SERVICING_LIAB_LEVEL_2_FFIEC" hidden="1">"c13231"</definedName>
    <definedName name="IQ_FINANCIAL_SERVICING_LIAB_LEVEL_3_FFIEC" hidden="1">"c13239"</definedName>
    <definedName name="IQ_FINANCING_CASH" localSheetId="3" hidden="1">"c1405"</definedName>
    <definedName name="IQ_FINANCING_CASH" hidden="1">"c893"</definedName>
    <definedName name="IQ_FINANCING_CASH_SUPPL" localSheetId="3" hidden="1">"c1406"</definedName>
    <definedName name="IQ_FINANCING_CASH_SUPPL" hidden="1">"c899"</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Q_EST_THOM" hidden="1">"c6802"</definedName>
    <definedName name="IQ_FISCAL_Y" hidden="1">"c441"</definedName>
    <definedName name="IQ_FISCAL_Y_EST" hidden="1">"c6795"</definedName>
    <definedName name="IQ_FISCAL_Y_EST_CIQ" hidden="1">"c6807"</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COME_LIST" hidden="1">"c13504"</definedName>
    <definedName name="IQ_FIXED_INVEST_APR_FC_UNUSED" hidden="1">"c8410"</definedName>
    <definedName name="IQ_FIXED_INVEST_APR_UNUSED" hidden="1">"c7530"</definedName>
    <definedName name="IQ_FIXED_INVEST_FC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UNUSED" hidden="1">"c7090"</definedName>
    <definedName name="IQ_FIXED_INVEST_REAL_APR_FC_UNUSED" hidden="1">"c8518"</definedName>
    <definedName name="IQ_FIXED_INVEST_REAL_APR_UNUSED" hidden="1">"c7638"</definedName>
    <definedName name="IQ_FIXED_INVEST_REAL_FC_UNUSED" hidden="1">"c7858"</definedName>
    <definedName name="IQ_FIXED_INVEST_REAL_POP_FC_UNUSED" hidden="1">"c8078"</definedName>
    <definedName name="IQ_FIXED_INVEST_REAL_POP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DUE_30_89_FFIEC" hidden="1">"c13269"</definedName>
    <definedName name="IQ_FOREIGN_BANKS_DUE_90_FFIEC" hidden="1">"c13295"</definedName>
    <definedName name="IQ_FOREIGN_BANKS_LOAN_CHARG_OFFS_FDIC" hidden="1">"c6645"</definedName>
    <definedName name="IQ_FOREIGN_BANKS_NET_CHARGE_OFFS_FDIC" hidden="1">"c6647"</definedName>
    <definedName name="IQ_FOREIGN_BANKS_NON_ACCRUAL_FFIEC" hidden="1">"c13321"</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ASSETS_TOT_FFIEC" hidden="1">"c13445"</definedName>
    <definedName name="IQ_FOREIGN_DEPOSITS_NONTRANSACTION_ACCOUNTS_FDIC" hidden="1">"c6549"</definedName>
    <definedName name="IQ_FOREIGN_DEPOSITS_TOT_FFIEC" hidden="1">"c13486"</definedName>
    <definedName name="IQ_FOREIGN_DEPOSITS_TRANSACTION_ACCOUNTS_FDIC" hidden="1">"c6541"</definedName>
    <definedName name="IQ_FOREIGN_EXCHANGE" localSheetId="3" hidden="1">"c1376"</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L_REC_FFIEC" hidden="1">"c12892"</definedName>
    <definedName name="IQ_FOREIGN_LOANS" hidden="1">"c448"</definedName>
    <definedName name="IQ_FOREIGN_LOANS_LEASES_FOREIGN_FFIEC" hidden="1">"c13478"</definedName>
    <definedName name="IQ_FOUNDATION_OVER_TOTAL" hidden="1">"c13769"</definedName>
    <definedName name="IQ_FQ" hidden="1">500</definedName>
    <definedName name="IQ_FUEL" hidden="1">"c449"</definedName>
    <definedName name="IQ_FULL_TIME" hidden="1">"c450"</definedName>
    <definedName name="IQ_FULLY_INSURED_DEPOSITS_FDIC" hidden="1">"c6487"</definedName>
    <definedName name="IQ_FUND_FEE_INC_NON_INT_INC_FFIEC" hidden="1">"c13493"</definedName>
    <definedName name="IQ_FUNDING_DEPENDENCE_FFIEC" hidden="1">"c13336"</definedName>
    <definedName name="IQ_FUNDING_DEPENDENCE_ST_FFIEC" hidden="1">"c13337"</definedName>
    <definedName name="IQ_FUNDS_PURCHASED_ASSETS_TOT_FFIEC" hidden="1">"c13446"</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FFIEC" hidden="1">"c13125"</definedName>
    <definedName name="IQ_FX_CONTRACTS_SPOT_FDIC" hidden="1">"c6356"</definedName>
    <definedName name="IQ_FX_EXPOSURE_FFIEC" hidden="1">"c13059"</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CREDIT_DERIVATIVES_FFIEC" hidden="1">"c13066"</definedName>
    <definedName name="IQ_GAIN_CREDIT_DERIVATIVES_NON_TRADING_FFIEC" hidden="1">"c13067"</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localSheetId="3" hidden="1">"c1377"</definedName>
    <definedName name="IQ_GAIN_SALE_ASSETS" hidden="1">"c452"</definedName>
    <definedName name="IQ_GAIN_SALE_LOANS_FDIC" hidden="1">"c6673"</definedName>
    <definedName name="IQ_GAIN_SALE_RE_FDIC" hidden="1">"c6674"</definedName>
    <definedName name="IQ_GAINS_AFS_AVG_ASSETS_FFIEC" hidden="1">"c13364"</definedName>
    <definedName name="IQ_GAINS_ASSETS_TOT_FFIEC" hidden="1">"c13073"</definedName>
    <definedName name="IQ_GAINS_AVAIL_SALE_EQUITY_SEC_T2_FFIEC" hidden="1">"c13147"</definedName>
    <definedName name="IQ_GAINS_AVAIL_SALE_SEC_T1_FFIEC" hidden="1">"c13131"</definedName>
    <definedName name="IQ_GAINS_CASH_FLOW_HEDGES_T1_FFIEC" hidden="1">"c13133"</definedName>
    <definedName name="IQ_GAINS_HTM_AVG_ASSETS_FFIEC" hidden="1">"c13363"</definedName>
    <definedName name="IQ_GAINS_INSTRUMENT_SPECIFIC_CREDIT_RISK_LIAB_FFIEC" hidden="1">"c13076"</definedName>
    <definedName name="IQ_GAINS_INSTRUMENT_SPECIFIC_RISK_FFIEC" hidden="1">"c13074"</definedName>
    <definedName name="IQ_GAINS_INSURANCE_ACTIVITIES_FFIEC" hidden="1">"c13072"</definedName>
    <definedName name="IQ_GAINS_LIABILITIES_FFIEC" hidden="1">"c13075"</definedName>
    <definedName name="IQ_GAINS_SALE_ASSETS_FDIC" hidden="1">"c6675"</definedName>
    <definedName name="IQ_GAINS_SALE_LOANS_LEASES_FFIEC" hidden="1">"c13013"</definedName>
    <definedName name="IQ_GAINS_SALE_OTHER_ASSETS_FFIEC" hidden="1">"c13015"</definedName>
    <definedName name="IQ_GAINS_SALE_OTHER_RE_OWNED_FFIEC" hidden="1">"c13014"</definedName>
    <definedName name="IQ_GAINS_SECURITIZATION_OPERATING_INC_FFIEC" hidden="1">"c13391"</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FFIEC" hidden="1">"c12836"</definedName>
    <definedName name="IQ_GOODWILL_IMPAIRMENT_FDIC" hidden="1">"c6678"</definedName>
    <definedName name="IQ_GOODWILL_IMPAIRMENT_FFIEC" hidden="1">"c13025"</definedName>
    <definedName name="IQ_GOODWILL_INTAN_FDIC" hidden="1">"c6333"</definedName>
    <definedName name="IQ_GOODWILL_NET" localSheetId="3" hidden="1">"c1380"</definedName>
    <definedName name="IQ_GOODWILL_NET" hidden="1">"c530"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localSheetId="3" hidden="1">"c1446"</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LOSSES_AVG_LOANS_FFIEC" hidden="1">"c13475"</definedName>
    <definedName name="IQ_GROSS_MARGIN" hidden="1">"c529"</definedName>
    <definedName name="IQ_GROSS_MARGIN_ACT_OR_EST" hidden="1">"c5554"</definedName>
    <definedName name="IQ_GROSS_MARGIN_ACT_OR_EST_THOM" hidden="1">"c5562"</definedName>
    <definedName name="IQ_GROSS_MARGIN_DET_EST_DATE_THOM" hidden="1">"c12239"</definedName>
    <definedName name="IQ_GROSS_MARGIN_DET_EST_INCL_THOM" hidden="1">"c12371"</definedName>
    <definedName name="IQ_GROSS_MARGIN_DET_EST_ORIGIN_THOM" hidden="1">"c12609"</definedName>
    <definedName name="IQ_GROSS_MARGIN_DET_EST_THOM" hidden="1">"c12089"</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localSheetId="3" hidden="1">"c1378"</definedName>
    <definedName name="IQ_GROSS_PROFIT" hidden="1">"c511"</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DGEFUND_OVER_TOTAL" hidden="1">"c13771"</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LOW_CLOSEPRICE_DATE" hidden="1">"c1204"</definedName>
    <definedName name="IQ_HIGH_TARGET_PRICE" hidden="1">"c1651"</definedName>
    <definedName name="IQ_HIGH_TARGET_PRICE_CIQ" hidden="1">"c4659"</definedName>
    <definedName name="IQ_HIGH_TARGET_PRICE_REUT" hidden="1">"c5317"</definedName>
    <definedName name="IQ_HIGH_TARGET_PRICE_THOM" hidden="1">"c5096"</definedName>
    <definedName name="IQ_HIGHPRICE" hidden="1">"c545"</definedName>
    <definedName name="IQ_HOLDER_CIQID" hidden="1">"c13787"</definedName>
    <definedName name="IQ_HOLDER_CIQID_SECURITY" hidden="1">"c13794"</definedName>
    <definedName name="IQ_HOLDER_DERIVATIVES" hidden="1">"c13789"</definedName>
    <definedName name="IQ_HOLDER_DERIVATIVES_SECURITY" hidden="1">"c13796"</definedName>
    <definedName name="IQ_HOLDER_NAME" hidden="1">"c13786"</definedName>
    <definedName name="IQ_HOLDER_NAME_SECURITY" hidden="1">"c13793"</definedName>
    <definedName name="IQ_HOLDER_PERCENT" hidden="1">"c13790"</definedName>
    <definedName name="IQ_HOLDER_PERCENT_SECURITY" hidden="1">"c13831"</definedName>
    <definedName name="IQ_HOLDER_POSITION_DATE" hidden="1">"c13792"</definedName>
    <definedName name="IQ_HOLDER_POSITION_DATE_SECURITY" hidden="1">"c13798"</definedName>
    <definedName name="IQ_HOLDER_SHARES" hidden="1">"c13788"</definedName>
    <definedName name="IQ_HOLDER_SHARES_SECURITY" hidden="1">"c13795"</definedName>
    <definedName name="IQ_HOLDER_VALUE" hidden="1">"c13791"</definedName>
    <definedName name="IQ_HOLDER_VALUE_SECURITY" hidden="1">"c13797"</definedName>
    <definedName name="IQ_HOLDING_CIQID" hidden="1">"c13802"</definedName>
    <definedName name="IQ_HOLDING_NAME" hidden="1">"c13799"</definedName>
    <definedName name="IQ_HOLDING_PERCENT" hidden="1">"c13805"</definedName>
    <definedName name="IQ_HOLDING_PERCENT_PORTFOLIO" hidden="1">"c13806"</definedName>
    <definedName name="IQ_HOLDING_POSITION_DATE" hidden="1">"c13808"</definedName>
    <definedName name="IQ_HOLDING_SECURITY_TYPE" hidden="1">"c13803"</definedName>
    <definedName name="IQ_HOLDING_SHARES" hidden="1">"c13804"</definedName>
    <definedName name="IQ_HOLDING_TICKER" hidden="1">"c13800"</definedName>
    <definedName name="IQ_HOLDING_TRADING_ITEM_CIQID" hidden="1">"c13801"</definedName>
    <definedName name="IQ_HOLDING_VALUE" hidden="1">"c13807"</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ANS_TOT_LOANS_FFIEC" hidden="1">"c13867"</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UNUSED" hidden="1">"c7542"</definedName>
    <definedName name="IQ_HOUSING_COMPLETIONS_SINGLE_FAM_FC_UNUSED" hidden="1">"c7762"</definedName>
    <definedName name="IQ_HOUSING_COMPLETIONS_SINGLE_FAM_POP_FC_UNUSED" hidden="1">"c7982"</definedName>
    <definedName name="IQ_HOUSING_COMPLETIONS_SINGLE_FAM_POP_UNUSED" hidden="1">"c7102"</definedName>
    <definedName name="IQ_HOUSING_COMPLETIONS_SINGLE_FAM_UNUSED" hidden="1">"c6882"</definedName>
    <definedName name="IQ_HOUSING_COMPLETIONS_SINGLE_FAM_YOY_FC_UNUSED" hidden="1">"c8202"</definedName>
    <definedName name="IQ_HOUSING_COMPLETIONS_SINGLE_FAM_YOY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HTM_INVEST_SECURITIES_FFIEC" hidden="1">"c13455"</definedName>
    <definedName name="IQ_HTM_SECURITIES_TIER_1_FFIEC" hidden="1">"c13342"</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AIRMENT_GW_SUPPLE" hidden="1">"c13811"</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UNUSED" hidden="1">"c7643"</definedName>
    <definedName name="IQ_IMPORTS_GOODS_REAL_SAAR_FC_UNUSED" hidden="1">"c7863"</definedName>
    <definedName name="IQ_IMPORTS_GOODS_REAL_SAAR_POP_FC_UNUSED" hidden="1">"c8083"</definedName>
    <definedName name="IQ_IMPORTS_GOODS_REAL_SAAR_POP_UNUSED" hidden="1">"c7203"</definedName>
    <definedName name="IQ_IMPORTS_GOODS_REAL_SAAR_UNUSED" hidden="1">"c6983"</definedName>
    <definedName name="IQ_IMPORTS_GOODS_REAL_SAAR_YOY_FC_UNUSED" hidden="1">"c8303"</definedName>
    <definedName name="IQ_IMPORTS_GOODS_REAL_SAAR_YOY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UNUSED" hidden="1">"c7549"</definedName>
    <definedName name="IQ_IMPORTS_GOODS_SERVICES_FC_UNUSED" hidden="1">"c7769"</definedName>
    <definedName name="IQ_IMPORTS_GOODS_SERVICES_POP_FC_UNUSED" hidden="1">"c7989"</definedName>
    <definedName name="IQ_IMPORTS_GOODS_SERVICES_POP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UNUSED" hidden="1">"c7644"</definedName>
    <definedName name="IQ_IMPORTS_GOODS_SERVICES_REAL_SAAR_FC_UNUSED" hidden="1">"c7864"</definedName>
    <definedName name="IQ_IMPORTS_GOODS_SERVICES_REAL_SAAR_POP" hidden="1">"c11959"</definedName>
    <definedName name="IQ_IMPORTS_GOODS_SERVICES_REAL_SAAR_POP_FC_UNUSED" hidden="1">"c8084"</definedName>
    <definedName name="IQ_IMPORTS_GOODS_SERVICES_REAL_SAAR_POP_UNUSED" hidden="1">"c7204"</definedName>
    <definedName name="IQ_IMPORTS_GOODS_SERVICES_REAL_SAAR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localSheetId="3" hidden="1">"c1395"</definedName>
    <definedName name="IQ_INC_AVAIL_EXCL" hidden="1">"c789"</definedName>
    <definedName name="IQ_INC_AVAIL_INCL" localSheetId="3" hidden="1">"c1396"</definedName>
    <definedName name="IQ_INC_AVAIL_INCL" hidden="1">"c791"</definedName>
    <definedName name="IQ_INC_BEFORE_TAX" localSheetId="3" hidden="1">"c1375"</definedName>
    <definedName name="IQ_INC_BEFORE_TAX" hidden="1">"c386"</definedName>
    <definedName name="IQ_INC_DOM_LOANS_FFIEC" hidden="1">"c12975"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CHECKS_FFIEC" hidden="1">"c13040"</definedName>
    <definedName name="IQ_INCOME_EARNED_FDIC" hidden="1">"c6359"</definedName>
    <definedName name="IQ_INCOME_FIDUCIARY_ACTIVITIES_FFIEC" hidden="1">"c13002"</definedName>
    <definedName name="IQ_INCOME_LEASE_FINANCING_REC_FFIEC" hidden="1">"c12980"</definedName>
    <definedName name="IQ_INCOME_LOANS_LEASES_TAX_EXEMPT_FFIEC" hidden="1">"c13038"</definedName>
    <definedName name="IQ_INCOME_OTHER_INSURANCE_ACTIVITIES_FFIEC" hidden="1">"c13009"</definedName>
    <definedName name="IQ_INCOME_SALE_MUTUAL_FUNDS_DOM_FFIEC" hidden="1">"c13069"</definedName>
    <definedName name="IQ_INCOME_SECURITIES_TAX_EXEMPT_FFIEC" hidden="1">"c13039"</definedName>
    <definedName name="IQ_INCOME_TAXES_FDIC" hidden="1">"c6582"</definedName>
    <definedName name="IQ_INCOME_TAXES_FFIEC" hidden="1">"c13030"</definedName>
    <definedName name="IQ_INCREASE_INT_INCOME_FFIEC" hidden="1">"c13063"</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GROSS_LOANS_FFIEC" hidden="1">"c13411"</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IVIDUALS_RISK_BASED_FFIEC" hidden="1">"c13432"</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SUPPLE" hidden="1">"c13814"</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REINSURANCE_UNDERWRITING_INCOME_FFIEC" hidden="1">"c13008"</definedName>
    <definedName name="IQ_INSURANCE_REV_OPERATING_INC_FFIEC" hidden="1">"c13387"</definedName>
    <definedName name="IQ_INSURANCE_UNDERWRITING_INCOME_FDIC" hidden="1">"c6671"</definedName>
    <definedName name="IQ_INT_BEARING_DEPOSITS" hidden="1">"c1166"</definedName>
    <definedName name="IQ_INT_BEARING_FUNDS_AVG_ASSETS_FFIEC" hidden="1">"c13355"</definedName>
    <definedName name="IQ_INT_BEARING_LIABILITIES_REPRICE_ASSETS_TOT_FFIEC" hidden="1">"c13452"</definedName>
    <definedName name="IQ_INT_BORROW" hidden="1">"c583"</definedName>
    <definedName name="IQ_INT_DEMAND_NOTES_FDIC" hidden="1">"c6567"</definedName>
    <definedName name="IQ_INT_DEPOSITS" hidden="1">"c584"</definedName>
    <definedName name="IQ_INT_DEPOSITS_DOM_FFIEC" hidden="1">"c12852"</definedName>
    <definedName name="IQ_INT_DEPOSITS_DOM_QUARTERLY_AVG_FFIEC" hidden="1">"c13088"</definedName>
    <definedName name="IQ_INT_DEPOSITS_FOREIGN_FFIEC" hidden="1">"c12855"</definedName>
    <definedName name="IQ_INT_DEPOSITS_FOREIGN_QUARTERLY_AVG_FFIEC" hidden="1">"c13089"</definedName>
    <definedName name="IQ_INT_DIV_INC" hidden="1">"c585"</definedName>
    <definedName name="IQ_INT_DIV_INC_MBS_FFIEC" hidden="1">"c12984"</definedName>
    <definedName name="IQ_INT_DIV_INC_SECURITIES_FFIEC" hidden="1">"c12982"</definedName>
    <definedName name="IQ_INT_DIV_INC_SECURITIES_OTHER_FFIEC" hidden="1">"c12985"</definedName>
    <definedName name="IQ_INT_DIV_INC_TREASURY_SECURITIES_FFIEC" hidden="1">"c12983"</definedName>
    <definedName name="IQ_INT_DOMESTIC_DEPOSITS_FDIC" hidden="1">"c6564"</definedName>
    <definedName name="IQ_INT_EXP_AVG_ASSETS_FFIEC" hidden="1">"c13357"</definedName>
    <definedName name="IQ_INT_EXP_BR" hidden="1">"c586"</definedName>
    <definedName name="IQ_INT_EXP_COVERAGE" hidden="1">"c587"</definedName>
    <definedName name="IQ_INT_EXP_EARNING_ASSETS_FFIEC" hidden="1">"c13376"</definedName>
    <definedName name="IQ_INT_EXP_FED_FUNDS_PURCHASED_FFIEC" hidden="1">"c12996"</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EE_INC_LOANS_1_4_DOM_FFIEC" hidden="1">"c12976"</definedName>
    <definedName name="IQ_INT_FEE_INC_LOANS_DOM_FFIEC" hidden="1">"c13335"</definedName>
    <definedName name="IQ_INT_FEE_INC_LOANS_FOREIGN_FFIEC" hidden="1">"c12979"</definedName>
    <definedName name="IQ_INT_FEE_INC_LOANS_OTHER_DOM_FFIEC" hidden="1">"c12978"</definedName>
    <definedName name="IQ_INT_FEE_INC_SECURED_RE_DOM_FFIEC" hidden="1">"c12977"</definedName>
    <definedName name="IQ_INT_FEE_INCOME_FFIEC" hidden="1">"c12974"</definedName>
    <definedName name="IQ_INT_FOREIGN_DEPOSITS_FDIC" hidden="1">"c6565"</definedName>
    <definedName name="IQ_INT_INC_AVG_ASSETS_FFIEC" hidden="1">"c13356"</definedName>
    <definedName name="IQ_INT_INC_BR" hidden="1">"c593"</definedName>
    <definedName name="IQ_INT_INC_DEPOSITORY_INST_FDIC" hidden="1">"c6558"</definedName>
    <definedName name="IQ_INT_INC_DOM_LOANS_FDIC" hidden="1">"c6555"</definedName>
    <definedName name="IQ_INT_INC_DUE_DEPOSITORY_INSTITUTIONS_FFIEC" hidden="1">"c12981"</definedName>
    <definedName name="IQ_INT_INC_EARNING_ASSETS_FFIEC" hidden="1">"c13375"</definedName>
    <definedName name="IQ_INT_INC_FED_FUNDS_FDIC" hidden="1">"c6561"</definedName>
    <definedName name="IQ_INT_INC_FED_FUNDS_SOLD_FFIEC" hidden="1">"c12987"</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E_AVG_ASSETS_FFIEC" hidden="1">"c13358"</definedName>
    <definedName name="IQ_INT_INC_TE_EARNING_ASSETS_FFIEC" hidden="1">"c13377"</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TRADING_ASSETS_FFIEC" hidden="1">"c12986"</definedName>
    <definedName name="IQ_INT_INC_UTI" hidden="1">"c599"</definedName>
    <definedName name="IQ_INT_INCOME_FTE_AVG_ASSETS_FFIEC" hidden="1">"c13856"</definedName>
    <definedName name="IQ_INT_INCOME_FTE_AVG_EARNING_ASSETS_FFIEC" hidden="1">"c13857"</definedName>
    <definedName name="IQ_INT_INCOME_FTE_FFIEC" hidden="1">"c13852"</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ON_DEPOSITS_DOM_FFIEC" hidden="1">"c12991"</definedName>
    <definedName name="IQ_INT_ON_DEPOSITS_FFIEC" hidden="1">"c12990"</definedName>
    <definedName name="IQ_INT_ON_DEPOSITS_FOREIGN_FFIEC" hidden="1">"c12995"</definedName>
    <definedName name="IQ_INT_RATE_EXPOSURE_FFIEC" hidden="1">"c13058"</definedName>
    <definedName name="IQ_INT_RATE_SPREAD" hidden="1">"c604"</definedName>
    <definedName name="IQ_INT_SUB_NOTES_FDIC" hidden="1">"c6568"</definedName>
    <definedName name="IQ_INT_SUB_NOTES_FFIEC" hidden="1">"c12998"</definedName>
    <definedName name="IQ_INT_TIME_DEPOSITS_LESS_THAN_100K_DOM_FFIEC" hidden="1">"c12993"</definedName>
    <definedName name="IQ_INT_TIME_DEPOSITS_MORE_THAN_100K_DOM_FFIEC" hidden="1">"c12992"</definedName>
    <definedName name="IQ_INT_TRADING_LIABILITIES_FFIEC" hidden="1">"c12997"</definedName>
    <definedName name="IQ_INTANGIBLES_NET" localSheetId="3" hidden="1">"c1407"</definedName>
    <definedName name="IQ_INTANGIBLES_NET" hidden="1">"c907"</definedName>
    <definedName name="IQ_INTEREST_BEARING_BALANCES_FDIC" hidden="1">"c6371"</definedName>
    <definedName name="IQ_INTEREST_BEARING_CASH_FOREIGN_FFIEC" hidden="1">"c12776"</definedName>
    <definedName name="IQ_INTEREST_BEARING_CASH_US_FFIEC" hidden="1">"c12775"</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localSheetId="3" hidden="1">"c1383"</definedName>
    <definedName name="IQ_INTEREST_EXP_NON" hidden="1">"c618"</definedName>
    <definedName name="IQ_INTEREST_EXP_SUPPL" hidden="1">"c1460"</definedName>
    <definedName name="IQ_INTEREST_INC" localSheetId="3" hidden="1">"c1393"</definedName>
    <definedName name="IQ_INTEREST_INC" hidden="1">"c769"</definedName>
    <definedName name="IQ_INTEREST_INC_NON" localSheetId="3" hidden="1">"c1384"</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IES_ASSETS_TOT_FFIEC" hidden="1">"c13440"</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_UNCONSOLIDATED_SUBS_FFIEC" hidden="1">"c12834"</definedName>
    <definedName name="IQ_INVESTMENT_BANKING_BROKERAGE_FEES_FFIEC" hidden="1">"c13627"</definedName>
    <definedName name="IQ_INVESTMENT_BANKING_FEES_COMMISSIONS_FFIEC" hidden="1">"c13006"</definedName>
    <definedName name="IQ_INVESTMENT_BANKING_OTHER_FEES_FDIC" hidden="1">"c6666"</definedName>
    <definedName name="IQ_IPRD" hidden="1">"c644"</definedName>
    <definedName name="IQ_IPRD_SUPPLE" hidden="1">"c13813"</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UNUSED" hidden="1">"c7563"</definedName>
    <definedName name="IQ_ISM_SERVICES_FC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UNUSED" hidden="1">"c7123"</definedName>
    <definedName name="IQ_ISM_SERVICES_UNUSED" hidden="1">"c6903"</definedName>
    <definedName name="IQ_ISM_SERVICES_YOY_FC_UNUSED" hidden="1">"c8223"</definedName>
    <definedName name="IQ_ISM_SERVICES_YOY_UNUSED" hidden="1">"c7343"</definedName>
    <definedName name="IQ_ISS_DEBT_NET" localSheetId="3" hidden="1">"c1391"</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KEY_DEV_COMPANY_ID" hidden="1">"c13830"</definedName>
    <definedName name="IQ_KEY_DEV_COMPANY_NAME" hidden="1">"c13829"</definedName>
    <definedName name="IQ_KEY_DEV_DATE" hidden="1">"c13763"</definedName>
    <definedName name="IQ_KEY_DEV_HEADLINE" hidden="1">"c13761"</definedName>
    <definedName name="IQ_KEY_DEV_ID" hidden="1">"c13760"</definedName>
    <definedName name="IQ_KEY_DEV_ID_INCL_SUBS" hidden="1">"c13832"</definedName>
    <definedName name="IQ_KEY_DEV_SITUATION" hidden="1">"c13762"</definedName>
    <definedName name="IQ_KEY_DEV_SOURCE" hidden="1">"c13765"</definedName>
    <definedName name="IQ_KEY_DEV_TIME" hidden="1">"c13833"</definedName>
    <definedName name="IQ_KEY_DEV_TRANSACTION_ID" hidden="1">"c13766"</definedName>
    <definedName name="IQ_KEY_DEV_TYPE" hidden="1">"c13764"</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_RECEIVABLES_NON_US_CHARGE_OFFS_FFIEC" hidden="1">"c13631"</definedName>
    <definedName name="IQ_LEASE_FIN_RECEIVABLES_NON_US_RECOV_FFIEC" hidden="1">"c13635"</definedName>
    <definedName name="IQ_LEASE_FIN_RECEIVABLES_US_CHARGE_OFFS_FFIEC" hidden="1">"c13630"</definedName>
    <definedName name="IQ_LEASE_FIN_RECEIVABLES_US_RECOV_FFIEC" hidden="1">"c13634"</definedName>
    <definedName name="IQ_LEASE_FINANCE" hidden="1">"c5654"</definedName>
    <definedName name="IQ_LEASE_FINANCING_REC_DUE_30_89_FFIEC" hidden="1">"c13276"</definedName>
    <definedName name="IQ_LEASE_FINANCING_REC_DUE_90_FFIEC" hidden="1">"c13302"</definedName>
    <definedName name="IQ_LEASE_FINANCING_REC_NON_ACCRUAL_FFIEC" hidden="1">"c13328"</definedName>
    <definedName name="IQ_LEASE_FINANCING_RECEIVABLES_CHARGE_OFFS_FDIC" hidden="1">"c6602"</definedName>
    <definedName name="IQ_LEASE_FINANCING_RECEIVABLES_DOM_FFIEC" hidden="1">"c12915"</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ASE_RECEIVABLES_FOREIGN_FFIEC" hidden="1">"c13483"</definedName>
    <definedName name="IQ_LEASES_INDIVIDUALS_CHARGE_OFFS_FFIEC" hidden="1">"c13184"</definedName>
    <definedName name="IQ_LEASES_INDIVIDUALS_RECOV_FFIEC" hidden="1">"c13206"</definedName>
    <definedName name="IQ_LEASES_PERSONAL_EXP_DUE_30_89_FFIEC" hidden="1">"c13277"</definedName>
    <definedName name="IQ_LEASES_PERSONAL_EXP_DUE_90_FFIEC" hidden="1">"c13303"</definedName>
    <definedName name="IQ_LEASES_PERSONAL_EXP_NON_ACCRUAL_FFIEC" hidden="1">"c13329"</definedName>
    <definedName name="IQ_LEGAL_FEES_FFIEC" hidden="1">"c13052"</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SUPPLE" hidden="1">"c13815"</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ABILITIES_FAIR_VALUE" hidden="1">"c13848"</definedName>
    <definedName name="IQ_LIABILITIES_LEVEL_1" hidden="1">"c13844"</definedName>
    <definedName name="IQ_LIABILITIES_LEVEL_2" hidden="1">"c13845"</definedName>
    <definedName name="IQ_LIABILITIES_LEVEL_3" hidden="1">"c13846"</definedName>
    <definedName name="IQ_LIABILITIES_NETTING_OTHER_ADJUSTMENTS" hidden="1">"c13847"</definedName>
    <definedName name="IQ_LIABILITY_ACCEPTANCES_OUT_FFIEC" hidden="1">"c12866"</definedName>
    <definedName name="IQ_LIABILITY_SHORT_POSITIONS_DOM_FFIEC" hidden="1">"c12941"</definedName>
    <definedName name="IQ_LICENSED_POPS" hidden="1">"c2123"</definedName>
    <definedName name="IQ_LIFE_EARNED" hidden="1">"c2739"</definedName>
    <definedName name="IQ_LIFE_INSURANCE_ASSETS_FDIC" hidden="1">"c6372"</definedName>
    <definedName name="IQ_LIFE_INSURANCE_ASSETS_FFIEC" hidden="1">"c12847"</definedName>
    <definedName name="IQ_LIFOR" hidden="1">"c655"</definedName>
    <definedName name="IQ_LIQUID_ASSETS_ASSETS_TOT_FFIEC" hidden="1">"c13439"</definedName>
    <definedName name="IQ_LIQUID_ASSETS_NONCORE_FUNDING_FFIEC" hidden="1">"c13339"</definedName>
    <definedName name="IQ_LIQUIDATION_VALUE_PREFERRED_CONVERT" hidden="1">"c13835"</definedName>
    <definedName name="IQ_LIQUIDATION_VALUE_PREFERRED_NON_REDEEM" hidden="1">"c13836"</definedName>
    <definedName name="IQ_LIQUIDATION_VALUE_PREFERRED_REDEEM" hidden="1">"c13837"</definedName>
    <definedName name="IQ_LL" hidden="1">"c656"</definedName>
    <definedName name="IQ_LOAN_ALLOW_GROSS_LOANS_FFIEC" hidden="1">"c13415"</definedName>
    <definedName name="IQ_LOAN_ALLOWANCE_GROSS_LOSSES_FFIEC" hidden="1">"c13352"</definedName>
    <definedName name="IQ_LOAN_ALLOWANCE_NET_LOANS_FFIEC" hidden="1">"c13472"</definedName>
    <definedName name="IQ_LOAN_ALLOWANCE_NONACCRUAL_ASSETS_FFIEC" hidden="1">"c13473"</definedName>
    <definedName name="IQ_LOAN_ALLOWANCE_PAST_DUE_NONACCRUAL_FFIEC" hidden="1">"c13474"</definedName>
    <definedName name="IQ_LOAN_COMMITMENTS_FAIR_VALUE_TOT_FFIEC" hidden="1">"c13216"</definedName>
    <definedName name="IQ_LOAN_COMMITMENTS_LEVEL_1_FFIEC" hidden="1">"c13224"</definedName>
    <definedName name="IQ_LOAN_COMMITMENTS_LEVEL_2_FFIEC" hidden="1">"c13232"</definedName>
    <definedName name="IQ_LOAN_COMMITMENTS_LEVEL_3_FFIEC" hidden="1">"c13240"</definedName>
    <definedName name="IQ_LOAN_COMMITMENTS_REVOLVING_FDIC" hidden="1">"c6524"</definedName>
    <definedName name="IQ_LOAN_LEASE_RECEIV" hidden="1">"c657"</definedName>
    <definedName name="IQ_LOAN_LOSS" localSheetId="3" hidden="1">"c1386"</definedName>
    <definedName name="IQ_LOAN_LOSS" hidden="1">"c656"</definedName>
    <definedName name="IQ_LOAN_LOSS_ALLOW_FDIC" hidden="1">"c6326"</definedName>
    <definedName name="IQ_LOAN_LOSS_ALLOWANCE_NON_PERF_ASSETS_FFIEC" hidden="1">"c13912"</definedName>
    <definedName name="IQ_LOAN_LOSS_ALLOWANCE_NONCURRENT_LOANS_FDIC" hidden="1">"c6740"</definedName>
    <definedName name="IQ_LOAN_LOSSES_AVERAGE_LOANS_FFIEC" hidden="1">"c13350"</definedName>
    <definedName name="IQ_LOAN_LOSSES_FDIC" hidden="1">"c6580"</definedName>
    <definedName name="IQ_LOAN_SERVICE_REV" hidden="1">"c658"</definedName>
    <definedName name="IQ_LOANS_AGRICULTURAL_PROD_LL_REC_FFIEC" hidden="1">"c12886"</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_US_LL_REC_FFIEC" hidden="1">"c12884"</definedName>
    <definedName name="IQ_LOANS_DEPOSITORY_INSTITUTIONS_FDIC" hidden="1">"c6382"</definedName>
    <definedName name="IQ_LOANS_DOM_QUARTERLY_AVG_FFIEC" hidden="1">"c13084"</definedName>
    <definedName name="IQ_LOANS_FARMERS_CHARGE_OFFS_FFIEC" hidden="1">"c13177"</definedName>
    <definedName name="IQ_LOANS_FARMERS_RECOV_FFIEC" hidden="1">"c13199"</definedName>
    <definedName name="IQ_LOANS_FINANCE_AGRICULTURAL_DUE_30_89_FFIEC" hidden="1">"c13270"</definedName>
    <definedName name="IQ_LOANS_FINANCE_AGRICULTURAL_DUE_90_FFIEC" hidden="1">"c13296"</definedName>
    <definedName name="IQ_LOANS_FINANCE_AGRICULTURAL_NON_ACCRUAL_FFIEC" hidden="1">"c13322"</definedName>
    <definedName name="IQ_LOANS_FINANCE_AGRICULTURAL_PROD_LL_REC_DOM_FFIEC" hidden="1">"c12909"</definedName>
    <definedName name="IQ_LOANS_FOR_SALE" hidden="1">"c666"</definedName>
    <definedName name="IQ_LOANS_FOREIGN_GOV_CHARGE_OFFS_FFIEC" hidden="1">"c13182"</definedName>
    <definedName name="IQ_LOANS_FOREIGN_GOV_DUE_30_89_FFIEC" hidden="1">"c13274"</definedName>
    <definedName name="IQ_LOANS_FOREIGN_GOV_DUE_90_FFIEC" hidden="1">"c13300"</definedName>
    <definedName name="IQ_LOANS_FOREIGN_GOV_LL_REC_DOM_FFIEC" hidden="1">"c12912"</definedName>
    <definedName name="IQ_LOANS_FOREIGN_GOV_NON_ACCRUAL_FFIEC" hidden="1">"c13326"</definedName>
    <definedName name="IQ_LOANS_FOREIGN_GOV_RECOV_FFIEC" hidden="1">"c13204"</definedName>
    <definedName name="IQ_LOANS_FOREIGN_INST_CHARGE_OFFS_FFIEC" hidden="1">"c13176"</definedName>
    <definedName name="IQ_LOANS_FOREIGN_INST_RECOV_FFIEC" hidden="1">"c13198"</definedName>
    <definedName name="IQ_LOANS_FOREIGN_LL_REC_FFIEC" hidden="1">"c12885"</definedName>
    <definedName name="IQ_LOANS_GOV_GUARANTEED_DUE_30_89_FFIEC" hidden="1">"c13281"</definedName>
    <definedName name="IQ_LOANS_GOV_GUARANTEED_DUE_90_FFIEC" hidden="1">"c13307"</definedName>
    <definedName name="IQ_LOANS_GOV_GUARANTEED_EXCL_GNMA_DUE_30_89_FFIEC" hidden="1">"c13282"</definedName>
    <definedName name="IQ_LOANS_GOV_GUARANTEED_EXCL_GNMA_DUE_90_FFIEC" hidden="1">"c13308"</definedName>
    <definedName name="IQ_LOANS_GOV_GUARANTEED_EXCL_GNMA_NON_ACCRUAL_FFIEC" hidden="1">"c13333"</definedName>
    <definedName name="IQ_LOANS_GOV_GUARANTEED_NON_ACCRUAL_FFIEC" hidden="1">"c13332"</definedName>
    <definedName name="IQ_LOANS_HELD_FOREIGN_FDIC" hidden="1">"c6315"</definedName>
    <definedName name="IQ_LOANS_INDIVIDUALS_FOREIGN_FFIEC" hidden="1">"c13480"</definedName>
    <definedName name="IQ_LOANS_LEASES_ASSETS_TOT_FFIEC" hidden="1">"c13437"</definedName>
    <definedName name="IQ_LOANS_LEASES_FAIR_VALUE_TOT_FFIEC" hidden="1">"c13209"</definedName>
    <definedName name="IQ_LOANS_LEASES_FOREIGN_FDIC" hidden="1">"c6383"</definedName>
    <definedName name="IQ_LOANS_LEASES_GROSS_FDIC" hidden="1">"c6323"</definedName>
    <definedName name="IQ_LOANS_LEASES_GROSS_FOREIGN_FDIC" hidden="1">"c6384"</definedName>
    <definedName name="IQ_LOANS_LEASES_HELD_SALE_FFIEC" hidden="1">"c12808"</definedName>
    <definedName name="IQ_LOANS_LEASES_LEVEL_1_FFIEC" hidden="1">"c13217"</definedName>
    <definedName name="IQ_LOANS_LEASES_LEVEL_2_FFIEC" hidden="1">"c13225"</definedName>
    <definedName name="IQ_LOANS_LEASES_LEVEL_3_FFIEC" hidden="1">"c13233"</definedName>
    <definedName name="IQ_LOANS_LEASES_NET_FDIC" hidden="1">"c6327"</definedName>
    <definedName name="IQ_LOANS_LEASES_NET_UNEARNED_FDIC" hidden="1">"c6325"</definedName>
    <definedName name="IQ_LOANS_LEASES_NET_UNEARNED_INC_ALLOWANCE_FFIEC" hidden="1">"c12811"</definedName>
    <definedName name="IQ_LOANS_LEASES_NET_UNEARNED_INCOME_FFIEC" hidden="1">"c12809"</definedName>
    <definedName name="IQ_LOANS_LEASES_QUARTERLY_AVG_FFIEC" hidden="1">"c13081"</definedName>
    <definedName name="IQ_LOANS_LOC_ASSETS_TOT_FFIEC" hidden="1">"c13441"</definedName>
    <definedName name="IQ_LOANS_NOT_SECURED_RE_FDIC" hidden="1">"c6381"</definedName>
    <definedName name="IQ_LOANS_PAST_DUE" hidden="1">"c667"</definedName>
    <definedName name="IQ_LOANS_PURCHASING_CARRYING_SECURITIES_LL_REC_DOM_FFIEC" hidden="1">"c12913"</definedName>
    <definedName name="IQ_LOANS_RECEIV_CURRENT" hidden="1">"c668"</definedName>
    <definedName name="IQ_LOANS_RECEIV_LT" hidden="1">"c669"</definedName>
    <definedName name="IQ_LOANS_RECEIV_LT_UTI" hidden="1">"c670"</definedName>
    <definedName name="IQ_LOANS_SEC_RE_FOREIGN_CHARGE_OFFS_FFIEC" hidden="1">"c13174"</definedName>
    <definedName name="IQ_LOANS_SEC_RE_FOREIGN_RECOV_FFIEC" hidden="1">"c13196"</definedName>
    <definedName name="IQ_LOANS_SECURED_1_4_DOM_QUARTERLY_AVG_FFIEC" hidden="1">"c13082"</definedName>
    <definedName name="IQ_LOANS_SECURED_BY_RE_CHARGE_OFFS_FDIC" hidden="1">"c6588"</definedName>
    <definedName name="IQ_LOANS_SECURED_BY_RE_RECOVERIES_FDIC" hidden="1">"c6607"</definedName>
    <definedName name="IQ_LOANS_SECURED_CONSTRUCTION_TRADING_DOM_FFIEC" hidden="1">"c12925"</definedName>
    <definedName name="IQ_LOANS_SECURED_FARMLAND_TRADING_DOM_FFIEC" hidden="1">"c12926"</definedName>
    <definedName name="IQ_LOANS_SECURED_NON_US_FDIC" hidden="1">"c6380"</definedName>
    <definedName name="IQ_LOANS_SECURED_RE_DOM_QUARTERLY_AVG_FFIEC" hidden="1">"c13083"</definedName>
    <definedName name="IQ_LOANS_SECURED_RE_FFIEC" hidden="1">"c12820"</definedName>
    <definedName name="IQ_LOANS_SECURED_RE_LL_REC_FFIEC" hidden="1">"c12883"</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ANS_US_INST_CHARGE_OFFS_FFIEC" hidden="1">"c13175"</definedName>
    <definedName name="IQ_LOANS_US_INST_RECOV_FFIEC" hidden="1">"c13197"</definedName>
    <definedName name="IQ_LONG_TERM_ASSETS_FDIC" hidden="1">"c6361"</definedName>
    <definedName name="IQ_LONG_TERM_DEBT" localSheetId="3" hidden="1">"c1387"</definedName>
    <definedName name="IQ_LONG_TERM_DEBT" hidden="1">"c674"</definedName>
    <definedName name="IQ_LONG_TERM_DEBT_OVER_TOTAL_CAP" localSheetId="3" hidden="1">"c1388"</definedName>
    <definedName name="IQ_LONG_TERM_DEBT_OVER_TOTAL_CAP" hidden="1">"c677"</definedName>
    <definedName name="IQ_LONG_TERM_GROWTH" hidden="1">"c671"</definedName>
    <definedName name="IQ_LONG_TERM_INV" localSheetId="3" hidden="1">"c1389"</definedName>
    <definedName name="IQ_LONG_TERM_INV" hidden="1">"c697"</definedName>
    <definedName name="IQ_LOSS_ALLOWANCE_LOANS_FDIC" hidden="1">"c6739"</definedName>
    <definedName name="IQ_LOSS_AVAIL_SALE_EQUITY_SEC_T1_FFIEC" hidden="1">"c13132"</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_TARGET_PRICE_THOM" hidden="1">"c5097"</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MATURING_1YR_INT_SENSITIVITY_FFIEC" hidden="1">"c13097"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REPRICE_ASSETS_TOT_FFIEC" hidden="1">"c13453"</definedName>
    <definedName name="IQ_LT_DEBT_REPRICING_WITHIN_1_YR_INT_SENSITIVITY_FFIEC" hidden="1">"c13095"</definedName>
    <definedName name="IQ_LT_DEBT_UTI" hidden="1">"c696"</definedName>
    <definedName name="IQ_LT_GROWTH_DET_EST" hidden="1">"c12060"</definedName>
    <definedName name="IQ_LT_GROWTH_DET_EST_DATE" hidden="1">"c12213"</definedName>
    <definedName name="IQ_LT_GROWTH_DET_EST_DATE_THOM" hidden="1">"c12240"</definedName>
    <definedName name="IQ_LT_GROWTH_DET_EST_INCL" hidden="1">"c12350"</definedName>
    <definedName name="IQ_LT_GROWTH_DET_EST_INCL_THOM" hidden="1">"c12372"</definedName>
    <definedName name="IQ_LT_GROWTH_DET_EST_ORIGIN" hidden="1">"c12725"</definedName>
    <definedName name="IQ_LT_GROWTH_DET_EST_ORIGIN_THOM" hidden="1">"c12610"</definedName>
    <definedName name="IQ_LT_GROWTH_DET_EST_THOM" hidden="1">"c12090"</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localSheetId="3" hidden="1">"c1437"</definedName>
    <definedName name="IQ_LTM_REVENUE_OVER_EMPLOYEES" hidden="1">"c1304"</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CAPEX_EST" hidden="1">"c4457"</definedName>
    <definedName name="IQ_MAINT_CAPEX_HIGH_EST" hidden="1">"c4460"</definedName>
    <definedName name="IQ_MAINT_CAPEX_LOW_EST" hidden="1">"c4461"</definedName>
    <definedName name="IQ_MAINT_CAPEX_MEDIAN_EST" hidden="1">"c4462"</definedName>
    <definedName name="IQ_MAINT_CAPEX_NUM_EST" hidden="1">"c4463"</definedName>
    <definedName name="IQ_MAINT_CAPEX_STDDEV_EST" hidden="1">"c4464"</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BS_INVEST_SECURITIES_FFIEC" hidden="1">"c13460"</definedName>
    <definedName name="IQ_MBS_OTHER_ISSUED_FNMA_OTHERS_AVAIL_SALE_FFIEC" hidden="1">"c12799"</definedName>
    <definedName name="IQ_MBS_OTHER_ISSUED_FNMA_OTHERS_FFIEC" hidden="1">"c12785"</definedName>
    <definedName name="IQ_MBS_PASS_THROUGH_FNMA_AVAIL_SALE_FFIEC" hidden="1">"c12797"</definedName>
    <definedName name="IQ_MBS_PASS_THROUGH_FNMA_FFIEC" hidden="1">"c12783"</definedName>
    <definedName name="IQ_MBS_PASS_THROUGH_GNMA_AVAIL_SALE_FFIEC" hidden="1">"c12796"</definedName>
    <definedName name="IQ_MBS_PASS_THROUGH_GNMA_FFIEC" hidden="1">"c12782"</definedName>
    <definedName name="IQ_MBS_PASS_THROUGH_ISSUED_FNMA_GNMA_TRADING_DOM_FFIEC" hidden="1">"c12921"</definedName>
    <definedName name="IQ_MBS_PASS_THROUGH_OTHER_AVAIL_SALE_FFIEC" hidden="1">"c12798"</definedName>
    <definedName name="IQ_MBS_PASS_THROUGH_OTHER_FFIEC" hidden="1">"c12784"</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UNUSED" hidden="1">"c7580"</definedName>
    <definedName name="IQ_MEDIAN_NEW_HOME_SALES_FC_UNUSED" hidden="1">"c7800"</definedName>
    <definedName name="IQ_MEDIAN_NEW_HOME_SALES_POP_FC_UNUSED" hidden="1">"c8020"</definedName>
    <definedName name="IQ_MEDIAN_NEW_HOME_SALES_POP_UNUSED" hidden="1">"c7140"</definedName>
    <definedName name="IQ_MEDIAN_NEW_HOME_SALES_UNUSED" hidden="1">"c6920"</definedName>
    <definedName name="IQ_MEDIAN_NEW_HOME_SALES_YOY_FC_UNUSED" hidden="1">"c8240"</definedName>
    <definedName name="IQ_MEDIAN_NEW_HOME_SALES_YOY_UNUSED" hidden="1">"c7360"</definedName>
    <definedName name="IQ_MEDIAN_TARGET_PRICE" hidden="1">"c1650"</definedName>
    <definedName name="IQ_MEDIAN_TARGET_PRICE_CIQ" hidden="1">"c4658"</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SUPPLE" hidden="1">"c13810"</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_AVG_ASSETS_FFIEC" hidden="1">"c13367"</definedName>
    <definedName name="IQ_MINORITY_INT_BS_FFIEC" hidden="1">"c12874"</definedName>
    <definedName name="IQ_MINORITY_INT_FFIEC" hidden="1">"c13031"</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KTCAP_TOTAL_REV_FWD_THOM" hidden="1">"c4055"</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MDA_SAVINGS_TOT_DEPOSITS_FFIEC" hidden="1">"c13905"</definedName>
    <definedName name="IQ_MONEY_MARKET_ACCOUNTS_COMMERCIAL_BANK_SUBS_FFIEC" hidden="1">"c12947"</definedName>
    <definedName name="IQ_MONEY_MARKET_ACCOUNTS_OTHER_INSTITUTIONS_FFIEC" hidden="1">"c12952"</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ASSETS_FFIEC" hidden="1">"c12838"</definedName>
    <definedName name="IQ_MORTGAGE_SERVICING_FDIC" hidden="1">"c6335"</definedName>
    <definedName name="IQ_MULTI_RES_PROPERTIES_TRADING_DOM_FFIEC" hidden="1">"c12930"</definedName>
    <definedName name="IQ_MULTIFAM_5_LOANS_TOT_LOANS_FFIEC" hidden="1">"c13869"</definedName>
    <definedName name="IQ_MULTIFAMILY_LOANS_GROSS_LOANS_FFIEC" hidden="1">"c13404"</definedName>
    <definedName name="IQ_MULTIFAMILY_LOANS_RISK_BASED_FFIEC" hidden="1">"c13425"</definedName>
    <definedName name="IQ_MULTIFAMILY_RESIDENTIAL_LOANS_FDIC" hidden="1">"c6311"</definedName>
    <definedName name="IQ_MUNICIPAL_INVEST_SECURITIES_FFIEC" hidden="1">"c13459"</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ATIVE_COMPANY_NAME" hidden="1">"c13822"</definedName>
    <definedName name="IQ_NAV_ACT_OR_EST_THOM" hidden="1">"c5607"</definedName>
    <definedName name="IQ_NAV_DET_EST_CURRENCY_THOM" hidden="1">"c12490"</definedName>
    <definedName name="IQ_NAV_DET_EST_DATE_THOM" hidden="1">"c12241"</definedName>
    <definedName name="IQ_NAV_DET_EST_INCL_THOM" hidden="1">"c12373"</definedName>
    <definedName name="IQ_NAV_DET_EST_ORIGIN_THOM" hidden="1">"c12707"</definedName>
    <definedName name="IQ_NAV_DET_EST_THOM" hidden="1">"c12091"</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HARE_ACT_OR_EST" hidden="1">"c2225"</definedName>
    <definedName name="IQ_NAV_SHARE_DET_EST_ORIGIN" hidden="1">"c12585"</definedName>
    <definedName name="IQ_NAV_SHARE_DET_EST_ORIGIN_THOM" hidden="1">"c12611"</definedName>
    <definedName name="IQ_NAV_SHARE_EST" hidden="1">"c5609"</definedName>
    <definedName name="IQ_NAV_SHARE_HIGH_EST" hidden="1">"c5612"</definedName>
    <definedName name="IQ_NAV_SHARE_LOW_EST" hidden="1">"c5613"</definedName>
    <definedName name="IQ_NAV_SHARE_MEDIAN_EST" hidden="1">"c5610"</definedName>
    <definedName name="IQ_NAV_SHARE_NUM_EST" hidden="1">"c5614"</definedName>
    <definedName name="IQ_NAV_SHARE_STDDEV_EST" hidden="1">"c5611"</definedName>
    <definedName name="IQ_NAV_STDDEV_EST" hidden="1">"c1756"</definedName>
    <definedName name="IQ_NAV_STDDEV_EST_THOM" hidden="1">"c5603"</definedName>
    <definedName name="IQ_NCLS_CLOSED_END_1_4_FAM_LOANS_TOT_LOANS_FFIEC" hidden="1">"c13891"</definedName>
    <definedName name="IQ_NCLS_COMM_IND_LOANS_TOT_LOANS_FFIEC" hidden="1">"c13898"</definedName>
    <definedName name="IQ_NCLS_COMM_RE_FARM_LOANS_TOT_LOANS_FFIEC" hidden="1">"c13897"</definedName>
    <definedName name="IQ_NCLS_COMM_RE_NONFARM_NONRES_TOT_LOANS_FFIEC" hidden="1">"c13896"</definedName>
    <definedName name="IQ_NCLS_CONST_LAND_DEV_LOANS_TOT_LOANS_FFIEC" hidden="1">"c13890"</definedName>
    <definedName name="IQ_NCLS_CONSUMER_LOANS_TOT_LOANS_FFIEC" hidden="1">"c13899"</definedName>
    <definedName name="IQ_NCLS_FARM_LOANS_TOT_LOANS_FFIEC" hidden="1">"c13895"</definedName>
    <definedName name="IQ_NCLS_HOME_EQUITY_LOANS_TOT_LOANS_FFIEC" hidden="1">"c13892"</definedName>
    <definedName name="IQ_NCLS_MULTIFAM_5_LOANS_TOT_LOANS_FFIEC" hidden="1">"c13894"</definedName>
    <definedName name="IQ_NCLS_TOT_1_4_FAM_LOANS_TOT_LOANS_FFIEC" hidden="1">"c13893"</definedName>
    <definedName name="IQ_NCLS_TOT_LEASES_TOT_LOANS_FFIEC" hidden="1">"c13900"</definedName>
    <definedName name="IQ_NCLS_TOT_LOANS_TOT_LOANS_FFIEC" hidden="1">"c13901"</definedName>
    <definedName name="IQ_NCOS_CLOSED_END_1_4_FAM_LOANS_TOT_LOANS_FFIEC" hidden="1">"c13879"</definedName>
    <definedName name="IQ_NCOS_COMM_IND_LOANS_TOT_LOANS_FFIEC" hidden="1">"c13886"</definedName>
    <definedName name="IQ_NCOS_COMM_RE_FARM_LOANS_TOT_LOANS_FFIEC" hidden="1">"c13885"</definedName>
    <definedName name="IQ_NCOS_COMM_RE_NONFARM_NONRES_TOT_LOANS_FFIEC" hidden="1">"c13884"</definedName>
    <definedName name="IQ_NCOS_CONST_LAND_DEV_LOANS_TOT_LOANS_FFIEC" hidden="1">"c13878"</definedName>
    <definedName name="IQ_NCOS_CONSUMER_LOANS_TOT_LOANS_FFIEC" hidden="1">"c13887"</definedName>
    <definedName name="IQ_NCOS_FARM_LOANS_TOT_LOANS_FFIEC" hidden="1">"c13883"</definedName>
    <definedName name="IQ_NCOS_HOME_EQUITY_LOANS_TOT_LOANS_FFIEC" hidden="1">"c13880"</definedName>
    <definedName name="IQ_NCOS_MULTIFAM_5_LOANS_TOT_LOANS_FFIEC" hidden="1">"c13882"</definedName>
    <definedName name="IQ_NCOS_TOT_1_4_FAM_LOANS_TOT_LOANS_FFIEC" hidden="1">"c13881"</definedName>
    <definedName name="IQ_NCOS_TOT_LEASES_TOT_LOANS_FFIEC" hidden="1">"c13888"</definedName>
    <definedName name="IQ_NCOS_TOT_LOANS_TOT_LOANS_FFIEC" hidden="1">"c13889"</definedName>
    <definedName name="IQ_NEGATIVE_FAIR_VALUE_DERIVATIVES_BENEFICIARY_FFIEC" hidden="1">"c13124"</definedName>
    <definedName name="IQ_NEGATIVE_FAIR_VALUE_DERIVATIVES_GUARANTOR_FFIEC" hidden="1">"c13117"</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DET_EST" hidden="1">"c12061"</definedName>
    <definedName name="IQ_NET_DEBT_DET_EST_CURRENCY" hidden="1">"c12468"</definedName>
    <definedName name="IQ_NET_DEBT_DET_EST_CURRENCY_THOM" hidden="1">"c12491"</definedName>
    <definedName name="IQ_NET_DEBT_DET_EST_DATE" hidden="1">"c12214"</definedName>
    <definedName name="IQ_NET_DEBT_DET_EST_DATE_THOM" hidden="1">"c12242"</definedName>
    <definedName name="IQ_NET_DEBT_DET_EST_INCL" hidden="1">"c12351"</definedName>
    <definedName name="IQ_NET_DEBT_DET_EST_INCL_THOM" hidden="1">"c12374"</definedName>
    <definedName name="IQ_NET_DEBT_DET_EST_ORIGIN" hidden="1">"c12586"</definedName>
    <definedName name="IQ_NET_DEBT_DET_EST_ORIGIN_THOM" hidden="1">"c12612"</definedName>
    <definedName name="IQ_NET_DEBT_DET_EST_THOM" hidden="1">"c12092"</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FUNDS_PURCHASED_ASSETS_TOT_FFIEC" hidden="1">"c13448"</definedName>
    <definedName name="IQ_NET_INC" localSheetId="3" hidden="1">"c1394"</definedName>
    <definedName name="IQ_NET_INC" hidden="1">"c781"</definedName>
    <definedName name="IQ_NET_INC_BEFORE" localSheetId="3" hidden="1">"c1368"</definedName>
    <definedName name="IQ_NET_INC_BEFORE" hidden="1">"c344"</definedName>
    <definedName name="IQ_NET_INC_CF" localSheetId="3" hidden="1">"c1397"</definedName>
    <definedName name="IQ_NET_INC_CF" hidden="1">"c793"</definedName>
    <definedName name="IQ_NET_INC_MARGIN" localSheetId="3" hidden="1">"c1398"</definedName>
    <definedName name="IQ_NET_INC_MARGIN" hidden="1">"c794"</definedName>
    <definedName name="IQ_NET_INCOME_FDIC" hidden="1">"c6587"</definedName>
    <definedName name="IQ_NET_INCOME_LH_FFIEC" hidden="1">"c13110"</definedName>
    <definedName name="IQ_NET_INCOME_PC_FFIEC" hidden="1">"c13103"</definedName>
    <definedName name="IQ_NET_INCOME_SHE_FFIEC" hidden="1">"c12960"</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INCOME_FFIEC" hidden="1">"c13001"</definedName>
    <definedName name="IQ_NET_INT_INCOME_FTE_FFIEC" hidden="1">"c13036"</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localSheetId="3" hidden="1">"c1392"</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CORE_DEPOSITS_FFIEC" hidden="1">"c13341"</definedName>
    <definedName name="IQ_NET_LOANS_DEPOSITS_FFIEC" hidden="1">"c13340"</definedName>
    <definedName name="IQ_NET_LOANS_EQUITY_FFIEC" hidden="1">"c13347"</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WS" hidden="1">"c13743"</definedName>
    <definedName name="IQ_NEWS_DATE" hidden="1">"c13746"</definedName>
    <definedName name="IQ_NEWS_SOURCE" hidden="1">"c13745"</definedName>
    <definedName name="IQ_NEWS_TIME" hidden="1">"c13759"</definedName>
    <definedName name="IQ_NEWS_URL" hidden="1">"c13744"</definedName>
    <definedName name="IQ_NEXT_CALL_DATE" hidden="1">"c2198"</definedName>
    <definedName name="IQ_NEXT_CALL_PRICE" hidden="1">"c2199"</definedName>
    <definedName name="IQ_NEXT_EARNINGS_DATE" hidden="1">"c13592"</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AVG_ASSETS_FFIEC" hidden="1">"c13370"</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DET_EST" hidden="1">"c12062"</definedName>
    <definedName name="IQ_NI_DET_EST_CURRENCY" hidden="1">"c12469"</definedName>
    <definedName name="IQ_NI_DET_EST_CURRENCY_THOM" hidden="1">"c12492"</definedName>
    <definedName name="IQ_NI_DET_EST_DATE" hidden="1">"c12215"</definedName>
    <definedName name="IQ_NI_DET_EST_DATE_THOM" hidden="1">"c12243"</definedName>
    <definedName name="IQ_NI_DET_EST_INCL" hidden="1">"c12352"</definedName>
    <definedName name="IQ_NI_DET_EST_INCL_THOM" hidden="1">"c12375"</definedName>
    <definedName name="IQ_NI_DET_EST_ORIGIN" hidden="1">"c12587"</definedName>
    <definedName name="IQ_NI_DET_EST_ORIGIN_THOM" hidden="1">"c12613"</definedName>
    <definedName name="IQ_NI_DET_EST_THOM" hidden="1">"c12093"</definedName>
    <definedName name="IQ_NI_EST" hidden="1">"c1716"</definedName>
    <definedName name="IQ_NI_EST_THOM" hidden="1">"c5126"</definedName>
    <definedName name="IQ_NI_FFIEC" hidden="1">"c13034"</definedName>
    <definedName name="IQ_NI_GW_DET_EST" hidden="1">"c12063"</definedName>
    <definedName name="IQ_NI_GW_DET_EST_CURRENCY" hidden="1">"c12470"</definedName>
    <definedName name="IQ_NI_GW_DET_EST_DATE" hidden="1">"c12216"</definedName>
    <definedName name="IQ_NI_GW_DET_EST_INCL" hidden="1">"c12353"</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DET_EST_ORIGIN" hidden="1">"c12588"</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ACT_OR_EST_CIQ" hidden="1">"c5012"</definedName>
    <definedName name="IQ_NI_SBC_EST" hidden="1">"c4473"</definedName>
    <definedName name="IQ_NI_SBC_GW_ACT_OR_EST" hidden="1">"c4478"</definedName>
    <definedName name="IQ_NI_SBC_GW_ACT_OR_EST_CIQ" hidden="1">"c5016"</definedName>
    <definedName name="IQ_NI_SBC_GW_EST" hidden="1">"c4477"</definedName>
    <definedName name="IQ_NI_SBC_GW_HIGH_EST" hidden="1">"c4480"</definedName>
    <definedName name="IQ_NI_SBC_GW_LOW_EST" hidden="1">"c4481"</definedName>
    <definedName name="IQ_NI_SBC_GW_MEDIAN_EST" hidden="1">"c4482"</definedName>
    <definedName name="IQ_NI_SBC_GW_NUM_EST" hidden="1">"c4483"</definedName>
    <definedName name="IQ_NI_SBC_GW_STDDEV_EST" hidden="1">"c4484"</definedName>
    <definedName name="IQ_NI_SBC_HIGH_EST" hidden="1">"c4486"</definedName>
    <definedName name="IQ_NI_SBC_LOW_EST" hidden="1">"c4487"</definedName>
    <definedName name="IQ_NI_SBC_MEDIAN_EST" hidden="1">"c4488"</definedName>
    <definedName name="IQ_NI_SBC_NUM_EST" hidden="1">"c4489"</definedName>
    <definedName name="IQ_NI_SBC_STDDEV_EST" hidden="1">"c4490"</definedName>
    <definedName name="IQ_NI_SFAS" hidden="1">"c795"</definedName>
    <definedName name="IQ_NI_STDDEV_EST" hidden="1">"c1721"</definedName>
    <definedName name="IQ_NI_STDDEV_EST_THOM" hidden="1">"c5131"</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_ALLOW_RECEIVABLES_FFIEC" hidden="1">"c13353"</definedName>
    <definedName name="IQ_NON_ACCRUAL_LOANS" hidden="1">"c796"</definedName>
    <definedName name="IQ_NON_CASH" localSheetId="3" hidden="1">"c1399"</definedName>
    <definedName name="IQ_NON_CASH" hidden="1">"c797"</definedName>
    <definedName name="IQ_NON_CASH_ITEMS" hidden="1">"c797"</definedName>
    <definedName name="IQ_NON_CURRENT_LOANS_FFIEC" hidden="1">"c13860"</definedName>
    <definedName name="IQ_NON_FARM_NONRES_PROPERTIES_TRADING_DOM_FFIEC" hidden="1">"c12931"</definedName>
    <definedName name="IQ_NON_INS_EXP" hidden="1">"c798"</definedName>
    <definedName name="IQ_NON_INS_REV" hidden="1">"c799"</definedName>
    <definedName name="IQ_NON_INT_BAL_OTHER_INSTITUTIONS_FFIEC" hidden="1">"c12950"</definedName>
    <definedName name="IQ_NON_INT_BEAR_CD" hidden="1">"c800"</definedName>
    <definedName name="IQ_NON_INT_BEARING_DEPOSITS" hidden="1">"c800"</definedName>
    <definedName name="IQ_NON_INT_DEPOSITS_DOM_FFIEC" hidden="1">"c12851"</definedName>
    <definedName name="IQ_NON_INT_DEPOSITS_FOREIGN_FFIEC" hidden="1">"c12854"</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EXPENSE_FFIEC" hidden="1">"c13028"</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AVG_ASSETS_FFIEC" hidden="1">"c13359"</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_INC_OPERATING_INC_FFIEC" hidden="1">"c13382"</definedName>
    <definedName name="IQ_NON_INT_INCOME_FFIEC" hidden="1">"c13017"</definedName>
    <definedName name="IQ_NON_INTEREST_EXP" localSheetId="3" hidden="1">"c1400"</definedName>
    <definedName name="IQ_NON_INTEREST_EXP" hidden="1">"c801"</definedName>
    <definedName name="IQ_NON_INTEREST_INC" localSheetId="3" hidden="1">"c1401"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ASSETS_FFIEC" hidden="1">"c13859"</definedName>
    <definedName name="IQ_NON_PERFORMING_LOANS" hidden="1">"c827"</definedName>
    <definedName name="IQ_NON_PERFORMING_LOANS_FFIEC" hidden="1">"c13861"</definedName>
    <definedName name="IQ_NON_US_ADDRESS_LEASE_FIN_REC_FFIEC" hidden="1">"c13625"</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INCOME_AMORT_CLOSED_END_LOANS_FFIEC" hidden="1">"c13078"</definedName>
    <definedName name="IQ_NONCASH_PENSION_EXP" hidden="1">"c3000"</definedName>
    <definedName name="IQ_NONCORE_ASSETS_TOT_FFIEC" hidden="1">"c13443"</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NONRES_GROSS_LOANS_FFIEC" hidden="1">"c13405"</definedName>
    <definedName name="IQ_NONFARM_NONRES_LL_REC_DOM_FFIEC" hidden="1">"c13626"</definedName>
    <definedName name="IQ_NONFARM_NONRES_RISK_BASED_FFIEC" hidden="1">"c13426"</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CASH_FFIEC" hidden="1">"c12774"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QUALIFYING_PREFERRED_T1_FFIEC" hidden="1">"c13134"</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UNUSED" hidden="1">"c7588"</definedName>
    <definedName name="IQ_NONRES_FIXED_INVEST_PRIV_FC_UNUSED" hidden="1">"c7808"</definedName>
    <definedName name="IQ_NONRES_FIXED_INVEST_PRIV_POP_FC_UNUSED" hidden="1">"c8028"</definedName>
    <definedName name="IQ_NONRES_FIXED_INVEST_PRIV_POP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DING_SECURITIES_FAIR_VALUE_TOT_FFIEC" hidden="1">"c13211"</definedName>
    <definedName name="IQ_NONTRADING_SECURITIES_LEVEL_1_FFIEC" hidden="1">"c13219"</definedName>
    <definedName name="IQ_NONTRADING_SECURITIES_LEVEL_2_FFIEC" hidden="1">"c13227"</definedName>
    <definedName name="IQ_NONTRADING_SECURITIES_LEVEL_3_FFIEC" hidden="1">"c13235"</definedName>
    <definedName name="IQ_NONTRANSACTION_ACCOUNTS_FDIC" hidden="1">"c6552"</definedName>
    <definedName name="IQ_NONUTIL_REV" hidden="1">"c2089"</definedName>
    <definedName name="IQ_NORM_EPS_ACT_OR_EST" hidden="1">"c2249"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localSheetId="3" hidden="1">"c1423"</definedName>
    <definedName name="IQ_NOTES_PAY" hidden="1">"c1176"</definedName>
    <definedName name="IQ_NOTIONAL_AMOUNT_CREDIT_DERIVATIVES_FDIC" hidden="1">"c6507"</definedName>
    <definedName name="IQ_NOTIONAL_AMT_DERIVATIVES_BENEFICIARY_FFIEC" hidden="1">"c13118"</definedName>
    <definedName name="IQ_NOTIONAL_AMT_DERIVATIVES_GUARANTOR_FFIEC" hidden="1">"c13111"</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OW_ATS_ACCOUNTS_COMMERCIAL_BANK_SUBS_FFIEC" hidden="1">"c12946"</definedName>
    <definedName name="IQ_NOW_ATS_ACCOUNTS_OTHER_INSTITUTIONS_FFIEC" hidden="1">"c12951"</definedName>
    <definedName name="IQ_NOW_OTHER_TRANS_ACCTS_TOT_DEPOSITS_FFIEC" hidden="1">"c13903"</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_CONTRIBUTORS" hidden="1">"c13739"</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EXP_AVG_ASSETS_FFIEC" hidden="1">"c13372"</definedName>
    <definedName name="IQ_OCCUPANCY_EXP_OPERATING_INC_FFIEC" hidden="1">"c13380"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DET_EST" hidden="1">"c12064"</definedName>
    <definedName name="IQ_OPER_INC_DET_EST_CURRENCY" hidden="1">"c12471"</definedName>
    <definedName name="IQ_OPER_INC_DET_EST_CURRENCY_THOM" hidden="1">"c12494"</definedName>
    <definedName name="IQ_OPER_INC_DET_EST_DATE" hidden="1">"c12217"</definedName>
    <definedName name="IQ_OPER_INC_DET_EST_DATE_THOM" hidden="1">"c12245"</definedName>
    <definedName name="IQ_OPER_INC_DET_EST_INCL" hidden="1">"c12354"</definedName>
    <definedName name="IQ_OPER_INC_DET_EST_INCL_THOM" hidden="1">"c12377"</definedName>
    <definedName name="IQ_OPER_INC_DET_EST_ORIGIN" hidden="1">"c12589"</definedName>
    <definedName name="IQ_OPER_INC_DET_EST_ORIGIN_THOM" hidden="1">"c12615"</definedName>
    <definedName name="IQ_OPER_INC_DET_EST_THOM" hidden="1">"c12095"</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localSheetId="3" hidden="1">"c1448"</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NG_EXP_AVG_ASSETS_FFIEC" hidden="1">"c13373"</definedName>
    <definedName name="IQ_OPERATING_INC_AVG_ASSETS_FFIEC" hidden="1">"c13368"</definedName>
    <definedName name="IQ_OPERATING_INC_TE_AVG_ASSETS_FFIEC" hidden="1">"c13360"</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FIEC" hidden="1">"c12831"</definedName>
    <definedName name="IQ_OREO_FOREIGN_FDIC" hidden="1">"c6460"</definedName>
    <definedName name="IQ_OREO_MULTI_FAMILY_RESIDENTIAL_FDIC" hidden="1">"c6455"</definedName>
    <definedName name="IQ_OREO_OTHER_FFIEC" hidden="1">"c12833"</definedName>
    <definedName name="IQ_OTHER_ADDITIONS_T1_FFIEC" hidden="1">"c13142"</definedName>
    <definedName name="IQ_OTHER_ADDITIONS_T2_FFIEC" hidden="1">"c13148"</definedName>
    <definedName name="IQ_OTHER_ADJUST_GROSS_LOANS" hidden="1">"c859"</definedName>
    <definedName name="IQ_OTHER_ADJUSTMENTS_COVERED" hidden="1">"c9961"</definedName>
    <definedName name="IQ_OTHER_ADJUSTMENTS_FFIEC" hidden="1">"c12972"</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FIEC" hidden="1">"c12848"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TOTAL_FFIEC" hidden="1">"c12841"</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BORROWED_MONEY_FFIEC" hidden="1">"c12862"</definedName>
    <definedName name="IQ_OTHER_BORROWED_MONEY_LT_FFIEC" hidden="1">"c12865"</definedName>
    <definedName name="IQ_OTHER_BORROWED_MONEY_ST_FFIEC" hidden="1">"c12864"</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OMPREHENSIVE_INCOME_FFIEC" hidden="1">"c12970"</definedName>
    <definedName name="IQ_OTHER_CONSTRUCTION_GROSS_LOANS_FFIEC" hidden="1">"c13403"</definedName>
    <definedName name="IQ_OTHER_CONSTRUCTION_LOANS_DUE_30_89_FFIEC" hidden="1">"c13258"</definedName>
    <definedName name="IQ_OTHER_CONSTRUCTION_LOANS_DUE_90_FFIEC" hidden="1">"c13286"</definedName>
    <definedName name="IQ_OTHER_CONSTRUCTION_LOANS_NON_ACCRUAL_FFIEC" hidden="1">"c13312"</definedName>
    <definedName name="IQ_OTHER_CONSTRUCTION_LOANS_UNUSED_FFIEC" hidden="1">"c13245"</definedName>
    <definedName name="IQ_OTHER_CONSTRUCTION_RISK_BASED_FFIEC" hidden="1">"c13424"</definedName>
    <definedName name="IQ_OTHER_CONSUMER_LL_REC_FFIEC" hidden="1">"c12891"</definedName>
    <definedName name="IQ_OTHER_CONSUMER_LOANS_FFIEC" hidden="1">"c12824"</definedName>
    <definedName name="IQ_OTHER_CONSUMER_LOANS_TRADING_DOM_FFIEC" hidden="1">"c12935"</definedName>
    <definedName name="IQ_OTHER_CURRENT_ASSETS" localSheetId="3" hidden="1">"c1403"</definedName>
    <definedName name="IQ_OTHER_CURRENT_ASSETS" hidden="1">"c868"</definedName>
    <definedName name="IQ_OTHER_CURRENT_LIAB" localSheetId="3" hidden="1">"c1404"</definedName>
    <definedName name="IQ_OTHER_CURRENT_LIAB" hidden="1">"c877"</definedName>
    <definedName name="IQ_OTHER_DEBT" hidden="1">"c2507"</definedName>
    <definedName name="IQ_OTHER_DEBT_PCT" hidden="1">"c2508"</definedName>
    <definedName name="IQ_OTHER_DEBT_SEC_DOM_AVAIL_SALE_FFIEC" hidden="1">"c12803"</definedName>
    <definedName name="IQ_OTHER_DEBT_SEC_FOREIGN_AVAIL_SALE_FFIEC" hidden="1">"c12804"</definedName>
    <definedName name="IQ_OTHER_DEBT_SEC_INVEST_SECURITIES_FFIEC" hidden="1">"c13462"</definedName>
    <definedName name="IQ_OTHER_DEBT_SEC_TRADING_DOM_FFIEC" hidden="1">"c12924"</definedName>
    <definedName name="IQ_OTHER_DEBT_SEC_TRADING_FFIEC" hidden="1">"c12819"</definedName>
    <definedName name="IQ_OTHER_DEBT_SECURITIES_DOM_FFIEC" hidden="1">"c12789"</definedName>
    <definedName name="IQ_OTHER_DEBT_SECURITIES_FOREIGN_FFIEC" hidden="1">"c12790"</definedName>
    <definedName name="IQ_OTHER_DEDUCTIONS_LEVERAGE_RATIO_FFIEC" hidden="1">"c13158"</definedName>
    <definedName name="IQ_OTHER_DEP" hidden="1">"c885"</definedName>
    <definedName name="IQ_OTHER_DEPOSITORY_INSTITUTIONS_LOANS_FDIC" hidden="1">"c6436"</definedName>
    <definedName name="IQ_OTHER_DEPOSITORY_INSTITUTIONS_TOTAL_LOANS_FOREIGN_FDIC" hidden="1">"c6442"</definedName>
    <definedName name="IQ_OTHER_DEPOSITS_FFIEC" hidden="1">"c12994"</definedName>
    <definedName name="IQ_OTHER_DERIVATIVES_BENEFICIARY_FFIEC" hidden="1">"c13122"</definedName>
    <definedName name="IQ_OTHER_DERIVATIVES_GUARANTOR_FFIEC" hidden="1">"c13115"</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CAPITAL_COMPS_FFIEC" hidden="1">"c12880"</definedName>
    <definedName name="IQ_OTHER_EQUITY_FFIEC" hidden="1">"c12879"</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EXP_OPERATING_INC_FFIEC" hidden="1">"c13381"</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FOREIGN_LOANS_FOREIGN_FFIEC" hidden="1">"c13482"</definedName>
    <definedName name="IQ_OTHER_INSURANCE_FEES_FDIC" hidden="1">"c6672"</definedName>
    <definedName name="IQ_OTHER_INSURANCE_PREMIUMS_FFIEC" hidden="1">"c13071"</definedName>
    <definedName name="IQ_OTHER_INT_EXPENSE_FFIEC" hidden="1">"c12999"</definedName>
    <definedName name="IQ_OTHER_INT_INCOME_FFIEC" hidden="1">"c12988"</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ASSETS_FFIEC" hidden="1">"c12837"</definedName>
    <definedName name="IQ_OTHER_INTANGIBLE_ASSETS_TOT_FFIEC" hidden="1">"c12840"</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localSheetId="3" hidden="1">"c1408"</definedName>
    <definedName name="IQ_OTHER_INVESTING" hidden="1">"c916"</definedName>
    <definedName name="IQ_OTHER_LEASES_DUE_30_89_FFIEC" hidden="1">"c13278"</definedName>
    <definedName name="IQ_OTHER_LEASES_DUE_90_FFIEC" hidden="1">"c13304"</definedName>
    <definedName name="IQ_OTHER_LEASES_LL_REC_FFIEC" hidden="1">"c12896"</definedName>
    <definedName name="IQ_OTHER_LEASES_NON_ACCRUAL_FFIEC" hidden="1">"c13330"</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IABILITIES_FFIEC" hidden="1">"c12872"</definedName>
    <definedName name="IQ_OTHER_LIABILITIES_TOTAL_FFIEC" hidden="1">"c12869"</definedName>
    <definedName name="IQ_OTHER_LL_REC_FFIEC" hidden="1">"c12894"</definedName>
    <definedName name="IQ_OTHER_LOANS" hidden="1">"c945"</definedName>
    <definedName name="IQ_OTHER_LOANS_CHARGE_OFFS_FDIC" hidden="1">"c6601"</definedName>
    <definedName name="IQ_OTHER_LOANS_DUE_30_89_FFIEC" hidden="1">"c13275"</definedName>
    <definedName name="IQ_OTHER_LOANS_DUE_90_FFIEC" hidden="1">"c13301"</definedName>
    <definedName name="IQ_OTHER_LOANS_FFIEC" hidden="1">"c12825"</definedName>
    <definedName name="IQ_OTHER_LOANS_FOREIGN_FDIC" hidden="1">"c6446"</definedName>
    <definedName name="IQ_OTHER_LOANS_GROSS_LOANS_FFIEC" hidden="1">"c13414"</definedName>
    <definedName name="IQ_OTHER_LOANS_INDIVIDUALS_CHARGE_OFFS_FFIEC" hidden="1">"c13181"</definedName>
    <definedName name="IQ_OTHER_LOANS_INDIVIDUALS_DUE_30_89_FFIEC" hidden="1">"c13273"</definedName>
    <definedName name="IQ_OTHER_LOANS_INDIVIDUALS_DUE_90_FFIEC" hidden="1">"c13299"</definedName>
    <definedName name="IQ_OTHER_LOANS_INDIVIDUALS_NON_ACCRUAL_FFIEC" hidden="1">"c13325"</definedName>
    <definedName name="IQ_OTHER_LOANS_INDIVIDUALS_RECOV_FFIEC" hidden="1">"c13203"</definedName>
    <definedName name="IQ_OTHER_LOANS_LEASES_FDIC" hidden="1">"c6322"</definedName>
    <definedName name="IQ_OTHER_LOANS_LL_REC_DOM_FFIEC" hidden="1">"c12914"</definedName>
    <definedName name="IQ_OTHER_LOANS_NET_CHARGE_OFFS_FDIC" hidden="1">"c6639"</definedName>
    <definedName name="IQ_OTHER_LOANS_NON_ACCRUAL_FFIEC" hidden="1">"c13327"</definedName>
    <definedName name="IQ_OTHER_LOANS_RECOVERIES_FDIC" hidden="1">"c6620"</definedName>
    <definedName name="IQ_OTHER_LOANS_RISK_BASED_FFIEC" hidden="1">"c13435"</definedName>
    <definedName name="IQ_OTHER_LOANS_TOTAL_FDIC" hidden="1">"c6432"</definedName>
    <definedName name="IQ_OTHER_LOANS_TRADING_DOM_FFIEC" hidden="1">"c12936"</definedName>
    <definedName name="IQ_OTHER_LONG_TERM" localSheetId="3" hidden="1">"c1409"</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MBS_AVAIL_SALE_FFIEC" hidden="1">"c12801"</definedName>
    <definedName name="IQ_OTHER_MBS_FFIEC" hidden="1">"c12787"</definedName>
    <definedName name="IQ_OTHER_MBS_ISSUED_FNMA_GNMA_TRADING_DOM_FFIEC" hidden="1">"c12922"</definedName>
    <definedName name="IQ_OTHER_MBS_ISSUED_FNMA_GNMA_TRADING_FFIEC" hidden="1">"c12817"</definedName>
    <definedName name="IQ_OTHER_MBS_TRADING_DOM_FFIEC" hidden="1">"c12923"</definedName>
    <definedName name="IQ_OTHER_MBS_TRADING_FFIEC" hidden="1">"c12818"</definedName>
    <definedName name="IQ_OTHER_NET" localSheetId="3" hidden="1">"c1453"</definedName>
    <definedName name="IQ_OTHER_NET" hidden="1">"c959"</definedName>
    <definedName name="IQ_OTHER_NON_INT_ALLOCATIONS_FFIEC" hidden="1">"c13065"</definedName>
    <definedName name="IQ_OTHER_NON_INT_EXP" hidden="1">"c953"</definedName>
    <definedName name="IQ_OTHER_NON_INT_EXP_FDIC" hidden="1">"c6578"</definedName>
    <definedName name="IQ_OTHER_NON_INT_EXP_FFIEC" hidden="1">"c13027"</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INT_INC_OPERATING_INC_FFIEC" hidden="1">"c13392"</definedName>
    <definedName name="IQ_OTHER_NON_INT_INCOME_FFIEC" hidden="1">"c13016"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NONFARM_NONRES_GROSS_LOANS_FFIEC" hidden="1">"c13407"</definedName>
    <definedName name="IQ_OTHER_NONFARM_NONRES_LL_REC_DOM_FFIEC" hidden="1">"c12907"</definedName>
    <definedName name="IQ_OTHER_NONFARM_NONRES_RISK_BASED_FFIEC" hidden="1">"c13428"</definedName>
    <definedName name="IQ_OTHER_OFF_BS_ITEMS_FFIEC" hidden="1">"c13126"</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OVER_TOTAL" hidden="1">"c13770"</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localSheetId="3" hidden="1">"c1410"</definedName>
    <definedName name="IQ_OTHER_REVENUE" hidden="1">"c1010"</definedName>
    <definedName name="IQ_OTHER_REVOL_CREDIT_CONSUMER_LOANS_FFIEC" hidden="1">"c12823"</definedName>
    <definedName name="IQ_OTHER_REVOLVING_CREDIT_LL_REC_FFIEC" hidden="1">"c12890"</definedName>
    <definedName name="IQ_OTHER_REVOLVING_CREDIT_LOANS_TRADING_DOM_FFIEC" hidden="1">"c12934"</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AX_EQUIVALENT_ADJUSTMENTS_FFIEC" hidden="1">"c13855"</definedName>
    <definedName name="IQ_OTHER_TRADING_ASSETS_FFIEC" hidden="1">"c12826"</definedName>
    <definedName name="IQ_OTHER_TRADING_ASSETS_TOTAL_FFIEC" hidden="1">"c12937"</definedName>
    <definedName name="IQ_OTHER_TRADING_LIABILITIES_FFIEC" hidden="1">"c12860"</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ED_FFIEC" hidden="1">"c13248"</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SUPPLE" hidden="1">"c13816"</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localSheetId="3" hidden="1">"c2128"</definedName>
    <definedName name="IQ_OUTSTANDING_BS_DATE" hidden="1">"c1022"</definedName>
    <definedName name="IQ_OUTSTANDING_FILING_DATE" localSheetId="3" hidden="1">"c2127"</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VERHEAD_EXP_AVG_ASSETS_FFIEC" hidden="1">"c13361"</definedName>
    <definedName name="IQ_OVERHEAD_EXP_REV_FFIEC" hidden="1">"c13494"</definedName>
    <definedName name="IQ_OVERHEAD_NON_INT_INC_AVG_ASSETS_FFIEC" hidden="1">"c13374"</definedName>
    <definedName name="IQ_OVERHEAD_NON_INT_OPERATING_INC_FFIEC" hidden="1">"c13393"</definedName>
    <definedName name="IQ_OVERHEAD_OPERATING_INC_FFIEC" hidden="1">"c13378"</definedName>
    <definedName name="IQ_OWNER_OCCUPIED_GROSS_LOANS_FFIEC" hidden="1">"c13406"</definedName>
    <definedName name="IQ_OWNER_OCCUPIED_LOANS_RISK_BASED_FFIEC" hidden="1">"c13427"</definedName>
    <definedName name="IQ_OWNER_OCCUPIED_NONFARM_NONRES_LL_REC_DOM_FFIEC" hidden="1">"c12906"</definedName>
    <definedName name="IQ_OWNERSHIP" hidden="1">"c2160"</definedName>
    <definedName name="IQ_PART_TIME" hidden="1">"c1024"</definedName>
    <definedName name="IQ_PARTICIPATION_POOLS_RESIDENTIAL_MORTGAGES_FDIC" hidden="1">"c6403"</definedName>
    <definedName name="IQ_PARTICIPATIONS_ACCEPTANCES_FFIEC" hidden="1">"c13254"</definedName>
    <definedName name="IQ_PARTNERSHIP_INC_RE" hidden="1">"c12039"</definedName>
    <definedName name="IQ_PASS_THROUGH_FNMA_GNMA_TRADING_FFIEC" hidden="1">"c12816"</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ST_DUE_ALLOW_GROSS_LOANS_FFIEC" hidden="1">"c13416"</definedName>
    <definedName name="IQ_PAY_ACCRUED" localSheetId="3" hidden="1">"c1457"</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2MONTHS_THOM" hidden="1">"c5269"</definedName>
    <definedName name="IQ_PERCENT_CHANGE_EST_5YR_GROWTH_RATE_18MONTHS" hidden="1">"c1853"</definedName>
    <definedName name="IQ_PERCENT_CHANGE_EST_5YR_GROWTH_RATE_18MONTHS_CIQ" hidden="1">"c3791"</definedName>
    <definedName name="IQ_PERCENT_CHANGE_EST_5YR_GROWTH_RATE_18MONTHS_THOM" hidden="1">"c5270"</definedName>
    <definedName name="IQ_PERCENT_CHANGE_EST_5YR_GROWTH_RATE_3MONTHS" hidden="1">"c1849"</definedName>
    <definedName name="IQ_PERCENT_CHANGE_EST_5YR_GROWTH_RATE_3MONTHS_CIQ" hidden="1">"c3787"</definedName>
    <definedName name="IQ_PERCENT_CHANGE_EST_5YR_GROWTH_RATE_3MONTHS_THOM" hidden="1">"c5266"</definedName>
    <definedName name="IQ_PERCENT_CHANGE_EST_5YR_GROWTH_RATE_6MONTHS" hidden="1">"c1850"</definedName>
    <definedName name="IQ_PERCENT_CHANGE_EST_5YR_GROWTH_RATE_6MONTHS_CIQ" hidden="1">"c3788"</definedName>
    <definedName name="IQ_PERCENT_CHANGE_EST_5YR_GROWTH_RATE_6MONTHS_THOM" hidden="1">"c5267"</definedName>
    <definedName name="IQ_PERCENT_CHANGE_EST_5YR_GROWTH_RATE_9MONTHS" hidden="1">"c1851"</definedName>
    <definedName name="IQ_PERCENT_CHANGE_EST_5YR_GROWTH_RATE_9MONTHS_CIQ" hidden="1">"c3789"</definedName>
    <definedName name="IQ_PERCENT_CHANGE_EST_5YR_GROWTH_RATE_9MONTHS_THOM" hidden="1">"c5268"</definedName>
    <definedName name="IQ_PERCENT_CHANGE_EST_5YR_GROWTH_RATE_DAY" hidden="1">"c1846"</definedName>
    <definedName name="IQ_PERCENT_CHANGE_EST_5YR_GROWTH_RATE_DAY_CIQ" hidden="1">"c3785"</definedName>
    <definedName name="IQ_PERCENT_CHANGE_EST_5YR_GROWTH_RATE_DAY_THOM" hidden="1">"c5264"</definedName>
    <definedName name="IQ_PERCENT_CHANGE_EST_5YR_GROWTH_RATE_MONTH" hidden="1">"c1848"</definedName>
    <definedName name="IQ_PERCENT_CHANGE_EST_5YR_GROWTH_RATE_MONTH_CIQ" hidden="1">"c3786"</definedName>
    <definedName name="IQ_PERCENT_CHANGE_EST_5YR_GROWTH_RATE_MONTH_THOM" hidden="1">"c5265"</definedName>
    <definedName name="IQ_PERCENT_CHANGE_EST_5YR_GROWTH_RATE_WEEK" hidden="1">"c1847"</definedName>
    <definedName name="IQ_PERCENT_CHANGE_EST_5YR_GROWTH_RATE_WEEK_CIQ" hidden="1">"c3797"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CIQ" hidden="1">"c3748"</definedName>
    <definedName name="IQ_PERCENT_CHANGE_EST_EBITDA_12MONTHS_THOM" hidden="1">"c5227"</definedName>
    <definedName name="IQ_PERCENT_CHANGE_EST_EBITDA_18MONTHS" hidden="1">"c1805"</definedName>
    <definedName name="IQ_PERCENT_CHANGE_EST_EBITDA_18MONTHS_CIQ" hidden="1">"c3749"</definedName>
    <definedName name="IQ_PERCENT_CHANGE_EST_EBITDA_18MONTHS_THOM" hidden="1">"c5228"</definedName>
    <definedName name="IQ_PERCENT_CHANGE_EST_EBITDA_3MONTHS" hidden="1">"c1801"</definedName>
    <definedName name="IQ_PERCENT_CHANGE_EST_EBITDA_3MONTHS_CIQ" hidden="1">"c3745"</definedName>
    <definedName name="IQ_PERCENT_CHANGE_EST_EBITDA_3MONTHS_THOM" hidden="1">"c5224"</definedName>
    <definedName name="IQ_PERCENT_CHANGE_EST_EBITDA_6MONTHS" hidden="1">"c1802"</definedName>
    <definedName name="IQ_PERCENT_CHANGE_EST_EBITDA_6MONTHS_CIQ" hidden="1">"c3746"</definedName>
    <definedName name="IQ_PERCENT_CHANGE_EST_EBITDA_6MONTHS_THOM" hidden="1">"c5225"</definedName>
    <definedName name="IQ_PERCENT_CHANGE_EST_EBITDA_9MONTHS" hidden="1">"c1803"</definedName>
    <definedName name="IQ_PERCENT_CHANGE_EST_EBITDA_9MONTHS_CIQ" hidden="1">"c3747"</definedName>
    <definedName name="IQ_PERCENT_CHANGE_EST_EBITDA_9MONTHS_THOM" hidden="1">"c5226"</definedName>
    <definedName name="IQ_PERCENT_CHANGE_EST_EBITDA_DAY" hidden="1">"c1798"</definedName>
    <definedName name="IQ_PERCENT_CHANGE_EST_EBITDA_DAY_CIQ" hidden="1">"c3743"</definedName>
    <definedName name="IQ_PERCENT_CHANGE_EST_EBITDA_DAY_THOM" hidden="1">"c5222"</definedName>
    <definedName name="IQ_PERCENT_CHANGE_EST_EBITDA_MONTH" hidden="1">"c1800"</definedName>
    <definedName name="IQ_PERCENT_CHANGE_EST_EBITDA_MONTH_CIQ" hidden="1">"c3744"</definedName>
    <definedName name="IQ_PERCENT_CHANGE_EST_EBITDA_MONTH_THOM" hidden="1">"c5223"</definedName>
    <definedName name="IQ_PERCENT_CHANGE_EST_EBITDA_WEEK" hidden="1">"c1799"</definedName>
    <definedName name="IQ_PERCENT_CHANGE_EST_EBITDA_WEEK_CIQ" hidden="1">"c3792"</definedName>
    <definedName name="IQ_PERCENT_CHANGE_EST_EBITDA_WEEK_THOM" hidden="1">"c5271"</definedName>
    <definedName name="IQ_PERCENT_CHANGE_EST_EPS_12MONTHS" hidden="1">"c1788"</definedName>
    <definedName name="IQ_PERCENT_CHANGE_EST_EPS_12MONTHS_CIQ" hidden="1">"c3733"</definedName>
    <definedName name="IQ_PERCENT_CHANGE_EST_EPS_12MONTHS_THOM" hidden="1">"c5212"</definedName>
    <definedName name="IQ_PERCENT_CHANGE_EST_EPS_18MONTHS" hidden="1">"c1789"</definedName>
    <definedName name="IQ_PERCENT_CHANGE_EST_EPS_18MONTHS_CIQ" hidden="1">"c3734"</definedName>
    <definedName name="IQ_PERCENT_CHANGE_EST_EPS_18MONTHS_THOM" hidden="1">"c5213"</definedName>
    <definedName name="IQ_PERCENT_CHANGE_EST_EPS_3MONTHS" hidden="1">"c1785"</definedName>
    <definedName name="IQ_PERCENT_CHANGE_EST_EPS_3MONTHS_CIQ" hidden="1">"c3730"</definedName>
    <definedName name="IQ_PERCENT_CHANGE_EST_EPS_3MONTHS_THOM" hidden="1">"c5209"</definedName>
    <definedName name="IQ_PERCENT_CHANGE_EST_EPS_6MONTHS" hidden="1">"c1786"</definedName>
    <definedName name="IQ_PERCENT_CHANGE_EST_EPS_6MONTHS_CIQ" hidden="1">"c3731"</definedName>
    <definedName name="IQ_PERCENT_CHANGE_EST_EPS_6MONTHS_THOM" hidden="1">"c5210"</definedName>
    <definedName name="IQ_PERCENT_CHANGE_EST_EPS_9MONTHS" hidden="1">"c1787"</definedName>
    <definedName name="IQ_PERCENT_CHANGE_EST_EPS_9MONTHS_CIQ" hidden="1">"c3732"</definedName>
    <definedName name="IQ_PERCENT_CHANGE_EST_EPS_9MONTHS_THOM" hidden="1">"c5211"</definedName>
    <definedName name="IQ_PERCENT_CHANGE_EST_EPS_DAY" hidden="1">"c1782"</definedName>
    <definedName name="IQ_PERCENT_CHANGE_EST_EPS_DAY_CIQ" hidden="1">"c3727"</definedName>
    <definedName name="IQ_PERCENT_CHANGE_EST_EPS_DAY_THOM" hidden="1">"c5206"</definedName>
    <definedName name="IQ_PERCENT_CHANGE_EST_EPS_MONTH" hidden="1">"c1784"</definedName>
    <definedName name="IQ_PERCENT_CHANGE_EST_EPS_MONTH_CIQ" hidden="1">"c3729"</definedName>
    <definedName name="IQ_PERCENT_CHANGE_EST_EPS_MONTH_THOM" hidden="1">"c5208"</definedName>
    <definedName name="IQ_PERCENT_CHANGE_EST_EPS_WEEK" hidden="1">"c1783"</definedName>
    <definedName name="IQ_PERCENT_CHANGE_EST_EPS_WEEK_CIQ" hidden="1">"c3728"</definedName>
    <definedName name="IQ_PERCENT_CHANGE_EST_EPS_WEEK_THOM" hidden="1">"c5207"</definedName>
    <definedName name="IQ_PERCENT_CHANGE_EST_FFO_SHARE_12MONTHS" hidden="1">"c1828"</definedName>
    <definedName name="IQ_PERCENT_CHANGE_EST_FFO_SHARE_12MONTHS_THOM" hidden="1">"c5248"</definedName>
    <definedName name="IQ_PERCENT_CHANGE_EST_FFO_SHARE_18MONTHS" hidden="1">"c1829"</definedName>
    <definedName name="IQ_PERCENT_CHANGE_EST_FFO_SHARE_18MONTHS_THOM" hidden="1">"c5249"</definedName>
    <definedName name="IQ_PERCENT_CHANGE_EST_FFO_SHARE_3MONTHS" hidden="1">"c1825"</definedName>
    <definedName name="IQ_PERCENT_CHANGE_EST_FFO_SHARE_3MONTHS_THOM" hidden="1">"c5245"</definedName>
    <definedName name="IQ_PERCENT_CHANGE_EST_FFO_SHARE_6MONTHS" hidden="1">"c1826"</definedName>
    <definedName name="IQ_PERCENT_CHANGE_EST_FFO_SHARE_6MONTHS_THOM" hidden="1">"c5246"</definedName>
    <definedName name="IQ_PERCENT_CHANGE_EST_FFO_SHARE_9MONTHS" hidden="1">"c1827"</definedName>
    <definedName name="IQ_PERCENT_CHANGE_EST_FFO_SHARE_9MONTHS_THOM" hidden="1">"c5247"</definedName>
    <definedName name="IQ_PERCENT_CHANGE_EST_FFO_SHARE_DAY" hidden="1">"c1822"</definedName>
    <definedName name="IQ_PERCENT_CHANGE_EST_FFO_SHARE_DAY_THOM" hidden="1">"c5243"</definedName>
    <definedName name="IQ_PERCENT_CHANGE_EST_FFO_SHARE_MONTH" hidden="1">"c1824"</definedName>
    <definedName name="IQ_PERCENT_CHANGE_EST_FFO_SHARE_MONTH_THOM" hidden="1">"c5244"</definedName>
    <definedName name="IQ_PERCENT_CHANGE_EST_FFO_SHARE_WEEK" hidden="1">"c1823"</definedName>
    <definedName name="IQ_PERCENT_CHANGE_EST_FFO_SHARE_WEEK_THOM" hidden="1">"c5274"</definedName>
    <definedName name="IQ_PERCENT_CHANGE_EST_PRICE_TARGET_12MONTHS" hidden="1">"c1844"</definedName>
    <definedName name="IQ_PERCENT_CHANGE_EST_PRICE_TARGET_12MONTHS_CIQ" hidden="1">"c3783"</definedName>
    <definedName name="IQ_PERCENT_CHANGE_EST_PRICE_TARGET_12MONTHS_THOM" hidden="1">"c5262"</definedName>
    <definedName name="IQ_PERCENT_CHANGE_EST_PRICE_TARGET_18MONTHS" hidden="1">"c1845"</definedName>
    <definedName name="IQ_PERCENT_CHANGE_EST_PRICE_TARGET_18MONTHS_CIQ" hidden="1">"c3784"</definedName>
    <definedName name="IQ_PERCENT_CHANGE_EST_PRICE_TARGET_18MONTHS_THOM" hidden="1">"c5263"</definedName>
    <definedName name="IQ_PERCENT_CHANGE_EST_PRICE_TARGET_3MONTHS" hidden="1">"c1841"</definedName>
    <definedName name="IQ_PERCENT_CHANGE_EST_PRICE_TARGET_3MONTHS_CIQ" hidden="1">"c3780"</definedName>
    <definedName name="IQ_PERCENT_CHANGE_EST_PRICE_TARGET_3MONTHS_THOM" hidden="1">"c5259"</definedName>
    <definedName name="IQ_PERCENT_CHANGE_EST_PRICE_TARGET_6MONTHS" hidden="1">"c1842"</definedName>
    <definedName name="IQ_PERCENT_CHANGE_EST_PRICE_TARGET_6MONTHS_CIQ" hidden="1">"c3781"</definedName>
    <definedName name="IQ_PERCENT_CHANGE_EST_PRICE_TARGET_6MONTHS_THOM" hidden="1">"c5260"</definedName>
    <definedName name="IQ_PERCENT_CHANGE_EST_PRICE_TARGET_9MONTHS" hidden="1">"c1843"</definedName>
    <definedName name="IQ_PERCENT_CHANGE_EST_PRICE_TARGET_9MONTHS_CIQ" hidden="1">"c3782"</definedName>
    <definedName name="IQ_PERCENT_CHANGE_EST_PRICE_TARGET_9MONTHS_THOM" hidden="1">"c5261"</definedName>
    <definedName name="IQ_PERCENT_CHANGE_EST_PRICE_TARGET_DAY" hidden="1">"c1838"</definedName>
    <definedName name="IQ_PERCENT_CHANGE_EST_PRICE_TARGET_DAY_CIQ" hidden="1">"c3778"</definedName>
    <definedName name="IQ_PERCENT_CHANGE_EST_PRICE_TARGET_DAY_THOM" hidden="1">"c5257"</definedName>
    <definedName name="IQ_PERCENT_CHANGE_EST_PRICE_TARGET_MONTH" hidden="1">"c1840"</definedName>
    <definedName name="IQ_PERCENT_CHANGE_EST_PRICE_TARGET_MONTH_CIQ" hidden="1">"c3779"</definedName>
    <definedName name="IQ_PERCENT_CHANGE_EST_PRICE_TARGET_MONTH_THOM" hidden="1">"c5258"</definedName>
    <definedName name="IQ_PERCENT_CHANGE_EST_PRICE_TARGET_WEEK" hidden="1">"c1839"</definedName>
    <definedName name="IQ_PERCENT_CHANGE_EST_PRICE_TARGET_WEEK_CIQ" hidden="1">"c3798"</definedName>
    <definedName name="IQ_PERCENT_CHANGE_EST_PRICE_TARGET_WEEK_THOM" hidden="1">"c5276"</definedName>
    <definedName name="IQ_PERCENT_CHANGE_EST_RECO_12MONTHS" hidden="1">"c1836"</definedName>
    <definedName name="IQ_PERCENT_CHANGE_EST_RECO_12MONTHS_CIQ" hidden="1">"c3776"</definedName>
    <definedName name="IQ_PERCENT_CHANGE_EST_RECO_12MONTHS_THOM" hidden="1">"c5255"</definedName>
    <definedName name="IQ_PERCENT_CHANGE_EST_RECO_18MONTHS" hidden="1">"c1837"</definedName>
    <definedName name="IQ_PERCENT_CHANGE_EST_RECO_18MONTHS_CIQ" hidden="1">"c3777"</definedName>
    <definedName name="IQ_PERCENT_CHANGE_EST_RECO_18MONTHS_THOM" hidden="1">"c5256"</definedName>
    <definedName name="IQ_PERCENT_CHANGE_EST_RECO_3MONTHS" hidden="1">"c1833"</definedName>
    <definedName name="IQ_PERCENT_CHANGE_EST_RECO_3MONTHS_CIQ" hidden="1">"c3773"</definedName>
    <definedName name="IQ_PERCENT_CHANGE_EST_RECO_3MONTHS_THOM" hidden="1">"c5252"</definedName>
    <definedName name="IQ_PERCENT_CHANGE_EST_RECO_6MONTHS" hidden="1">"c1834"</definedName>
    <definedName name="IQ_PERCENT_CHANGE_EST_RECO_6MONTHS_CIQ" hidden="1">"c3774"</definedName>
    <definedName name="IQ_PERCENT_CHANGE_EST_RECO_6MONTHS_THOM" hidden="1">"c5253"</definedName>
    <definedName name="IQ_PERCENT_CHANGE_EST_RECO_9MONTHS" hidden="1">"c1835"</definedName>
    <definedName name="IQ_PERCENT_CHANGE_EST_RECO_9MONTHS_CIQ" hidden="1">"c3775"</definedName>
    <definedName name="IQ_PERCENT_CHANGE_EST_RECO_9MONTHS_THOM" hidden="1">"c5254"</definedName>
    <definedName name="IQ_PERCENT_CHANGE_EST_RECO_DAY" hidden="1">"c1830"</definedName>
    <definedName name="IQ_PERCENT_CHANGE_EST_RECO_DAY_CIQ" hidden="1">"c3771"</definedName>
    <definedName name="IQ_PERCENT_CHANGE_EST_RECO_DAY_THOM" hidden="1">"c5250"</definedName>
    <definedName name="IQ_PERCENT_CHANGE_EST_RECO_MONTH" hidden="1">"c1832"</definedName>
    <definedName name="IQ_PERCENT_CHANGE_EST_RECO_MONTH_CIQ" hidden="1">"c3772"</definedName>
    <definedName name="IQ_PERCENT_CHANGE_EST_RECO_MONTH_THOM" hidden="1">"c5251"</definedName>
    <definedName name="IQ_PERCENT_CHANGE_EST_RECO_WEEK" hidden="1">"c1831"</definedName>
    <definedName name="IQ_PERCENT_CHANGE_EST_RECO_WEEK_CIQ" hidden="1">"c3796"</definedName>
    <definedName name="IQ_PERCENT_CHANGE_EST_RECO_WEEK_THOM" hidden="1">"c5275"</definedName>
    <definedName name="IQ_PERCENT_CHANGE_EST_REV_12MONTHS" hidden="1">"c1796"</definedName>
    <definedName name="IQ_PERCENT_CHANGE_EST_REV_12MONTHS_CIQ" hidden="1">"c3741"</definedName>
    <definedName name="IQ_PERCENT_CHANGE_EST_REV_12MONTHS_THOM" hidden="1">"c5220"</definedName>
    <definedName name="IQ_PERCENT_CHANGE_EST_REV_18MONTHS" hidden="1">"c1797"</definedName>
    <definedName name="IQ_PERCENT_CHANGE_EST_REV_18MONTHS_CIQ" hidden="1">"c3742"</definedName>
    <definedName name="IQ_PERCENT_CHANGE_EST_REV_18MONTHS_THOM" hidden="1">"c5221"</definedName>
    <definedName name="IQ_PERCENT_CHANGE_EST_REV_3MONTHS" hidden="1">"c1793"</definedName>
    <definedName name="IQ_PERCENT_CHANGE_EST_REV_3MONTHS_CIQ" hidden="1">"c3738"</definedName>
    <definedName name="IQ_PERCENT_CHANGE_EST_REV_3MONTHS_THOM" hidden="1">"c5217"</definedName>
    <definedName name="IQ_PERCENT_CHANGE_EST_REV_6MONTHS" hidden="1">"c1794"</definedName>
    <definedName name="IQ_PERCENT_CHANGE_EST_REV_6MONTHS_CIQ" hidden="1">"c3739"</definedName>
    <definedName name="IQ_PERCENT_CHANGE_EST_REV_6MONTHS_THOM" hidden="1">"c5218"</definedName>
    <definedName name="IQ_PERCENT_CHANGE_EST_REV_9MONTHS" hidden="1">"c1795"</definedName>
    <definedName name="IQ_PERCENT_CHANGE_EST_REV_9MONTHS_CIQ" hidden="1">"c3740"</definedName>
    <definedName name="IQ_PERCENT_CHANGE_EST_REV_9MONTHS_THOM" hidden="1">"c5219"</definedName>
    <definedName name="IQ_PERCENT_CHANGE_EST_REV_DAY" hidden="1">"c1790"</definedName>
    <definedName name="IQ_PERCENT_CHANGE_EST_REV_DAY_CIQ" hidden="1">"c3735"</definedName>
    <definedName name="IQ_PERCENT_CHANGE_EST_REV_DAY_THOM" hidden="1">"c5214"</definedName>
    <definedName name="IQ_PERCENT_CHANGE_EST_REV_MONTH" hidden="1">"c1792"</definedName>
    <definedName name="IQ_PERCENT_CHANGE_EST_REV_MONTH_CIQ" hidden="1">"c3737"</definedName>
    <definedName name="IQ_PERCENT_CHANGE_EST_REV_MONTH_THOM" hidden="1">"c5216"</definedName>
    <definedName name="IQ_PERCENT_CHANGE_EST_REV_WEEK" hidden="1">"c1791"</definedName>
    <definedName name="IQ_PERCENT_CHANGE_EST_REV_WEEK_CIQ" hidden="1">"c3736"</definedName>
    <definedName name="IQ_PERCENT_CHANGE_EST_REV_WEEK_THOM" hidden="1">"c5215"</definedName>
    <definedName name="IQ_PERCENT_INSURED_FDIC" hidden="1">"c6374"</definedName>
    <definedName name="IQ_PERFORMANCE_LOC_FOREIGN_GUARANTEES_FFIEC" hidden="1">"c13251"</definedName>
    <definedName name="IQ_PERIODDATE" localSheetId="3" hidden="1">"c1414"</definedName>
    <definedName name="IQ_PERIODDATE" hidden="1">"c1034"</definedName>
    <definedName name="IQ_PERIODDATE_AP" hidden="1">"c11745"</definedName>
    <definedName name="IQ_PERIODDATE_BS" hidden="1">"c1032"</definedName>
    <definedName name="IQ_PERIODDATE_CF" hidden="1">"c1033"</definedName>
    <definedName name="IQ_PERIODDATE_FDIC" hidden="1">"c13646"</definedName>
    <definedName name="IQ_PERIODDATE_FFIEC" hidden="1">"c13645"</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SONNEL_EXP_AVG_ASSETS_FFIEC" hidden="1">"c13371"</definedName>
    <definedName name="IQ_PERSONNEL_EXP_OPERATING_INC_FFIEC" hidden="1">"c13379"</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_INVEST_SECURITIES_FFIEC" hidden="1">"c13467"</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LICYHOLDER_BENEFITS_LH_FFIEC" hidden="1">"c13107"</definedName>
    <definedName name="IQ_POOL_AMT_ORIGINAL" hidden="1">"c8970"</definedName>
    <definedName name="IQ_POOL_NAME" hidden="1">"c8967"</definedName>
    <definedName name="IQ_POOL_NUMBER" hidden="1">"c8968"</definedName>
    <definedName name="IQ_POOL_TYPE" hidden="1">"c8969"</definedName>
    <definedName name="IQ_POSITIVE_FAIR_VALUE_DERIVATIVES_BENEFICIARY_FFIEC" hidden="1">"c13123"</definedName>
    <definedName name="IQ_POSITIVE_FAIR_VALUE_DERIVATIVES_GUARANTOR_FFIEC" hidden="1">"c13116"</definedName>
    <definedName name="IQ_POST_RETIRE_EXP" hidden="1">"c1039"</definedName>
    <definedName name="IQ_POSTAGE_FFIEC" hidden="1">"c13051"</definedName>
    <definedName name="IQ_POSTPAID_CHURN" hidden="1">"c2121"</definedName>
    <definedName name="IQ_POSTPAID_SUBS" hidden="1">"c2118"</definedName>
    <definedName name="IQ_POTENTIAL_UPSIDE" hidden="1">"c1855"</definedName>
    <definedName name="IQ_POTENTIAL_UPSIDE_CIQ" hidden="1">"c3799"</definedName>
    <definedName name="IQ_POTENTIAL_UPSIDE_THOM" hidden="1">"c5279"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localSheetId="3" hidden="1">"c1416"</definedName>
    <definedName name="IQ_PREF_STOCK" hidden="1">"c1052"</definedName>
    <definedName name="IQ_PREF_STOCK_FFIEC" hidden="1">"c12875"</definedName>
    <definedName name="IQ_PREF_TOT" localSheetId="3" hidden="1">"c1415"</definedName>
    <definedName name="IQ_PREF_TOT" hidden="1">"c1044"</definedName>
    <definedName name="IQ_PREFERRED_FDIC" hidden="1">"c6349"</definedName>
    <definedName name="IQ_PREFERRED_LIST" hidden="1">"c13506"</definedName>
    <definedName name="IQ_PREMISES_EQUIPMENT_FDIC" hidden="1">"c6577"</definedName>
    <definedName name="IQ_PREMISES_FIXED_ASSETS_CAP_LEASES_FFIEC" hidden="1">"c12830"</definedName>
    <definedName name="IQ_PREMIUM_INSURANCE_CREDIT_FFIEC" hidden="1">"c13070"</definedName>
    <definedName name="IQ_PREMIUMS_ANNUITY_REV" hidden="1">"c1067"</definedName>
    <definedName name="IQ_PREPAID_CHURN" hidden="1">"c2120"</definedName>
    <definedName name="IQ_PREPAID_EXP" hidden="1">"c1068"</definedName>
    <definedName name="IQ_PREPAID_EXPEN" localSheetId="3" hidden="1">"c1418"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DET_EST" hidden="1">"c12055"</definedName>
    <definedName name="IQ_PRETAX_INC_DET_EST_CURRENCY" hidden="1">"c12462"</definedName>
    <definedName name="IQ_PRETAX_INC_DET_EST_CURRENCY_THOM" hidden="1">"c12483"</definedName>
    <definedName name="IQ_PRETAX_INC_DET_EST_DATE" hidden="1">"c12208"</definedName>
    <definedName name="IQ_PRETAX_INC_DET_EST_DATE_THOM" hidden="1">"c12234"</definedName>
    <definedName name="IQ_PRETAX_INC_DET_EST_INCL" hidden="1">"c12345"</definedName>
    <definedName name="IQ_PRETAX_INC_DET_EST_INCL_THOM" hidden="1">"c12366"</definedName>
    <definedName name="IQ_PRETAX_INC_DET_EST_ORIGIN" hidden="1">"c12771"</definedName>
    <definedName name="IQ_PRETAX_INC_DET_EST_ORIGIN_THOM" hidden="1">"c12604"</definedName>
    <definedName name="IQ_PRETAX_INC_DET_EST_THOM" hidden="1">"c12084"</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OPERATING_INC_AVG_ASSETS_FFIEC" hidden="1">"c13365"</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EV_MONTHLY_FACTOR" hidden="1">"c8973"</definedName>
    <definedName name="IQ_PREV_MONTHLY_FACTOR_DATE" hidden="1">"c8974"</definedName>
    <definedName name="IQ_PRICE_CFPS_FWD" hidden="1">"c2237"</definedName>
    <definedName name="IQ_PRICE_CFPS_FWD_THOM" hidden="1">"c4060"</definedName>
    <definedName name="IQ_PRICE_OVER_BVPS" localSheetId="3" hidden="1">"c1412"</definedName>
    <definedName name="IQ_PRICE_OVER_BVPS" hidden="1">"c1026"</definedName>
    <definedName name="IQ_PRICE_OVER_LTM_EPS" localSheetId="3" hidden="1">"c1413"</definedName>
    <definedName name="IQ_PRICE_OVER_LTM_EPS" hidden="1">"c1029"</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BOTTOM_UP" hidden="1">"c5486"</definedName>
    <definedName name="IQ_PRICE_TARGET_BOTTOM_UP_CIQ" hidden="1">"c12023"</definedName>
    <definedName name="IQ_PRICE_TARGET_CIQ" hidden="1">"c3613"</definedName>
    <definedName name="IQ_PRICE_TARGET_REUT" hidden="1">"c3631"</definedName>
    <definedName name="IQ_PRICE_TARGET_THOM" hidden="1">"c3649"</definedName>
    <definedName name="IQ_PRICE_VOLATILITY_EST" hidden="1">"c4492"</definedName>
    <definedName name="IQ_PRICE_VOLATILITY_HIGH" hidden="1">"c4493"</definedName>
    <definedName name="IQ_PRICE_VOLATILITY_LOW" hidden="1">"c4494"</definedName>
    <definedName name="IQ_PRICE_VOLATILITY_MEDIAN" hidden="1">"c4495"</definedName>
    <definedName name="IQ_PRICE_VOLATILITY_NUM" hidden="1">"c4496"</definedName>
    <definedName name="IQ_PRICE_VOLATILITY_STDDEV" hidden="1">"c4497"</definedName>
    <definedName name="IQ_PRICEDATE" hidden="1">"c1069"</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 hidden="1">"c8559"</definedName>
    <definedName name="IQ_PRIVATE_CONST_TOTAL_APR_UNUSED" hidden="1">"c7679"</definedName>
    <definedName name="IQ_PRIVATE_CONST_TOTAL_FC_UNUSED" hidden="1">"c7899"</definedName>
    <definedName name="IQ_PRIVATE_CONST_TOTAL_POP_FC_UNUSED" hidden="1">"c8119"</definedName>
    <definedName name="IQ_PRIVATE_CONST_TOTAL_POP_UNUSED" hidden="1">"c7239"</definedName>
    <definedName name="IQ_PRIVATE_CONST_TOTAL_UNUSED" hidden="1">"c7019"</definedName>
    <definedName name="IQ_PRIVATE_CONST_TOTAL_YOY_FC_UNUSED" hidden="1">"c8339"</definedName>
    <definedName name="IQ_PRIVATE_CONST_TOTAL_YOY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UNUSED" hidden="1">"c7655"</definedName>
    <definedName name="IQ_PRIVATE_RES_CONST_REAL_FC_UNUSED" hidden="1">"c7875"</definedName>
    <definedName name="IQ_PRIVATE_RES_CONST_REAL_POP_FC_UNUSED" hidden="1">"c8095"</definedName>
    <definedName name="IQ_PRIVATE_RES_CONST_REAL_POP_UNUSED" hidden="1">"c7215"</definedName>
    <definedName name="IQ_PRIVATE_RES_CONST_REAL_UNUSED" hidden="1">"c6995"</definedName>
    <definedName name="IQ_PRIVATE_RES_CONST_REAL_YOY_FC_UNUSED" hidden="1">"c8315"</definedName>
    <definedName name="IQ_PRIVATE_RES_CONST_REAL_YOY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localSheetId="3" hidden="1">"c1452"</definedName>
    <definedName name="IQ_PRO_FORMA_NET_INC" hidden="1">"c795"</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ID" hidden="1">"c13755"</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localSheetId="3" hidden="1">"c1379"</definedName>
    <definedName name="IQ_PROPERTY_GROSS" hidden="1">"c518"</definedName>
    <definedName name="IQ_PROPERTY_MGMT_FEE" hidden="1">"c1074"</definedName>
    <definedName name="IQ_PROPERTY_NET" localSheetId="3" hidden="1">"c1402"</definedName>
    <definedName name="IQ_PROPERTY_NET" hidden="1">"c829"</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ROVISION_LL_FFIEC" hidden="1">"c13019"</definedName>
    <definedName name="IQ_PROVISION_LOSSES_AVG_ASSETS_FFIEC" hidden="1">"c13362"</definedName>
    <definedName name="IQ_PROVISION_LOSSES_AVG_LOANS_FFIEC" hidden="1">"c13470"</definedName>
    <definedName name="IQ_PROVISION_LOSSES_NET_LOSSES_FFIEC" hidden="1">"c13471"</definedName>
    <definedName name="IQ_PTBV" hidden="1">"c1084"</definedName>
    <definedName name="IQ_PTBV_AVG" hidden="1">"c1085"</definedName>
    <definedName name="IQ_PURCHASE_FOREIGN_CURRENCIES_FDIC" hidden="1">"c6513"</definedName>
    <definedName name="IQ_PURCHASE_TREASURY_FFIEC" hidden="1">"c12966"</definedName>
    <definedName name="IQ_PURCHASED_CREDIT_RELS_SERVICING_ASSETS_FFIEC" hidden="1">"c12839"</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UNUSED" hidden="1">"c7611"</definedName>
    <definedName name="IQ_PURCHASES_EQUIP_NONRES_SAAR_FC_UNUSED" hidden="1">"c7831"</definedName>
    <definedName name="IQ_PURCHASES_EQUIP_NONRES_SAAR_POP_FC_UNUSED" hidden="1">"c8051"</definedName>
    <definedName name="IQ_PURCHASES_EQUIP_NONRES_SAAR_POP_UNUSED" hidden="1">"c7171"</definedName>
    <definedName name="IQ_PURCHASES_EQUIP_NONRES_SAAR_UNUSED" hidden="1">"c6951"</definedName>
    <definedName name="IQ_PURCHASES_EQUIP_NONRES_SAAR_YOY_FC_UNUSED" hidden="1">"c8271"</definedName>
    <definedName name="IQ_PURCHASES_EQUIP_NONRES_SAAR_YOY_UNUSED" hidden="1">"c7391"</definedName>
    <definedName name="IQ_PURCHASING_SECURITIES_LL_REC_FFIEC" hidden="1">"c12893"</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ALIFYING_MINORITY_INT_T1_FFIEC" hidden="1">"c13135"</definedName>
    <definedName name="IQ_QUALIFYING_SUB_DEBT_REDEEM_PREF_T2_FFIEC" hidden="1">"c13144"</definedName>
    <definedName name="IQ_QUALIFYING_TRUST_PREFERRED_T1_FFIEC" hidden="1">"c13136"</definedName>
    <definedName name="IQ_QUICK_COMP" hidden="1">"c13750"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1_4_RISK_BASED_FFIEC" hidden="1">"c13418"</definedName>
    <definedName name="IQ_RE_ACQ_SATISFACTION_DEBTS_FFIEC" hidden="1">"c12832"</definedName>
    <definedName name="IQ_RE_DEPR_AMORT" hidden="1">"c8750"</definedName>
    <definedName name="IQ_RE_FARMLAND_GROSS_LOANS_FFIEC" hidden="1">"c13408"</definedName>
    <definedName name="IQ_RE_FARMLAND_RISK_BASED_FFIEC" hidden="1">"c13429"</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FOREIGN_FFIEC" hidden="1">"c13479"</definedName>
    <definedName name="IQ_RE_GAIN_LOSS_SALE_ASSETS" hidden="1">"c8751"</definedName>
    <definedName name="IQ_RE_INVEST_FDIC" hidden="1">"c6331"</definedName>
    <definedName name="IQ_RE_LOANS_1_4_GROSS_LOANS_FFIEC" hidden="1">"c13397"</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LOANS_GROSS_LOANS_FFIEC" hidden="1">"c13396"</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_RISK_BASED_FFIEC" hidden="1">"c13417"</definedName>
    <definedName name="IQ_REAL_ESTATE" hidden="1">"c1093"</definedName>
    <definedName name="IQ_REAL_ESTATE_ASSETS" hidden="1">"c1094"</definedName>
    <definedName name="IQ_REALIZED_GAINS_AVAIL_SALE_SEC_FFIEC" hidden="1">"c13022"</definedName>
    <definedName name="IQ_REALIZED_GAINS_HELD_MATURITY_SEC_FFIEC" hidden="1">"c13021"</definedName>
    <definedName name="IQ_REALIZED_GAINS_SEC_TOT_FFIEC" hidden="1">"c13517"</definedName>
    <definedName name="IQ_RECOVERIES_1_4_FAMILY_LOANS_FDIC" hidden="1">"c6707"</definedName>
    <definedName name="IQ_RECOVERIES_AUTO_LOANS_FDIC" hidden="1">"c6701"</definedName>
    <definedName name="IQ_RECOVERIES_AVG_LOANS_FFIEC" hidden="1">"c13476"</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EST" hidden="1">"c4499"</definedName>
    <definedName name="IQ_RECURRING_PROFIT_HIGH_EST" hidden="1">"c4501"</definedName>
    <definedName name="IQ_RECURRING_PROFIT_LOW_EST" hidden="1">"c4502"</definedName>
    <definedName name="IQ_RECURRING_PROFIT_MEDIAN_EST" hidden="1">"c4503"</definedName>
    <definedName name="IQ_RECURRING_PROFIT_NUM_EST" hidden="1">"c4504"</definedName>
    <definedName name="IQ_RECURRING_PROFIT_SHARE_ACT_OR_EST" hidden="1">"c4508"</definedName>
    <definedName name="IQ_RECURRING_PROFIT_SHARE_ACT_OR_EST_CIQ" hidden="1">"c5046"</definedName>
    <definedName name="IQ_RECURRING_PROFIT_SHARE_EST" hidden="1">"c4506"</definedName>
    <definedName name="IQ_RECURRING_PROFIT_SHARE_HIGH_EST" hidden="1">"c4510"</definedName>
    <definedName name="IQ_RECURRING_PROFIT_SHARE_LOW_EST" hidden="1">"c4511"</definedName>
    <definedName name="IQ_RECURRING_PROFIT_SHARE_MEDIAN_EST" hidden="1">"c4512"</definedName>
    <definedName name="IQ_RECURRING_PROFIT_SHARE_NUM_EST" hidden="1">"c4513"</definedName>
    <definedName name="IQ_RECURRING_PROFIT_SHARE_STDDEV_EST" hidden="1">"c4514"</definedName>
    <definedName name="IQ_RECURRING_PROFIT_STDDEV_EST" hidden="1">"c4516"</definedName>
    <definedName name="IQ_REDEEM_PREF_STOCK" localSheetId="3" hidden="1">"c1417"</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INSURANCE_RECOVERABLE_ASSETS_LH_FFIEC" hidden="1">"c13104"</definedName>
    <definedName name="IQ_REINSURANCE_RECOVERABLE_ASSETS_PC_FFIEC" hidden="1">"c13098"</definedName>
    <definedName name="IQ_RELATED_PLANS_FDIC" hidden="1">"c6320"</definedName>
    <definedName name="IQ_RENT_OTHER_INC_FROM_OREO_FFIEC" hidden="1">"c13043"</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_SAFE_DEPOSIT_FFIEC" hidden="1">"c13044"</definedName>
    <definedName name="IQ_RENTAL_REV" hidden="1">"c1101"</definedName>
    <definedName name="IQ_REPRICEABLE_EARNING_ASSETS_INT_SENSITIVITY_FFIEC" hidden="1">"c13093"</definedName>
    <definedName name="IQ_REPRICEABLE_INT_DEPOSITS_INT_SENSITIVITY_FFIEC" hidden="1">"c13094"</definedName>
    <definedName name="IQ_REPURCHASED_REBOOKED_GNMA_DUE_30_89_FFIEC" hidden="1">"c13283"</definedName>
    <definedName name="IQ_REPURCHASED_REBOOKED_GNMA_DUE_90_FFIEC" hidden="1">"c13309"</definedName>
    <definedName name="IQ_REPURCHASED_REBOOKED_GNMA_NON_ACCRUAL_FFIEC" hidden="1">"c13334"</definedName>
    <definedName name="IQ_RES_CONST_REAL_APR_FC_UNUSED" hidden="1">"c8536"</definedName>
    <definedName name="IQ_RES_CONST_REAL_APR_UNUSED" hidden="1">"c7656"</definedName>
    <definedName name="IQ_RES_CONST_REAL_FC_UNUSED" hidden="1">"c7876"</definedName>
    <definedName name="IQ_RES_CONST_REAL_POP_FC_UNUSED" hidden="1">"c8096"</definedName>
    <definedName name="IQ_RES_CONST_REAL_POP_UNUSED" hidden="1">"c7216"</definedName>
    <definedName name="IQ_RES_CONST_REAL_SAAR_APR_FC_UNUSED" hidden="1">"c8537"</definedName>
    <definedName name="IQ_RES_CONST_REAL_SAAR_APR_UNUSED" hidden="1">"c7657"</definedName>
    <definedName name="IQ_RES_CONST_REAL_SAAR_FC_UNUSED" hidden="1">"c7877"</definedName>
    <definedName name="IQ_RES_CONST_REAL_SAAR_POP_FC_UNUSED" hidden="1">"c8097"</definedName>
    <definedName name="IQ_RES_CONST_REAL_SAAR_POP_UNUSED" hidden="1">"c7217"</definedName>
    <definedName name="IQ_RES_CONST_REAL_SAAR_UNUSED" hidden="1">"c6997"</definedName>
    <definedName name="IQ_RES_CONST_REAL_SAAR_YOY_FC_UNUSED" hidden="1">"c8317"</definedName>
    <definedName name="IQ_RES_CONST_REAL_SAAR_YOY_UNUSED" hidden="1">"c7437"</definedName>
    <definedName name="IQ_RES_CONST_REAL_UNUSED" hidden="1">"c6996"</definedName>
    <definedName name="IQ_RES_CONST_REAL_YOY_FC_UNUSED" hidden="1">"c8316"</definedName>
    <definedName name="IQ_RES_CONST_REAL_YOY_UNUSED" hidden="1">"c7436"</definedName>
    <definedName name="IQ_RES_CONST_SAAR_APR_FC_UNUSED" hidden="1">"c8540"</definedName>
    <definedName name="IQ_RES_CONST_SAAR_APR_UNUSED" hidden="1">"c7660"</definedName>
    <definedName name="IQ_RES_CONST_SAAR_FC_UNUSED" hidden="1">"c7880"</definedName>
    <definedName name="IQ_RES_CONST_SAAR_POP_FC_UNUSED" hidden="1">"c8100"</definedName>
    <definedName name="IQ_RES_CONST_SAAR_POP_UNUSED" hidden="1">"c7220"</definedName>
    <definedName name="IQ_RES_CONST_SAAR_UNUSED" hidden="1">"c7000"</definedName>
    <definedName name="IQ_RES_CONST_SAAR_YOY_FC_UNUSED" hidden="1">"c8320"</definedName>
    <definedName name="IQ_RES_CONST_SAAR_YOY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localSheetId="3" hidden="1">"c1419"</definedName>
    <definedName name="IQ_RESEARCH_DEV" hidden="1">"c1090"</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FFIEC" hidden="1">"c12958"</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SUPPLE" hidden="1">"c13809"</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"c2903"</definedName>
    <definedName name="IQ_RETAIL_ACQUIRED_OWNED_STORES" hidden="1">"c2895"</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localSheetId="3" hidden="1">"c1420"</definedName>
    <definedName name="IQ_RETAINED_EARN" hidden="1">"c1092"</definedName>
    <definedName name="IQ_RETAINED_EARNINGS_AVERAGE_EQUITY_FDIC" hidden="1">"c6733"</definedName>
    <definedName name="IQ_RETAINED_EARNINGS_EQUITY_FFIEC" hidden="1">"c13348"</definedName>
    <definedName name="IQ_RETAINED_EARNINGS_FFIEC" hidden="1">"c12878"</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DET_EST" hidden="1">"c12066"</definedName>
    <definedName name="IQ_RETURN_ASSETS_DET_EST_DATE" hidden="1">"c12219"</definedName>
    <definedName name="IQ_RETURN_ASSETS_DET_EST_DATE_THOM" hidden="1">"c12247"</definedName>
    <definedName name="IQ_RETURN_ASSETS_DET_EST_INCL" hidden="1">"c12356"</definedName>
    <definedName name="IQ_RETURN_ASSETS_DET_EST_INCL_THOM" hidden="1">"c12379"</definedName>
    <definedName name="IQ_RETURN_ASSETS_DET_EST_ORIGIN" hidden="1">"c12591"</definedName>
    <definedName name="IQ_RETURN_ASSETS_DET_EST_ORIGIN_THOM" hidden="1">"c12617"</definedName>
    <definedName name="IQ_RETURN_ASSETS_DET_EST_THOM" hidden="1">"c12097"</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COMMON_EQUITY" hidden="1">"c13838"</definedName>
    <definedName name="IQ_RETURN_EMBEDDED_VALUE" hidden="1">"c9974"</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DET_EST" hidden="1">"c12067"</definedName>
    <definedName name="IQ_RETURN_EQUITY_DET_EST_DATE" hidden="1">"c12220"</definedName>
    <definedName name="IQ_RETURN_EQUITY_DET_EST_DATE_THOM" hidden="1">"c12248"</definedName>
    <definedName name="IQ_RETURN_EQUITY_DET_EST_INCL" hidden="1">"c12357"</definedName>
    <definedName name="IQ_RETURN_EQUITY_DET_EST_INCL_THOM" hidden="1">"c12380"</definedName>
    <definedName name="IQ_RETURN_EQUITY_DET_EST_ORIGIN" hidden="1">"c12592"</definedName>
    <definedName name="IQ_RETURN_EQUITY_DET_EST_ORIGIN_THOM" hidden="1">"c12618"</definedName>
    <definedName name="IQ_RETURN_EQUITY_DET_EST_THOM" hidden="1">"c12098"</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localSheetId="3" hidden="1">"c1421"</definedName>
    <definedName name="IQ_RETURN_INVESTMENT" hidden="1">"c1117"</definedName>
    <definedName name="IQ_REV" hidden="1">"c1122"</definedName>
    <definedName name="IQ_REV_AP" hidden="1">"c8873"</definedName>
    <definedName name="IQ_REV_AP_ABS" hidden="1">"c8892"</definedName>
    <definedName name="IQ_REV_BEFORE_LL" hidden="1">"c1123"</definedName>
    <definedName name="IQ_REV_DET_EST" hidden="1">"c12065"</definedName>
    <definedName name="IQ_REV_DET_EST_CURRENCY" hidden="1">"c12472"</definedName>
    <definedName name="IQ_REV_DET_EST_CURRENCY_THOM" hidden="1">"c12495"</definedName>
    <definedName name="IQ_REV_DET_EST_DATE" hidden="1">"c12218"</definedName>
    <definedName name="IQ_REV_DET_EST_DATE_THOM" hidden="1">"c12246"</definedName>
    <definedName name="IQ_REV_DET_EST_INCL" hidden="1">"c12355"</definedName>
    <definedName name="IQ_REV_DET_EST_INCL_THOM" hidden="1">"c12378"</definedName>
    <definedName name="IQ_REV_DET_EST_ORIGIN" hidden="1">"c12590"</definedName>
    <definedName name="IQ_REV_DET_EST_ORIGIN_THOM" hidden="1">"c12616"</definedName>
    <definedName name="IQ_REV_DET_EST_THOM" hidden="1">"c12096"</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STDDEV_EST_THOM" hidden="1">"c3657"</definedName>
    <definedName name="IQ_REV_UTI" hidden="1">"c1125"</definedName>
    <definedName name="IQ_REVALUATION_GAINS_DERIVATIVE_DOM_FFIEC" hidden="1">"c12828"</definedName>
    <definedName name="IQ_REVALUATION_GAINS_DERIVATIVE_FOREIGN_FFIEC" hidden="1">"c12829"</definedName>
    <definedName name="IQ_REVALUATION_GAINS_FDIC" hidden="1">"c6428"</definedName>
    <definedName name="IQ_REVALUATION_LOSSES_FDIC" hidden="1">"c6429"</definedName>
    <definedName name="IQ_REVENUE" localSheetId="3" hidden="1">"c1422"</definedName>
    <definedName name="IQ_REVENUE" hidden="1">"c1122"</definedName>
    <definedName name="IQ_REVENUE_ACT_OR_EST" hidden="1">"c2214"</definedName>
    <definedName name="IQ_REVENUE_ACT_OR_EST_CIQ" hidden="1">"c5059"</definedName>
    <definedName name="IQ_REVENUE_ACT_OR_EST_THOM" hidden="1">"c5299"</definedName>
    <definedName name="IQ_REVENUE_BEFORE_LL_FFIEC" hidden="1">"c13018"</definedName>
    <definedName name="IQ_REVENUE_EST" hidden="1">"c1126"</definedName>
    <definedName name="IQ_REVENUE_EST_BOTTOM_UP" hidden="1">"c5488"</definedName>
    <definedName name="IQ_REVENUE_EST_BOTTOM_UP_CIQ" hidden="1">"c12025"</definedName>
    <definedName name="IQ_REVENUE_EST_CIQ" hidden="1">"c3616"</definedName>
    <definedName name="IQ_REVENUE_EST_REUT" hidden="1">"c3634"</definedName>
    <definedName name="IQ_REVENUE_EST_THOM" hidden="1">"c3652"</definedName>
    <definedName name="IQ_REVENUE_HIGH_EST" hidden="1">"c1127"</definedName>
    <definedName name="IQ_REVENUE_HIGH_EST_CIQ" hidden="1">"c3618"</definedName>
    <definedName name="IQ_REVENUE_HIGH_EST_REUT" hidden="1">"c3636"</definedName>
    <definedName name="IQ_REVENUE_HIGH_EST_THOM" hidden="1">"c3654"</definedName>
    <definedName name="IQ_REVENUE_LOW_EST" hidden="1">"c1128"</definedName>
    <definedName name="IQ_REVENUE_LOW_EST_CIQ" hidden="1">"c3619"</definedName>
    <definedName name="IQ_REVENUE_LOW_EST_REUT" hidden="1">"c3637"</definedName>
    <definedName name="IQ_REVENUE_LOW_EST_THOM" hidden="1">"c3655"</definedName>
    <definedName name="IQ_REVENUE_MEDIAN_EST" hidden="1">"c1662"</definedName>
    <definedName name="IQ_REVENUE_MEDIAN_EST_CIQ" hidden="1">"c3617"</definedName>
    <definedName name="IQ_REVENUE_MEDIAN_EST_REUT" hidden="1">"c3635"</definedName>
    <definedName name="IQ_REVENUE_MEDIAN_EST_THOM" hidden="1">"c3653"</definedName>
    <definedName name="IQ_REVENUE_NUM_EST" hidden="1">"c1129"</definedName>
    <definedName name="IQ_REVENUE_NUM_EST_CIQ" hidden="1">"c3620"</definedName>
    <definedName name="IQ_REVENUE_NUM_EST_REUT" hidden="1">"c3638"</definedName>
    <definedName name="IQ_REVENUE_NUM_EST_THOM" hidden="1">"c3656"</definedName>
    <definedName name="IQ_REVISION_DATE_" localSheetId="3" hidden="1">38859.8503356481</definedName>
    <definedName name="IQ_REVISION_DATE_" hidden="1">39244.4711574074</definedName>
    <definedName name="IQ_REVISION_DATE__1" hidden="1">38859.8503356481</definedName>
    <definedName name="IQ_REVOLV_OPEN_SECURED_1_4_LL_REC_DOM_FFIEC" hidden="1">"c12902"</definedName>
    <definedName name="IQ_REVOLVING_HOME_EQUITY_LINES_UNUSED_FFIEC" hidden="1">"c13241"</definedName>
    <definedName name="IQ_REVOLVING_LOANS_GROSS_LOANS_FFIEC" hidden="1">"c13398"</definedName>
    <definedName name="IQ_REVOLVING_LOANS_RISK_BASED_FFIEC" hidden="1">"c13419"</definedName>
    <definedName name="IQ_REVOLVING_LOANS_SEC_1_4_DOM_CHARGE_OFFS_FFIEC" hidden="1">"c13168"</definedName>
    <definedName name="IQ_REVOLVING_LOANS_SEC_1_4_DOM_RECOV_FFIEC" hidden="1">"c13190"</definedName>
    <definedName name="IQ_REVOLVING_OPEN_END_1_4_TRADING_DOM_FFIEC" hidden="1">"c12927"</definedName>
    <definedName name="IQ_REVOLVING_SECURED_1_4_DUE_30_89_FFIEC" hidden="1">"c13260"</definedName>
    <definedName name="IQ_REVOLVING_SECURED_1_4_DUE_90_FFIEC" hidden="1">"c13288"</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IES_EMPLOYEE_BENEFITS_FFIEC" hidden="1">"c13023"</definedName>
    <definedName name="IQ_SALARY" hidden="1">"c1130"</definedName>
    <definedName name="IQ_SALARY_FDIC" hidden="1">"c6576"</definedName>
    <definedName name="IQ_SALE_COMMON_GROSS_FFIEC" hidden="1">"c12963"</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PREF_FFIEC" hidden="1">"c12961"</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_TREASURY_FFIEC" hidden="1">"c12965"</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BC_EXPENSE_FFIEC" hidden="1">"c13077"</definedName>
    <definedName name="IQ_SEC_1_4_CONSTRUCTION_DOM_CHARGE_OFFS_FFIEC" hidden="1">"c13165"</definedName>
    <definedName name="IQ_SEC_1_4_CONSTRUCTION_DOM_RECOV_FFIEC" hidden="1">"c13187"</definedName>
    <definedName name="IQ_SEC_BORROWED_OFF_BS_FFIEC" hidden="1">"c13127"</definedName>
    <definedName name="IQ_SEC_FARMLAND_DOM_CHARGE_OFFS_FFIEC" hidden="1">"c13167"</definedName>
    <definedName name="IQ_SEC_FARMLAND_DOM_RECOV_FFIEC" hidden="1">"c13189"</definedName>
    <definedName name="IQ_SEC_FUNDS_PURCHASED_ASSETS_TOT_FFIEC" hidden="1">"c13447"</definedName>
    <definedName name="IQ_SEC_ISSUED_US_AVAIL_SALE_FFIEC" hidden="1">"c12795"</definedName>
    <definedName name="IQ_SEC_ISSUED_US_TRADING_DOM_FFIEC" hidden="1">"c12920"</definedName>
    <definedName name="IQ_SEC_ISSUED_US_TRADING_FFIEC" hidden="1">"c12815"</definedName>
    <definedName name="IQ_SEC_MULTIFAM_DOM_CHARGE_OFFS_FFIEC" hidden="1">"c13171"</definedName>
    <definedName name="IQ_SEC_MULTIFAM_DOM_DUE_30_89_FFIEC" hidden="1">"c13263"</definedName>
    <definedName name="IQ_SEC_MULTIFAM_DOM_DUE_90_FFIEC" hidden="1">"c13291"</definedName>
    <definedName name="IQ_SEC_MULTIFAM_DOM_NON_ACCRUAL_FFIEC" hidden="1">"c13317"</definedName>
    <definedName name="IQ_SEC_MULTIFAM_DOM_RECOV_FFIEC" hidden="1">"c13193"</definedName>
    <definedName name="IQ_SEC_NONFARM_NONRES_CHARGE_OFFS_FFIEC" hidden="1">"c13629"</definedName>
    <definedName name="IQ_SEC_NONFARM_NONRES_DOM_OFFICES_DUE_30_89_FFIEC" hidden="1">"c13264"</definedName>
    <definedName name="IQ_SEC_NONFARM_NONRES_DOM_OFFICES_DUE_90_FFIEC" hidden="1">"c13292"</definedName>
    <definedName name="IQ_SEC_NONFARM_NONRES_DOM_OFFICES_NON_ACCRUAL_FFIEC" hidden="1">"c13318"</definedName>
    <definedName name="IQ_SEC_NONFARM_NONRES_RECOV_FFIEC" hidden="1">"c13633"</definedName>
    <definedName name="IQ_SEC_OTHER_CONSTRUCTION_DOM_CHARGE_OFFS_FFIEC" hidden="1">"c13166"</definedName>
    <definedName name="IQ_SEC_OTHER_CONSTRUCTION_DOM_RECOV_FFIEC" hidden="1">"c13188"</definedName>
    <definedName name="IQ_SEC_OTHER_NONFARM_NONRES_CHARGE_OFFS_FFIEC" hidden="1">"c13173"</definedName>
    <definedName name="IQ_SEC_OTHER_NONFARM_NONRES_DUE_30_89_FFIEC" hidden="1">"c13266"</definedName>
    <definedName name="IQ_SEC_OTHER_NONFARM_NONRES_DUE_90_FFIEC" hidden="1">"c13637"</definedName>
    <definedName name="IQ_SEC_OTHER_NONFARM_NONRES_RECOV_FFIEC" hidden="1">"c13195"</definedName>
    <definedName name="IQ_SEC_OWNER_NONFARM_NONRES_CHARGE_OFFS_FFIEC" hidden="1">"c13172"</definedName>
    <definedName name="IQ_SEC_OWNER_NONFARM_NONRES_DUE_30_89_FFIEC" hidden="1">"c13265"</definedName>
    <definedName name="IQ_SEC_OWNER_NONFARM_NONRES_DUE_90_FFIEC" hidden="1">"c13636"</definedName>
    <definedName name="IQ_SEC_OWNER_NONFARM_NONRES_RECOV_FFIEC" hidden="1">"c13194"</definedName>
    <definedName name="IQ_SEC_PURCHASED_RESELL" hidden="1">"c5513"</definedName>
    <definedName name="IQ_SEC_PURCHASED_RESELL_FFIEC" hidden="1">"c12807"</definedName>
    <definedName name="IQ_SEC_RE_FOREIGN_DUE_30_89_FFIEC" hidden="1">"c13267"</definedName>
    <definedName name="IQ_SEC_RE_FOREIGN_DUE_90_FFIEC" hidden="1">"c13293"</definedName>
    <definedName name="IQ_SEC_RE_FOREIGN_NON_ACCRUAL_FFIEC" hidden="1">"c13319"</definedName>
    <definedName name="IQ_SEC_SOLD_REPURCHASE_FFIEC" hidden="1">"c12857"</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DOM_DUE_30_89_FFIEC" hidden="1">"c13259"</definedName>
    <definedName name="IQ_SECURED_FARMLAND_DOM_DUE_90_FFIEC" hidden="1">"c13287"</definedName>
    <definedName name="IQ_SECURED_FARMLAND_DOM_NON_ACCRUAL_FFIEC" hidden="1">"c13313"</definedName>
    <definedName name="IQ_SECURED_FARMLAND_LL_REC_DOM_FFIEC" hidden="1">"c12901"</definedName>
    <definedName name="IQ_SECURED_FARMLAND_NET_CHARGE_OFFS_FDIC" hidden="1">"c6631"</definedName>
    <definedName name="IQ_SECURED_FARMLAND_RECOVERIES_FDIC" hidden="1">"c6612"</definedName>
    <definedName name="IQ_SECURED_MULTI_RES_LL_REC_DOM_FFIEC" hidden="1">"c12905"</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HELD_MATURITY_FFIEC" hidden="1">"c12777"</definedName>
    <definedName name="IQ_SECURITIES_ISSUED_STATES_FDIC" hidden="1">"c6300"</definedName>
    <definedName name="IQ_SECURITIES_ISSUED_US_FFIEC" hidden="1">"c12781"</definedName>
    <definedName name="IQ_SECURITIES_LENT_FDIC" hidden="1">"c6532"</definedName>
    <definedName name="IQ_SECURITIES_LENT_FFIEC" hidden="1">"c13255"</definedName>
    <definedName name="IQ_SECURITIES_QUARTERLY_AVG_FFIEC" hidden="1">"c13079"</definedName>
    <definedName name="IQ_SECURITIES_UNDERWRITING_FDIC" hidden="1">"c6529"</definedName>
    <definedName name="IQ_SECURITIES_UNDERWRITING_UNUSED_FFIEC" hidden="1">"c13247"</definedName>
    <definedName name="IQ_SECURITIZATION_INC_OPERATING_INC_FFIEC" hidden="1">"c13390"</definedName>
    <definedName name="IQ_SECURITIZATION_INCOME_FFIEC" hidden="1">"c13012"</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DOL" hidden="1">"c12042"</definedName>
    <definedName name="IQ_SELECTED_FOREIGN_ASSETS_FFIEC" hidden="1">"c13485"</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_ACCOUNT_ASSETS_LH_FFIEC" hidden="1">"c13105"</definedName>
    <definedName name="IQ_SEPARATE_ACCOUNT_LIAB_LH_FFIEC" hidden="1">"c13108"</definedName>
    <definedName name="IQ_SEPARATE_ACCT_ASSETS" hidden="1">"c1155"</definedName>
    <definedName name="IQ_SEPARATE_ACCT_LIAB" hidden="1">"c1156"</definedName>
    <definedName name="IQ_SERV_CHARGE_DEPOSITS" hidden="1">"c1157"</definedName>
    <definedName name="IQ_SERVICE_CHARGES_DEPOSIT_ACCOUNTS_DOM_FFIEC" hidden="1">"c13003"</definedName>
    <definedName name="IQ_SERVICE_CHARGES_FDIC" hidden="1">"c6572"</definedName>
    <definedName name="IQ_SERVICE_CHARGES_OPERATING_INC_FFIEC" hidden="1">"c13384"</definedName>
    <definedName name="IQ_SERVICE_FEE" hidden="1">"c8951"</definedName>
    <definedName name="IQ_SERVICING_FEES_FFIEC" hidden="1">"c13011"</definedName>
    <definedName name="IQ_SERVICING_FEES_OPERATING_INC_FFIEC" hidden="1">"c13389"</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localSheetId="3" hidden="1">"c1347"</definedName>
    <definedName name="IQ_SHAREOUTSTANDING" hidden="1">"c83"</definedName>
    <definedName name="IQ_SHARES_PER_DR" hidden="1">"c204"</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POSITIONS_FFIEC" hidden="1">"c12859"</definedName>
    <definedName name="IQ_SHORT_TERM_INVEST" localSheetId="3" hidden="1">"c1425"</definedName>
    <definedName name="IQ_SHORT_TERM_INVEST" hidden="1">"c1197"</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NSR_ACTION_LT" hidden="1">"c13616"</definedName>
    <definedName name="IQ_SP_ISSUE_NSR_ACTION_ST" hidden="1">"c13622"</definedName>
    <definedName name="IQ_SP_ISSUE_NSR_DATE_LT" hidden="1">"c13615"</definedName>
    <definedName name="IQ_SP_ISSUE_NSR_DATE_ST" hidden="1">"c13621"</definedName>
    <definedName name="IQ_SP_ISSUE_NSR_LT" hidden="1">"c13614"</definedName>
    <definedName name="IQ_SP_ISSUE_NSR_ST" hidden="1">"c13620"</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NSR_ACTION_LT" hidden="1">"c13613"</definedName>
    <definedName name="IQ_SP_NSR_ACTION_ST" hidden="1">"c13619"</definedName>
    <definedName name="IQ_SP_NSR_DATE_LT" hidden="1">"c13612"</definedName>
    <definedName name="IQ_SP_NSR_DATE_ST" hidden="1">"c13618"</definedName>
    <definedName name="IQ_SP_NSR_LT" hidden="1">"c13611"</definedName>
    <definedName name="IQ_SP_NSR_ST" hidden="1">"c13617"</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ASSETS_TOT_FFIEC" hidden="1">"c13438"</definedName>
    <definedName name="IQ_ST_INVEST_ST_NONCORE_FUNDING_FFIEC" hidden="1">"c13338"</definedName>
    <definedName name="IQ_ST_INVEST_UTI" hidden="1">"c1198"</definedName>
    <definedName name="IQ_ST_NOTE_RECEIV" hidden="1">"c1199"</definedName>
    <definedName name="IQ_STAND_REC_DET_EST" hidden="1">"c12069"</definedName>
    <definedName name="IQ_STAND_REC_DET_EST_DATE" hidden="1">"c12222"</definedName>
    <definedName name="IQ_STAND_REC_DET_EST_DATE_THOM" hidden="1">"c12250"</definedName>
    <definedName name="IQ_STAND_REC_DET_EST_ORIGIN" hidden="1">"c12594"</definedName>
    <definedName name="IQ_STAND_REC_DET_EST_ORIGIN_THOM" hidden="1">"c12620"</definedName>
    <definedName name="IQ_STAND_REC_DET_EST_THOM" hidden="1">"c12100"</definedName>
    <definedName name="IQ_STAND_REC_NUM_DET_EST" hidden="1">"c12068"</definedName>
    <definedName name="IQ_STAND_REC_NUM_DET_EST_DATE" hidden="1">"c12221"</definedName>
    <definedName name="IQ_STAND_REC_NUM_DET_EST_DATE_THOM" hidden="1">"c12249"</definedName>
    <definedName name="IQ_STAND_REC_NUM_DET_EST_ORIGIN" hidden="1">"c12593"</definedName>
    <definedName name="IQ_STAND_REC_NUM_DET_EST_ORIGIN_THOM" hidden="1">"c12619"</definedName>
    <definedName name="IQ_STAND_REC_NUM_DET_EST_THOM" hidden="1">"c12099"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EST" hidden="1">"c4520"</definedName>
    <definedName name="IQ_STOCK_BASED_EXPLORE_DRILL" hidden="1">"c13851"</definedName>
    <definedName name="IQ_STOCK_BASED_GA" hidden="1">"c2993"</definedName>
    <definedName name="IQ_STOCK_BASED_HIGH_EST" hidden="1">"c4521"</definedName>
    <definedName name="IQ_STOCK_BASED_LOW_EST" hidden="1">"c4522"</definedName>
    <definedName name="IQ_STOCK_BASED_MEDIAN_EST" hidden="1">"c4523"</definedName>
    <definedName name="IQ_STOCK_BASED_NUM_EST" hidden="1">"c4524"</definedName>
    <definedName name="IQ_STOCK_BASED_OTHER" hidden="1">"c2995"</definedName>
    <definedName name="IQ_STOCK_BASED_RD" hidden="1">"c2991"</definedName>
    <definedName name="IQ_STOCK_BASED_SGA" hidden="1">"c2994"</definedName>
    <definedName name="IQ_STOCK_BASED_SM" hidden="1">"c2992"</definedName>
    <definedName name="IQ_STOCK_BASED_STDDEV_EST" hidden="1">"c4525"</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IPS_RECEIVABLE_MORTGAGE_LOANS_FFIEC" hidden="1">"c12844"</definedName>
    <definedName name="IQ_STRIPS_RECEIVABLE_OTHER_FFIEC" hidden="1">"c12845"</definedName>
    <definedName name="IQ_STRUCT_FIN_CLASS" hidden="1">"c8950"</definedName>
    <definedName name="IQ_STRUCT_FIN_SERIES" hidden="1">"c8956"</definedName>
    <definedName name="IQ_STRUCTURED_NOTES_INVEST_SECURITIES_FFIEC" hidden="1">"c13468"</definedName>
    <definedName name="IQ_STRUCTURING_NOTES_TIER_1_FFIEC" hidden="1">"c13344"</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B_NOTES_DEBENTURES_FFIEC" hidden="1">"c12867"</definedName>
    <definedName name="IQ_SUB_NOTES_PAYABLE_UNCONSOLIDATED_TRUSTS_FFIEC" hidden="1">"c12868"</definedName>
    <definedName name="IQ_SUPPLIES_FFIEC" hidden="1">"c13050"</definedName>
    <definedName name="IQ_SURPLUS_FDIC" hidden="1">"c6351"</definedName>
    <definedName name="IQ_SURPLUS_FFIEC" hidden="1">"c12877"</definedName>
    <definedName name="IQ_SVA" hidden="1">"c1214"</definedName>
    <definedName name="IQ_TANGIBLE_ASSETS_FFIEC" hidden="1">"c13916"</definedName>
    <definedName name="IQ_TANGIBLE_COMMON_EQUITY_FFIEC" hidden="1">"c13914"</definedName>
    <definedName name="IQ_TANGIBLE_EQUITY_ASSETS_FFIEC" hidden="1">"c13346"</definedName>
    <definedName name="IQ_TANGIBLE_EQUITY_FFIEC" hidden="1">"c13915"</definedName>
    <definedName name="IQ_TANGIBLE_TIER_1_LEVERAGE_FFIEC" hidden="1">"c13345"</definedName>
    <definedName name="IQ_TARGET_PRICE_DET_EST" hidden="1">"c12070"</definedName>
    <definedName name="IQ_TARGET_PRICE_DET_EST_CURRENCY" hidden="1">"c12475"</definedName>
    <definedName name="IQ_TARGET_PRICE_DET_EST_CURRENCY_THOM" hidden="1">"c12498"</definedName>
    <definedName name="IQ_TARGET_PRICE_DET_EST_DATE" hidden="1">"c12223"</definedName>
    <definedName name="IQ_TARGET_PRICE_DET_EST_DATE_THOM" hidden="1">"c12251"</definedName>
    <definedName name="IQ_TARGET_PRICE_DET_EST_INCL" hidden="1">"c12358"</definedName>
    <definedName name="IQ_TARGET_PRICE_DET_EST_INCL_THOM" hidden="1">"c12381"</definedName>
    <definedName name="IQ_TARGET_PRICE_DET_EST_ORIGIN" hidden="1">"c12729"</definedName>
    <definedName name="IQ_TARGET_PRICE_DET_EST_ORIGIN_THOM" hidden="1">"c12621"</definedName>
    <definedName name="IQ_TARGET_PRICE_DET_EST_THOM" hidden="1">"c12101"</definedName>
    <definedName name="IQ_TARGET_PRICE_NUM" hidden="1">"c1653"</definedName>
    <definedName name="IQ_TARGET_PRICE_NUM_CIQ" hidden="1">"c4661"</definedName>
    <definedName name="IQ_TARGET_PRICE_NUM_REUT" hidden="1">"c5319"</definedName>
    <definedName name="IQ_TARGET_PRICE_NUM_THOM" hidden="1">"c5098"</definedName>
    <definedName name="IQ_TARGET_PRICE_STDDEV" hidden="1">"c1654"</definedName>
    <definedName name="IQ_TARGET_PRICE_STDDEV_CIQ" hidden="1">"c4662"</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EQUIVALENT_ADJUSTMENTS_FFIEC" hidden="1">"c13854"</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AXES_ADJ_NOI_FFIEC" hidden="1">"c13395"</definedName>
    <definedName name="IQ_TAXES_NOI_FFIEC" hidden="1">"c13394"</definedName>
    <definedName name="IQ_TAXES_TE_AVG_ASSETS_FFIEC" hidden="1">"c13366"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EXCL_FFIEC" hidden="1">"c13516"</definedName>
    <definedName name="IQ_TBV_SHARE" hidden="1">"c1217"</definedName>
    <definedName name="IQ_TELECOM_FFIEC" hidden="1">"c13057"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DET_EST_CURRENCY_THOM" hidden="1">"c12499"</definedName>
    <definedName name="IQ_TEV_DET_EST_DATE_THOM" hidden="1">"c12252"</definedName>
    <definedName name="IQ_TEV_DET_EST_INCL_THOM" hidden="1">"c12382"</definedName>
    <definedName name="IQ_TEV_DET_EST_ORIGIN_THOM" hidden="1">"c12709"</definedName>
    <definedName name="IQ_TEV_DET_EST_THOM" hidden="1">"c12102"</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CAPITAL_BEFORE_CHARGES_T1_FFIEC" hidden="1">"c13139"</definedName>
    <definedName name="IQ_TIER_1_CAPITAL_FFIEC" hidden="1">"c13143"</definedName>
    <definedName name="IQ_TIER_1_LEVERAGE_RATIO_FFIEC" hidden="1">"c13160"</definedName>
    <definedName name="IQ_TIER_1_RISK_BASED_CAPITAL_RATIO_FDIC" hidden="1">"c6746"</definedName>
    <definedName name="IQ_TIER_1_RISK_BASED_CAPITAL_RATIO_FFIEC" hidden="1">"c13161"</definedName>
    <definedName name="IQ_TIER_2_CAPITAL_FFIEC" hidden="1">"c13149"</definedName>
    <definedName name="IQ_TIER_3_CAPITAL_ALLOCATED_MARKET_RISK_FFIEC" hidden="1">"c13151"</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100K_OTHER_INSTITUTIONS_FFIEC" hidden="1">"c12953"</definedName>
    <definedName name="IQ_TIME_DEPOSITS_LESS_100K_TOT_DEPOSITS_FFIEC" hidden="1">"c13907"</definedName>
    <definedName name="IQ_TIME_DEPOSITS_LESS_THAN_100K_FDIC" hidden="1">"c6465"</definedName>
    <definedName name="IQ_TIME_DEPOSITS_MORE_100K_OTHER_INSTITUTIONS_FFIEC" hidden="1">"c12954"</definedName>
    <definedName name="IQ_TIME_DEPOSITS_MORE_100K_TOT_DEPOSITS_FFIEC" hidden="1">"c13906"</definedName>
    <definedName name="IQ_TIME_DEPOSITS_MORE_THAN_100K_FDIC" hidden="1">"c6470"</definedName>
    <definedName name="IQ_TODAY" hidden="1">0</definedName>
    <definedName name="IQ_TOT_1_4_FAM_LOANS_TOT_LOANS_FFIEC" hidden="1">"c13868"</definedName>
    <definedName name="IQ_TOT_ADJ_INC" hidden="1">"c1616"</definedName>
    <definedName name="IQ_TOT_LEASES_TOT_LOANS_FFIEC" hidden="1">"c13876"</definedName>
    <definedName name="IQ_TOT_NON_RE_LOANS_TOT_LOANS_FFIEC" hidden="1">"c13877"</definedName>
    <definedName name="IQ_TOT_NONTRANS_ACCTS_TOT_DEPOSITS_FFIEC" hidden="1">"c13909"</definedName>
    <definedName name="IQ_TOT_RE_LOANS_TOT_LOANS_FFIEC" hidden="1">"c13873"</definedName>
    <definedName name="IQ_TOT_TIME_DEPOSITS_TOT_DEPOSITS_FFIEC" hidden="1">"c13908"</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BNK_SUBTOTAL_AP" hidden="1">"c13644"</definedName>
    <definedName name="IQ_TOTAL_ASSETS_FDIC" hidden="1">"c6339"</definedName>
    <definedName name="IQ_TOTAL_ASSETS_FFIEC" hidden="1">"c12849"</definedName>
    <definedName name="IQ_TOTAL_ASSETS_LH_FFIEC" hidden="1">"c13106"</definedName>
    <definedName name="IQ_TOTAL_ASSETS_PC_FFIEC" hidden="1">"c13099"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localSheetId="3" hidden="1">"c1455"</definedName>
    <definedName name="IQ_TOTAL_CASH_DIVID" hidden="1">"c1266"</definedName>
    <definedName name="IQ_TOTAL_CASH_FINAN" localSheetId="3" hidden="1">"c1352"</definedName>
    <definedName name="IQ_TOTAL_CASH_FINAN" hidden="1">"c119"</definedName>
    <definedName name="IQ_TOTAL_CASH_INVEST" localSheetId="3" hidden="1">"c1353"</definedName>
    <definedName name="IQ_TOTAL_CASH_INVEST" hidden="1">"c121"</definedName>
    <definedName name="IQ_TOTAL_CASH_OPER" localSheetId="3" hidden="1">"c1354"</definedName>
    <definedName name="IQ_TOTAL_CASH_OPER" hidden="1">"c122"</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localSheetId="3" hidden="1">"c1411"</definedName>
    <definedName name="IQ_TOTAL_COMMON" hidden="1">"c1022"</definedName>
    <definedName name="IQ_TOTAL_COMMON_EQUITY" hidden="1">"c1246"</definedName>
    <definedName name="IQ_TOTAL_COMMON_EQUITY_FFIEC" hidden="1">"c13913"</definedName>
    <definedName name="IQ_TOTAL_COMMON_EQUITY_TOTAL_ASSETS_FFIEC" hidden="1">"c13864"</definedName>
    <definedName name="IQ_TOTAL_COMMON_SHARES_OUT_FFIEC" hidden="1">"c12955"</definedName>
    <definedName name="IQ_TOTAL_CONSTRUCTION_LL_REC_DOM_FFIEC" hidden="1">"c13515"</definedName>
    <definedName name="IQ_TOTAL_CURRENT_ASSETS" localSheetId="3" hidden="1">"c1430"</definedName>
    <definedName name="IQ_TOTAL_CURRENT_ASSETS" hidden="1">"c1243"</definedName>
    <definedName name="IQ_TOTAL_CURRENT_LIAB" localSheetId="3" hidden="1">"c1431"</definedName>
    <definedName name="IQ_TOTAL_CURRENT_LIAB" hidden="1">"c1245"</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ST" hidden="1">"c4532"</definedName>
    <definedName name="IQ_TOTAL_DEBT_EXCL_FIN" hidden="1">"c2937"</definedName>
    <definedName name="IQ_TOTAL_DEBT_HIGH_EST" hidden="1">"c4534"</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LOW_EST" hidden="1">"c4535"</definedName>
    <definedName name="IQ_TOTAL_DEBT_MEDIAN_EST" hidden="1">"c4536"</definedName>
    <definedName name="IQ_TOTAL_DEBT_NON_CURRENT" hidden="1">"c6191"</definedName>
    <definedName name="IQ_TOTAL_DEBT_NUM_EST" hidden="1">"c4537"</definedName>
    <definedName name="IQ_TOTAL_DEBT_OVER_EBITDA" localSheetId="3" hidden="1">"c1433"</definedName>
    <definedName name="IQ_TOTAL_DEBT_OVER_EBITDA" hidden="1">"c1249"</definedName>
    <definedName name="IQ_TOTAL_DEBT_OVER_TOTAL_BV" localSheetId="3" hidden="1">"c1434"</definedName>
    <definedName name="IQ_TOTAL_DEBT_OVER_TOTAL_BV" hidden="1">"c1250"</definedName>
    <definedName name="IQ_TOTAL_DEBT_OVER_TOTAL_CAP" localSheetId="3" hidden="1">"c1432"</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BT_STDDEV_EST" hidden="1">"c4538"</definedName>
    <definedName name="IQ_TOTAL_DEPOSITS" hidden="1">"c1265"</definedName>
    <definedName name="IQ_TOTAL_DEPOSITS_FDIC" hidden="1">"c6342"</definedName>
    <definedName name="IQ_TOTAL_DEPOSITS_FFIEC" hidden="1">"c13623"</definedName>
    <definedName name="IQ_TOTAL_DIV_PAID_CF" hidden="1">"c1266"</definedName>
    <definedName name="IQ_TOTAL_EMPLOYEE" localSheetId="3" hidden="1">"c2141"</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CAPITAL_T1_FFIEC" hidden="1">"c13130"</definedName>
    <definedName name="IQ_TOTAL_EQUITY_FFIEC" hidden="1">"c12881"</definedName>
    <definedName name="IQ_TOTAL_EQUITY_LH_FFIEC" hidden="1">"c13109"</definedName>
    <definedName name="IQ_TOTAL_EQUITY_PC_FFIEC" hidden="1">"c13102"</definedName>
    <definedName name="IQ_TOTAL_EQUITY_SUBTOTAL_AP" hidden="1">"c8989"</definedName>
    <definedName name="IQ_TOTAL_EQUITY_TOTAL_ASSETS_FFIEC" hidden="1">"c13863"</definedName>
    <definedName name="IQ_TOTAL_INT_EXPENSE_FFIEC" hidden="1">"c13000"</definedName>
    <definedName name="IQ_TOTAL_INT_INCOME_FFIEC" hidden="1">"c12989"</definedName>
    <definedName name="IQ_TOTAL_INTEREST_EXP" localSheetId="3" hidden="1">"c1382"</definedName>
    <definedName name="IQ_TOTAL_INTEREST_EXP" hidden="1">"c591"</definedName>
    <definedName name="IQ_TOTAL_INVENTORY" localSheetId="3" hidden="1">"c1385"</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localSheetId="3" hidden="1">"c1435"</definedName>
    <definedName name="IQ_TOTAL_LIAB_SHAREHOLD" hidden="1">"c1279"</definedName>
    <definedName name="IQ_TOTAL_LIAB_TOTAL_ASSETS" hidden="1">"c1283"</definedName>
    <definedName name="IQ_TOTAL_LIABILITIES_EQUITY_FFIEC" hidden="1">"c12882"</definedName>
    <definedName name="IQ_TOTAL_LIABILITIES_FDIC" hidden="1">"c6348"</definedName>
    <definedName name="IQ_TOTAL_LIABILITIES_FFIEC" hidden="1">"c12873"</definedName>
    <definedName name="IQ_TOTAL_LL_REC_DOM_FFIEC" hidden="1">"c12917"</definedName>
    <definedName name="IQ_TOTAL_LL_REC_FFIEC" hidden="1">"c12898"</definedName>
    <definedName name="IQ_TOTAL_LOANS" hidden="1">"c5653"</definedName>
    <definedName name="IQ_TOTAL_LOANS_LEASES_CHARGE_OFFS_FFIEC" hidden="1">"c13186"</definedName>
    <definedName name="IQ_TOTAL_LOANS_LEASES_DUE_30_89_FFIEC" hidden="1">"c13280"</definedName>
    <definedName name="IQ_TOTAL_LOANS_LEASES_DUE_90_FFIEC" hidden="1">"c13306"</definedName>
    <definedName name="IQ_TOTAL_LOANS_LEASES_NON_ACCRUAL_FFIEC" hidden="1">"c13757"</definedName>
    <definedName name="IQ_TOTAL_LOANS_LEASES_RECOV_FFIEC" hidden="1">"c13208"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TURN_SWAPS_DERIVATIVES_BENEFICIARY_FFIEC" hidden="1">"c13120"</definedName>
    <definedName name="IQ_TOTAL_RETURN_SWAPS_DERIVATIVES_GUARANTOR_FFIEC" hidden="1">"c13113"</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localSheetId="3" hidden="1">"c1436"</definedName>
    <definedName name="IQ_TOTAL_REVENUE" hidden="1">"c1294"</definedName>
    <definedName name="IQ_TOTAL_REVENUE_FFIEC" hidden="1">"c13020"</definedName>
    <definedName name="IQ_TOTAL_RISK_BASED_CAPITAL_FFIEC" hidden="1">"c13153"</definedName>
    <definedName name="IQ_TOTAL_RISK_BASED_CAPITAL_RATIO_FDIC" hidden="1">"c6747"</definedName>
    <definedName name="IQ_TOTAL_RISK_BASED_CAPITAL_RATIO_FFIEC" hidden="1">"c13162"</definedName>
    <definedName name="IQ_TOTAL_RISK_WEIGHTED_ASSETS_FFIEC" hidden="1">"c13858"</definedName>
    <definedName name="IQ_TOTAL_ROOMS" hidden="1">"c8789"</definedName>
    <definedName name="IQ_TOTAL_SECURITIES_FDIC" hidden="1">"c6306"</definedName>
    <definedName name="IQ_TOTAL_SPECIAL" hidden="1">"c1618"</definedName>
    <definedName name="IQ_TOTAL_SQ_FT" hidden="1">"c8781"</definedName>
    <definedName name="IQ_TOTAL_ST_BORROW" localSheetId="3" hidden="1">"c1424"</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TRADING_ASSETS_FFIEC" hidden="1">"c12939"</definedName>
    <definedName name="IQ_TOTAL_TRADING_LIAB_DOM_FFIEC" hidden="1">"c12944"</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SUPPLE" hidden="1">"c13817"</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_TERM_FEE" hidden="1">"c13638"</definedName>
    <definedName name="IQ_TR_BUY_TERM_FEE_PCT" hidden="1">"c13639"</definedName>
    <definedName name="IQ_TR_BUYBACK_TO_CLOSE" hidden="1">"c13919"</definedName>
    <definedName name="IQ_TR_BUYBACK_TO_HIGH" hidden="1">"c13917"</definedName>
    <definedName name="IQ_TR_BUYBACK_TO_LOW" hidden="1">"c13918"</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GISTRATION_FEES" hidden="1">"c2274"</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_TERM_FEE" hidden="1">"c2298"</definedName>
    <definedName name="IQ_TR_SELL_TERM_FEE_PCT" hidden="1">"c2297"</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localSheetId="3" hidden="1">"c1345"</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AIR_VALUE_TOT_FFIEC" hidden="1">"c13210"</definedName>
    <definedName name="IQ_TRADING_ASSETS_FDIC" hidden="1">"c6328"</definedName>
    <definedName name="IQ_TRADING_ASSETS_FFIEC" hidden="1">"c12812"</definedName>
    <definedName name="IQ_TRADING_ASSETS_FOREIGN_FFIEC" hidden="1">"c12940"</definedName>
    <definedName name="IQ_TRADING_ASSETS_LEVEL_1_FFIEC" hidden="1">"c13218"</definedName>
    <definedName name="IQ_TRADING_ASSETS_LEVEL_2_FFIEC" hidden="1">"c13226"</definedName>
    <definedName name="IQ_TRADING_ASSETS_LEVEL_3_FFIEC" hidden="1">"c13234"</definedName>
    <definedName name="IQ_TRADING_ASSETS_QUARTERLY_AVG_FFIEC" hidden="1">"c13085"</definedName>
    <definedName name="IQ_TRADING_CURRENCY" hidden="1">"c2212"</definedName>
    <definedName name="IQ_TRADING_ITEM_CIQID" hidden="1">"c8949"</definedName>
    <definedName name="IQ_TRADING_LIABILITIES_FAIR_VALUE_TOT_FFIEC" hidden="1">"c13214"</definedName>
    <definedName name="IQ_TRADING_LIABILITIES_FDIC" hidden="1">"c6344"</definedName>
    <definedName name="IQ_TRADING_LIABILITIES_FFIEC" hidden="1">"c12858"</definedName>
    <definedName name="IQ_TRADING_LIABILITIES_LEVEL_1_FFIEC" hidden="1">"c13222"</definedName>
    <definedName name="IQ_TRADING_LIABILITIES_LEVEL_2_FFIEC" hidden="1">"c13230"</definedName>
    <definedName name="IQ_TRADING_LIABILITIES_LEVEL_3_FFIEC" hidden="1">"c13238"</definedName>
    <definedName name="IQ_TRADING_REV_OPERATING_INC_FFIEC" hidden="1">"c13385"</definedName>
    <definedName name="IQ_TRADING_REVENUE_FFIEC" hidden="1">"c13004"</definedName>
    <definedName name="IQ_TRANS_ACCTS_TOT_DEPOSITS_FFIEC" hidden="1">"c13904"</definedName>
    <definedName name="IQ_TRANSACTION_ACCOUNTS_FDIC" hidden="1">"c6544"</definedName>
    <definedName name="IQ_TREASURY" hidden="1">"c1311"</definedName>
    <definedName name="IQ_TREASURY_INVEST_SECURITIES_FFIEC" hidden="1">"c13457"</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localSheetId="3" hidden="1">"c1438"</definedName>
    <definedName name="IQ_TREASURY_STOCK" hidden="1">"c1311"</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ARNED_INCOME_LL_REC_DOM_FFIEC" hidden="1">"c12916"</definedName>
    <definedName name="IQ_UNEARNED_INCOME_LL_REC_FFIEC" hidden="1">"c12897"</definedName>
    <definedName name="IQ_UNEARNED_PREMIUMS_PC_FFIEC" hidden="1">"c13101"</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COMMITMENTS_COMMERCIAL_RE_UNUSED_FFIEC" hidden="1">"c13246"</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ADDRESS_LEASE_FIN_REC_FFIEC" hidden="1">"c13624"</definedName>
    <definedName name="IQ_US_AGENCY_OBLIG_FFIEC" hidden="1">"c12779"</definedName>
    <definedName name="IQ_US_AGENCY_OBLIG_TRADING_DOM_FFIEC" hidden="1">"c12919"</definedName>
    <definedName name="IQ_US_AGENCY_OBLIG_TRADING_FFIEC" hidden="1">"c12814"</definedName>
    <definedName name="IQ_US_AGENCY_OBLIGATIONS_AVAIL_SALE_FFIEC" hidden="1">"c12793"</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INST_DUE_30_89_FFIEC" hidden="1">"c13268"</definedName>
    <definedName name="IQ_US_INST_DUE_90_FFIEC" hidden="1">"c13294"</definedName>
    <definedName name="IQ_US_INST_NON_ACCRUAL_FFIEC" hidden="1">"c13320"</definedName>
    <definedName name="IQ_US_SPONSORED_AGENCY_OBLIG_AVAIL_SALE_FFIEC" hidden="1">"c12794"</definedName>
    <definedName name="IQ_US_SPONSORED_AGENCY_OBLIG_FFIEC" hidden="1">"c12780"</definedName>
    <definedName name="IQ_US_TREASURY_SEC_AVAIL_SALE_FFIEC" hidden="1">"c12792"</definedName>
    <definedName name="IQ_US_TREASURY_SEC_TRADING_DOM_FFIEC" hidden="1">"c12918"</definedName>
    <definedName name="IQ_US_TREASURY_SEC_TRADING_FFIEC" hidden="1">"c12813"</definedName>
    <definedName name="IQ_US_TREASURY_SECURITIES_FDIC" hidden="1">"c6298"</definedName>
    <definedName name="IQ_US_TREASURY_SECURITIES_FFIEC" hidden="1">"c12778"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ARIABLE_RATE_PREFERREDS_INT_SENSITIVITY_FFIEC" hidden="1">"c13096"</definedName>
    <definedName name="IQ_VC_REV_OPERATING_INC_FFIEC" hidden="1">"c13388"</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ENTURE_CAPITAL_REVENUE_FFIEC" hidden="1">"c13010"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VWAP" hidden="1">"c13514"</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IELD_FED_FUNDS_SOLD_FFIEC" hidden="1">"c13487"</definedName>
    <definedName name="IQ_YIELD_TRADING_ASSETS_FFIEC" hidden="1">"c13488"</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7">IndexInformation!$B$8</definedName>
    <definedName name="LanguageCode">IndexInformation!$B$38</definedName>
    <definedName name="LastCell" localSheetId="0">ImportantDisclosures!$A$22</definedName>
    <definedName name="LastDate" localSheetId="4">Report '[37]Report Summary'!$C$4</definedName>
    <definedName name="LastDate" localSheetId="5">Report '[37]Report Summary'!$C$4</definedName>
    <definedName name="LastDate" localSheetId="3">Report '[37]Report Summary'!$C$4</definedName>
    <definedName name="LastDate">Report '[37]Report Summary'!$C$4</definedName>
    <definedName name="LatestFiledQ">[23]summary!$J$11</definedName>
    <definedName name="LatestRpQ">[23]summary!$J$10</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mcount" hidden="1">1</definedName>
    <definedName name="Linking_1" localSheetId="3">ccGro!$A$2:$AO$33</definedName>
    <definedName name="Linking_13">RevBuild!$B$4:$CG$98</definedName>
    <definedName name="Linking_14">RevBuild!$B$4:$CA$98</definedName>
    <definedName name="Linking_15">'P&amp;L'!$B$5:$BU$53</definedName>
    <definedName name="Linking_16">RevBuild!$B$4:$BU$271</definedName>
    <definedName name="Linking_17">'P&amp;L'!$B$5:$CG$53</definedName>
    <definedName name="Linking_18">RevBuild!$B$3:$CM$176</definedName>
    <definedName name="Linking_19">'BalSht '!$B$3:$CM$46</definedName>
    <definedName name="Linking_2">'P&amp;L'!$A$5:$BO$53</definedName>
    <definedName name="Linking_20">'Cash Flow'!$B$3:$CM$53</definedName>
    <definedName name="Linking_22">'[26]XRAY-SIRO '!$A$2:$AC$77</definedName>
    <definedName name="Linking_23">'P&amp;L'!$B$5:$CA$53</definedName>
    <definedName name="Linking_25">#N/A</definedName>
    <definedName name="Linking_26">'P&amp;L'!$B$3:$CM$53</definedName>
    <definedName name="Linking_27">'P&amp;L'!$B$3:$CG$53</definedName>
    <definedName name="Linking_28">RevBuild!$B$3:$CG$98</definedName>
    <definedName name="Linking_29">RevBuild!$B$3:$CG$98</definedName>
    <definedName name="Linking_3">457.3067</definedName>
    <definedName name="Linking_30">RevBuild!$B$4:$BU$98</definedName>
    <definedName name="Linking_31">RevBuild!$B$3:$CM$159</definedName>
    <definedName name="Linking_32">'Cash Flow'!$B$3:$CM$59</definedName>
    <definedName name="Linking_33">ccGro!$A$4:$AW$17</definedName>
    <definedName name="Linking_35">RevBuild!$B$3:$CG$98</definedName>
    <definedName name="Linking_36">RevBuild!$B$4:$CG$98</definedName>
    <definedName name="Linking_38">'P&amp;L'!$B$5:$CM$53</definedName>
    <definedName name="Linking_39">RevBuild!$B$4:$CM$159</definedName>
    <definedName name="Linking_4">#N/A</definedName>
    <definedName name="Linking_40">ccGro!$A$4:$BA$33</definedName>
    <definedName name="Linking_Range_1" localSheetId="3">[38]DCF!$G$56:$Q$66</definedName>
    <definedName name="Linking_Range_1">'P&amp;L'!$B$3:$AQ$53</definedName>
    <definedName name="Linking_Range_10">'[38]P&amp;L'!$C$7:$CA$46</definedName>
    <definedName name="Linking_Range_12">'[38]Q Variance'!$D$7:$P$37</definedName>
    <definedName name="Linking_Range_13">'[38]Q Variance'!$D$7:$Q$37</definedName>
    <definedName name="Linking_Range_14" localSheetId="3">ccGro!$A$4:$X$17</definedName>
    <definedName name="Linking_Range_15" localSheetId="3">ccGro!$A$2:$Y$17</definedName>
    <definedName name="Linking_Range_15">'[38]Earnings Charts'!$Q$50:$Y$90</definedName>
    <definedName name="Linking_Range_16" localSheetId="3">ccGro!$A$4:$AC$17</definedName>
    <definedName name="Linking_Range_16">'[38]Earnings Charts'!$H$17:$I$38</definedName>
    <definedName name="Linking_Range_20" localSheetId="3">'[38]Earnings Charts'!$Q$50:$X$90</definedName>
    <definedName name="Linking_Range_21">'P&amp;L'!$B$3:$AX$53</definedName>
    <definedName name="Linking_Range_23">'[38]P&amp;L'!$C$7:$CA$60</definedName>
    <definedName name="Linking_Range_24" localSheetId="3">ccGro!$A$4:$Z$17</definedName>
    <definedName name="Linking_Range_25">'[38]P&amp;L'!$C$7:$BO$60</definedName>
    <definedName name="Linking_Range_26" localSheetId="3">ccGro!$A$2:$AA$17</definedName>
    <definedName name="Linking_Range_28">'P&amp;L'!$B$3:$AW$53</definedName>
    <definedName name="Linking_Range_29" localSheetId="3">ccGro!$A$4:$AA$17</definedName>
    <definedName name="Linking_Range_3" localSheetId="3">ccGro!$A$2:$W$17</definedName>
    <definedName name="Linking_Range_31" localSheetId="3">ccGro!$A$2:$AC$17</definedName>
    <definedName name="Linking_Range_33" localSheetId="3">'[38]Earnings Charts'!$A$1:$F$15</definedName>
    <definedName name="Linking_Range_33">'P&amp;L'!$B$3:$BC$53</definedName>
    <definedName name="Linking_Range_34" localSheetId="3">ccGro!$A$4:$AG$17</definedName>
    <definedName name="Linking_Range_38" localSheetId="3">ccGro!$A$2:$AF$17</definedName>
    <definedName name="Linking_Range_39" localSheetId="3">ccGro!$A$2:$AG$33</definedName>
    <definedName name="Linking_Range_43">'P&amp;L'!$B$3:$BI$53</definedName>
    <definedName name="Linking_Range_44" localSheetId="3">ccGro!$A$2:$AK$33</definedName>
    <definedName name="Linking_Range_46">'P&amp;L'!$B$5:$BI$29</definedName>
    <definedName name="Linking_Range_5" localSheetId="3">ccGro!$A$4:$W$17</definedName>
    <definedName name="Linking_Range_5">'[38]P&amp;L'!$C$7:$CA$70</definedName>
    <definedName name="Linking_Range_51">'P&amp;L'!$B$5:$BO$53</definedName>
    <definedName name="Linking_Range_52">'P&amp;L'!$B$5:$BO$29</definedName>
    <definedName name="Linking_Range_54" localSheetId="3">ccGro!$A$4:$AK$33</definedName>
    <definedName name="Linking_Range_55">RevBuild!$B$4:$BO$98</definedName>
    <definedName name="Linking_Range_6" localSheetId="3">ccGro!$A$2:$X$17</definedName>
    <definedName name="Linking_Range_60" localSheetId="4">'BalSht '!$B$5:$BO$49</definedName>
    <definedName name="Linking_Range_61" localSheetId="3">ccGro!$A$4:$AK$17</definedName>
    <definedName name="Linking_Range_61">RevBuild!$B$1:$BO$98</definedName>
    <definedName name="Linking_Range_62">ccGro!$A$4:$AK$33</definedName>
    <definedName name="Linking_Range_66" localSheetId="3">ccGro!$A$4:$AO$33</definedName>
    <definedName name="Linking_Range_66">RevBuild!$B$4:$BO$98</definedName>
    <definedName name="Linking_Range_67">'BalSht '!$B$5:$BO$83</definedName>
    <definedName name="Linking_Range_68">'P&amp;L'!$B$3:$CA$53</definedName>
    <definedName name="Linking_Range_69">RevBuild!$B$4:$CA$159</definedName>
    <definedName name="Linking_Range_70">ccGro!$A$4:$AW$33</definedName>
    <definedName name="Linking_Range_72">'BalSht '!$B$5:$CA$83</definedName>
    <definedName name="Linking_Text_1">'[38]Q Variance'!$D$8</definedName>
    <definedName name="Linking_Text_2">1383.6216</definedName>
    <definedName name="MacroVersion" localSheetId="7">IndexInformation!$B$1</definedName>
    <definedName name="millerpp">'[39]PMB AccDil Input'!$T$26</definedName>
    <definedName name="misc_val">[36]QTRLY!$HM$99:'[36]QTRLY'!$IU$100</definedName>
    <definedName name="ModelPrice" localSheetId="0">ImportantDisclosures!$A$14</definedName>
    <definedName name="MonitorCol">1</definedName>
    <definedName name="MonitorRow">1</definedName>
    <definedName name="mticker">'[40]fd shares'!$F$7</definedName>
    <definedName name="mult">[41]Calc!$D$5</definedName>
    <definedName name="Multiplier" localSheetId="7">IndexInformation!$B$35</definedName>
    <definedName name="multSecurities_L">[42]MultipleSecurities!$A$2:$A$17</definedName>
    <definedName name="n">[31]Inputs!$B$3</definedName>
    <definedName name="NAME">[43]INPUT!$A$13:$B$30</definedName>
    <definedName name="nbvc" localSheetId="3">{"Client Name or Project Name"}</definedName>
    <definedName name="nbvc">{"Client Name or Project Name"}</definedName>
    <definedName name="nbvcsdf" localSheetId="3" hidden="1">{"comp1",#N/A,FALSE,"COMPS";"footnotes",#N/A,FALSE,"COMPS"}</definedName>
    <definedName name="nbvcsdf" hidden="1">{"comp1",#N/A,FALSE,"COMPS";"footnotes",#N/A,FALSE,"COMPS"}</definedName>
    <definedName name="NetIncome" localSheetId="3">{"Client Name or Project Name"}</definedName>
    <definedName name="NetIncome" localSheetId="6">{"Client Name or Project Name"}</definedName>
    <definedName name="NetIncome">{"Client Name or Project Name"}</definedName>
    <definedName name="NEW_GW_LIFE">'[44]Trans Assump'!$J$29</definedName>
    <definedName name="NEW_GW_TAX">'[44]Trans Assump'!$J$28</definedName>
    <definedName name="newDCF" localSheetId="3">{"Client Name or Project Name"}</definedName>
    <definedName name="newDCF" localSheetId="6">{"Client Name or Project Name"}</definedName>
    <definedName name="newDCF">{"Client Name or Project Name"}</definedName>
    <definedName name="newname10" localSheetId="3" hidden="1">{"comp1",#N/A,FALSE,"COMPS";"footnotes",#N/A,FALSE,"COMPS"}</definedName>
    <definedName name="newname10" hidden="1">{"comp1",#N/A,FALSE,"COMPS";"footnotes",#N/A,FALSE,"COMPS"}</definedName>
    <definedName name="newname11" localSheetId="3" hidden="1">{#N/A,#N/A,TRUE,"Pro Forma";#N/A,#N/A,TRUE,"PF_Bal";#N/A,#N/A,TRUE,"PF_INC";#N/A,#N/A,TRUE,"CBE";#N/A,#N/A,TRUE,"SWK"}</definedName>
    <definedName name="newname11" hidden="1">{#N/A,#N/A,TRUE,"Pro Forma";#N/A,#N/A,TRUE,"PF_Bal";#N/A,#N/A,TRUE,"PF_INC";#N/A,#N/A,TRUE,"CBE";#N/A,#N/A,TRUE,"SWK"}</definedName>
    <definedName name="newname12" localSheetId="3" hidden="1">{"comp1",#N/A,FALSE,"COMPS";"footnotes",#N/A,FALSE,"COMPS"}</definedName>
    <definedName name="newname12" hidden="1">{"comp1",#N/A,FALSE,"COMPS";"footnotes",#N/A,FALSE,"COMPS"}</definedName>
    <definedName name="newname13" localSheetId="3" hidden="1">{#N/A,#N/A,FALSE,"Calc";#N/A,#N/A,FALSE,"Sensitivity";#N/A,#N/A,FALSE,"LT Earn.Dil.";#N/A,#N/A,FALSE,"Dil. AVP"}</definedName>
    <definedName name="newname13" hidden="1">{#N/A,#N/A,FALSE,"Calc";#N/A,#N/A,FALSE,"Sensitivity";#N/A,#N/A,FALSE,"LT Earn.Dil.";#N/A,#N/A,FALSE,"Dil. AVP"}</definedName>
    <definedName name="newname14" localSheetId="3">{9}</definedName>
    <definedName name="newname14" localSheetId="6">{9}</definedName>
    <definedName name="newname14">{9}</definedName>
    <definedName name="newname15" localSheetId="3" hidden="1">{#N/A,#N/A,TRUE,"Pro Forma";#N/A,#N/A,TRUE,"PF_Bal";#N/A,#N/A,TRUE,"PF_INC";#N/A,#N/A,TRUE,"CBE";#N/A,#N/A,TRUE,"SWK"}</definedName>
    <definedName name="newname15" hidden="1">{#N/A,#N/A,TRUE,"Pro Forma";#N/A,#N/A,TRUE,"PF_Bal";#N/A,#N/A,TRUE,"PF_INC";#N/A,#N/A,TRUE,"CBE";#N/A,#N/A,TRUE,"SWK"}</definedName>
    <definedName name="newname17" localSheetId="3" hidden="1">{"comp1",#N/A,FALSE,"COMPS";"footnotes",#N/A,FALSE,"COMPS"}</definedName>
    <definedName name="newname17" hidden="1">{"comp1",#N/A,FALSE,"COMPS";"footnotes",#N/A,FALSE,"COMPS"}</definedName>
    <definedName name="newname18" localSheetId="3">{9}</definedName>
    <definedName name="newname18" localSheetId="6">{9}</definedName>
    <definedName name="newname18">{9}</definedName>
    <definedName name="newname19" localSheetId="3">{9}</definedName>
    <definedName name="newname19" localSheetId="6">{9}</definedName>
    <definedName name="newname19">{9}</definedName>
    <definedName name="newname20" localSheetId="3">{"Client Name or Project Name"}</definedName>
    <definedName name="newname20" localSheetId="6">{"Client Name or Project Name"}</definedName>
    <definedName name="newname20">{"Client Name or Project Name"}</definedName>
    <definedName name="newname21" localSheetId="3" hidden="1">{"assumption cash",#N/A,TRUE,"Merger";"has gets cash",#N/A,TRUE,"Merger";"accretion dilution",#N/A,TRUE,"Merger";"comparison credit stats",#N/A,TRUE,"Merger";"pf credit stats",#N/A,TRUE,"Merger";"pf sheets",#N/A,TRUE,"Merger"}</definedName>
    <definedName name="newname21" hidden="1">{"assumption cash",#N/A,TRUE,"Merger";"has gets cash",#N/A,TRUE,"Merger";"accretion dilution",#N/A,TRUE,"Merger";"comparison credit stats",#N/A,TRUE,"Merger";"pf credit stats",#N/A,TRUE,"Merger";"pf sheets",#N/A,TRUE,"Merger"}</definedName>
    <definedName name="newname22" localSheetId="3">{9}</definedName>
    <definedName name="newname22" localSheetId="6">{9}</definedName>
    <definedName name="newname22">{9}</definedName>
    <definedName name="newname23" localSheetId="3" hidden="1">{"'Breakup 01 Euro'!$A$3:$I$30"}</definedName>
    <definedName name="newname23" localSheetId="6" hidden="1">{"'Breakup 01 Euro'!$A$3:$I$30"}</definedName>
    <definedName name="newname23" hidden="1">{"'Breakup 01 Euro'!$A$3:$I$30"}</definedName>
    <definedName name="newname24" localSheetId="3" hidden="1">{"casespecific",#N/A,FALSE,"Assumptions"}</definedName>
    <definedName name="newname24" hidden="1">{"casespecific",#N/A,FALSE,"Assumptions"}</definedName>
    <definedName name="newname25" hidden="1">39244.4711574074</definedName>
    <definedName name="newname26" localSheetId="3">{"Client Name or Project Name"}</definedName>
    <definedName name="newname26" localSheetId="6">{"Client Name or Project Name"}</definedName>
    <definedName name="newname26">{"Client Name or Project Name"}</definedName>
    <definedName name="newname28" localSheetId="3">{"Client Name or Project Name"}</definedName>
    <definedName name="newname28" localSheetId="6">{"Client Name or Project Name"}</definedName>
    <definedName name="newname28">{"Client Name or Project Name"}</definedName>
    <definedName name="newname29" localSheetId="3">{"Client Name or Project Name"}</definedName>
    <definedName name="newname29" localSheetId="6">{"Client Name or Project Name"}</definedName>
    <definedName name="newname29">{"Client Name or Project Name"}</definedName>
    <definedName name="newname30" localSheetId="3">{"Client Name or Project Name"}</definedName>
    <definedName name="newname30" localSheetId="6">{"Client Name or Project Name"}</definedName>
    <definedName name="newname30">{"Client Name or Project Name"}</definedName>
    <definedName name="newname31" localSheetId="3">{126}</definedName>
    <definedName name="newname31" localSheetId="6">{126}</definedName>
    <definedName name="newname31">{126}</definedName>
    <definedName name="newname32" localSheetId="3">{1}</definedName>
    <definedName name="newname32" localSheetId="6">{1}</definedName>
    <definedName name="newname32">{1}</definedName>
    <definedName name="newname33" localSheetId="3">{0}</definedName>
    <definedName name="newname33" localSheetId="6">{0}</definedName>
    <definedName name="newname33">{0}</definedName>
    <definedName name="newname34" localSheetId="3">{126}</definedName>
    <definedName name="newname34" localSheetId="6">{126}</definedName>
    <definedName name="newname34">{126}</definedName>
    <definedName name="newname35" localSheetId="3">{"Client Name or Project Name"}</definedName>
    <definedName name="newname35" localSheetId="6">{"Client Name or Project Name"}</definedName>
    <definedName name="newname35">{"Client Name or Project Name"}</definedName>
    <definedName name="newname36" localSheetId="3">{"Client Name or Project Name"}</definedName>
    <definedName name="newname36" localSheetId="6">{"Client Name or Project Name"}</definedName>
    <definedName name="newname36">{"Client Name or Project Name"}</definedName>
    <definedName name="newname37" localSheetId="3">{"Client Name or Project Name"}</definedName>
    <definedName name="newname37" localSheetId="6">{"Client Name or Project Name"}</definedName>
    <definedName name="newname37">{"Client Name or Project Name"}</definedName>
    <definedName name="newname38" localSheetId="3">{"Client Name or Project Name"}</definedName>
    <definedName name="newname38" localSheetId="6">{"Client Name or Project Name"}</definedName>
    <definedName name="newname38">{"Client Name or Project Name"}</definedName>
    <definedName name="newname39" localSheetId="3">{"Client Name or Project Name"}</definedName>
    <definedName name="newname39" localSheetId="6">{"Client Name or Project Name"}</definedName>
    <definedName name="newname39">{"Client Name or Project Name"}</definedName>
    <definedName name="newname40" localSheetId="3">{"Client Name or Project Name"}</definedName>
    <definedName name="newname40" localSheetId="6">{"Client Name or Project Name"}</definedName>
    <definedName name="newname40">{"Client Name or Project Name"}</definedName>
    <definedName name="newname41" localSheetId="3">{"Client Name or Project Name"}</definedName>
    <definedName name="newname41" localSheetId="6">{"Client Name or Project Name"}</definedName>
    <definedName name="newname41">{"Client Name or Project Name"}</definedName>
    <definedName name="newname42" localSheetId="3">{"Client Name or Project Name"}</definedName>
    <definedName name="newname42" localSheetId="6">{"Client Name or Project Name"}</definedName>
    <definedName name="newname42">{"Client Name or Project Name"}</definedName>
    <definedName name="newname43" localSheetId="3">{"Client Name or Project Name"}</definedName>
    <definedName name="newname43" localSheetId="6">{"Client Name or Project Name"}</definedName>
    <definedName name="newname43">{"Client Name or Project Name"}</definedName>
    <definedName name="newname44" localSheetId="3" hidden="1">{"Client is",#N/A,FALSE,"Client"}</definedName>
    <definedName name="newname44" hidden="1">{"Client is",#N/A,FALSE,"Client"}</definedName>
    <definedName name="newname45" localSheetId="3" hidden="1">{TRUE,TRUE,-1.25,-15.5,456.75,279.75,FALSE,FALSE,TRUE,TRUE,0,1,18,1,199,6,3,4,TRUE,TRUE,3,TRUE,1,TRUE,100,"Swvu.cash.","ACwvu.cash.",1,FALSE,FALSE,0.511811023622047,0.511811023622047,0.511811023622047,0.511811023622047,1,"","",FALSE,FALSE,FALSE,FALSE,1,#N/A,1,1,#DIV/0!,FALSE,"Rwvu.cash.",#N/A,FALSE,FALSE}</definedName>
    <definedName name="newname45" hidden="1">{TRUE,TRUE,-1.25,-15.5,456.75,279.75,FALSE,FALSE,TRUE,TRUE,0,1,18,1,199,6,3,4,TRUE,TRUE,3,TRUE,1,TRUE,100,"Swvu.cash.","ACwvu.cash.",1,FALSE,FALSE,0.511811023622047,0.511811023622047,0.511811023622047,0.511811023622047,1,"","",FALSE,FALSE,FALSE,FALSE,1,#N/A,1,1,#DIV/0!,FALSE,"Rwvu.cash.",#N/A,FALSE,FALSE}</definedName>
    <definedName name="newname46"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newname46" hidden="1">{TRUE,TRUE,-1.25,-15.5,456.75,279.75,FALSE,FALSE,TRUE,TRUE,0,1,21,1,127,6,3,4,TRUE,TRUE,3,TRUE,1,TRUE,100,"Swvu.profits.","ACwvu.profits.",1,FALSE,FALSE,0.511811023622047,0.511811023622047,0.511811023622047,0.511811023622047,1,"","",FALSE,FALSE,FALSE,FALSE,1,#N/A,1,1,#DIV/0!,FALSE,"Rwvu.profits.",#N/A,FALSE,FALSE}</definedName>
    <definedName name="newname47"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newname47" hidden="1">{TRUE,TRUE,-1.25,-15.5,456.75,279.75,FALSE,FALSE,TRUE,TRUE,0,1,8,1,4,6,3,4,TRUE,TRUE,3,TRUE,1,TRUE,100,"Swvu.turnover.","ACwvu.turnover.",1,FALSE,FALSE,0.511811023622047,0.511811023622047,0.511811023622047,0.511811023622047,1,"","",FALSE,FALSE,FALSE,FALSE,1,#N/A,1,1,#DIV/0!,FALSE,"Rwvu.turnover.",#N/A,FALSE,FALSE}</definedName>
    <definedName name="newProjectName" localSheetId="3">{"Client Name or Project Name"}</definedName>
    <definedName name="newProjectName" localSheetId="6">{"Client Name or Project Name"}</definedName>
    <definedName name="newProjectName">{"Client Name or Project Name"}</definedName>
    <definedName name="NewProjName" localSheetId="3">{"Client Name or Project Name"}</definedName>
    <definedName name="NewProjName" localSheetId="6">{"Client Name or Project Name"}</definedName>
    <definedName name="NewProjName">{"Client Name or Project Name"}</definedName>
    <definedName name="newstone" localSheetId="3">{"Client Name or Project Name"}</definedName>
    <definedName name="newstone" localSheetId="6">{"Client Name or Project Name"}</definedName>
    <definedName name="newstone">{"Client Name or Project Name"}</definedName>
    <definedName name="NextYearEPS" localSheetId="7">IndexInformation!$B$13</definedName>
    <definedName name="NextYearTotalRevenue" localSheetId="7">IndexInformation!$B$12</definedName>
    <definedName name="NextYearTotalRevenueActual" localSheetId="7">IndexInformation!$B$33</definedName>
    <definedName name="nfnhjsfnhsfns" localSheetId="3" hidden="1">{0,#N/A,FALSE,0;0,#N/A,FALSE,0}</definedName>
    <definedName name="nfnhjsfnhsfns" hidden="1">{0,#N/A,FALSE,0;0,#N/A,FALSE,0}</definedName>
    <definedName name="nghmg" localSheetId="3" hidden="1">{0,#N/A,FALSE,0;0,#N/A,FALSE,0}</definedName>
    <definedName name="nghmg" hidden="1">{0,#N/A,FALSE,0;0,#N/A,FALSE,0}</definedName>
    <definedName name="ni" localSheetId="3">{"Client Name or Project Name"}</definedName>
    <definedName name="ni">{"Client Name or Project Name"}</definedName>
    <definedName name="nmnmm" localSheetId="3" hidden="1">{#N/A,#N/A,FALSE,"Index";"Stmts_Qtrs",#N/A,FALSE,"Summary";"Stmts_24 mo",#N/A,FALSE,"Summary";"Summary_24",#N/A,FALSE,"Revenue";"Month_24",#N/A,FALSE,"Engineering";"Month_24",#N/A,FALSE,"Marketing";"Month_24",#N/A,FALSE,"G &amp; A";"Month_24",#N/A,FALSE,"Manufacturing"}</definedName>
    <definedName name="nmnmm" hidden="1">{#N/A,#N/A,FALSE,"Index";"Stmts_Qtrs",#N/A,FALSE,"Summary";"Stmts_24 mo",#N/A,FALSE,"Summary";"Summary_24",#N/A,FALSE,"Revenue";"Month_24",#N/A,FALSE,"Engineering";"Month_24",#N/A,FALSE,"Marketing";"Month_24",#N/A,FALSE,"G &amp; A";"Month_24",#N/A,FALSE,"Manufacturing"}</definedName>
    <definedName name="nmnmm1" localSheetId="3"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NO_YEARS2">'[45]DCF Inputs'!$H$19</definedName>
    <definedName name="NoIdeaWhatToDo" localSheetId="3">{"Client Name or Project Name"}</definedName>
    <definedName name="NoIdeaWhatToDo" localSheetId="6">{"Client Name or Project Name"}</definedName>
    <definedName name="NoIdeaWhatToDo">{"Client Name or Project Name"}</definedName>
    <definedName name="Normalized_Income_Statement">"IS_Annual"</definedName>
    <definedName name="num" localSheetId="3">{126}</definedName>
    <definedName name="num" localSheetId="6">{126}</definedName>
    <definedName name="num">{126}</definedName>
    <definedName name="NumCUSIP" localSheetId="3">{1}</definedName>
    <definedName name="NumCUSIP" localSheetId="6">{1}</definedName>
    <definedName name="NumCUSIP">{1}</definedName>
    <definedName name="NumCUSIPMissing" localSheetId="3">{0}</definedName>
    <definedName name="NumCUSIPMissing" localSheetId="6">{0}</definedName>
    <definedName name="NumCUSIPMissing">{0}</definedName>
    <definedName name="NumInst" localSheetId="3">{126}</definedName>
    <definedName name="NumInst" localSheetId="6">{126}</definedName>
    <definedName name="NumInst">{126}</definedName>
    <definedName name="NVCURR">[46]I!$B$1:$U$51</definedName>
    <definedName name="nyt">'[47]Control Page'!$C$7</definedName>
    <definedName name="ObjectType">IndexInformation!$B$37</definedName>
    <definedName name="offer">[20]Trans!$C$17</definedName>
    <definedName name="oldlscase">[48]Control!$E$33</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date">'[40]fd shares'!$L$9</definedName>
    <definedName name="OtherExEquityIncome">0</definedName>
    <definedName name="OtherExGainOnSale">0</definedName>
    <definedName name="OtherExInterestIncome">0</definedName>
    <definedName name="OtherExMinorityInterest">0</definedName>
    <definedName name="OtherExTotal">0</definedName>
    <definedName name="over_15_years">0.1</definedName>
    <definedName name="P">'[40]fd shares'!$K$14</definedName>
    <definedName name="PANA" localSheetId="8">ModPubIndex!$A$11</definedName>
    <definedName name="PathName" localSheetId="7">IndexInformation!$B$25</definedName>
    <definedName name="percentcash">'[49]Merger Inputs'!$H$32</definedName>
    <definedName name="PF_BS">'[13]Pro Forma BS'!$A$2:$Q$41</definedName>
    <definedName name="PF_BS_Proj">'[13]ProForma Financials'!$A$123:$K$162</definedName>
    <definedName name="PF_CF">'[13]ProForma Financials'!$A$67:$K$120</definedName>
    <definedName name="pfma_shares">[35]Calcs!$O$46</definedName>
    <definedName name="pfshares">[20]Calcs!$G$45</definedName>
    <definedName name="PHIGH">'[40]fd shares'!$K$10</definedName>
    <definedName name="PLOW">'[40]fd shares'!$K$11</definedName>
    <definedName name="poiuy" localSheetId="3">{9}</definedName>
    <definedName name="poiuy">{9}</definedName>
    <definedName name="pooling">[35]transinputs!$T$35</definedName>
    <definedName name="PPP" localSheetId="3">{"Client Name or Project Name"}</definedName>
    <definedName name="PPP" localSheetId="6">{"Client Name or Project Name"}</definedName>
    <definedName name="PPP">{"Client Name or Project Name"}</definedName>
    <definedName name="Premium1">[50]AD!$T$18</definedName>
    <definedName name="price_acquiror">[51]Inputs!$L$31</definedName>
    <definedName name="price_sw">[52]LBO!$Y$8</definedName>
    <definedName name="PRICE2">'[53]Hist Inputs'!$G$41</definedName>
    <definedName name="PrimaryShares">[54]Earnings!$P$50</definedName>
    <definedName name="_xlnm.Print_Area" localSheetId="3">ccGro!$A$1:$AK$106</definedName>
    <definedName name="_xlnm.Print_Area" localSheetId="2">RevBuild!$A$1:$CN$277</definedName>
    <definedName name="_xlnm.Print_Area">"Formula removed, name can be deleted."</definedName>
    <definedName name="Print_DCF" localSheetId="4">[55]!Print_DCF</definedName>
    <definedName name="Print_DCF" localSheetId="5">[55]!Print_DCF</definedName>
    <definedName name="Print_DCF">[55]!Print_DCF</definedName>
    <definedName name="Print_HardRock" localSheetId="4">[56]!Print_HardRock</definedName>
    <definedName name="Print_HardRock" localSheetId="5">[56]!Print_HardRock</definedName>
    <definedName name="Print_HardRock">[56]!Print_HardRock</definedName>
    <definedName name="Print_ibt" localSheetId="4">[57]!Print_ibt</definedName>
    <definedName name="Print_ibt" localSheetId="5">[57]!Print_ibt</definedName>
    <definedName name="Print_ibt">[57]!Print_ibt</definedName>
    <definedName name="Print_image" localSheetId="4">[57]!Print_image</definedName>
    <definedName name="Print_image" localSheetId="5">[57]!Print_image</definedName>
    <definedName name="Print_image">[57]!Print_image</definedName>
    <definedName name="_xlnm.Print_Titles">"Formula removed, name can be deleted."</definedName>
    <definedName name="Print_valmat" localSheetId="4">[57]!Print_valmat</definedName>
    <definedName name="Print_valmat" localSheetId="5">[57]!Print_valmat</definedName>
    <definedName name="Print_valmat">[57]!Print_valmat</definedName>
    <definedName name="Print_Valmax" localSheetId="4">[58]!Print_Valmax</definedName>
    <definedName name="Print_Valmax" localSheetId="5">[58]!Print_Valmax</definedName>
    <definedName name="Print_Valmax">[58]!Print_Valmax</definedName>
    <definedName name="print1" localSheetId="3" hidden="1">{#N/A,#N/A,FALSE,"Index";"Stmts_Qtrs",#N/A,FALSE,"Summary";"Stmts_24 mo",#N/A,FALSE,"Summary";"Summary_24",#N/A,FALSE,"Revenue";"Month_24",#N/A,FALSE,"Engineering";"Month_24",#N/A,FALSE,"Marketing";"Month_24",#N/A,FALSE,"G &amp; A";"Month_24",#N/A,FALSE,"Manufacturing"}</definedName>
    <definedName name="print1" hidden="1">{#N/A,#N/A,FALSE,"Index";"Stmts_Qtrs",#N/A,FALSE,"Summary";"Stmts_24 mo",#N/A,FALSE,"Summary";"Summary_24",#N/A,FALSE,"Revenue";"Month_24",#N/A,FALSE,"Engineering";"Month_24",#N/A,FALSE,"Marketing";"Month_24",#N/A,FALSE,"G &amp; A";"Month_24",#N/A,FALSE,"Manufacturing"}</definedName>
    <definedName name="PrintModelReports" localSheetId="4">[59]!PrintModelReports</definedName>
    <definedName name="PrintModelReports" localSheetId="5">[59]!PrintModelReports</definedName>
    <definedName name="PrintModelReports">[59]!PrintModelReports</definedName>
    <definedName name="PrintPreviewModelReports" localSheetId="4">[59]!PrintPreviewModelReports</definedName>
    <definedName name="PrintPreviewModelReports" localSheetId="5">[59]!PrintPreviewModelReports</definedName>
    <definedName name="PrintPreviewModelReports">[59]!PrintPreviewModelReports</definedName>
    <definedName name="PROCEEDS">'[34]Hist Inputs'!$G$39</definedName>
    <definedName name="PROCEEDS2">'[53]Hist Inputs'!$G$39</definedName>
    <definedName name="PRODUCT" localSheetId="8">ModPubIndex!$A$6</definedName>
    <definedName name="proforma_taxrate">'[12]Assumptions &amp; Cases'!$F$13</definedName>
    <definedName name="project">[20]Trans!$I$23</definedName>
    <definedName name="ProjectName" localSheetId="3">{"Client Name or Project Name"}</definedName>
    <definedName name="ProjectName" localSheetId="6">{"Client Name or Project Name"}</definedName>
    <definedName name="ProjectName">{"Client Name or Project Name"}</definedName>
    <definedName name="ProjectName_1" localSheetId="3">{"Client Name or Project Name"}</definedName>
    <definedName name="ProjectName_1">{"Client Name or Project Name"}</definedName>
    <definedName name="ProjectName_2" localSheetId="3">{"Client Name or Project Name"}</definedName>
    <definedName name="ProjectName_2">{"Client Name or Project Name"}</definedName>
    <definedName name="ProjectName_Options" localSheetId="3">{"Client Name or Project Name"}</definedName>
    <definedName name="ProjectName_Options" localSheetId="6">{"Client Name or Project Name"}</definedName>
    <definedName name="ProjectName_Options">{"Client Name or Project Name"}</definedName>
    <definedName name="ProjectName2" localSheetId="3">{"Client Name or Project Name"}</definedName>
    <definedName name="ProjectName2" localSheetId="6">{"Client Name or Project Name"}</definedName>
    <definedName name="ProjectName2">{"Client Name or Project Name"}</definedName>
    <definedName name="projectnamez" localSheetId="3">{"Client Name or Project Name"}</definedName>
    <definedName name="projectnamez" localSheetId="6">{"Client Name or Project Name"}</definedName>
    <definedName name="projectnamez">{"Client Name or Project Name"}</definedName>
    <definedName name="pronames" localSheetId="3">{"Client Name or Project Name"}</definedName>
    <definedName name="pronames">{"Client Name or Project Name"}</definedName>
    <definedName name="PSYM" localSheetId="8">ModPubIndex!$A$4</definedName>
    <definedName name="PUB_FileID" hidden="1">"L10003787.xls"</definedName>
    <definedName name="PUB_UserID" hidden="1">"MAYERX"</definedName>
    <definedName name="PublishDate" localSheetId="7">IndexInformation!$B$2</definedName>
    <definedName name="qqq" localSheetId="3">{9}</definedName>
    <definedName name="qqq" localSheetId="6">{9}</definedName>
    <definedName name="qqq">{9}</definedName>
    <definedName name="qweqwerqwer" localSheetId="3">{"Client Name or Project Name"}</definedName>
    <definedName name="qweqwerqwer">{"Client Name or Project Name"}</definedName>
    <definedName name="qwergfasd" localSheetId="3">{9}</definedName>
    <definedName name="qwergfasd">{9}</definedName>
    <definedName name="r_fd_shares">'[40]fd shares'!$H$11</definedName>
    <definedName name="Rating" localSheetId="7">IndexInformation!$B$9</definedName>
    <definedName name="RatingsDefined" localSheetId="0">ImportantDisclosures!$A$21</definedName>
    <definedName name="RatingsDefs" localSheetId="0">ImportantDisclosures!#REF!</definedName>
    <definedName name="receive">[60]Sheet3!$T$13</definedName>
    <definedName name="RegACDisclosure" localSheetId="0">ImportantDisclosures!#REF!</definedName>
    <definedName name="rentper">[10]Switches!$AE$8</definedName>
    <definedName name="rentx">[61]Switches!$D$53</definedName>
    <definedName name="RepairedName0157" hidden="1">"iQShowAnnual"</definedName>
    <definedName name="RepairedName0514" hidden="1">"iQShowAnnual"</definedName>
    <definedName name="RepairedName0679" hidden="1">"iQShowAnnual"</definedName>
    <definedName name="RepairedName1535" hidden="1">"iQShowAnnual"</definedName>
    <definedName name="Repurchase">[62]Assumptions!$C$20</definedName>
    <definedName name="ResearchTopic" localSheetId="7">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EVERSE_SWITCH">[63]Transinputs!$AC$20</definedName>
    <definedName name="RIC" localSheetId="7">IndexInformation!$B$21</definedName>
    <definedName name="RiskAutoStopPercChange">1.5</definedName>
    <definedName name="RiskCollectDistributionSamples">2</definedName>
    <definedName name="RiskExcelReportsGoInNewWorkbook">TRUE</definedName>
    <definedName name="RiskExcelReportsToGenerate">1024</definedName>
    <definedName name="RiskFixedSeed">923</definedName>
    <definedName name="RiskGenerateExcelReportsAtEndOfSimulation">FALSE</definedName>
    <definedName name="RiskHasSettings">TRUE</definedName>
    <definedName name="RiskMinimizeOnStart">TRUE</definedName>
    <definedName name="RiskMonitorConvergence">FALSE</definedName>
    <definedName name="RiskNumIterations">10000</definedName>
    <definedName name="RiskNumSimulations">1</definedName>
    <definedName name="RiskPauseOnError">FALSE</definedName>
    <definedName name="RiskRealTimeResults">FALSE</definedName>
    <definedName name="RiskReportGraphFormat">0</definedName>
    <definedName name="RiskResultsUpdateFreq">100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1</definedName>
    <definedName name="RiskTemplateSheetName">"myTemplate"</definedName>
    <definedName name="RiskUpdateDisplay">FALSE</definedName>
    <definedName name="RiskUseDifferentSeedForEachSim">FALSE</definedName>
    <definedName name="RiskUseFixedSeed">TRUE</definedName>
    <definedName name="RiskUseMultipleCPUs">FALSE</definedName>
    <definedName name="rticker">'[40]fd shares'!$H$7</definedName>
    <definedName name="run_no">'[64]Trans Assump'!$C$19</definedName>
    <definedName name="Sdebt1">[65]Inputs!$AC$59</definedName>
    <definedName name="Sdebt2">[65]Inputs!$AC$60</definedName>
    <definedName name="Sdebt3">[65]Inputs!$AC$61</definedName>
    <definedName name="sdf" localSheetId="3">{"Client Name or Project Name"}</definedName>
    <definedName name="sdf">{"Client Name or Project Name"}</definedName>
    <definedName name="sdfsdfg" localSheetId="3" hidden="1">{#N/A,#N/A,TRUE,"Pro Forma";#N/A,#N/A,TRUE,"PF_Bal";#N/A,#N/A,TRUE,"PF_INC";#N/A,#N/A,TRUE,"CBE";#N/A,#N/A,TRUE,"SWK"}</definedName>
    <definedName name="sdfsdfg" hidden="1">{#N/A,#N/A,TRUE,"Pro Forma";#N/A,#N/A,TRUE,"PF_Bal";#N/A,#N/A,TRUE,"PF_INC";#N/A,#N/A,TRUE,"CBE";#N/A,#N/A,TRUE,"SWK"}</definedName>
    <definedName name="SecondROI" localSheetId="3">{"Client Name or Project Name"}</definedName>
    <definedName name="SecondROI" localSheetId="6">{"Client Name or Project Name"}</definedName>
    <definedName name="SecondROI">{"Client Name or Project Name"}</definedName>
    <definedName name="SECSettlement" localSheetId="0">ImportantDisclosures!#REF!</definedName>
    <definedName name="SEDOL" localSheetId="7">IndexInformation!$B$22</definedName>
    <definedName name="sellman">[66]Assump!$P$6</definedName>
    <definedName name="sencount" hidden="1">2</definedName>
    <definedName name="sgfgwer" localSheetId="3">{9}</definedName>
    <definedName name="sgfgwer">{9}</definedName>
    <definedName name="sghdfsdfg" localSheetId="3">{9}</definedName>
    <definedName name="sghdfsdfg">{9}</definedName>
    <definedName name="SharePrice">[67]Summary!$K$10</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0">ImportantDisclosures!$A$19</definedName>
    <definedName name="Space">"          "</definedName>
    <definedName name="Spaces">"      "</definedName>
    <definedName name="Ssyn">[65]Inputs!$AA$95</definedName>
    <definedName name="stage">[68]Assumptions!$E$51:$E$60</definedName>
    <definedName name="Stand1" localSheetId="3">{"Client Name or Project Name"}</definedName>
    <definedName name="Stand1" localSheetId="6">{"Client Name or Project Name"}</definedName>
    <definedName name="Stand1">{"Client Name or Project Name"}</definedName>
    <definedName name="state" localSheetId="3">{"Client Name or Project Name"}</definedName>
    <definedName name="state" localSheetId="6">{"Client Name or Project Name"}</definedName>
    <definedName name="state">{"Client Name or Project Name"}</definedName>
    <definedName name="States" localSheetId="3">{"Client Name or Project Name"}</definedName>
    <definedName name="States" localSheetId="6">{"Client Name or Project Name"}</definedName>
    <definedName name="States">{"Client Name or Project Name"}</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[62]Assumptions!$C$15</definedName>
    <definedName name="StockRating" localSheetId="0">ImportantDisclosures!$A$11</definedName>
    <definedName name="SubjectCode" localSheetId="7">IndexInformation!$B$6</definedName>
    <definedName name="SubmitterUserId">IndexInformation!$B$39</definedName>
    <definedName name="SUPPRESSED" localSheetId="8">ModPubIndex!$A$13</definedName>
    <definedName name="SYNERGY_2">[22]Trans_Inputs!$J$41</definedName>
    <definedName name="SYNERGY_4">[22]Trans_Inputs!$N$41</definedName>
    <definedName name="synergy_value">[35]Main_value!$Q$16</definedName>
    <definedName name="SYNON">'[34]DCF Inputs'!$O$20</definedName>
    <definedName name="Table_16">"GENEYE"</definedName>
    <definedName name="Tar">[69]Inputs!$K$9</definedName>
    <definedName name="tar_ownership">'[70]Merger Inputs'!$L$21</definedName>
    <definedName name="tar_price">[12]Selections!$J$11</definedName>
    <definedName name="Tarceva.new" localSheetId="3">{"Client Name or Project Name"}</definedName>
    <definedName name="Tarceva.new">{"Client Name or Project Name"}</definedName>
    <definedName name="Targ52High">[71]Input!$K$63</definedName>
    <definedName name="Targ52Low">[71]Input!$K$64</definedName>
    <definedName name="TargCalEPS1">[71]Input!$K$68</definedName>
    <definedName name="TargCalEPS3">[71]Input!$K$70</definedName>
    <definedName name="target_name">[11]Inputs!$B$3</definedName>
    <definedName name="TARGET_SHPRICE">[22]Target_Sum!$Q$22</definedName>
    <definedName name="TargetName">'[54]Control Page'!$C$5</definedName>
    <definedName name="TargetPrice" localSheetId="0">ImportantDisclosures!$A$15</definedName>
    <definedName name="tarname">'[20]Company Inputs'!$C$3</definedName>
    <definedName name="TAROPTIONS">[72]inputs!$AF$49</definedName>
    <definedName name="tarprice">'[20]Company Inputs'!$C$41</definedName>
    <definedName name="tarshares">'[20]Company Inputs'!$C$43</definedName>
    <definedName name="TARSHS">[73]Target!$P$23</definedName>
    <definedName name="tax">'[20]Company Inputs'!$B$39</definedName>
    <definedName name="tax_benefit_rate">0.34</definedName>
    <definedName name="TemplateRegion">IndexInformation!$B$36</definedName>
    <definedName name="Ticker" localSheetId="0">ImportantDisclosures!$A$10</definedName>
    <definedName name="ticker">OFFSET('[74]Exclusion List'!$A$1,1,0,COUNTA('[74]Exclusion List'!$A$1:$A$65536)-1,1)</definedName>
    <definedName name="TickerRegion">IndexInformation!$B$41</definedName>
    <definedName name="Tickers" localSheetId="7">IndexInformation!$B$19</definedName>
    <definedName name="tones" localSheetId="3">{"Client Name or Project Name"}</definedName>
    <definedName name="tones">{"Client Name or Project Name"}</definedName>
    <definedName name="trc_XLS_DATASHEET_ProtectDate">35417.7656018519</definedName>
    <definedName name="twtrqr" localSheetId="3" hidden="1">{#N/A,#N/A,FALSE,"Calc";#N/A,#N/A,FALSE,"Sensitivity";#N/A,#N/A,FALSE,"LT Earn.Dil.";#N/A,#N/A,FALSE,"Dil. AVP"}</definedName>
    <definedName name="twtrqr" hidden="1">{#N/A,#N/A,FALSE,"Calc";#N/A,#N/A,FALSE,"Sensitivity";#N/A,#N/A,FALSE,"LT Earn.Dil.";#N/A,#N/A,FALSE,"Dil. AVP"}</definedName>
    <definedName name="tygreghdh" localSheetId="3" hidden="1">{"casespecific",#N/A,FALSE,"Assumptions"}</definedName>
    <definedName name="tygreghdh" hidden="1">{"casespecific",#N/A,FALSE,"Assumptions"}</definedName>
    <definedName name="Update_This" localSheetId="4">[30]!Update_This</definedName>
    <definedName name="Update_This" localSheetId="5">[30]!Update_This</definedName>
    <definedName name="Update_This">[30]!Update_This</definedName>
    <definedName name="UpdateReason" localSheetId="7">IndexInformation!$B$17</definedName>
    <definedName name="USRegDisclosures" localSheetId="0">ImportantDisclosures!#REF!</definedName>
    <definedName name="Validation">"MAM"</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ertwertwert" localSheetId="3" hidden="1">{"assumption cash",#N/A,TRUE,"Merger";"has gets cash",#N/A,TRUE,"Merger";"accretion dilution",#N/A,TRUE,"Merger";"comparison credit stats",#N/A,TRUE,"Merger";"pf credit stats",#N/A,TRUE,"Merger";"pf sheets",#N/A,TRUE,"Merger"}</definedName>
    <definedName name="wertwertwert" hidden="1">{"assumption cash",#N/A,TRUE,"Merger";"has gets cash",#N/A,TRUE,"Merger";"accretion dilution",#N/A,TRUE,"Merger";"comparison credit stats",#N/A,TRUE,"Merger";"pf credit stats",#N/A,TRUE,"Merger";"pf sheets",#N/A,TRUE,"Merger"}</definedName>
    <definedName name="wrn.Complete." localSheetId="3"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Executive._.Summary." localSheetId="3"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Executive._.Summary."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Graphs." localSheetId="3" hidden="1">{#N/A,#N/A,FALSE,"1-1 Vol Graph";#N/A,#N/A,FALSE,"1-2 Approve App Graph";#N/A,#N/A,FALSE,"6-1 Email Graph";#N/A,#N/A,FALSE,"6-2 Chat Graph";#N/A,#N/A,FALSE,"6-3 Abandoned Graph";#N/A,#N/A,FALSE,"6-4 30sec Graph";#N/A,#N/A,FALSE,"6_5TotalCalls"}</definedName>
    <definedName name="wrn.Graphs." hidden="1">{#N/A,#N/A,FALSE,"1-1 Vol Graph";#N/A,#N/A,FALSE,"1-2 Approve App Graph";#N/A,#N/A,FALSE,"6-1 Email Graph";#N/A,#N/A,FALSE,"6-2 Chat Graph";#N/A,#N/A,FALSE,"6-3 Abandoned Graph";#N/A,#N/A,FALSE,"6-4 30sec Graph";#N/A,#N/A,FALSE,"6_5TotalCalls"}</definedName>
    <definedName name="wrn.Industry.xls." localSheetId="3" hidden="1">{#N/A,#N/A,FALSE,"Earnings";#N/A,#N/A,FALSE,"Overview";#N/A,#N/A,FALSE,"Summary";#N/A,#N/A,FALSE,"Summary II";#N/A,#N/A,FALSE,"R&amp;D";#N/A,#N/A,FALSE,"R&amp;D Forecast";#N/A,#N/A,FALSE,"Tax Adj";#N/A,#N/A,FALSE,"Goodwill";#N/A,#N/A,FALSE,"FX ";#N/A,#N/A,FALSE,"Consolidation";#N/A,#N/A,FALSE,"Provisions"}</definedName>
    <definedName name="wrn.Industry.xls." hidden="1">{#N/A,#N/A,FALSE,"Earnings";#N/A,#N/A,FALSE,"Overview";#N/A,#N/A,FALSE,"Summary";#N/A,#N/A,FALSE,"Summary II";#N/A,#N/A,FALSE,"R&amp;D";#N/A,#N/A,FALSE,"R&amp;D Forecast";#N/A,#N/A,FALSE,"Tax Adj";#N/A,#N/A,FALSE,"Goodwill";#N/A,#N/A,FALSE,"FX ";#N/A,#N/A,FALSE,"Consolidation";#N/A,#N/A,FALSE,"Provisions"}</definedName>
    <definedName name="wrn.NOVARTIS._.MODELS." localSheetId="3" hidden="1">{"QTRINC",#N/A,FALSE,"US FORMAT - P&amp;L";"MARGIN",#N/A,FALSE,"US FORMAT-MARGIN";"SALES1",#N/A,FALSE,"US FORMAT - SALES";"SALES2",#N/A,FALSE,"US FORMAT - SALES";"SALES3",#N/A,FALSE,"US FORMAT - SALES";"SALES4",#N/A,FALSE,"US FORMAT - SALES";"SALES5",#N/A,FALSE,"US FORMAT - SALES"}</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rint._.24." localSheetId="3" hidden="1">{#N/A,#N/A,FALSE,"Index";"Stmts_Qtrs",#N/A,FALSE,"Summary";"Stmts_24 mo",#N/A,FALSE,"Summary";"Summary_24",#N/A,FALSE,"Revenue";"Month_24",#N/A,FALSE,"Engineering";"Month_24",#N/A,FALSE,"Marketing";"Month_24",#N/A,FALSE,"G &amp; A";"Month_24",#N/A,FALSE,"Manufacturing"}</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Reg._.Printer." localSheetId="3"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rn.Reg._.Printer."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vu.cash." localSheetId="3" hidden="1">{TRUE,TRUE,-1.25,-15.5,456.75,279.75,FALSE,FALSE,TRUE,TRUE,0,1,18,1,199,6,3,4,TRUE,TRUE,3,TRUE,1,TRUE,100,"Swvu.cash.","ACwvu.cash.",1,FALSE,FALSE,0.511811023622047,0.511811023622047,0.511811023622047,0.511811023622047,1,"","",FALSE,FALSE,FALSE,FALSE,1,#N/A,1,1,#DIV/0!,FALSE,"Rwvu.cash.",#N/A,FALSE,FALS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localSheetId="3" hidden="1">{TRUE,TRUE,-1.25,-15.5,456.75,279.75,FALSE,FALSE,TRUE,TRUE,0,1,21,1,127,6,3,4,TRUE,TRUE,3,TRUE,1,TRUE,100,"Swvu.profits.","ACwvu.profits.",1,FALSE,FALSE,0.511811023622047,0.511811023622047,0.511811023622047,0.511811023622047,1,"","",FALSE,FALSE,FALSE,FALSE,1,#N/A,1,1,#DIV/0!,FALSE,"Rwvu.profits.",#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localSheetId="3" hidden="1">{TRUE,TRUE,-1.25,-15.5,456.75,279.75,FALSE,FALSE,TRUE,TRUE,0,1,8,1,4,6,3,4,TRUE,TRUE,3,TRUE,1,TRUE,100,"Swvu.turnover.","ACwvu.turnover.",1,FALSE,FALSE,0.511811023622047,0.511811023622047,0.511811023622047,0.511811023622047,1,"","",FALSE,FALSE,FALSE,FALSE,1,#N/A,1,1,#DIV/0!,FALSE,"Rwvu.turnover.",#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wwetr" localSheetId="3">{9}</definedName>
    <definedName name="wwetr">{9}</definedName>
    <definedName name="ytrewq" localSheetId="3" hidden="1">{"'Breakup 01 Euro'!$A$3:$I$30"}</definedName>
    <definedName name="ytrewq" hidden="1">{"'Breakup 01 Euro'!$A$3:$I$30"}</definedName>
    <definedName name="z_cash">'[75]Balance Sheet'!$B$8:$CA$8</definedName>
    <definedName name="z_lt_debt">'[75]Balance Sheet'!$B$47:$CA$47</definedName>
    <definedName name="z_qbs_2c05">'[75]Balance Sheet'!$AH$6:$AH$245</definedName>
    <definedName name="z_st_debt">'[75]Balance Sheet'!$B$36:$CA$36</definedName>
  </definedNames>
  <calcPr calcId="145621"/>
</workbook>
</file>

<file path=xl/calcChain.xml><?xml version="1.0" encoding="utf-8"?>
<calcChain xmlns="http://schemas.openxmlformats.org/spreadsheetml/2006/main">
  <c r="BS100" i="107" l="1"/>
  <c r="BS22" i="3" l="1"/>
  <c r="BS169" i="3" l="1"/>
  <c r="BS132" i="3" s="1"/>
  <c r="BS166" i="3"/>
  <c r="BS131" i="3" s="1"/>
  <c r="BS145" i="106"/>
  <c r="BS146" i="106" s="1"/>
  <c r="BS144" i="106"/>
  <c r="BS141" i="106"/>
  <c r="BS137" i="106"/>
  <c r="BS133" i="106"/>
  <c r="BS134" i="106" s="1"/>
  <c r="BS131" i="106"/>
  <c r="BS130" i="106"/>
  <c r="BS126" i="106"/>
  <c r="BS127" i="106" s="1"/>
  <c r="BS123" i="106"/>
  <c r="BS124" i="106" s="1"/>
  <c r="BS122" i="106"/>
  <c r="BS121" i="106"/>
  <c r="BS125" i="106" s="1"/>
  <c r="BS117" i="106"/>
  <c r="BS112" i="106"/>
  <c r="BS113" i="106" s="1"/>
  <c r="BS111" i="106"/>
  <c r="BS107" i="106"/>
  <c r="BS109" i="106" s="1"/>
  <c r="BS104" i="106"/>
  <c r="BS105" i="106" s="1"/>
  <c r="BS103" i="106"/>
  <c r="BS98" i="106"/>
  <c r="BS99" i="106" s="1"/>
  <c r="BS96" i="106"/>
  <c r="BS95" i="106"/>
  <c r="BS93" i="106"/>
  <c r="BS92" i="106"/>
  <c r="BS88" i="106"/>
  <c r="BS87" i="106"/>
  <c r="BS86" i="106"/>
  <c r="BS71" i="106"/>
  <c r="BS70" i="106"/>
  <c r="BS69" i="106"/>
  <c r="BS68" i="106"/>
  <c r="BS59" i="106"/>
  <c r="BS51" i="106"/>
  <c r="BS65" i="106" s="1"/>
  <c r="BR22" i="29"/>
  <c r="BR66" i="29"/>
  <c r="BR20" i="29"/>
  <c r="BS39" i="106"/>
  <c r="BS44" i="106" s="1"/>
  <c r="BS13" i="107"/>
  <c r="BS9" i="107"/>
  <c r="BS16" i="107"/>
  <c r="BS15" i="107"/>
  <c r="BS17" i="107"/>
  <c r="BS21" i="107"/>
  <c r="BS20" i="107"/>
  <c r="BS19" i="107"/>
  <c r="BS18" i="107"/>
  <c r="BS48" i="107"/>
  <c r="BS45" i="107"/>
  <c r="BS41" i="107"/>
  <c r="BS40" i="107"/>
  <c r="BS37" i="107"/>
  <c r="BS36" i="107"/>
  <c r="BS31" i="107"/>
  <c r="BS30" i="107"/>
  <c r="BS28" i="107"/>
  <c r="BS44" i="107"/>
  <c r="BS43" i="107"/>
  <c r="BS42" i="107"/>
  <c r="BS39" i="107"/>
  <c r="BS38" i="107"/>
  <c r="BS32" i="107"/>
  <c r="BS29" i="107"/>
  <c r="BS14" i="107"/>
  <c r="BS12" i="107"/>
  <c r="BS11" i="107"/>
  <c r="BS27" i="106"/>
  <c r="BS20" i="106"/>
  <c r="BS19" i="106"/>
  <c r="BS18" i="106"/>
  <c r="BS31" i="106"/>
  <c r="BS36" i="106" s="1"/>
  <c r="BS15" i="106"/>
  <c r="BS63" i="51"/>
  <c r="BS153" i="51"/>
  <c r="BS152" i="51"/>
  <c r="BS151" i="51"/>
  <c r="BS87" i="51"/>
  <c r="BS78" i="51"/>
  <c r="BS76" i="51"/>
  <c r="BS72" i="51"/>
  <c r="BS55" i="51"/>
  <c r="BS51" i="51"/>
  <c r="BS53" i="51" s="1"/>
  <c r="BS48" i="51"/>
  <c r="BS44" i="51"/>
  <c r="BS46" i="51" s="1"/>
  <c r="BS41" i="51"/>
  <c r="BS37" i="51"/>
  <c r="BS39" i="51" s="1"/>
  <c r="BS28" i="51"/>
  <c r="BS26" i="51"/>
  <c r="BS24" i="51"/>
  <c r="BS22" i="51"/>
  <c r="BS19" i="51"/>
  <c r="BS15" i="51"/>
  <c r="BS17" i="51" s="1"/>
  <c r="BS12" i="51"/>
  <c r="BS8" i="51"/>
  <c r="BS10" i="51" s="1"/>
  <c r="BS63" i="3"/>
  <c r="BS56" i="3"/>
  <c r="BS11" i="3"/>
  <c r="BS9" i="3"/>
  <c r="BS172" i="3"/>
  <c r="BS164" i="3"/>
  <c r="BS71" i="3"/>
  <c r="BS82" i="3" s="1"/>
  <c r="BS42" i="3"/>
  <c r="BS32" i="3"/>
  <c r="BS15" i="3"/>
  <c r="BS33" i="3"/>
  <c r="BS47" i="3" l="1"/>
  <c r="BS97" i="107"/>
  <c r="BS128" i="3"/>
  <c r="BS129" i="3" s="1"/>
  <c r="BS98" i="107"/>
  <c r="BS99" i="107" s="1"/>
  <c r="BS101" i="107" s="1"/>
  <c r="BS89" i="106"/>
  <c r="BS115" i="106"/>
  <c r="BS114" i="106" s="1"/>
  <c r="BS118" i="106"/>
  <c r="BS132" i="106"/>
  <c r="BS52" i="106"/>
  <c r="BS22" i="107"/>
  <c r="BS46" i="107"/>
  <c r="BS33" i="107"/>
  <c r="BS22" i="106"/>
  <c r="BS150" i="51"/>
  <c r="BS149" i="51"/>
  <c r="BS154" i="51" s="1"/>
  <c r="BS74" i="51"/>
  <c r="BS174" i="3"/>
  <c r="BS175" i="3" s="1"/>
  <c r="BS34" i="3"/>
  <c r="BS173" i="3"/>
  <c r="BS133" i="3"/>
  <c r="BS13" i="3"/>
  <c r="BS134" i="3" l="1"/>
  <c r="BS135" i="3" s="1"/>
  <c r="BS63" i="106"/>
  <c r="BS53" i="106"/>
  <c r="BS176" i="3"/>
  <c r="BS20" i="3"/>
  <c r="BS94" i="3"/>
  <c r="BS36" i="3"/>
  <c r="BS38" i="3" l="1"/>
  <c r="BS23" i="3"/>
  <c r="BS21" i="3"/>
  <c r="BS39" i="3" l="1"/>
  <c r="BS29" i="3"/>
  <c r="BS64" i="3"/>
  <c r="BS93" i="3"/>
  <c r="BS66" i="3" l="1"/>
  <c r="BS92" i="3" s="1"/>
  <c r="BS94" i="106"/>
  <c r="BS97" i="106" s="1"/>
  <c r="BS96" i="3"/>
  <c r="BS79" i="3" l="1"/>
  <c r="BS67" i="3"/>
  <c r="BS95" i="3" s="1"/>
  <c r="BX101" i="107" l="1"/>
  <c r="BR44" i="107" l="1"/>
  <c r="BR43" i="107"/>
  <c r="BR42" i="107"/>
  <c r="BR32" i="107"/>
  <c r="BR24" i="107"/>
  <c r="BR23" i="107"/>
  <c r="BR16" i="107"/>
  <c r="BR15" i="107"/>
  <c r="BR9" i="107"/>
  <c r="BM24" i="107"/>
  <c r="BR31" i="107"/>
  <c r="BR30" i="107"/>
  <c r="BR17" i="107"/>
  <c r="BR14" i="107"/>
  <c r="BR13" i="107"/>
  <c r="BR12" i="107"/>
  <c r="BR11" i="107"/>
  <c r="BP66" i="29" l="1"/>
  <c r="BQ66" i="29"/>
  <c r="BQ20" i="29"/>
  <c r="BQ17" i="29"/>
  <c r="BQ16" i="29"/>
  <c r="BQ15" i="29"/>
  <c r="BQ14" i="29"/>
  <c r="BQ13" i="29"/>
  <c r="BQ12" i="29"/>
  <c r="BQ11" i="29"/>
  <c r="BQ10" i="29"/>
  <c r="BQ9" i="29"/>
  <c r="BQ8" i="29"/>
  <c r="BQ7" i="29"/>
  <c r="BQ6" i="29"/>
  <c r="BR126" i="106"/>
  <c r="BR123" i="106"/>
  <c r="BR100" i="107"/>
  <c r="BS85" i="107"/>
  <c r="BR64" i="107"/>
  <c r="BQ18" i="29" l="1"/>
  <c r="BQ19" i="29" s="1"/>
  <c r="CI56" i="3"/>
  <c r="CC56" i="3"/>
  <c r="BW56" i="3"/>
  <c r="CJ60" i="51" l="1"/>
  <c r="CJ38" i="51"/>
  <c r="CK38" i="51" s="1"/>
  <c r="CL38" i="51" s="1"/>
  <c r="CD60" i="51"/>
  <c r="CE60" i="51" s="1"/>
  <c r="CF60" i="51" s="1"/>
  <c r="CJ45" i="51"/>
  <c r="CK45" i="51" s="1"/>
  <c r="CL45" i="51" s="1"/>
  <c r="CD45" i="51"/>
  <c r="CE45" i="51" s="1"/>
  <c r="CF45" i="51" s="1"/>
  <c r="CD38" i="51"/>
  <c r="CE38" i="51" s="1"/>
  <c r="CF38" i="51" s="1"/>
  <c r="CJ9" i="51"/>
  <c r="CK9" i="51" s="1"/>
  <c r="CL9" i="51" s="1"/>
  <c r="CD9" i="51"/>
  <c r="CE9" i="51" s="1"/>
  <c r="CF9" i="51" s="1"/>
  <c r="BZ74" i="106"/>
  <c r="CF74" i="106" s="1"/>
  <c r="CL74" i="106" s="1"/>
  <c r="BX73" i="51"/>
  <c r="BY73" i="51" s="1"/>
  <c r="BZ73" i="51" s="1"/>
  <c r="CI168" i="3"/>
  <c r="CI171" i="3"/>
  <c r="CK60" i="51" l="1"/>
  <c r="CL60" i="51" s="1"/>
  <c r="CJ23" i="51"/>
  <c r="CK23" i="51" s="1"/>
  <c r="CL23" i="51" s="1"/>
  <c r="CJ16" i="51"/>
  <c r="CK16" i="51" s="1"/>
  <c r="CL16" i="51" s="1"/>
  <c r="CP110" i="3" l="1"/>
  <c r="CO110" i="3"/>
  <c r="CP109" i="3"/>
  <c r="CO109" i="3"/>
  <c r="CP105" i="3"/>
  <c r="CO105" i="3"/>
  <c r="CO104" i="3"/>
  <c r="CP104" i="3"/>
  <c r="CJ73" i="51" l="1"/>
  <c r="CJ76" i="51" s="1"/>
  <c r="CD73" i="51"/>
  <c r="CD72" i="51" s="1"/>
  <c r="CD74" i="51" s="1"/>
  <c r="CI76" i="51"/>
  <c r="CC76" i="51"/>
  <c r="BB15" i="118" s="1"/>
  <c r="CI72" i="51"/>
  <c r="CI74" i="51" s="1"/>
  <c r="CC72" i="51"/>
  <c r="CC74" i="51" s="1"/>
  <c r="CL63" i="51"/>
  <c r="CK63" i="51"/>
  <c r="CJ63" i="51"/>
  <c r="CI63" i="51"/>
  <c r="CF63" i="51"/>
  <c r="BE13" i="118" s="1"/>
  <c r="CE63" i="51"/>
  <c r="BD13" i="118" s="1"/>
  <c r="CD63" i="51"/>
  <c r="BC13" i="118" s="1"/>
  <c r="CC63" i="51"/>
  <c r="BB13" i="118" s="1"/>
  <c r="BZ63" i="51"/>
  <c r="BA13" i="118" s="1"/>
  <c r="BY63" i="51"/>
  <c r="AZ13" i="118" s="1"/>
  <c r="BX63" i="51"/>
  <c r="AY13" i="118" s="1"/>
  <c r="BW63" i="51"/>
  <c r="AX13" i="118" s="1"/>
  <c r="BZ76" i="51"/>
  <c r="BA15" i="118" s="1"/>
  <c r="BY76" i="51"/>
  <c r="AZ15" i="118" s="1"/>
  <c r="BX76" i="51"/>
  <c r="AY15" i="118" s="1"/>
  <c r="BW76" i="51"/>
  <c r="AX15" i="118" s="1"/>
  <c r="BZ72" i="51"/>
  <c r="BZ74" i="51" s="1"/>
  <c r="BY72" i="51"/>
  <c r="BX72" i="51"/>
  <c r="BX74" i="51" s="1"/>
  <c r="BW72" i="51"/>
  <c r="BW74" i="51" s="1"/>
  <c r="BT76" i="51"/>
  <c r="AW15" i="118" s="1"/>
  <c r="AV15" i="118"/>
  <c r="BT72" i="51"/>
  <c r="BT63" i="51"/>
  <c r="AW13" i="118" s="1"/>
  <c r="AV13" i="118"/>
  <c r="AZ29" i="118" l="1"/>
  <c r="AZ31" i="118"/>
  <c r="BA31" i="118"/>
  <c r="CD76" i="51"/>
  <c r="BC15" i="118" s="1"/>
  <c r="BC31" i="118" s="1"/>
  <c r="BB31" i="118"/>
  <c r="BD29" i="118"/>
  <c r="BB29" i="118"/>
  <c r="BY74" i="51"/>
  <c r="CE73" i="51"/>
  <c r="CE72" i="51" s="1"/>
  <c r="CE74" i="51" s="1"/>
  <c r="BA29" i="118"/>
  <c r="BE29" i="118"/>
  <c r="BC29" i="118"/>
  <c r="CJ72" i="51"/>
  <c r="CJ74" i="51" s="1"/>
  <c r="CK73" i="51"/>
  <c r="BT74" i="51"/>
  <c r="CE76" i="51" l="1"/>
  <c r="BD15" i="118" s="1"/>
  <c r="BD31" i="118" s="1"/>
  <c r="CF73" i="51"/>
  <c r="CF72" i="51" s="1"/>
  <c r="CF74" i="51" s="1"/>
  <c r="CK76" i="51"/>
  <c r="CK72" i="51"/>
  <c r="CK74" i="51" s="1"/>
  <c r="CL73" i="51"/>
  <c r="CF76" i="51" l="1"/>
  <c r="BE15" i="118" s="1"/>
  <c r="BE31" i="118" s="1"/>
  <c r="CL72" i="51"/>
  <c r="CL74" i="51" s="1"/>
  <c r="CL76" i="51"/>
  <c r="BL166" i="3" l="1"/>
  <c r="BR166" i="3"/>
  <c r="CJ58" i="3" l="1"/>
  <c r="CD58" i="3"/>
  <c r="CD56" i="3" s="1"/>
  <c r="BX58" i="3"/>
  <c r="CJ168" i="3"/>
  <c r="CK168" i="3" s="1"/>
  <c r="CL168" i="3" s="1"/>
  <c r="CD168" i="3"/>
  <c r="CE168" i="3" s="1"/>
  <c r="CF168" i="3" s="1"/>
  <c r="BR145" i="106"/>
  <c r="BR144" i="106"/>
  <c r="BR141" i="106"/>
  <c r="BR117" i="106"/>
  <c r="BR96" i="106"/>
  <c r="BR93" i="106"/>
  <c r="BR87" i="106"/>
  <c r="BR86" i="106"/>
  <c r="BR51" i="106"/>
  <c r="BR52" i="106" s="1"/>
  <c r="BR48" i="107"/>
  <c r="BR45" i="107"/>
  <c r="BR41" i="107"/>
  <c r="BR40" i="107"/>
  <c r="BR38" i="107"/>
  <c r="BR37" i="107"/>
  <c r="BR86" i="107" s="1"/>
  <c r="BR87" i="107" s="1"/>
  <c r="BR36" i="107"/>
  <c r="BR95" i="106" s="1"/>
  <c r="BR28" i="107"/>
  <c r="BR112" i="106"/>
  <c r="BR21" i="107"/>
  <c r="BR88" i="106"/>
  <c r="BR133" i="106"/>
  <c r="BR15" i="106"/>
  <c r="BR39" i="107"/>
  <c r="BR29" i="107"/>
  <c r="BR137" i="106" s="1"/>
  <c r="BR122" i="106" s="1"/>
  <c r="BR20" i="107"/>
  <c r="BR19" i="107"/>
  <c r="BR18" i="107"/>
  <c r="BR33" i="107" l="1"/>
  <c r="BR104" i="106"/>
  <c r="BR105" i="106" s="1"/>
  <c r="BY58" i="3"/>
  <c r="BX56" i="3"/>
  <c r="CK58" i="3"/>
  <c r="CJ56" i="3"/>
  <c r="BR131" i="106"/>
  <c r="BR107" i="106"/>
  <c r="BR59" i="106"/>
  <c r="CE58" i="3"/>
  <c r="BR53" i="106"/>
  <c r="BR44" i="106"/>
  <c r="BR46" i="107"/>
  <c r="BR31" i="106"/>
  <c r="BR71" i="106" s="1"/>
  <c r="BR22" i="106"/>
  <c r="BR22" i="107"/>
  <c r="BR169" i="3"/>
  <c r="BR132" i="3" s="1"/>
  <c r="BR151" i="51"/>
  <c r="BR87" i="51"/>
  <c r="BR78" i="51"/>
  <c r="BR76" i="51"/>
  <c r="AU15" i="118" s="1"/>
  <c r="AY31" i="118" s="1"/>
  <c r="BR72" i="51"/>
  <c r="BR74" i="51" s="1"/>
  <c r="BR63" i="51"/>
  <c r="AU13" i="118" s="1"/>
  <c r="AY29" i="118" s="1"/>
  <c r="BR55" i="51"/>
  <c r="BR51" i="51"/>
  <c r="BR53" i="51" s="1"/>
  <c r="BR48" i="51"/>
  <c r="BR44" i="51"/>
  <c r="BR46" i="51" s="1"/>
  <c r="BR41" i="51"/>
  <c r="BR37" i="51"/>
  <c r="BR39" i="51" s="1"/>
  <c r="BR28" i="51"/>
  <c r="BR149" i="51" s="1"/>
  <c r="BR26" i="51"/>
  <c r="BR22" i="51"/>
  <c r="BR24" i="51" s="1"/>
  <c r="BR19" i="51"/>
  <c r="BR15" i="51"/>
  <c r="BR17" i="51" s="1"/>
  <c r="BR12" i="51"/>
  <c r="BR8" i="51"/>
  <c r="BR10" i="51" s="1"/>
  <c r="BR22" i="3"/>
  <c r="BR18" i="3"/>
  <c r="BR15" i="3" s="1"/>
  <c r="BR11" i="3"/>
  <c r="BR89" i="106" s="1"/>
  <c r="BR63" i="3"/>
  <c r="BR172" i="3"/>
  <c r="BR164" i="3"/>
  <c r="BR120" i="3"/>
  <c r="BR121" i="3" s="1"/>
  <c r="BR9" i="3"/>
  <c r="BR47" i="3" s="1"/>
  <c r="BR71" i="3"/>
  <c r="BR56" i="3"/>
  <c r="BR42" i="3"/>
  <c r="BR33" i="3"/>
  <c r="BR82" i="3" l="1"/>
  <c r="BS81" i="3" s="1"/>
  <c r="BS70" i="3"/>
  <c r="CF58" i="3"/>
  <c r="CF56" i="3" s="1"/>
  <c r="CE56" i="3"/>
  <c r="CL58" i="3"/>
  <c r="CK56" i="3"/>
  <c r="BZ58" i="3"/>
  <c r="BZ56" i="3" s="1"/>
  <c r="BY56" i="3"/>
  <c r="BR128" i="3"/>
  <c r="BR129" i="3" s="1"/>
  <c r="BR34" i="3"/>
  <c r="BR36" i="106"/>
  <c r="BR46" i="106" s="1"/>
  <c r="BR65" i="106" s="1"/>
  <c r="BR69" i="106"/>
  <c r="BR68" i="106"/>
  <c r="BR70" i="106"/>
  <c r="CG58" i="3"/>
  <c r="BR32" i="3"/>
  <c r="BR98" i="106"/>
  <c r="BR150" i="51"/>
  <c r="BR131" i="3"/>
  <c r="BR174" i="3"/>
  <c r="BR175" i="3" s="1"/>
  <c r="BR173" i="3"/>
  <c r="BR133" i="3"/>
  <c r="BR13" i="3"/>
  <c r="BT146" i="106"/>
  <c r="CG56" i="3" l="1"/>
  <c r="CM58" i="3"/>
  <c r="CL56" i="3"/>
  <c r="CM56" i="3" s="1"/>
  <c r="BR134" i="3"/>
  <c r="BR135" i="3" s="1"/>
  <c r="BR63" i="106"/>
  <c r="BR99" i="106"/>
  <c r="BR36" i="3"/>
  <c r="BR20" i="3"/>
  <c r="BR94" i="3"/>
  <c r="BR38" i="3" l="1"/>
  <c r="BR23" i="3"/>
  <c r="BR21" i="3"/>
  <c r="BR93" i="3" l="1"/>
  <c r="BR29" i="3"/>
  <c r="BR65" i="107" s="1"/>
  <c r="BR64" i="3"/>
  <c r="BR39" i="3"/>
  <c r="BQ169" i="106"/>
  <c r="BN169" i="106"/>
  <c r="BM169" i="106"/>
  <c r="BL169" i="106"/>
  <c r="BK169" i="106"/>
  <c r="BH169" i="106"/>
  <c r="BG169" i="106"/>
  <c r="BF169" i="106"/>
  <c r="BE169" i="106"/>
  <c r="BB169" i="106"/>
  <c r="BA169" i="106"/>
  <c r="AZ169" i="106"/>
  <c r="AY169" i="106"/>
  <c r="AV169" i="106"/>
  <c r="AU169" i="106"/>
  <c r="AT169" i="106"/>
  <c r="AS169" i="106"/>
  <c r="AP169" i="106"/>
  <c r="AO169" i="106"/>
  <c r="AN169" i="106"/>
  <c r="AM169" i="106"/>
  <c r="AJ169" i="106"/>
  <c r="AI169" i="106"/>
  <c r="AH169" i="106"/>
  <c r="AG169" i="106"/>
  <c r="AD169" i="106"/>
  <c r="AC169" i="106"/>
  <c r="AB169" i="106"/>
  <c r="AA169" i="106"/>
  <c r="X169" i="106"/>
  <c r="W169" i="106"/>
  <c r="V169" i="106"/>
  <c r="U169" i="106"/>
  <c r="R169" i="106"/>
  <c r="Q169" i="106"/>
  <c r="P169" i="106"/>
  <c r="O169" i="106"/>
  <c r="BQ168" i="106"/>
  <c r="BN168" i="106"/>
  <c r="BM168" i="106"/>
  <c r="BL168" i="106"/>
  <c r="BK168" i="106"/>
  <c r="BH168" i="106"/>
  <c r="BG168" i="106"/>
  <c r="BF168" i="106"/>
  <c r="BE168" i="106"/>
  <c r="BB168" i="106"/>
  <c r="BA168" i="106"/>
  <c r="AZ168" i="106"/>
  <c r="AY168" i="106"/>
  <c r="AV168" i="106"/>
  <c r="AU168" i="106"/>
  <c r="AT168" i="106"/>
  <c r="AS168" i="106"/>
  <c r="AP168" i="106"/>
  <c r="AO168" i="106"/>
  <c r="AN168" i="106"/>
  <c r="AM168" i="106"/>
  <c r="AJ168" i="106"/>
  <c r="AI168" i="106"/>
  <c r="AH168" i="106"/>
  <c r="AG168" i="106"/>
  <c r="AD168" i="106"/>
  <c r="AC168" i="106"/>
  <c r="AB168" i="106"/>
  <c r="AA168" i="106"/>
  <c r="X168" i="106"/>
  <c r="W168" i="106"/>
  <c r="V168" i="106"/>
  <c r="U168" i="106"/>
  <c r="R168" i="106"/>
  <c r="Q168" i="106"/>
  <c r="P168" i="106"/>
  <c r="O168" i="106"/>
  <c r="BQ167" i="106"/>
  <c r="BN167" i="106"/>
  <c r="BM167" i="106"/>
  <c r="BL167" i="106"/>
  <c r="BK167" i="106"/>
  <c r="BH167" i="106"/>
  <c r="BG167" i="106"/>
  <c r="BF167" i="106"/>
  <c r="BE167" i="106"/>
  <c r="BB167" i="106"/>
  <c r="BA167" i="106"/>
  <c r="AZ167" i="106"/>
  <c r="AY167" i="106"/>
  <c r="AV167" i="106"/>
  <c r="AU167" i="106"/>
  <c r="AT167" i="106"/>
  <c r="AS167" i="106"/>
  <c r="AP167" i="106"/>
  <c r="AO167" i="106"/>
  <c r="AN167" i="106"/>
  <c r="AM167" i="106"/>
  <c r="AJ167" i="106"/>
  <c r="AI167" i="106"/>
  <c r="AH167" i="106"/>
  <c r="AG167" i="106"/>
  <c r="AD167" i="106"/>
  <c r="AC167" i="106"/>
  <c r="AB167" i="106"/>
  <c r="AA167" i="106"/>
  <c r="X167" i="106"/>
  <c r="W167" i="106"/>
  <c r="V167" i="106"/>
  <c r="U167" i="106"/>
  <c r="R167" i="106"/>
  <c r="Q167" i="106"/>
  <c r="P167" i="106"/>
  <c r="O167" i="106"/>
  <c r="BQ159" i="106"/>
  <c r="BN159" i="106"/>
  <c r="BM159" i="106"/>
  <c r="BL159" i="106"/>
  <c r="BK159" i="106"/>
  <c r="BH159" i="106"/>
  <c r="BG159" i="106"/>
  <c r="BF159" i="106"/>
  <c r="BE159" i="106"/>
  <c r="BB159" i="106"/>
  <c r="BA159" i="106"/>
  <c r="AZ159" i="106"/>
  <c r="AY159" i="106"/>
  <c r="AV159" i="106"/>
  <c r="AU159" i="106"/>
  <c r="AT159" i="106"/>
  <c r="AS159" i="106"/>
  <c r="AP159" i="106"/>
  <c r="AO159" i="106"/>
  <c r="AN159" i="106"/>
  <c r="AM159" i="106"/>
  <c r="AJ159" i="106"/>
  <c r="AI159" i="106"/>
  <c r="AH159" i="106"/>
  <c r="AG159" i="106"/>
  <c r="AD159" i="106"/>
  <c r="AC159" i="106"/>
  <c r="AB159" i="106"/>
  <c r="AA159" i="106"/>
  <c r="X159" i="106"/>
  <c r="W159" i="106"/>
  <c r="V159" i="106"/>
  <c r="U159" i="106"/>
  <c r="R159" i="106"/>
  <c r="Q159" i="106"/>
  <c r="P159" i="106"/>
  <c r="O159" i="106"/>
  <c r="BQ158" i="106"/>
  <c r="BN158" i="106"/>
  <c r="BM158" i="106"/>
  <c r="BL158" i="106"/>
  <c r="BK158" i="106"/>
  <c r="BH158" i="106"/>
  <c r="BG158" i="106"/>
  <c r="BF158" i="106"/>
  <c r="BE158" i="106"/>
  <c r="BB158" i="106"/>
  <c r="BA158" i="106"/>
  <c r="AZ158" i="106"/>
  <c r="AY158" i="106"/>
  <c r="AV158" i="106"/>
  <c r="AU158" i="106"/>
  <c r="AT158" i="106"/>
  <c r="AS158" i="106"/>
  <c r="AP158" i="106"/>
  <c r="AO158" i="106"/>
  <c r="AN158" i="106"/>
  <c r="AM158" i="106"/>
  <c r="AJ158" i="106"/>
  <c r="AI158" i="106"/>
  <c r="AH158" i="106"/>
  <c r="AG158" i="106"/>
  <c r="AD158" i="106"/>
  <c r="AC158" i="106"/>
  <c r="AB158" i="106"/>
  <c r="AA158" i="106"/>
  <c r="X158" i="106"/>
  <c r="W158" i="106"/>
  <c r="V158" i="106"/>
  <c r="U158" i="106"/>
  <c r="R158" i="106"/>
  <c r="Q158" i="106"/>
  <c r="P158" i="106"/>
  <c r="O158" i="106"/>
  <c r="BQ157" i="106"/>
  <c r="BN157" i="106"/>
  <c r="BM157" i="106"/>
  <c r="BL157" i="106"/>
  <c r="BK157" i="106"/>
  <c r="BH157" i="106"/>
  <c r="BG157" i="106"/>
  <c r="BF157" i="106"/>
  <c r="BE157" i="106"/>
  <c r="BB157" i="106"/>
  <c r="BA157" i="106"/>
  <c r="AZ157" i="106"/>
  <c r="AY157" i="106"/>
  <c r="AV157" i="106"/>
  <c r="AU157" i="106"/>
  <c r="AT157" i="106"/>
  <c r="AS157" i="106"/>
  <c r="AP157" i="106"/>
  <c r="AO157" i="106"/>
  <c r="AN157" i="106"/>
  <c r="AM157" i="106"/>
  <c r="AJ157" i="106"/>
  <c r="AI157" i="106"/>
  <c r="AH157" i="106"/>
  <c r="AG157" i="106"/>
  <c r="AD157" i="106"/>
  <c r="AC157" i="106"/>
  <c r="AB157" i="106"/>
  <c r="AA157" i="106"/>
  <c r="X157" i="106"/>
  <c r="W157" i="106"/>
  <c r="V157" i="106"/>
  <c r="U157" i="106"/>
  <c r="R157" i="106"/>
  <c r="Q157" i="106"/>
  <c r="P157" i="106"/>
  <c r="O157" i="106"/>
  <c r="L169" i="106"/>
  <c r="K169" i="106"/>
  <c r="J169" i="106"/>
  <c r="I169" i="106"/>
  <c r="L168" i="106"/>
  <c r="K168" i="106"/>
  <c r="J168" i="106"/>
  <c r="I168" i="106"/>
  <c r="L167" i="106"/>
  <c r="K167" i="106"/>
  <c r="J167" i="106"/>
  <c r="I167" i="106"/>
  <c r="L159" i="106"/>
  <c r="K159" i="106"/>
  <c r="J159" i="106"/>
  <c r="I159" i="106"/>
  <c r="L158" i="106"/>
  <c r="K158" i="106"/>
  <c r="J158" i="106"/>
  <c r="I158" i="106"/>
  <c r="L157" i="106"/>
  <c r="K157" i="106"/>
  <c r="J157" i="106"/>
  <c r="I157" i="106"/>
  <c r="F169" i="106"/>
  <c r="E169" i="106"/>
  <c r="D169" i="106"/>
  <c r="F168" i="106"/>
  <c r="E168" i="106"/>
  <c r="D168" i="106"/>
  <c r="F167" i="106"/>
  <c r="E167" i="106"/>
  <c r="D167" i="106"/>
  <c r="F159" i="106"/>
  <c r="E159" i="106"/>
  <c r="D159" i="106"/>
  <c r="F158" i="106"/>
  <c r="E158" i="106"/>
  <c r="D158" i="106"/>
  <c r="F157" i="106"/>
  <c r="E157" i="106"/>
  <c r="D157" i="106"/>
  <c r="C169" i="106"/>
  <c r="C168" i="106"/>
  <c r="C167" i="106"/>
  <c r="C159" i="106"/>
  <c r="C158" i="106"/>
  <c r="C157" i="106"/>
  <c r="BR151" i="106"/>
  <c r="BR150" i="106"/>
  <c r="BR149" i="106"/>
  <c r="BQ149" i="106"/>
  <c r="BN149" i="106"/>
  <c r="BM149" i="106"/>
  <c r="BL149" i="106"/>
  <c r="BK149" i="106"/>
  <c r="BH149" i="106"/>
  <c r="BG149" i="106"/>
  <c r="BF149" i="106"/>
  <c r="BE149" i="106"/>
  <c r="BB149" i="106"/>
  <c r="BA149" i="106"/>
  <c r="AZ149" i="106"/>
  <c r="AY149" i="106"/>
  <c r="AV149" i="106"/>
  <c r="AU149" i="106"/>
  <c r="AT149" i="106"/>
  <c r="AS149" i="106"/>
  <c r="AP149" i="106"/>
  <c r="AO149" i="106"/>
  <c r="AN149" i="106"/>
  <c r="AM149" i="106"/>
  <c r="AJ149" i="106"/>
  <c r="AI149" i="106"/>
  <c r="AH149" i="106"/>
  <c r="AG149" i="106"/>
  <c r="AD149" i="106"/>
  <c r="AC149" i="106"/>
  <c r="AB149" i="106"/>
  <c r="AA149" i="106"/>
  <c r="X149" i="106"/>
  <c r="W149" i="106"/>
  <c r="V149" i="106"/>
  <c r="U149" i="106"/>
  <c r="R149" i="106"/>
  <c r="Q149" i="106"/>
  <c r="P149" i="106"/>
  <c r="O149" i="106"/>
  <c r="L149" i="106"/>
  <c r="K149" i="106"/>
  <c r="J149" i="106"/>
  <c r="I149" i="106"/>
  <c r="F149" i="106"/>
  <c r="E149" i="106"/>
  <c r="D149" i="106"/>
  <c r="C149" i="106"/>
  <c r="BR66" i="3" l="1"/>
  <c r="BR8" i="107" s="1"/>
  <c r="BR25" i="107" s="1"/>
  <c r="BR94" i="106"/>
  <c r="BR96" i="3"/>
  <c r="BR152" i="106"/>
  <c r="BR153" i="106" s="1"/>
  <c r="BR79" i="3" l="1"/>
  <c r="BR92" i="3"/>
  <c r="BR67" i="3"/>
  <c r="BR95" i="3" s="1"/>
  <c r="BR81" i="106"/>
  <c r="BR50" i="107"/>
  <c r="BR80" i="106" s="1"/>
  <c r="BR154" i="106"/>
  <c r="BE58" i="118" l="1"/>
  <c r="BD58" i="118"/>
  <c r="BC58" i="118"/>
  <c r="BB58" i="118"/>
  <c r="BA58" i="118"/>
  <c r="AZ58" i="118"/>
  <c r="AY58" i="118"/>
  <c r="AX58" i="118"/>
  <c r="AW58" i="118"/>
  <c r="AV58" i="118"/>
  <c r="AU58" i="118"/>
  <c r="AT58" i="118"/>
  <c r="AS58" i="118"/>
  <c r="AR58" i="118"/>
  <c r="AQ58" i="118"/>
  <c r="AP58" i="118"/>
  <c r="AO58" i="118"/>
  <c r="AN58" i="118"/>
  <c r="AM58" i="118"/>
  <c r="AL58" i="118"/>
  <c r="AK58" i="118"/>
  <c r="AJ58" i="118"/>
  <c r="AI58" i="118"/>
  <c r="AH58" i="118"/>
  <c r="AG58" i="118"/>
  <c r="AF58" i="118"/>
  <c r="AE58" i="118"/>
  <c r="AD58" i="118"/>
  <c r="AC58" i="118"/>
  <c r="AB58" i="118"/>
  <c r="AA58" i="118"/>
  <c r="Z58" i="118"/>
  <c r="Y58" i="118"/>
  <c r="X58" i="118"/>
  <c r="W58" i="118"/>
  <c r="V58" i="118"/>
  <c r="U58" i="118"/>
  <c r="T58" i="118"/>
  <c r="S58" i="118"/>
  <c r="R58" i="118"/>
  <c r="Q58" i="118"/>
  <c r="P58" i="118"/>
  <c r="O58" i="118"/>
  <c r="N58" i="118"/>
  <c r="M58" i="118"/>
  <c r="L58" i="118"/>
  <c r="K58" i="118"/>
  <c r="J58" i="118"/>
  <c r="I58" i="118"/>
  <c r="H58" i="118"/>
  <c r="G58" i="118"/>
  <c r="F58" i="118"/>
  <c r="E58" i="118"/>
  <c r="D58" i="118"/>
  <c r="C58" i="118"/>
  <c r="B58" i="118"/>
  <c r="BQ11" i="51" l="1"/>
  <c r="BX18" i="3"/>
  <c r="BY18" i="3" s="1"/>
  <c r="BZ18" i="3" s="1"/>
  <c r="CC18" i="3" s="1"/>
  <c r="CD18" i="3" s="1"/>
  <c r="CE18" i="3" s="1"/>
  <c r="CF18" i="3" s="1"/>
  <c r="BT18" i="3"/>
  <c r="BX52" i="51" l="1"/>
  <c r="BY52" i="51" s="1"/>
  <c r="BZ52" i="51" s="1"/>
  <c r="BX45" i="51"/>
  <c r="BY45" i="51" s="1"/>
  <c r="BZ45" i="51" s="1"/>
  <c r="BX23" i="51" l="1"/>
  <c r="BY23" i="51" s="1"/>
  <c r="BZ23" i="51" s="1"/>
  <c r="G5" i="107" l="1"/>
  <c r="M5" i="107"/>
  <c r="S5" i="107"/>
  <c r="Y5" i="107"/>
  <c r="AE5" i="107"/>
  <c r="AK5" i="107"/>
  <c r="AQ5" i="107"/>
  <c r="AW5" i="107"/>
  <c r="BC5" i="107"/>
  <c r="BI5" i="107"/>
  <c r="BO5" i="107"/>
  <c r="BU5" i="107"/>
  <c r="CA5" i="107"/>
  <c r="CG5" i="107"/>
  <c r="CM5" i="107"/>
  <c r="G6" i="107"/>
  <c r="U6" i="107"/>
  <c r="O6" i="107" s="1"/>
  <c r="I6" i="107" s="1"/>
  <c r="V6" i="107"/>
  <c r="P6" i="107" s="1"/>
  <c r="J6" i="107" s="1"/>
  <c r="W6" i="107"/>
  <c r="Q6" i="107" s="1"/>
  <c r="K6" i="107" s="1"/>
  <c r="X6" i="107"/>
  <c r="R6" i="107" s="1"/>
  <c r="L6" i="107" s="1"/>
  <c r="M6" i="107"/>
  <c r="S6" i="107"/>
  <c r="Y6" i="107"/>
  <c r="AE6" i="107"/>
  <c r="AK6" i="107"/>
  <c r="AQ6" i="107"/>
  <c r="AW6" i="107"/>
  <c r="BC6" i="107"/>
  <c r="BI6" i="107"/>
  <c r="BO6" i="107"/>
  <c r="BU6" i="107"/>
  <c r="CA6" i="107"/>
  <c r="CC6" i="107"/>
  <c r="CI6" i="107" s="1"/>
  <c r="CD6" i="107"/>
  <c r="CE6" i="107"/>
  <c r="CK6" i="107" s="1"/>
  <c r="CF6" i="107"/>
  <c r="CL6" i="107" s="1"/>
  <c r="CG6" i="107"/>
  <c r="CJ6" i="107"/>
  <c r="CM6" i="107"/>
  <c r="D8" i="107"/>
  <c r="E8" i="107" s="1"/>
  <c r="J8" i="107"/>
  <c r="P8" i="107"/>
  <c r="Q8" i="107" s="1"/>
  <c r="R8" i="107" s="1"/>
  <c r="V8" i="107"/>
  <c r="AB8" i="107"/>
  <c r="AH8" i="107"/>
  <c r="AI8" i="107" s="1"/>
  <c r="AN8" i="107"/>
  <c r="AO8" i="107" s="1"/>
  <c r="AP8" i="107" s="1"/>
  <c r="AT8" i="107"/>
  <c r="AU8" i="107" s="1"/>
  <c r="AZ8" i="107"/>
  <c r="BA8" i="107" s="1"/>
  <c r="BB8" i="107" s="1"/>
  <c r="BF8" i="107"/>
  <c r="D9" i="107"/>
  <c r="E9" i="107" s="1"/>
  <c r="F9" i="107" s="1"/>
  <c r="J9" i="107"/>
  <c r="P9" i="107"/>
  <c r="Q9" i="107" s="1"/>
  <c r="R9" i="107" s="1"/>
  <c r="V9" i="107"/>
  <c r="AC9" i="107"/>
  <c r="AD9" i="107" s="1"/>
  <c r="AE9" i="107" s="1"/>
  <c r="AH9" i="107"/>
  <c r="AI9" i="107" s="1"/>
  <c r="AJ9" i="107" s="1"/>
  <c r="AK9" i="107" s="1"/>
  <c r="AN9" i="107"/>
  <c r="AT9" i="107"/>
  <c r="AU9" i="107" s="1"/>
  <c r="AV9" i="107" s="1"/>
  <c r="AZ9" i="107"/>
  <c r="BA9" i="107" s="1"/>
  <c r="BB9" i="107" s="1"/>
  <c r="BC9" i="107" s="1"/>
  <c r="BF9" i="107"/>
  <c r="BG9" i="107" s="1"/>
  <c r="BM9" i="107"/>
  <c r="BN9" i="107" s="1"/>
  <c r="BU9" i="107"/>
  <c r="CA9" i="107"/>
  <c r="CG9" i="107"/>
  <c r="CM9" i="107"/>
  <c r="D11" i="107"/>
  <c r="D112" i="106" s="1"/>
  <c r="J11" i="107"/>
  <c r="K11" i="107" s="1"/>
  <c r="L11" i="107" s="1"/>
  <c r="L112" i="106" s="1"/>
  <c r="P11" i="107"/>
  <c r="P112" i="106" s="1"/>
  <c r="V11" i="107"/>
  <c r="W11" i="107" s="1"/>
  <c r="X11" i="107" s="1"/>
  <c r="X112" i="106" s="1"/>
  <c r="AB11" i="107"/>
  <c r="AB112" i="106" s="1"/>
  <c r="AH11" i="107"/>
  <c r="AI11" i="107" s="1"/>
  <c r="AJ11" i="107" s="1"/>
  <c r="AJ112" i="106" s="1"/>
  <c r="AN11" i="107"/>
  <c r="AT11" i="107"/>
  <c r="AU11" i="107" s="1"/>
  <c r="AV11" i="107" s="1"/>
  <c r="AV112" i="106" s="1"/>
  <c r="AZ11" i="107"/>
  <c r="AZ112" i="106" s="1"/>
  <c r="BF11" i="107"/>
  <c r="BG11" i="107" s="1"/>
  <c r="BH11" i="107" s="1"/>
  <c r="BH112" i="106" s="1"/>
  <c r="BL11" i="107"/>
  <c r="BL112" i="106" s="1"/>
  <c r="D12" i="107"/>
  <c r="E12" i="107" s="1"/>
  <c r="E123" i="106" s="1"/>
  <c r="J12" i="107"/>
  <c r="K12" i="107" s="1"/>
  <c r="K123" i="106" s="1"/>
  <c r="P12" i="107"/>
  <c r="V12" i="107"/>
  <c r="W12" i="107" s="1"/>
  <c r="AB12" i="107"/>
  <c r="AC12" i="107" s="1"/>
  <c r="AC123" i="106" s="1"/>
  <c r="AH12" i="107"/>
  <c r="AH123" i="106" s="1"/>
  <c r="AN12" i="107"/>
  <c r="AO12" i="107" s="1"/>
  <c r="AO123" i="106" s="1"/>
  <c r="AT12" i="107"/>
  <c r="AZ12" i="107"/>
  <c r="BA12" i="107" s="1"/>
  <c r="BA123" i="106" s="1"/>
  <c r="BF12" i="107"/>
  <c r="BG12" i="107" s="1"/>
  <c r="BL12" i="107"/>
  <c r="BM12" i="107" s="1"/>
  <c r="BM123" i="106" s="1"/>
  <c r="D13" i="107"/>
  <c r="J13" i="107"/>
  <c r="K13" i="107" s="1"/>
  <c r="L13" i="107" s="1"/>
  <c r="M13" i="107" s="1"/>
  <c r="P13" i="107"/>
  <c r="V13" i="107"/>
  <c r="W13" i="107" s="1"/>
  <c r="X13" i="107" s="1"/>
  <c r="AB13" i="107"/>
  <c r="AH13" i="107"/>
  <c r="AI13" i="107" s="1"/>
  <c r="AJ13" i="107" s="1"/>
  <c r="AN13" i="107"/>
  <c r="AT13" i="107"/>
  <c r="AZ13" i="107"/>
  <c r="BF13" i="107"/>
  <c r="BG13" i="107" s="1"/>
  <c r="BL13" i="107"/>
  <c r="BU13" i="107"/>
  <c r="CA13" i="107"/>
  <c r="CG13" i="107"/>
  <c r="CM13" i="107"/>
  <c r="D14" i="107"/>
  <c r="D100" i="107" s="1"/>
  <c r="J14" i="107"/>
  <c r="K14" i="107" s="1"/>
  <c r="P14" i="107"/>
  <c r="P100" i="107" s="1"/>
  <c r="V14" i="107"/>
  <c r="AA14" i="107"/>
  <c r="AG14" i="107"/>
  <c r="AH14" i="107"/>
  <c r="AM14" i="107"/>
  <c r="AT14" i="107"/>
  <c r="AZ14" i="107"/>
  <c r="BA14" i="107" s="1"/>
  <c r="BF14" i="107"/>
  <c r="BL14" i="107"/>
  <c r="BL100" i="107" s="1"/>
  <c r="BY101" i="107"/>
  <c r="BZ101" i="107" s="1"/>
  <c r="CC101" i="107" s="1"/>
  <c r="CD101" i="107" s="1"/>
  <c r="CE101" i="107" s="1"/>
  <c r="CF101" i="107" s="1"/>
  <c r="CI101" i="107" s="1"/>
  <c r="D15" i="107"/>
  <c r="J15" i="107"/>
  <c r="K15" i="107" s="1"/>
  <c r="L15" i="107" s="1"/>
  <c r="P15" i="107"/>
  <c r="V15" i="107"/>
  <c r="W15" i="107" s="1"/>
  <c r="X15" i="107" s="1"/>
  <c r="AB15" i="107"/>
  <c r="AC15" i="107" s="1"/>
  <c r="AD15" i="107" s="1"/>
  <c r="AE15" i="107" s="1"/>
  <c r="AH15" i="107"/>
  <c r="AI15" i="107" s="1"/>
  <c r="AJ15" i="107" s="1"/>
  <c r="AN15" i="107"/>
  <c r="AO15" i="107" s="1"/>
  <c r="AP15" i="107" s="1"/>
  <c r="AT15" i="107"/>
  <c r="AU15" i="107" s="1"/>
  <c r="AV15" i="107" s="1"/>
  <c r="AZ15" i="107"/>
  <c r="BF15" i="107"/>
  <c r="BG15" i="107" s="1"/>
  <c r="BH15" i="107" s="1"/>
  <c r="BM15" i="107"/>
  <c r="BN15" i="107" s="1"/>
  <c r="BU15" i="107"/>
  <c r="CA15" i="107"/>
  <c r="CG15" i="107"/>
  <c r="CM15" i="107"/>
  <c r="D16" i="107"/>
  <c r="E16" i="107" s="1"/>
  <c r="F16" i="107" s="1"/>
  <c r="J16" i="107"/>
  <c r="K16" i="107" s="1"/>
  <c r="L16" i="107" s="1"/>
  <c r="P16" i="107"/>
  <c r="Q16" i="107" s="1"/>
  <c r="V16" i="107"/>
  <c r="AB16" i="107"/>
  <c r="AC16" i="107" s="1"/>
  <c r="AD16" i="107" s="1"/>
  <c r="AH16" i="107"/>
  <c r="AI16" i="107" s="1"/>
  <c r="AJ16" i="107" s="1"/>
  <c r="AN16" i="107"/>
  <c r="AO16" i="107" s="1"/>
  <c r="AP16" i="107" s="1"/>
  <c r="AT16" i="107"/>
  <c r="AU16" i="107" s="1"/>
  <c r="AV16" i="107" s="1"/>
  <c r="AZ16" i="107"/>
  <c r="BA16" i="107" s="1"/>
  <c r="BB16" i="107" s="1"/>
  <c r="BF16" i="107"/>
  <c r="BM16" i="107"/>
  <c r="BN16" i="107" s="1"/>
  <c r="BO16" i="107" s="1"/>
  <c r="D17" i="107"/>
  <c r="E17" i="107" s="1"/>
  <c r="E18" i="107"/>
  <c r="D18" i="107"/>
  <c r="C18" i="107"/>
  <c r="E19" i="107"/>
  <c r="D19" i="107"/>
  <c r="C19" i="107"/>
  <c r="E20" i="107"/>
  <c r="D20" i="107"/>
  <c r="C20" i="107"/>
  <c r="E21" i="107"/>
  <c r="D21" i="107"/>
  <c r="C21" i="107"/>
  <c r="J17" i="107"/>
  <c r="K17" i="107" s="1"/>
  <c r="K18" i="107"/>
  <c r="J18" i="107"/>
  <c r="K19" i="107"/>
  <c r="J19" i="107"/>
  <c r="K20" i="107"/>
  <c r="J20" i="107"/>
  <c r="K21" i="107"/>
  <c r="J21" i="107"/>
  <c r="P17" i="107"/>
  <c r="Q17" i="107" s="1"/>
  <c r="Q18" i="107"/>
  <c r="P18" i="107"/>
  <c r="Q19" i="107"/>
  <c r="P19" i="107"/>
  <c r="Q20" i="107"/>
  <c r="P20" i="107"/>
  <c r="Q21" i="107"/>
  <c r="P21" i="107"/>
  <c r="V17" i="107"/>
  <c r="W17" i="107" s="1"/>
  <c r="W18" i="107"/>
  <c r="V18" i="107"/>
  <c r="W19" i="107"/>
  <c r="V19" i="107"/>
  <c r="W20" i="107"/>
  <c r="V20" i="107"/>
  <c r="W21" i="107"/>
  <c r="V21" i="107"/>
  <c r="AB17" i="107"/>
  <c r="AC17" i="107" s="1"/>
  <c r="AC18" i="107"/>
  <c r="AB18" i="107"/>
  <c r="AC19" i="107"/>
  <c r="AB19" i="107"/>
  <c r="AC20" i="107"/>
  <c r="AB20" i="107"/>
  <c r="AC21" i="107"/>
  <c r="AB21" i="107"/>
  <c r="AH17" i="107"/>
  <c r="AI17" i="107" s="1"/>
  <c r="AI18" i="107"/>
  <c r="AH18" i="107"/>
  <c r="AI19" i="107"/>
  <c r="AH19" i="107"/>
  <c r="AI20" i="107"/>
  <c r="AH20" i="107"/>
  <c r="AI21" i="107"/>
  <c r="AH21" i="107"/>
  <c r="AN17" i="107"/>
  <c r="AO17" i="107" s="1"/>
  <c r="AO18" i="107"/>
  <c r="AN18" i="107"/>
  <c r="AO19" i="107"/>
  <c r="AN19" i="107"/>
  <c r="AO20" i="107"/>
  <c r="AN20" i="107"/>
  <c r="AO21" i="107"/>
  <c r="AN21" i="107"/>
  <c r="AT17" i="107"/>
  <c r="AU17" i="107" s="1"/>
  <c r="AU18" i="107"/>
  <c r="AT18" i="107"/>
  <c r="AU19" i="107"/>
  <c r="AT19" i="107"/>
  <c r="AU20" i="107"/>
  <c r="AT20" i="107"/>
  <c r="AU21" i="107"/>
  <c r="AT21" i="107"/>
  <c r="AZ17" i="107"/>
  <c r="BA17" i="107" s="1"/>
  <c r="BA18" i="107"/>
  <c r="AZ18" i="107"/>
  <c r="BA19" i="107"/>
  <c r="AZ19" i="107"/>
  <c r="BA20" i="107"/>
  <c r="AZ20" i="107"/>
  <c r="BA21" i="107"/>
  <c r="AZ21" i="107"/>
  <c r="BF17" i="107"/>
  <c r="BG17" i="107" s="1"/>
  <c r="BG18" i="107"/>
  <c r="BF18" i="107"/>
  <c r="BG19" i="107"/>
  <c r="BF19" i="107"/>
  <c r="BG20" i="107"/>
  <c r="BF20" i="107"/>
  <c r="BF21" i="107"/>
  <c r="BG21" i="107"/>
  <c r="BL17" i="107"/>
  <c r="BM17" i="107" s="1"/>
  <c r="BL18" i="107"/>
  <c r="BM18" i="107"/>
  <c r="BL19" i="107"/>
  <c r="BM19" i="107"/>
  <c r="BL20" i="107"/>
  <c r="BM20" i="107"/>
  <c r="BL21" i="107"/>
  <c r="BM21" i="107"/>
  <c r="D23" i="107"/>
  <c r="E23" i="107" s="1"/>
  <c r="J23" i="107"/>
  <c r="Q23" i="107"/>
  <c r="R23" i="107" s="1"/>
  <c r="V23" i="107"/>
  <c r="AB23" i="107"/>
  <c r="AC23" i="107" s="1"/>
  <c r="AD23" i="107" s="1"/>
  <c r="AH23" i="107"/>
  <c r="AN23" i="107"/>
  <c r="AO23" i="107" s="1"/>
  <c r="AT23" i="107"/>
  <c r="AZ23" i="107"/>
  <c r="BA23" i="107" s="1"/>
  <c r="BF23" i="107"/>
  <c r="BM23" i="107"/>
  <c r="D24" i="107"/>
  <c r="J24" i="107"/>
  <c r="K24" i="107" s="1"/>
  <c r="L24" i="107" s="1"/>
  <c r="Q24" i="107"/>
  <c r="V24" i="107"/>
  <c r="AC24" i="107"/>
  <c r="AH24" i="107"/>
  <c r="AN24" i="107"/>
  <c r="AT24" i="107"/>
  <c r="AU24" i="107" s="1"/>
  <c r="AV24" i="107" s="1"/>
  <c r="AZ24" i="107"/>
  <c r="BF24" i="107"/>
  <c r="BN24" i="107"/>
  <c r="BO24" i="107" s="1"/>
  <c r="BU24" i="107"/>
  <c r="CA24" i="107"/>
  <c r="CG24" i="107"/>
  <c r="CM24" i="107"/>
  <c r="C25" i="107"/>
  <c r="C57" i="107" s="1"/>
  <c r="I25" i="107"/>
  <c r="O25" i="107"/>
  <c r="U25" i="107"/>
  <c r="U57" i="107" s="1"/>
  <c r="AA25" i="107"/>
  <c r="AA81" i="106" s="1"/>
  <c r="AS25" i="107"/>
  <c r="AS57" i="107" s="1"/>
  <c r="AY25" i="107"/>
  <c r="BE25" i="107"/>
  <c r="BE57" i="107" s="1"/>
  <c r="BE58" i="107" s="1"/>
  <c r="BE83" i="106" s="1"/>
  <c r="D28" i="107"/>
  <c r="D104" i="106" s="1"/>
  <c r="D105" i="106" s="1"/>
  <c r="J28" i="107"/>
  <c r="K28" i="107" s="1"/>
  <c r="K104" i="106" s="1"/>
  <c r="K105" i="106" s="1"/>
  <c r="P28" i="107"/>
  <c r="P104" i="106" s="1"/>
  <c r="P105" i="106" s="1"/>
  <c r="V28" i="107"/>
  <c r="V104" i="106" s="1"/>
  <c r="V105" i="106" s="1"/>
  <c r="AB28" i="107"/>
  <c r="AB104" i="106" s="1"/>
  <c r="AB105" i="106" s="1"/>
  <c r="AH28" i="107"/>
  <c r="AI28" i="107" s="1"/>
  <c r="AN28" i="107"/>
  <c r="AN104" i="106" s="1"/>
  <c r="AN105" i="106" s="1"/>
  <c r="AT28" i="107"/>
  <c r="AT104" i="106" s="1"/>
  <c r="AT105" i="106" s="1"/>
  <c r="AZ28" i="107"/>
  <c r="AZ104" i="106" s="1"/>
  <c r="AZ105" i="106" s="1"/>
  <c r="BF28" i="107"/>
  <c r="BF104" i="106" s="1"/>
  <c r="BF105" i="106" s="1"/>
  <c r="BL28" i="107"/>
  <c r="D29" i="107"/>
  <c r="D137" i="106" s="1"/>
  <c r="J29" i="107"/>
  <c r="K29" i="107" s="1"/>
  <c r="P29" i="107"/>
  <c r="P137" i="106" s="1"/>
  <c r="V29" i="107"/>
  <c r="AB29" i="107"/>
  <c r="AC29" i="107" s="1"/>
  <c r="AH29" i="107"/>
  <c r="AH137" i="106" s="1"/>
  <c r="AH131" i="106" s="1"/>
  <c r="AN29" i="107"/>
  <c r="AO29" i="107" s="1"/>
  <c r="AP29" i="107" s="1"/>
  <c r="AP137" i="106" s="1"/>
  <c r="AP93" i="107" s="1"/>
  <c r="AT29" i="107"/>
  <c r="AU29" i="107" s="1"/>
  <c r="AV29" i="107" s="1"/>
  <c r="AV137" i="106" s="1"/>
  <c r="AZ29" i="107"/>
  <c r="BF29" i="107"/>
  <c r="BG29" i="107" s="1"/>
  <c r="BH29" i="107" s="1"/>
  <c r="BI29" i="107" s="1"/>
  <c r="BL29" i="107"/>
  <c r="BM29" i="107" s="1"/>
  <c r="BM137" i="106" s="1"/>
  <c r="BM107" i="106" s="1"/>
  <c r="BU29" i="107"/>
  <c r="BU137" i="106" s="1"/>
  <c r="CA29" i="107"/>
  <c r="CA137" i="106" s="1"/>
  <c r="CG29" i="107"/>
  <c r="CG137" i="106" s="1"/>
  <c r="CM29" i="107"/>
  <c r="D30" i="107"/>
  <c r="E30" i="107" s="1"/>
  <c r="F30" i="107" s="1"/>
  <c r="J30" i="107"/>
  <c r="K30" i="107" s="1"/>
  <c r="P30" i="107"/>
  <c r="Q30" i="107" s="1"/>
  <c r="R30" i="107" s="1"/>
  <c r="V30" i="107"/>
  <c r="W30" i="107" s="1"/>
  <c r="AB30" i="107"/>
  <c r="AH30" i="107"/>
  <c r="AI30" i="107" s="1"/>
  <c r="AJ30" i="107" s="1"/>
  <c r="AN30" i="107"/>
  <c r="AO30" i="107" s="1"/>
  <c r="AT30" i="107"/>
  <c r="AU30" i="107" s="1"/>
  <c r="AV30" i="107" s="1"/>
  <c r="AZ30" i="107"/>
  <c r="BA30" i="107" s="1"/>
  <c r="BB30" i="107" s="1"/>
  <c r="BI30" i="107"/>
  <c r="BL30" i="107"/>
  <c r="BM30" i="107" s="1"/>
  <c r="D31" i="107"/>
  <c r="E31" i="107" s="1"/>
  <c r="J31" i="107"/>
  <c r="K31" i="107" s="1"/>
  <c r="L31" i="107" s="1"/>
  <c r="P31" i="107"/>
  <c r="Q31" i="107" s="1"/>
  <c r="R31" i="107" s="1"/>
  <c r="S31" i="107" s="1"/>
  <c r="V31" i="107"/>
  <c r="AB31" i="107"/>
  <c r="AC31" i="107" s="1"/>
  <c r="AH31" i="107"/>
  <c r="AN31" i="107"/>
  <c r="AO31" i="107" s="1"/>
  <c r="AP31" i="107" s="1"/>
  <c r="AT31" i="107"/>
  <c r="AU31" i="107" s="1"/>
  <c r="AV31" i="107" s="1"/>
  <c r="AZ31" i="107"/>
  <c r="BA31" i="107" s="1"/>
  <c r="BF31" i="107"/>
  <c r="BG31" i="107" s="1"/>
  <c r="BH31" i="107" s="1"/>
  <c r="BL31" i="107"/>
  <c r="BM31" i="107" s="1"/>
  <c r="BU31" i="107"/>
  <c r="CA31" i="107"/>
  <c r="CG31" i="107"/>
  <c r="CM31" i="107"/>
  <c r="D32" i="107"/>
  <c r="E32" i="107" s="1"/>
  <c r="F32" i="107" s="1"/>
  <c r="J32" i="107"/>
  <c r="P32" i="107"/>
  <c r="Q32" i="107" s="1"/>
  <c r="R32" i="107" s="1"/>
  <c r="V32" i="107"/>
  <c r="W32" i="107" s="1"/>
  <c r="X32" i="107" s="1"/>
  <c r="AB32" i="107"/>
  <c r="AC32" i="107" s="1"/>
  <c r="AD32" i="107" s="1"/>
  <c r="AH32" i="107"/>
  <c r="AI32" i="107" s="1"/>
  <c r="AJ32" i="107" s="1"/>
  <c r="AN32" i="107"/>
  <c r="AO32" i="107" s="1"/>
  <c r="AP32" i="107" s="1"/>
  <c r="AT32" i="107"/>
  <c r="AU32" i="107" s="1"/>
  <c r="AZ32" i="107"/>
  <c r="BA32" i="107" s="1"/>
  <c r="BB32" i="107" s="1"/>
  <c r="BC32" i="107" s="1"/>
  <c r="BF32" i="107"/>
  <c r="BM32" i="107"/>
  <c r="BN32" i="107" s="1"/>
  <c r="BO32" i="107" s="1"/>
  <c r="BU32" i="107"/>
  <c r="CA32" i="107"/>
  <c r="CG32" i="107"/>
  <c r="CM32" i="107"/>
  <c r="C33" i="107"/>
  <c r="I33" i="107"/>
  <c r="O33" i="107"/>
  <c r="U33" i="107"/>
  <c r="AA33" i="107"/>
  <c r="AG33" i="107"/>
  <c r="AM33" i="107"/>
  <c r="AS33" i="107"/>
  <c r="AY33" i="107"/>
  <c r="BE33" i="107"/>
  <c r="BK33" i="107"/>
  <c r="BQ33" i="107"/>
  <c r="D36" i="107"/>
  <c r="E36" i="107" s="1"/>
  <c r="F36" i="107" s="1"/>
  <c r="F95" i="106" s="1"/>
  <c r="J36" i="107"/>
  <c r="K36" i="107" s="1"/>
  <c r="K95" i="106" s="1"/>
  <c r="P36" i="107"/>
  <c r="P95" i="106" s="1"/>
  <c r="V36" i="107"/>
  <c r="X36" i="107" s="1"/>
  <c r="X95" i="106" s="1"/>
  <c r="AB36" i="107"/>
  <c r="AC36" i="107" s="1"/>
  <c r="AC95" i="106" s="1"/>
  <c r="AH36" i="107"/>
  <c r="AN36" i="107"/>
  <c r="AO36" i="107" s="1"/>
  <c r="AT36" i="107"/>
  <c r="AT95" i="106" s="1"/>
  <c r="AZ36" i="107"/>
  <c r="BA36" i="107" s="1"/>
  <c r="BA95" i="106" s="1"/>
  <c r="BF36" i="107"/>
  <c r="BF95" i="106" s="1"/>
  <c r="BL36" i="107"/>
  <c r="BM36" i="107" s="1"/>
  <c r="BM95" i="106" s="1"/>
  <c r="BS64" i="107"/>
  <c r="D37" i="107"/>
  <c r="E37" i="107" s="1"/>
  <c r="J37" i="107"/>
  <c r="P37" i="107"/>
  <c r="Q37" i="107" s="1"/>
  <c r="R37" i="107" s="1"/>
  <c r="R86" i="107" s="1"/>
  <c r="R87" i="107" s="1"/>
  <c r="V37" i="107"/>
  <c r="W37" i="107" s="1"/>
  <c r="X37" i="107" s="1"/>
  <c r="X86" i="107" s="1"/>
  <c r="X87" i="107" s="1"/>
  <c r="AB37" i="107"/>
  <c r="AC37" i="107" s="1"/>
  <c r="AD37" i="107" s="1"/>
  <c r="AD86" i="107" s="1"/>
  <c r="AH37" i="107"/>
  <c r="AH86" i="107" s="1"/>
  <c r="AH87" i="107" s="1"/>
  <c r="AN37" i="107"/>
  <c r="AT37" i="107"/>
  <c r="AU37" i="107" s="1"/>
  <c r="AV37" i="107" s="1"/>
  <c r="AV86" i="107" s="1"/>
  <c r="AV87" i="107" s="1"/>
  <c r="AZ37" i="107"/>
  <c r="AZ86" i="107" s="1"/>
  <c r="AZ87" i="107" s="1"/>
  <c r="BF37" i="107"/>
  <c r="BG37" i="107" s="1"/>
  <c r="BL37" i="107"/>
  <c r="BM37" i="107" s="1"/>
  <c r="BQ86" i="107"/>
  <c r="BX85" i="107"/>
  <c r="BY85" i="107" s="1"/>
  <c r="BZ85" i="107" s="1"/>
  <c r="CC85" i="107"/>
  <c r="D38" i="107"/>
  <c r="J38" i="107"/>
  <c r="P38" i="107"/>
  <c r="Q38" i="107" s="1"/>
  <c r="R38" i="107" s="1"/>
  <c r="V38" i="107"/>
  <c r="W38" i="107" s="1"/>
  <c r="X38" i="107" s="1"/>
  <c r="AB38" i="107"/>
  <c r="AC38" i="107" s="1"/>
  <c r="AD38" i="107" s="1"/>
  <c r="AE38" i="107" s="1"/>
  <c r="AH38" i="107"/>
  <c r="AN38" i="107"/>
  <c r="AO38" i="107" s="1"/>
  <c r="AT38" i="107"/>
  <c r="AU38" i="107" s="1"/>
  <c r="AV38" i="107" s="1"/>
  <c r="AZ38" i="107"/>
  <c r="BF38" i="107"/>
  <c r="BG38" i="107" s="1"/>
  <c r="BH38" i="107" s="1"/>
  <c r="BL38" i="107"/>
  <c r="BM38" i="107" s="1"/>
  <c r="BN38" i="107" s="1"/>
  <c r="D39" i="107"/>
  <c r="E39" i="107" s="1"/>
  <c r="F39" i="107" s="1"/>
  <c r="J39" i="107"/>
  <c r="P39" i="107"/>
  <c r="Q39" i="107" s="1"/>
  <c r="V39" i="107"/>
  <c r="W39" i="107" s="1"/>
  <c r="X39" i="107" s="1"/>
  <c r="AB39" i="107"/>
  <c r="AH39" i="107"/>
  <c r="AN39" i="107"/>
  <c r="AO39" i="107" s="1"/>
  <c r="AT39" i="107"/>
  <c r="AU39" i="107" s="1"/>
  <c r="AV39" i="107" s="1"/>
  <c r="AZ39" i="107"/>
  <c r="BA39" i="107" s="1"/>
  <c r="BF39" i="107"/>
  <c r="BL39" i="107"/>
  <c r="BM39" i="107" s="1"/>
  <c r="BU39" i="107"/>
  <c r="CA39" i="107"/>
  <c r="CG39" i="107"/>
  <c r="CM39" i="107"/>
  <c r="D40" i="107"/>
  <c r="E40" i="107" s="1"/>
  <c r="F40" i="107" s="1"/>
  <c r="J40" i="107"/>
  <c r="K40" i="107" s="1"/>
  <c r="L40" i="107" s="1"/>
  <c r="P40" i="107"/>
  <c r="V40" i="107"/>
  <c r="W40" i="107" s="1"/>
  <c r="X40" i="107" s="1"/>
  <c r="AB40" i="107"/>
  <c r="AC40" i="107" s="1"/>
  <c r="AD40" i="107" s="1"/>
  <c r="AH40" i="107"/>
  <c r="AN40" i="107"/>
  <c r="AO40" i="107" s="1"/>
  <c r="AP40" i="107" s="1"/>
  <c r="AT40" i="107"/>
  <c r="AZ40" i="107"/>
  <c r="BF40" i="107"/>
  <c r="BG40" i="107" s="1"/>
  <c r="BH40" i="107" s="1"/>
  <c r="BL40" i="107"/>
  <c r="BM40" i="107" s="1"/>
  <c r="BN40" i="107" s="1"/>
  <c r="D41" i="107"/>
  <c r="E41" i="107" s="1"/>
  <c r="F41" i="107" s="1"/>
  <c r="G41" i="107" s="1"/>
  <c r="J41" i="107"/>
  <c r="P41" i="107"/>
  <c r="V41" i="107"/>
  <c r="W41" i="107" s="1"/>
  <c r="X41" i="107" s="1"/>
  <c r="AB41" i="107"/>
  <c r="AH41" i="107"/>
  <c r="AI41" i="107" s="1"/>
  <c r="AJ41" i="107" s="1"/>
  <c r="AN41" i="107"/>
  <c r="AT41" i="107"/>
  <c r="AU41" i="107" s="1"/>
  <c r="AV41" i="107" s="1"/>
  <c r="AZ41" i="107"/>
  <c r="BF41" i="107"/>
  <c r="BG41" i="107" s="1"/>
  <c r="BH41" i="107" s="1"/>
  <c r="BL41" i="107"/>
  <c r="D42" i="107"/>
  <c r="E42" i="107" s="1"/>
  <c r="F42" i="107" s="1"/>
  <c r="J42" i="107"/>
  <c r="P42" i="107"/>
  <c r="Q42" i="107" s="1"/>
  <c r="V42" i="107"/>
  <c r="AB42" i="107"/>
  <c r="AC42" i="107" s="1"/>
  <c r="AD42" i="107" s="1"/>
  <c r="AH42" i="107"/>
  <c r="AI42" i="107" s="1"/>
  <c r="AJ42" i="107" s="1"/>
  <c r="AK42" i="107" s="1"/>
  <c r="AN42" i="107"/>
  <c r="AO42" i="107" s="1"/>
  <c r="AP42" i="107" s="1"/>
  <c r="AQ42" i="107" s="1"/>
  <c r="AT42" i="107"/>
  <c r="AU42" i="107" s="1"/>
  <c r="AV42" i="107" s="1"/>
  <c r="AZ42" i="107"/>
  <c r="BH42" i="107"/>
  <c r="BI42" i="107" s="1"/>
  <c r="BM42" i="107"/>
  <c r="BN42" i="107" s="1"/>
  <c r="BO42" i="107" s="1"/>
  <c r="BU42" i="107"/>
  <c r="CA42" i="107"/>
  <c r="CG42" i="107"/>
  <c r="CM42" i="107"/>
  <c r="D43" i="107"/>
  <c r="E43" i="107" s="1"/>
  <c r="F43" i="107" s="1"/>
  <c r="G43" i="107" s="1"/>
  <c r="J43" i="107"/>
  <c r="P43" i="107"/>
  <c r="Q43" i="107" s="1"/>
  <c r="R43" i="107" s="1"/>
  <c r="S43" i="107" s="1"/>
  <c r="V43" i="107"/>
  <c r="AB43" i="107"/>
  <c r="AC43" i="107" s="1"/>
  <c r="AD43" i="107" s="1"/>
  <c r="AE43" i="107" s="1"/>
  <c r="AH43" i="107"/>
  <c r="AN43" i="107"/>
  <c r="AO43" i="107" s="1"/>
  <c r="AP43" i="107" s="1"/>
  <c r="AQ43" i="107" s="1"/>
  <c r="AT43" i="107"/>
  <c r="AZ43" i="107"/>
  <c r="BA43" i="107" s="1"/>
  <c r="BB43" i="107" s="1"/>
  <c r="BC43" i="107" s="1"/>
  <c r="BH43" i="107"/>
  <c r="BI43" i="107" s="1"/>
  <c r="BM43" i="107"/>
  <c r="BN43" i="107" s="1"/>
  <c r="G73" i="107"/>
  <c r="I70" i="107"/>
  <c r="S79" i="107"/>
  <c r="O79" i="107" s="1"/>
  <c r="Y79" i="107"/>
  <c r="X79" i="107" s="1"/>
  <c r="AE79" i="107"/>
  <c r="AC79" i="107" s="1"/>
  <c r="AK79" i="107"/>
  <c r="AG79" i="107" s="1"/>
  <c r="AQ79" i="107"/>
  <c r="AW79" i="107"/>
  <c r="BC79" i="107"/>
  <c r="BB79" i="107" s="1"/>
  <c r="BI79" i="107"/>
  <c r="BR77" i="107"/>
  <c r="BS77" i="107" s="1"/>
  <c r="BT77" i="107" s="1"/>
  <c r="BF74" i="107"/>
  <c r="BL74" i="107" s="1"/>
  <c r="J70" i="107"/>
  <c r="BL79" i="107"/>
  <c r="BM79" i="107" s="1"/>
  <c r="BN79" i="107" s="1"/>
  <c r="BR79" i="107"/>
  <c r="BS79" i="107" s="1"/>
  <c r="BT79" i="107" s="1"/>
  <c r="BR78" i="107"/>
  <c r="BS78" i="107" s="1"/>
  <c r="BT78" i="107" s="1"/>
  <c r="BG74" i="107"/>
  <c r="BM74" i="107" s="1"/>
  <c r="BS74" i="107" s="1"/>
  <c r="BY74" i="107" s="1"/>
  <c r="CE74" i="107" s="1"/>
  <c r="CK74" i="107" s="1"/>
  <c r="K70" i="107"/>
  <c r="BH74" i="107"/>
  <c r="BN74" i="107" s="1"/>
  <c r="BT74" i="107" s="1"/>
  <c r="BZ74" i="107" s="1"/>
  <c r="CF74" i="107" s="1"/>
  <c r="CL74" i="107" s="1"/>
  <c r="L70" i="107"/>
  <c r="BE74" i="107"/>
  <c r="BK74" i="107" s="1"/>
  <c r="BQ74" i="107" s="1"/>
  <c r="BW74" i="107" s="1"/>
  <c r="CC74" i="107" s="1"/>
  <c r="CI74" i="107" s="1"/>
  <c r="BX79" i="107"/>
  <c r="BY79" i="107" s="1"/>
  <c r="BZ79" i="107" s="1"/>
  <c r="CD79" i="107"/>
  <c r="CE79" i="107" s="1"/>
  <c r="CF79" i="107" s="1"/>
  <c r="CJ79" i="107"/>
  <c r="CK79" i="107" s="1"/>
  <c r="CL79" i="107" s="1"/>
  <c r="D44" i="107"/>
  <c r="E44" i="107" s="1"/>
  <c r="F44" i="107" s="1"/>
  <c r="J44" i="107"/>
  <c r="K44" i="107" s="1"/>
  <c r="L44" i="107" s="1"/>
  <c r="P44" i="107"/>
  <c r="Q44" i="107" s="1"/>
  <c r="R44" i="107" s="1"/>
  <c r="V44" i="107"/>
  <c r="W44" i="107" s="1"/>
  <c r="AB44" i="107"/>
  <c r="AC44" i="107" s="1"/>
  <c r="AD44" i="107" s="1"/>
  <c r="AH44" i="107"/>
  <c r="AI44" i="107" s="1"/>
  <c r="AJ44" i="107" s="1"/>
  <c r="AN44" i="107"/>
  <c r="AT44" i="107"/>
  <c r="AZ44" i="107"/>
  <c r="BA44" i="107" s="1"/>
  <c r="BB44" i="107" s="1"/>
  <c r="BH44" i="107"/>
  <c r="BI44" i="107" s="1"/>
  <c r="BM44" i="107"/>
  <c r="BN44" i="107" s="1"/>
  <c r="BO44" i="107" s="1"/>
  <c r="BU44" i="107"/>
  <c r="CA44" i="107"/>
  <c r="CG44" i="107"/>
  <c r="CM44" i="107"/>
  <c r="D45" i="107"/>
  <c r="J45" i="107"/>
  <c r="K45" i="107" s="1"/>
  <c r="L45" i="107" s="1"/>
  <c r="P45" i="107"/>
  <c r="V45" i="107"/>
  <c r="W45" i="107" s="1"/>
  <c r="X45" i="107" s="1"/>
  <c r="AB45" i="107"/>
  <c r="AC45" i="107" s="1"/>
  <c r="AD45" i="107" s="1"/>
  <c r="AH45" i="107"/>
  <c r="AI45" i="107" s="1"/>
  <c r="AJ45" i="107" s="1"/>
  <c r="AK45" i="107" s="1"/>
  <c r="AN45" i="107"/>
  <c r="AO45" i="107" s="1"/>
  <c r="AP45" i="107" s="1"/>
  <c r="AQ45" i="107" s="1"/>
  <c r="AT45" i="107"/>
  <c r="AZ45" i="107"/>
  <c r="BF45" i="107"/>
  <c r="BG45" i="107" s="1"/>
  <c r="BH45" i="107" s="1"/>
  <c r="BL45" i="107"/>
  <c r="BU45" i="107"/>
  <c r="CA45" i="107"/>
  <c r="CG45" i="107"/>
  <c r="CM45" i="107"/>
  <c r="C46" i="107"/>
  <c r="I46" i="107"/>
  <c r="O46" i="107"/>
  <c r="U46" i="107"/>
  <c r="AA46" i="107"/>
  <c r="AG46" i="107"/>
  <c r="AM46" i="107"/>
  <c r="AS46" i="107"/>
  <c r="AY46" i="107"/>
  <c r="BE46" i="107"/>
  <c r="BK46" i="107"/>
  <c r="BQ46" i="107"/>
  <c r="D48" i="107"/>
  <c r="E48" i="107" s="1"/>
  <c r="F48" i="107" s="1"/>
  <c r="G48" i="107" s="1"/>
  <c r="J48" i="107"/>
  <c r="P48" i="107"/>
  <c r="V48" i="107"/>
  <c r="W48" i="107" s="1"/>
  <c r="X48" i="107" s="1"/>
  <c r="AB48" i="107"/>
  <c r="AC48" i="107" s="1"/>
  <c r="AH48" i="107"/>
  <c r="AN48" i="107"/>
  <c r="AO48" i="107" s="1"/>
  <c r="AT48" i="107"/>
  <c r="AU48" i="107" s="1"/>
  <c r="AV48" i="107" s="1"/>
  <c r="AZ48" i="107"/>
  <c r="BF48" i="107"/>
  <c r="BL48" i="107"/>
  <c r="BU48" i="107"/>
  <c r="CA48" i="107"/>
  <c r="CG48" i="107"/>
  <c r="CM48" i="107"/>
  <c r="G52" i="107"/>
  <c r="BO52" i="107"/>
  <c r="G63" i="107"/>
  <c r="M63" i="107"/>
  <c r="S63" i="107"/>
  <c r="Y63" i="107"/>
  <c r="AE63" i="107"/>
  <c r="AK63" i="107"/>
  <c r="AQ63" i="107"/>
  <c r="AW63" i="107"/>
  <c r="BC63" i="107"/>
  <c r="BI63" i="107"/>
  <c r="BO63" i="107"/>
  <c r="I64" i="107"/>
  <c r="J64" i="107"/>
  <c r="K64" i="107"/>
  <c r="L64" i="107"/>
  <c r="O64" i="107"/>
  <c r="P64" i="107"/>
  <c r="Q64" i="107"/>
  <c r="R64" i="107"/>
  <c r="U64" i="107"/>
  <c r="V64" i="107"/>
  <c r="W64" i="107"/>
  <c r="X64" i="107"/>
  <c r="AA64" i="107"/>
  <c r="AB64" i="107"/>
  <c r="AC64" i="107"/>
  <c r="AD64" i="107"/>
  <c r="AG64" i="107"/>
  <c r="AH64" i="107"/>
  <c r="AI64" i="107"/>
  <c r="AJ64" i="107"/>
  <c r="AM64" i="107"/>
  <c r="AN64" i="107"/>
  <c r="AO64" i="107"/>
  <c r="AP64" i="107"/>
  <c r="AS64" i="107"/>
  <c r="AT64" i="107"/>
  <c r="AU64" i="107"/>
  <c r="AV64" i="107"/>
  <c r="AY64" i="107"/>
  <c r="AZ64" i="107"/>
  <c r="BA64" i="107"/>
  <c r="BB64" i="107"/>
  <c r="BE64" i="107"/>
  <c r="BF64" i="107"/>
  <c r="BG64" i="107"/>
  <c r="BH64" i="107"/>
  <c r="BK64" i="107"/>
  <c r="BL64" i="107"/>
  <c r="BM64" i="107"/>
  <c r="BN64" i="107"/>
  <c r="BQ64" i="107"/>
  <c r="I74" i="107"/>
  <c r="J74" i="107"/>
  <c r="K74" i="107"/>
  <c r="L74" i="107"/>
  <c r="O74" i="107"/>
  <c r="P74" i="107"/>
  <c r="Q74" i="107"/>
  <c r="R74" i="107"/>
  <c r="U74" i="107"/>
  <c r="V74" i="107"/>
  <c r="W74" i="107"/>
  <c r="X74" i="107"/>
  <c r="AA74" i="107"/>
  <c r="AB74" i="107"/>
  <c r="AC74" i="107"/>
  <c r="AD74" i="107"/>
  <c r="AG74" i="107"/>
  <c r="AH74" i="107"/>
  <c r="AI74" i="107"/>
  <c r="AJ74" i="107"/>
  <c r="AM74" i="107"/>
  <c r="AN74" i="107"/>
  <c r="AO74" i="107"/>
  <c r="AP74" i="107"/>
  <c r="AS74" i="107"/>
  <c r="AT74" i="107"/>
  <c r="AU74" i="107"/>
  <c r="AV74" i="107"/>
  <c r="AY74" i="107"/>
  <c r="AZ74" i="107"/>
  <c r="BA74" i="107"/>
  <c r="BB74" i="107"/>
  <c r="BO75" i="107"/>
  <c r="M79" i="107"/>
  <c r="J79" i="107" s="1"/>
  <c r="BO79" i="107"/>
  <c r="C82" i="107"/>
  <c r="D82" i="107"/>
  <c r="E82" i="107"/>
  <c r="F82" i="107"/>
  <c r="G82" i="107"/>
  <c r="M82" i="107"/>
  <c r="S82" i="107"/>
  <c r="Y82" i="107"/>
  <c r="AE82" i="107"/>
  <c r="AK82" i="107"/>
  <c r="AQ82" i="107"/>
  <c r="AW82" i="107"/>
  <c r="BC82" i="107"/>
  <c r="BI82" i="107"/>
  <c r="L85" i="107"/>
  <c r="AD85" i="107"/>
  <c r="AJ85" i="107"/>
  <c r="AP85" i="107"/>
  <c r="AU85" i="107"/>
  <c r="AY85" i="107"/>
  <c r="BH85" i="107"/>
  <c r="BN85" i="107"/>
  <c r="C86" i="107"/>
  <c r="C87" i="107" s="1"/>
  <c r="I86" i="107"/>
  <c r="I87" i="107" s="1"/>
  <c r="O86" i="107"/>
  <c r="O87" i="107" s="1"/>
  <c r="U86" i="107"/>
  <c r="U87" i="107" s="1"/>
  <c r="AA86" i="107"/>
  <c r="AA87" i="107" s="1"/>
  <c r="AB86" i="107"/>
  <c r="AB87" i="107" s="1"/>
  <c r="AG86" i="107"/>
  <c r="AG87" i="107" s="1"/>
  <c r="AM86" i="107"/>
  <c r="AM87" i="107" s="1"/>
  <c r="AS86" i="107"/>
  <c r="AS87" i="107" s="1"/>
  <c r="AY86" i="107"/>
  <c r="BE86" i="107"/>
  <c r="BE87" i="107" s="1"/>
  <c r="BK86" i="107"/>
  <c r="BK87" i="107" s="1"/>
  <c r="C94" i="107"/>
  <c r="D94" i="107"/>
  <c r="E94" i="107"/>
  <c r="F94" i="107"/>
  <c r="G94" i="107"/>
  <c r="I94" i="107"/>
  <c r="J94" i="107"/>
  <c r="K94" i="107"/>
  <c r="L94" i="107"/>
  <c r="M94" i="107"/>
  <c r="O94" i="107"/>
  <c r="P94" i="107"/>
  <c r="Q94" i="107"/>
  <c r="R94" i="107"/>
  <c r="S94" i="107"/>
  <c r="U94" i="107"/>
  <c r="V94" i="107"/>
  <c r="W94" i="107"/>
  <c r="X94" i="107"/>
  <c r="Y94" i="107"/>
  <c r="AA94" i="107"/>
  <c r="AB94" i="107"/>
  <c r="AC94" i="107"/>
  <c r="AD94" i="107"/>
  <c r="AE94" i="107"/>
  <c r="AG94" i="107"/>
  <c r="AH94" i="107"/>
  <c r="AI94" i="107"/>
  <c r="AJ94" i="107"/>
  <c r="AK94" i="107"/>
  <c r="AM94" i="107"/>
  <c r="AN94" i="107"/>
  <c r="AO94" i="107"/>
  <c r="AP94" i="107"/>
  <c r="AQ94" i="107"/>
  <c r="AS94" i="107"/>
  <c r="AT94" i="107"/>
  <c r="AU94" i="107"/>
  <c r="AV94" i="107"/>
  <c r="AW94" i="107"/>
  <c r="AY94" i="107"/>
  <c r="AZ94" i="107"/>
  <c r="BA94" i="107"/>
  <c r="BB94" i="107"/>
  <c r="BC94" i="107"/>
  <c r="BE94" i="107"/>
  <c r="BF94" i="107"/>
  <c r="BG94" i="107"/>
  <c r="BH94" i="107"/>
  <c r="BI94" i="107"/>
  <c r="BK94" i="107"/>
  <c r="BL94" i="107"/>
  <c r="BM94" i="107"/>
  <c r="BN94" i="107"/>
  <c r="BO94" i="107"/>
  <c r="BQ94" i="107"/>
  <c r="BR94" i="107"/>
  <c r="BS94" i="107"/>
  <c r="BT94" i="107"/>
  <c r="BU94" i="107"/>
  <c r="BW94" i="107"/>
  <c r="BX94" i="107"/>
  <c r="BY94" i="107"/>
  <c r="BZ94" i="107"/>
  <c r="CA94" i="107"/>
  <c r="CC94" i="107"/>
  <c r="CD94" i="107"/>
  <c r="CE94" i="107"/>
  <c r="CF94" i="107"/>
  <c r="CG94" i="107"/>
  <c r="CI94" i="107"/>
  <c r="CJ94" i="107"/>
  <c r="CK94" i="107"/>
  <c r="CL94" i="107"/>
  <c r="CM94" i="107"/>
  <c r="C97" i="107"/>
  <c r="D97" i="107"/>
  <c r="E97" i="107"/>
  <c r="I97" i="107"/>
  <c r="J97" i="107"/>
  <c r="K97" i="107"/>
  <c r="O97" i="107"/>
  <c r="P97" i="107"/>
  <c r="Q97" i="107"/>
  <c r="U97" i="107"/>
  <c r="V97" i="107"/>
  <c r="W97" i="107"/>
  <c r="AY97" i="107"/>
  <c r="BE97" i="107"/>
  <c r="BF97" i="107"/>
  <c r="BG97" i="107"/>
  <c r="BK97" i="107"/>
  <c r="BL97" i="107"/>
  <c r="BM97" i="107"/>
  <c r="C98" i="107"/>
  <c r="D98" i="107"/>
  <c r="E98" i="107"/>
  <c r="F98" i="107"/>
  <c r="I98" i="107"/>
  <c r="J98" i="107"/>
  <c r="K98" i="107"/>
  <c r="L98" i="107"/>
  <c r="O98" i="107"/>
  <c r="P98" i="107"/>
  <c r="Q98" i="107"/>
  <c r="R98" i="107"/>
  <c r="U98" i="107"/>
  <c r="V98" i="107"/>
  <c r="W98" i="107"/>
  <c r="X98" i="107"/>
  <c r="AA98" i="107"/>
  <c r="AB98" i="107"/>
  <c r="AC98" i="107"/>
  <c r="AD98" i="107"/>
  <c r="AG98" i="107"/>
  <c r="AH98" i="107"/>
  <c r="AI98" i="107"/>
  <c r="AJ98" i="107"/>
  <c r="AN98" i="107"/>
  <c r="AO98" i="107"/>
  <c r="AP98" i="107"/>
  <c r="AS98" i="107"/>
  <c r="C100" i="107"/>
  <c r="I100" i="107"/>
  <c r="O100" i="107"/>
  <c r="U100" i="107"/>
  <c r="AA100" i="107"/>
  <c r="AG100" i="107"/>
  <c r="AM100" i="107"/>
  <c r="AS100" i="107"/>
  <c r="AY100" i="107"/>
  <c r="BE100" i="107"/>
  <c r="BK100" i="107"/>
  <c r="BQ100" i="107"/>
  <c r="G5" i="106"/>
  <c r="M5" i="106"/>
  <c r="S5" i="106"/>
  <c r="Y5" i="106"/>
  <c r="AE5" i="106"/>
  <c r="AK5" i="106"/>
  <c r="AQ5" i="106"/>
  <c r="AW5" i="106"/>
  <c r="BC5" i="106"/>
  <c r="BI5" i="106"/>
  <c r="BO5" i="106"/>
  <c r="BU5" i="106"/>
  <c r="CA5" i="106"/>
  <c r="CG5" i="106"/>
  <c r="CM5" i="106"/>
  <c r="G6" i="106"/>
  <c r="U6" i="106"/>
  <c r="V6" i="106"/>
  <c r="W6" i="106"/>
  <c r="X6" i="106"/>
  <c r="M6" i="106"/>
  <c r="S6" i="106"/>
  <c r="Y6" i="106"/>
  <c r="AE6" i="106"/>
  <c r="AK6" i="106"/>
  <c r="AQ6" i="106"/>
  <c r="AW6" i="106"/>
  <c r="BC6" i="106"/>
  <c r="BI6" i="106"/>
  <c r="BO6" i="106"/>
  <c r="BU6" i="106"/>
  <c r="CA6" i="106"/>
  <c r="CC6" i="106"/>
  <c r="CD6" i="106"/>
  <c r="CE6" i="106"/>
  <c r="CF6" i="106"/>
  <c r="CG6" i="106"/>
  <c r="CM6" i="106"/>
  <c r="G9" i="106"/>
  <c r="M9" i="106"/>
  <c r="M167" i="106" s="1"/>
  <c r="S9" i="106"/>
  <c r="Y9" i="106"/>
  <c r="AE9" i="106"/>
  <c r="AK9" i="106"/>
  <c r="AQ9" i="106"/>
  <c r="AW9" i="106"/>
  <c r="AW86" i="106" s="1"/>
  <c r="BC9" i="106"/>
  <c r="BI9" i="106"/>
  <c r="BI167" i="106" s="1"/>
  <c r="BO9" i="106"/>
  <c r="G10" i="106"/>
  <c r="G168" i="106" s="1"/>
  <c r="M10" i="106"/>
  <c r="M168" i="106" s="1"/>
  <c r="S10" i="106"/>
  <c r="S168" i="106" s="1"/>
  <c r="Y10" i="106"/>
  <c r="Y168" i="106" s="1"/>
  <c r="AE10" i="106"/>
  <c r="AE168" i="106" s="1"/>
  <c r="AK10" i="106"/>
  <c r="AK168" i="106" s="1"/>
  <c r="AQ10" i="106"/>
  <c r="AQ168" i="106" s="1"/>
  <c r="AW10" i="106"/>
  <c r="AW168" i="106" s="1"/>
  <c r="BC10" i="106"/>
  <c r="BC168" i="106" s="1"/>
  <c r="BI10" i="106"/>
  <c r="BI168" i="106" s="1"/>
  <c r="BO10" i="106"/>
  <c r="BO168" i="106" s="1"/>
  <c r="G11" i="106"/>
  <c r="M11" i="106"/>
  <c r="S11" i="106"/>
  <c r="Y11" i="106"/>
  <c r="AE11" i="106"/>
  <c r="AK11" i="106"/>
  <c r="AQ11" i="106"/>
  <c r="AW11" i="106"/>
  <c r="BC11" i="106"/>
  <c r="BI11" i="106"/>
  <c r="BO11" i="106"/>
  <c r="G12" i="106"/>
  <c r="I19" i="107" s="1"/>
  <c r="M12" i="106"/>
  <c r="O19" i="107" s="1"/>
  <c r="S12" i="106"/>
  <c r="U19" i="107" s="1"/>
  <c r="Y12" i="106"/>
  <c r="AE12" i="106"/>
  <c r="AG19" i="107" s="1"/>
  <c r="AK12" i="106"/>
  <c r="AM19" i="107" s="1"/>
  <c r="AQ12" i="106"/>
  <c r="AS19" i="107" s="1"/>
  <c r="AW12" i="106"/>
  <c r="AY19" i="107" s="1"/>
  <c r="BC12" i="106"/>
  <c r="BE19" i="107" s="1"/>
  <c r="BI12" i="106"/>
  <c r="BK19" i="107" s="1"/>
  <c r="BO12" i="106"/>
  <c r="G13" i="106"/>
  <c r="M13" i="106"/>
  <c r="S13" i="106"/>
  <c r="Y13" i="106"/>
  <c r="AE13" i="106"/>
  <c r="AK13" i="106"/>
  <c r="AQ13" i="106"/>
  <c r="AW13" i="106"/>
  <c r="BC13" i="106"/>
  <c r="BI13" i="106"/>
  <c r="BO13" i="106"/>
  <c r="BQ87" i="106"/>
  <c r="G14" i="106"/>
  <c r="M14" i="106"/>
  <c r="S14" i="106"/>
  <c r="Y14" i="106"/>
  <c r="AE14" i="106"/>
  <c r="AK14" i="106"/>
  <c r="AQ14" i="106"/>
  <c r="AW14" i="106"/>
  <c r="BC14" i="106"/>
  <c r="BE14" i="106"/>
  <c r="BI14" i="106"/>
  <c r="BO14" i="106"/>
  <c r="BT14" i="106"/>
  <c r="BU14" i="106" s="1"/>
  <c r="BW14" i="106" s="1"/>
  <c r="BX14" i="106" s="1"/>
  <c r="BY14" i="106" s="1"/>
  <c r="BZ14" i="106" s="1"/>
  <c r="CA14" i="106" s="1"/>
  <c r="CC14" i="106" s="1"/>
  <c r="CD14" i="106" s="1"/>
  <c r="CE14" i="106" s="1"/>
  <c r="CF14" i="106" s="1"/>
  <c r="CG14" i="106" s="1"/>
  <c r="CI14" i="106" s="1"/>
  <c r="CJ14" i="106" s="1"/>
  <c r="CK14" i="106" s="1"/>
  <c r="CL14" i="106" s="1"/>
  <c r="CM14" i="106" s="1"/>
  <c r="C15" i="106"/>
  <c r="D15" i="106"/>
  <c r="E15" i="106"/>
  <c r="F15" i="106"/>
  <c r="I15" i="106"/>
  <c r="J15" i="106"/>
  <c r="K15" i="106"/>
  <c r="L15" i="106"/>
  <c r="L22" i="106" s="1"/>
  <c r="O15" i="106"/>
  <c r="O22" i="106" s="1"/>
  <c r="P15" i="106"/>
  <c r="P22" i="106" s="1"/>
  <c r="Q15" i="106"/>
  <c r="Q22" i="106" s="1"/>
  <c r="R15" i="106"/>
  <c r="R22" i="106" s="1"/>
  <c r="U15" i="106"/>
  <c r="U22" i="106" s="1"/>
  <c r="V15" i="106"/>
  <c r="V22" i="106" s="1"/>
  <c r="W15" i="106"/>
  <c r="W22" i="106" s="1"/>
  <c r="X15" i="106"/>
  <c r="X22" i="106" s="1"/>
  <c r="AA15" i="106"/>
  <c r="AB15" i="106"/>
  <c r="AB22" i="106" s="1"/>
  <c r="AC15" i="106"/>
  <c r="AC22" i="106" s="1"/>
  <c r="AD15" i="106"/>
  <c r="AD22" i="106" s="1"/>
  <c r="AG15" i="106"/>
  <c r="AG22" i="106" s="1"/>
  <c r="AH15" i="106"/>
  <c r="AH22" i="106" s="1"/>
  <c r="AI15" i="106"/>
  <c r="AI22" i="106" s="1"/>
  <c r="AJ15" i="106"/>
  <c r="AM15" i="106"/>
  <c r="AM22" i="106" s="1"/>
  <c r="AN15" i="106"/>
  <c r="AN22" i="106" s="1"/>
  <c r="AO15" i="106"/>
  <c r="AO22" i="106" s="1"/>
  <c r="AP15" i="106"/>
  <c r="AP22" i="106" s="1"/>
  <c r="AS15" i="106"/>
  <c r="AS22" i="106" s="1"/>
  <c r="AT15" i="106"/>
  <c r="AT22" i="106" s="1"/>
  <c r="AU15" i="106"/>
  <c r="AV15" i="106"/>
  <c r="AY15" i="106"/>
  <c r="AY22" i="106" s="1"/>
  <c r="AZ15" i="106"/>
  <c r="AZ22" i="106" s="1"/>
  <c r="BA15" i="106"/>
  <c r="BB15" i="106"/>
  <c r="BE15" i="106"/>
  <c r="BE22" i="106" s="1"/>
  <c r="BF15" i="106"/>
  <c r="BF22" i="106" s="1"/>
  <c r="BG15" i="106"/>
  <c r="BH15" i="106"/>
  <c r="BH22" i="106" s="1"/>
  <c r="BK15" i="106"/>
  <c r="BK22" i="106" s="1"/>
  <c r="BL15" i="106"/>
  <c r="BL22" i="106" s="1"/>
  <c r="BM15" i="106"/>
  <c r="BN15" i="106"/>
  <c r="BN22" i="106" s="1"/>
  <c r="BQ15" i="106"/>
  <c r="BQ22" i="106" s="1"/>
  <c r="G17" i="106"/>
  <c r="G117" i="106" s="1"/>
  <c r="M17" i="106"/>
  <c r="M117" i="106" s="1"/>
  <c r="S17" i="106"/>
  <c r="S117" i="106" s="1"/>
  <c r="Y17" i="106"/>
  <c r="Y117" i="106" s="1"/>
  <c r="AE17" i="106"/>
  <c r="AK17" i="106"/>
  <c r="AK117" i="106" s="1"/>
  <c r="AQ17" i="106"/>
  <c r="AQ117" i="106" s="1"/>
  <c r="AW17" i="106"/>
  <c r="AW117" i="106" s="1"/>
  <c r="BC17" i="106"/>
  <c r="BC117" i="106" s="1"/>
  <c r="BI17" i="106"/>
  <c r="BI117" i="106" s="1"/>
  <c r="BO17" i="106"/>
  <c r="BO117" i="106" s="1"/>
  <c r="BQ103" i="106"/>
  <c r="BU103" i="106" s="1"/>
  <c r="BQ104" i="106"/>
  <c r="BQ105" i="106" s="1"/>
  <c r="BQ137" i="106"/>
  <c r="BQ92" i="107" s="1"/>
  <c r="BR91" i="107"/>
  <c r="BQ117" i="106"/>
  <c r="BQ112" i="106"/>
  <c r="BT105" i="106"/>
  <c r="BT137" i="106"/>
  <c r="BT122" i="106" s="1"/>
  <c r="BU108" i="106"/>
  <c r="BU106" i="106"/>
  <c r="BW137" i="106"/>
  <c r="BW91" i="107" s="1"/>
  <c r="BQ111" i="106"/>
  <c r="BU111" i="106" s="1"/>
  <c r="BX137" i="106"/>
  <c r="BX93" i="107" s="1"/>
  <c r="BY137" i="106"/>
  <c r="BZ137" i="106"/>
  <c r="BZ93" i="107" s="1"/>
  <c r="CA108" i="106"/>
  <c r="CA106" i="106"/>
  <c r="CC137" i="106"/>
  <c r="CC91" i="107" s="1"/>
  <c r="CA114" i="106"/>
  <c r="CD137" i="106"/>
  <c r="CD107" i="106" s="1"/>
  <c r="CE137" i="106"/>
  <c r="CE93" i="107" s="1"/>
  <c r="CF137" i="106"/>
  <c r="CG108" i="106"/>
  <c r="CG106" i="106"/>
  <c r="CI137" i="106"/>
  <c r="CI93" i="107" s="1"/>
  <c r="CG114" i="106"/>
  <c r="CJ137" i="106"/>
  <c r="CK137" i="106"/>
  <c r="CK91" i="107" s="1"/>
  <c r="CL137" i="106"/>
  <c r="G18" i="106"/>
  <c r="M18" i="106"/>
  <c r="S18" i="106"/>
  <c r="Y18" i="106"/>
  <c r="AE18" i="106"/>
  <c r="AK18" i="106"/>
  <c r="AQ18" i="106"/>
  <c r="AW18" i="106"/>
  <c r="BC18" i="106"/>
  <c r="BI18" i="106"/>
  <c r="BO18" i="106"/>
  <c r="BQ88" i="106"/>
  <c r="BW88" i="106" s="1"/>
  <c r="G19" i="106"/>
  <c r="G169" i="106" s="1"/>
  <c r="M19" i="106"/>
  <c r="M169" i="106" s="1"/>
  <c r="S19" i="106"/>
  <c r="S169" i="106" s="1"/>
  <c r="Y19" i="106"/>
  <c r="Y169" i="106" s="1"/>
  <c r="AE19" i="106"/>
  <c r="AE169" i="106" s="1"/>
  <c r="AK19" i="106"/>
  <c r="AK169" i="106" s="1"/>
  <c r="AQ19" i="106"/>
  <c r="AQ169" i="106" s="1"/>
  <c r="AW19" i="106"/>
  <c r="AW169" i="106" s="1"/>
  <c r="BC19" i="106"/>
  <c r="BC169" i="106" s="1"/>
  <c r="BI19" i="106"/>
  <c r="BI169" i="106" s="1"/>
  <c r="BO19" i="106"/>
  <c r="BO169" i="106" s="1"/>
  <c r="BQ133" i="106"/>
  <c r="BR130" i="106" s="1"/>
  <c r="BR132" i="106" s="1"/>
  <c r="G130" i="106"/>
  <c r="C137" i="106"/>
  <c r="C93" i="107" s="1"/>
  <c r="C133" i="106"/>
  <c r="D133" i="106"/>
  <c r="E130" i="106" s="1"/>
  <c r="E133" i="106"/>
  <c r="E134" i="106" s="1"/>
  <c r="F133" i="106"/>
  <c r="F134" i="106" s="1"/>
  <c r="I137" i="106"/>
  <c r="I131" i="106" s="1"/>
  <c r="I133" i="106"/>
  <c r="J130" i="106" s="1"/>
  <c r="J133" i="106"/>
  <c r="K130" i="106" s="1"/>
  <c r="K133" i="106"/>
  <c r="L130" i="106" s="1"/>
  <c r="L133" i="106"/>
  <c r="L134" i="106" s="1"/>
  <c r="O137" i="106"/>
  <c r="O107" i="106" s="1"/>
  <c r="O133" i="106"/>
  <c r="P130" i="106" s="1"/>
  <c r="P133" i="106"/>
  <c r="Q130" i="106" s="1"/>
  <c r="Q133" i="106"/>
  <c r="R130" i="106" s="1"/>
  <c r="R133" i="106"/>
  <c r="R134" i="106" s="1"/>
  <c r="U137" i="106"/>
  <c r="U133" i="106"/>
  <c r="V130" i="106" s="1"/>
  <c r="V133" i="106"/>
  <c r="W130" i="106" s="1"/>
  <c r="W133" i="106"/>
  <c r="X130" i="106" s="1"/>
  <c r="X133" i="106"/>
  <c r="X134" i="106" s="1"/>
  <c r="AA137" i="106"/>
  <c r="AA107" i="106" s="1"/>
  <c r="AA133" i="106"/>
  <c r="AB130" i="106" s="1"/>
  <c r="AB133" i="106"/>
  <c r="AC130" i="106" s="1"/>
  <c r="AC133" i="106"/>
  <c r="AC134" i="106" s="1"/>
  <c r="AD133" i="106"/>
  <c r="AD134" i="106" s="1"/>
  <c r="AG137" i="106"/>
  <c r="AG107" i="106" s="1"/>
  <c r="AG133" i="106"/>
  <c r="AH130" i="106" s="1"/>
  <c r="AH133" i="106"/>
  <c r="AH134" i="106" s="1"/>
  <c r="AI133" i="106"/>
  <c r="AJ130" i="106" s="1"/>
  <c r="AJ133" i="106"/>
  <c r="AJ134" i="106" s="1"/>
  <c r="AM137" i="106"/>
  <c r="AM107" i="106" s="1"/>
  <c r="AM133" i="106"/>
  <c r="AN130" i="106" s="1"/>
  <c r="AN133" i="106"/>
  <c r="AO130" i="106" s="1"/>
  <c r="AO133" i="106"/>
  <c r="AP130" i="106" s="1"/>
  <c r="AP133" i="106"/>
  <c r="AP134" i="106" s="1"/>
  <c r="AS137" i="106"/>
  <c r="AS131" i="106" s="1"/>
  <c r="AS133" i="106"/>
  <c r="AS134" i="106" s="1"/>
  <c r="AT133" i="106"/>
  <c r="AT134" i="106" s="1"/>
  <c r="AT130" i="106"/>
  <c r="AU133" i="106"/>
  <c r="AU134" i="106" s="1"/>
  <c r="AV133" i="106"/>
  <c r="AV134" i="106" s="1"/>
  <c r="AY137" i="106"/>
  <c r="AY107" i="106" s="1"/>
  <c r="AY133" i="106"/>
  <c r="AZ130" i="106" s="1"/>
  <c r="AZ133" i="106"/>
  <c r="BA130" i="106" s="1"/>
  <c r="BA133" i="106"/>
  <c r="BB130" i="106" s="1"/>
  <c r="BB133" i="106"/>
  <c r="BB134" i="106" s="1"/>
  <c r="BE137" i="106"/>
  <c r="BE133" i="106"/>
  <c r="BF130" i="106" s="1"/>
  <c r="BF133" i="106"/>
  <c r="BG130" i="106" s="1"/>
  <c r="BG133" i="106"/>
  <c r="BG134" i="106" s="1"/>
  <c r="BH133" i="106"/>
  <c r="BH134" i="106" s="1"/>
  <c r="BK137" i="106"/>
  <c r="BK93" i="107" s="1"/>
  <c r="BK133" i="106"/>
  <c r="BK134" i="106" s="1"/>
  <c r="BL133" i="106"/>
  <c r="BM130" i="106" s="1"/>
  <c r="BM133" i="106"/>
  <c r="BN130" i="106" s="1"/>
  <c r="BN133" i="106"/>
  <c r="BN134" i="106" s="1"/>
  <c r="CA132" i="106"/>
  <c r="CG132" i="106"/>
  <c r="G20" i="106"/>
  <c r="M20" i="106"/>
  <c r="S20" i="106"/>
  <c r="Y20" i="106"/>
  <c r="AE20" i="106"/>
  <c r="AK20" i="106"/>
  <c r="AQ20" i="106"/>
  <c r="AW20" i="106"/>
  <c r="BC20" i="106"/>
  <c r="BI20" i="106"/>
  <c r="BO20" i="106"/>
  <c r="BQ126" i="106"/>
  <c r="BR121" i="106" s="1"/>
  <c r="BQ123" i="106"/>
  <c r="G121" i="106"/>
  <c r="C123" i="106"/>
  <c r="C124" i="106" s="1"/>
  <c r="C126" i="106"/>
  <c r="D121" i="106" s="1"/>
  <c r="D126" i="106"/>
  <c r="E121" i="106" s="1"/>
  <c r="E126" i="106"/>
  <c r="F121" i="106" s="1"/>
  <c r="F126" i="106"/>
  <c r="F127" i="106" s="1"/>
  <c r="I123" i="106"/>
  <c r="I126" i="106"/>
  <c r="I127" i="106" s="1"/>
  <c r="J126" i="106"/>
  <c r="J127" i="106" s="1"/>
  <c r="K126" i="106"/>
  <c r="L121" i="106" s="1"/>
  <c r="L126" i="106"/>
  <c r="O123" i="106"/>
  <c r="O126" i="106"/>
  <c r="P121" i="106" s="1"/>
  <c r="P126" i="106"/>
  <c r="Q121" i="106" s="1"/>
  <c r="Q126" i="106"/>
  <c r="Q127" i="106" s="1"/>
  <c r="R126" i="106"/>
  <c r="R127" i="106" s="1"/>
  <c r="U123" i="106"/>
  <c r="W123" i="106"/>
  <c r="U126" i="106"/>
  <c r="V121" i="106" s="1"/>
  <c r="V126" i="106"/>
  <c r="V127" i="106" s="1"/>
  <c r="W126" i="106"/>
  <c r="W127" i="106" s="1"/>
  <c r="X126" i="106"/>
  <c r="X127" i="106" s="1"/>
  <c r="AA123" i="106"/>
  <c r="AA126" i="106"/>
  <c r="AB121" i="106" s="1"/>
  <c r="AB126" i="106"/>
  <c r="AB127" i="106" s="1"/>
  <c r="AC126" i="106"/>
  <c r="AD121" i="106" s="1"/>
  <c r="AD126" i="106"/>
  <c r="AD127" i="106" s="1"/>
  <c r="AG123" i="106"/>
  <c r="AG126" i="106"/>
  <c r="AH121" i="106" s="1"/>
  <c r="AH126" i="106"/>
  <c r="AH127" i="106" s="1"/>
  <c r="AI126" i="106"/>
  <c r="AJ121" i="106" s="1"/>
  <c r="AJ126" i="106"/>
  <c r="AJ127" i="106" s="1"/>
  <c r="AM123" i="106"/>
  <c r="AM126" i="106"/>
  <c r="AN121" i="106" s="1"/>
  <c r="AN126" i="106"/>
  <c r="AN127" i="106" s="1"/>
  <c r="AO126" i="106"/>
  <c r="AP121" i="106" s="1"/>
  <c r="AP126" i="106"/>
  <c r="AP127" i="106" s="1"/>
  <c r="AS123" i="106"/>
  <c r="AS126" i="106"/>
  <c r="AS127" i="106" s="1"/>
  <c r="AT126" i="106"/>
  <c r="AU121" i="106" s="1"/>
  <c r="AU126" i="106"/>
  <c r="AV121" i="106" s="1"/>
  <c r="AV126" i="106"/>
  <c r="AV127" i="106" s="1"/>
  <c r="AY123" i="106"/>
  <c r="AY126" i="106"/>
  <c r="AZ121" i="106" s="1"/>
  <c r="AZ126" i="106"/>
  <c r="BA121" i="106" s="1"/>
  <c r="BA126" i="106"/>
  <c r="BA127" i="106" s="1"/>
  <c r="BB126" i="106"/>
  <c r="BB127" i="106" s="1"/>
  <c r="BE123" i="106"/>
  <c r="BE126" i="106"/>
  <c r="BE127" i="106" s="1"/>
  <c r="BF126" i="106"/>
  <c r="BG121" i="106" s="1"/>
  <c r="BG126" i="106"/>
  <c r="BG127" i="106" s="1"/>
  <c r="BH126" i="106"/>
  <c r="BH127" i="106" s="1"/>
  <c r="BK123" i="106"/>
  <c r="BK126" i="106"/>
  <c r="BK127" i="106" s="1"/>
  <c r="BL126" i="106"/>
  <c r="BM121" i="106" s="1"/>
  <c r="BM126" i="106"/>
  <c r="BM127" i="106" s="1"/>
  <c r="BN126" i="106"/>
  <c r="BN127" i="106" s="1"/>
  <c r="BW123" i="106"/>
  <c r="BW12" i="107" s="1"/>
  <c r="CA125" i="106"/>
  <c r="CC123" i="106"/>
  <c r="CG125" i="106"/>
  <c r="CI123" i="106"/>
  <c r="C21" i="106"/>
  <c r="C59" i="106" s="1"/>
  <c r="D21" i="106"/>
  <c r="E21" i="106"/>
  <c r="F21" i="106"/>
  <c r="I21" i="106"/>
  <c r="J21" i="106"/>
  <c r="K21" i="106"/>
  <c r="M21" i="106"/>
  <c r="S21" i="106"/>
  <c r="Y21" i="106"/>
  <c r="AE21" i="106"/>
  <c r="AK21" i="106"/>
  <c r="AQ21" i="106"/>
  <c r="AW21" i="106"/>
  <c r="BB21" i="106"/>
  <c r="BC21" i="106" s="1"/>
  <c r="BI21" i="106"/>
  <c r="BO21" i="106"/>
  <c r="BT21" i="106"/>
  <c r="BU21" i="106" s="1"/>
  <c r="BW21" i="106" s="1"/>
  <c r="BX21" i="106" s="1"/>
  <c r="BY21" i="106" s="1"/>
  <c r="BZ21" i="106" s="1"/>
  <c r="CA21" i="106" s="1"/>
  <c r="CC21" i="106" s="1"/>
  <c r="CD21" i="106" s="1"/>
  <c r="CE21" i="106" s="1"/>
  <c r="CF21" i="106" s="1"/>
  <c r="CG21" i="106" s="1"/>
  <c r="CI21" i="106" s="1"/>
  <c r="CJ21" i="106" s="1"/>
  <c r="CK21" i="106" s="1"/>
  <c r="CL21" i="106" s="1"/>
  <c r="CM21" i="106" s="1"/>
  <c r="G25" i="106"/>
  <c r="M25" i="106"/>
  <c r="S25" i="106"/>
  <c r="Y25" i="106"/>
  <c r="AE25" i="106"/>
  <c r="AK25" i="106"/>
  <c r="AQ25" i="106"/>
  <c r="AW25" i="106"/>
  <c r="BC25" i="106"/>
  <c r="BI25" i="106"/>
  <c r="BO25" i="106"/>
  <c r="G26" i="106"/>
  <c r="M26" i="106"/>
  <c r="S26" i="106"/>
  <c r="Y26" i="106"/>
  <c r="AE26" i="106"/>
  <c r="AK26" i="106"/>
  <c r="AQ26" i="106"/>
  <c r="AW26" i="106"/>
  <c r="BC26" i="106"/>
  <c r="BI26" i="106"/>
  <c r="BO26" i="106"/>
  <c r="G27" i="106"/>
  <c r="M27" i="106"/>
  <c r="S27" i="106"/>
  <c r="Y27" i="106"/>
  <c r="AE27" i="106"/>
  <c r="AK27" i="106"/>
  <c r="AQ27" i="106"/>
  <c r="AW27" i="106"/>
  <c r="BC27" i="106"/>
  <c r="BI27" i="106"/>
  <c r="BO27" i="106"/>
  <c r="BT27" i="106"/>
  <c r="BU27" i="106" s="1"/>
  <c r="BW27" i="106" s="1"/>
  <c r="BX27" i="106" s="1"/>
  <c r="BY27" i="106" s="1"/>
  <c r="BZ27" i="106" s="1"/>
  <c r="CA27" i="106" s="1"/>
  <c r="CC27" i="106" s="1"/>
  <c r="CD27" i="106" s="1"/>
  <c r="CE27" i="106" s="1"/>
  <c r="CF27" i="106" s="1"/>
  <c r="CG27" i="106" s="1"/>
  <c r="CI27" i="106" s="1"/>
  <c r="CJ27" i="106" s="1"/>
  <c r="CK27" i="106" s="1"/>
  <c r="CL27" i="106" s="1"/>
  <c r="CM27" i="106" s="1"/>
  <c r="G28" i="106"/>
  <c r="M28" i="106"/>
  <c r="S28" i="106"/>
  <c r="Y28" i="106"/>
  <c r="AE28" i="106"/>
  <c r="AK28" i="106"/>
  <c r="AQ28" i="106"/>
  <c r="AW28" i="106"/>
  <c r="BC28" i="106"/>
  <c r="BI28" i="106"/>
  <c r="BO28" i="106"/>
  <c r="G29" i="106"/>
  <c r="M29" i="106"/>
  <c r="S29" i="106"/>
  <c r="Y29" i="106"/>
  <c r="AE29" i="106"/>
  <c r="AK29" i="106"/>
  <c r="AQ29" i="106"/>
  <c r="AW29" i="106"/>
  <c r="BC29" i="106"/>
  <c r="BI29" i="106"/>
  <c r="BO29" i="106"/>
  <c r="G30" i="106"/>
  <c r="M30" i="106"/>
  <c r="S30" i="106"/>
  <c r="Y30" i="106"/>
  <c r="AB30" i="106"/>
  <c r="AB31" i="106" s="1"/>
  <c r="AB36" i="106" s="1"/>
  <c r="AE30" i="106"/>
  <c r="AK30" i="106"/>
  <c r="AQ30" i="106"/>
  <c r="AW30" i="106"/>
  <c r="BC30" i="106"/>
  <c r="BI30" i="106"/>
  <c r="BO30" i="106"/>
  <c r="BT30" i="106"/>
  <c r="BU30" i="106" s="1"/>
  <c r="BW30" i="106" s="1"/>
  <c r="BX30" i="106" s="1"/>
  <c r="BY30" i="106" s="1"/>
  <c r="BZ30" i="106" s="1"/>
  <c r="CA30" i="106" s="1"/>
  <c r="CC30" i="106" s="1"/>
  <c r="CD30" i="106" s="1"/>
  <c r="CE30" i="106" s="1"/>
  <c r="CF30" i="106" s="1"/>
  <c r="CG30" i="106" s="1"/>
  <c r="CI30" i="106" s="1"/>
  <c r="CJ30" i="106" s="1"/>
  <c r="CK30" i="106" s="1"/>
  <c r="CL30" i="106" s="1"/>
  <c r="CM30" i="106" s="1"/>
  <c r="C31" i="106"/>
  <c r="C69" i="106" s="1"/>
  <c r="D31" i="106"/>
  <c r="D69" i="106" s="1"/>
  <c r="E31" i="106"/>
  <c r="E69" i="106" s="1"/>
  <c r="F31" i="106"/>
  <c r="F36" i="106" s="1"/>
  <c r="I31" i="106"/>
  <c r="I36" i="106" s="1"/>
  <c r="J31" i="106"/>
  <c r="K31" i="106"/>
  <c r="K36" i="106" s="1"/>
  <c r="L31" i="106"/>
  <c r="L70" i="106" s="1"/>
  <c r="O31" i="106"/>
  <c r="O69" i="106" s="1"/>
  <c r="P31" i="106"/>
  <c r="P69" i="106" s="1"/>
  <c r="Q31" i="106"/>
  <c r="Q36" i="106" s="1"/>
  <c r="R31" i="106"/>
  <c r="R36" i="106" s="1"/>
  <c r="U31" i="106"/>
  <c r="U69" i="106" s="1"/>
  <c r="V31" i="106"/>
  <c r="V36" i="106" s="1"/>
  <c r="W31" i="106"/>
  <c r="W69" i="106" s="1"/>
  <c r="X31" i="106"/>
  <c r="AA31" i="106"/>
  <c r="AA36" i="106" s="1"/>
  <c r="AC31" i="106"/>
  <c r="AC36" i="106" s="1"/>
  <c r="AD31" i="106"/>
  <c r="AD36" i="106" s="1"/>
  <c r="AG31" i="106"/>
  <c r="AG70" i="106" s="1"/>
  <c r="AH31" i="106"/>
  <c r="AH69" i="106" s="1"/>
  <c r="AI31" i="106"/>
  <c r="AI36" i="106" s="1"/>
  <c r="AJ31" i="106"/>
  <c r="AJ36" i="106" s="1"/>
  <c r="AM31" i="106"/>
  <c r="AM36" i="106" s="1"/>
  <c r="AN31" i="106"/>
  <c r="AN69" i="106" s="1"/>
  <c r="AO31" i="106"/>
  <c r="AP31" i="106"/>
  <c r="AS31" i="106"/>
  <c r="AT31" i="106"/>
  <c r="AT36" i="106" s="1"/>
  <c r="AU31" i="106"/>
  <c r="AU36" i="106" s="1"/>
  <c r="AV31" i="106"/>
  <c r="AV36" i="106" s="1"/>
  <c r="AY31" i="106"/>
  <c r="AY36" i="106" s="1"/>
  <c r="AZ31" i="106"/>
  <c r="AZ69" i="106" s="1"/>
  <c r="BA31" i="106"/>
  <c r="BA36" i="106" s="1"/>
  <c r="BB31" i="106"/>
  <c r="BB36" i="106" s="1"/>
  <c r="BE31" i="106"/>
  <c r="BF31" i="106"/>
  <c r="BF36" i="106" s="1"/>
  <c r="BG31" i="106"/>
  <c r="BG36" i="106" s="1"/>
  <c r="BH31" i="106"/>
  <c r="BH36" i="106" s="1"/>
  <c r="BK31" i="106"/>
  <c r="BK69" i="106" s="1"/>
  <c r="BL31" i="106"/>
  <c r="BM31" i="106"/>
  <c r="BN31" i="106"/>
  <c r="BN69" i="106" s="1"/>
  <c r="BQ31" i="106"/>
  <c r="G33" i="106"/>
  <c r="M33" i="106"/>
  <c r="S33" i="106"/>
  <c r="Y33" i="106"/>
  <c r="AE33" i="106"/>
  <c r="AK33" i="106"/>
  <c r="AQ33" i="106"/>
  <c r="AW33" i="106"/>
  <c r="BC33" i="106"/>
  <c r="BI33" i="106"/>
  <c r="BO33" i="106"/>
  <c r="G34" i="106"/>
  <c r="G158" i="106" s="1"/>
  <c r="M34" i="106"/>
  <c r="M158" i="106" s="1"/>
  <c r="S34" i="106"/>
  <c r="S158" i="106" s="1"/>
  <c r="Y34" i="106"/>
  <c r="Y158" i="106" s="1"/>
  <c r="AE34" i="106"/>
  <c r="AE158" i="106" s="1"/>
  <c r="AK34" i="106"/>
  <c r="AK158" i="106" s="1"/>
  <c r="AQ34" i="106"/>
  <c r="AQ158" i="106" s="1"/>
  <c r="AW34" i="106"/>
  <c r="AW158" i="106" s="1"/>
  <c r="BC34" i="106"/>
  <c r="BC158" i="106" s="1"/>
  <c r="BI34" i="106"/>
  <c r="BI158" i="106" s="1"/>
  <c r="BO34" i="106"/>
  <c r="BO158" i="106" s="1"/>
  <c r="BR158" i="106"/>
  <c r="G35" i="106"/>
  <c r="G159" i="106" s="1"/>
  <c r="M35" i="106"/>
  <c r="M159" i="106" s="1"/>
  <c r="S35" i="106"/>
  <c r="S159" i="106" s="1"/>
  <c r="Y35" i="106"/>
  <c r="Y159" i="106" s="1"/>
  <c r="AE35" i="106"/>
  <c r="AE159" i="106" s="1"/>
  <c r="AK35" i="106"/>
  <c r="AK159" i="106" s="1"/>
  <c r="AQ35" i="106"/>
  <c r="AQ159" i="106" s="1"/>
  <c r="AW35" i="106"/>
  <c r="AW159" i="106" s="1"/>
  <c r="BC35" i="106"/>
  <c r="BC159" i="106" s="1"/>
  <c r="BE35" i="106"/>
  <c r="BI35" i="106"/>
  <c r="BI159" i="106" s="1"/>
  <c r="BO35" i="106"/>
  <c r="BO159" i="106" s="1"/>
  <c r="BR159" i="106"/>
  <c r="C36" i="106"/>
  <c r="X36" i="106"/>
  <c r="G39" i="106"/>
  <c r="M39" i="106"/>
  <c r="S39" i="106"/>
  <c r="Y39" i="106"/>
  <c r="AE39" i="106"/>
  <c r="AK39" i="106"/>
  <c r="AQ39" i="106"/>
  <c r="AW39" i="106"/>
  <c r="BC39" i="106"/>
  <c r="BI39" i="106"/>
  <c r="BO39" i="106"/>
  <c r="BT39" i="106"/>
  <c r="BU39" i="106" s="1"/>
  <c r="G40" i="106"/>
  <c r="M40" i="106"/>
  <c r="S40" i="106"/>
  <c r="Y40" i="106"/>
  <c r="AE40" i="106"/>
  <c r="AK40" i="106"/>
  <c r="AQ40" i="106"/>
  <c r="AW40" i="106"/>
  <c r="BC40" i="106"/>
  <c r="BI40" i="106"/>
  <c r="BO40" i="106"/>
  <c r="G41" i="106"/>
  <c r="I96" i="106" s="1"/>
  <c r="M41" i="106"/>
  <c r="O96" i="106" s="1"/>
  <c r="S41" i="106"/>
  <c r="U96" i="106" s="1"/>
  <c r="Y41" i="106"/>
  <c r="AA96" i="106" s="1"/>
  <c r="AE41" i="106"/>
  <c r="AG96" i="106" s="1"/>
  <c r="AK41" i="106"/>
  <c r="AM96" i="106" s="1"/>
  <c r="AQ41" i="106"/>
  <c r="AS96" i="106" s="1"/>
  <c r="AW41" i="106"/>
  <c r="AY96" i="106" s="1"/>
  <c r="BC41" i="106"/>
  <c r="BE96" i="106" s="1"/>
  <c r="BI41" i="106"/>
  <c r="BK96" i="106" s="1"/>
  <c r="BO41" i="106"/>
  <c r="BQ96" i="106" s="1"/>
  <c r="G42" i="106"/>
  <c r="M42" i="106"/>
  <c r="S42" i="106"/>
  <c r="Y42" i="106"/>
  <c r="AE42" i="106"/>
  <c r="AK42" i="106"/>
  <c r="AQ42" i="106"/>
  <c r="AW42" i="106"/>
  <c r="BC42" i="106"/>
  <c r="BI42" i="106"/>
  <c r="BO42" i="106"/>
  <c r="G43" i="106"/>
  <c r="M43" i="106"/>
  <c r="S43" i="106"/>
  <c r="Y43" i="106"/>
  <c r="AE43" i="106"/>
  <c r="AK43" i="106"/>
  <c r="AQ43" i="106"/>
  <c r="AW43" i="106"/>
  <c r="BC43" i="106"/>
  <c r="BI43" i="106"/>
  <c r="BO43" i="106"/>
  <c r="BT43" i="106"/>
  <c r="BU43" i="106" s="1"/>
  <c r="BW43" i="106" s="1"/>
  <c r="BX43" i="106" s="1"/>
  <c r="BY43" i="106" s="1"/>
  <c r="BZ43" i="106" s="1"/>
  <c r="CA43" i="106" s="1"/>
  <c r="CC43" i="106" s="1"/>
  <c r="CD43" i="106" s="1"/>
  <c r="CE43" i="106" s="1"/>
  <c r="CF43" i="106" s="1"/>
  <c r="CG43" i="106" s="1"/>
  <c r="CI43" i="106" s="1"/>
  <c r="CJ43" i="106" s="1"/>
  <c r="CK43" i="106" s="1"/>
  <c r="CL43" i="106" s="1"/>
  <c r="CM43" i="106" s="1"/>
  <c r="C44" i="106"/>
  <c r="D44" i="106"/>
  <c r="E44" i="106"/>
  <c r="E164" i="106" s="1"/>
  <c r="F44" i="106"/>
  <c r="I44" i="106"/>
  <c r="J44" i="106"/>
  <c r="K44" i="106"/>
  <c r="L44" i="106"/>
  <c r="O44" i="106"/>
  <c r="O164" i="106" s="1"/>
  <c r="P44" i="106"/>
  <c r="Q44" i="106"/>
  <c r="Q164" i="106" s="1"/>
  <c r="R44" i="106"/>
  <c r="U44" i="106"/>
  <c r="V44" i="106"/>
  <c r="W44" i="106"/>
  <c r="X44" i="106"/>
  <c r="AA44" i="106"/>
  <c r="AA164" i="106" s="1"/>
  <c r="AB44" i="106"/>
  <c r="AC44" i="106"/>
  <c r="AC164" i="106" s="1"/>
  <c r="AD44" i="106"/>
  <c r="AG44" i="106"/>
  <c r="AH44" i="106"/>
  <c r="AI44" i="106"/>
  <c r="AJ44" i="106"/>
  <c r="AM44" i="106"/>
  <c r="AM164" i="106" s="1"/>
  <c r="AN44" i="106"/>
  <c r="AO44" i="106"/>
  <c r="AO164" i="106" s="1"/>
  <c r="AP44" i="106"/>
  <c r="AS44" i="106"/>
  <c r="AT44" i="106"/>
  <c r="AU44" i="106"/>
  <c r="AV44" i="106"/>
  <c r="AY44" i="106"/>
  <c r="AZ44" i="106"/>
  <c r="BA44" i="106"/>
  <c r="BA164" i="106" s="1"/>
  <c r="BB44" i="106"/>
  <c r="BE44" i="106"/>
  <c r="BF44" i="106"/>
  <c r="BG44" i="106"/>
  <c r="BH44" i="106"/>
  <c r="BK44" i="106"/>
  <c r="BL44" i="106"/>
  <c r="BM44" i="106"/>
  <c r="BM164" i="106" s="1"/>
  <c r="BN44" i="106"/>
  <c r="BQ44" i="106"/>
  <c r="C51" i="106"/>
  <c r="C52" i="106" s="1"/>
  <c r="C53" i="106" s="1"/>
  <c r="D51" i="106"/>
  <c r="D52" i="106" s="1"/>
  <c r="E51" i="106"/>
  <c r="E52" i="106" s="1"/>
  <c r="E53" i="106" s="1"/>
  <c r="F51" i="106"/>
  <c r="I51" i="106"/>
  <c r="I52" i="106" s="1"/>
  <c r="I53" i="106" s="1"/>
  <c r="J51" i="106"/>
  <c r="J52" i="106" s="1"/>
  <c r="K51" i="106"/>
  <c r="K52" i="106" s="1"/>
  <c r="L51" i="106"/>
  <c r="L52" i="106" s="1"/>
  <c r="L53" i="106" s="1"/>
  <c r="O51" i="106"/>
  <c r="O52" i="106" s="1"/>
  <c r="O53" i="106" s="1"/>
  <c r="P51" i="106"/>
  <c r="P52" i="106" s="1"/>
  <c r="Q51" i="106"/>
  <c r="Q52" i="106" s="1"/>
  <c r="Q53" i="106" s="1"/>
  <c r="R51" i="106"/>
  <c r="R52" i="106" s="1"/>
  <c r="R53" i="106" s="1"/>
  <c r="U51" i="106"/>
  <c r="U52" i="106" s="1"/>
  <c r="V51" i="106"/>
  <c r="V52" i="106" s="1"/>
  <c r="V53" i="106" s="1"/>
  <c r="W51" i="106"/>
  <c r="W52" i="106" s="1"/>
  <c r="W53" i="106" s="1"/>
  <c r="X51" i="106"/>
  <c r="X52" i="106" s="1"/>
  <c r="AA51" i="106"/>
  <c r="AA52" i="106" s="1"/>
  <c r="AA53" i="106" s="1"/>
  <c r="AB51" i="106"/>
  <c r="AB52" i="106" s="1"/>
  <c r="AC51" i="106"/>
  <c r="AC52" i="106" s="1"/>
  <c r="AC53" i="106" s="1"/>
  <c r="AD51" i="106"/>
  <c r="AD52" i="106" s="1"/>
  <c r="AG51" i="106"/>
  <c r="AG52" i="106" s="1"/>
  <c r="AH51" i="106"/>
  <c r="AI51" i="106"/>
  <c r="AI52" i="106" s="1"/>
  <c r="AI53" i="106" s="1"/>
  <c r="AJ51" i="106"/>
  <c r="AJ52" i="106" s="1"/>
  <c r="AM51" i="106"/>
  <c r="AM52" i="106" s="1"/>
  <c r="AN51" i="106"/>
  <c r="AN52" i="106" s="1"/>
  <c r="AO51" i="106"/>
  <c r="AO52" i="106" s="1"/>
  <c r="AP51" i="106"/>
  <c r="AP52" i="106" s="1"/>
  <c r="AS51" i="106"/>
  <c r="AS52" i="106" s="1"/>
  <c r="AS53" i="106" s="1"/>
  <c r="AT51" i="106"/>
  <c r="AU51" i="106"/>
  <c r="AU52" i="106" s="1"/>
  <c r="AU53" i="106" s="1"/>
  <c r="AV51" i="106"/>
  <c r="AV52" i="106" s="1"/>
  <c r="AY51" i="106"/>
  <c r="AY52" i="106" s="1"/>
  <c r="AY53" i="106" s="1"/>
  <c r="AZ51" i="106"/>
  <c r="AZ52" i="106" s="1"/>
  <c r="BA51" i="106"/>
  <c r="BB51" i="106"/>
  <c r="BB52" i="106" s="1"/>
  <c r="BB53" i="106" s="1"/>
  <c r="BE51" i="106"/>
  <c r="BE52" i="106" s="1"/>
  <c r="BE53" i="106" s="1"/>
  <c r="BF51" i="106"/>
  <c r="BF52" i="106" s="1"/>
  <c r="BF53" i="106" s="1"/>
  <c r="BG51" i="106"/>
  <c r="BG52" i="106" s="1"/>
  <c r="BG53" i="106" s="1"/>
  <c r="BH51" i="106"/>
  <c r="BH52" i="106" s="1"/>
  <c r="BH53" i="106" s="1"/>
  <c r="BK51" i="106"/>
  <c r="BL51" i="106"/>
  <c r="BL52" i="106" s="1"/>
  <c r="BM51" i="106"/>
  <c r="BN51" i="106"/>
  <c r="BN52" i="106" s="1"/>
  <c r="BQ51" i="106"/>
  <c r="D59" i="106"/>
  <c r="I59" i="106"/>
  <c r="K59" i="106"/>
  <c r="L59" i="106"/>
  <c r="O59" i="106"/>
  <c r="P59" i="106"/>
  <c r="Q59" i="106"/>
  <c r="R59" i="106"/>
  <c r="U59" i="106"/>
  <c r="V59" i="106"/>
  <c r="W59" i="106"/>
  <c r="X59" i="106"/>
  <c r="AA59" i="106"/>
  <c r="AB59" i="106"/>
  <c r="AC59" i="106"/>
  <c r="AD59" i="106"/>
  <c r="AG59" i="106"/>
  <c r="AH59" i="106"/>
  <c r="AI59" i="106"/>
  <c r="AJ59" i="106"/>
  <c r="AM59" i="106"/>
  <c r="AN59" i="106"/>
  <c r="AO59" i="106"/>
  <c r="AP59" i="106"/>
  <c r="AS59" i="106"/>
  <c r="AT59" i="106"/>
  <c r="AU59" i="106"/>
  <c r="AV59" i="106"/>
  <c r="AY59" i="106"/>
  <c r="AZ59" i="106"/>
  <c r="BA59" i="106"/>
  <c r="BB59" i="106"/>
  <c r="BF59" i="106"/>
  <c r="BG59" i="106"/>
  <c r="BH59" i="106"/>
  <c r="BK59" i="106"/>
  <c r="BL59" i="106"/>
  <c r="BM59" i="106"/>
  <c r="BN59" i="106"/>
  <c r="BQ59" i="106"/>
  <c r="K69" i="106"/>
  <c r="AJ69" i="106"/>
  <c r="BH69" i="106"/>
  <c r="K70" i="106"/>
  <c r="AV70" i="106"/>
  <c r="C74" i="106"/>
  <c r="C75" i="106"/>
  <c r="C76" i="106"/>
  <c r="C86" i="106"/>
  <c r="D86" i="106"/>
  <c r="E86" i="106"/>
  <c r="F86" i="106"/>
  <c r="I86" i="106"/>
  <c r="J86" i="106"/>
  <c r="K86" i="106"/>
  <c r="L86" i="106"/>
  <c r="O86" i="106"/>
  <c r="P86" i="106"/>
  <c r="Q86" i="106"/>
  <c r="R86" i="106"/>
  <c r="U86" i="106"/>
  <c r="V86" i="106"/>
  <c r="W86" i="106"/>
  <c r="X86" i="106"/>
  <c r="AA86" i="106"/>
  <c r="AB86" i="106"/>
  <c r="AC86" i="106"/>
  <c r="AD86" i="106"/>
  <c r="AG86" i="106"/>
  <c r="AH86" i="106"/>
  <c r="AI86" i="106"/>
  <c r="AJ86" i="106"/>
  <c r="AM86" i="106"/>
  <c r="AN86" i="106"/>
  <c r="AO86" i="106"/>
  <c r="AP86" i="106"/>
  <c r="AS86" i="106"/>
  <c r="AT86" i="106"/>
  <c r="AU86" i="106"/>
  <c r="AV86" i="106"/>
  <c r="AY86" i="106"/>
  <c r="AZ86" i="106"/>
  <c r="BA86" i="106"/>
  <c r="BB86" i="106"/>
  <c r="BE86" i="106"/>
  <c r="BF86" i="106"/>
  <c r="BG86" i="106"/>
  <c r="BH86" i="106"/>
  <c r="BK86" i="106"/>
  <c r="BL86" i="106"/>
  <c r="BM86" i="106"/>
  <c r="BN86" i="106"/>
  <c r="BQ86" i="106"/>
  <c r="C87" i="106"/>
  <c r="D87" i="106"/>
  <c r="E87" i="106"/>
  <c r="F87" i="106"/>
  <c r="I87" i="106"/>
  <c r="J87" i="106"/>
  <c r="K87" i="106"/>
  <c r="L87" i="106"/>
  <c r="O87" i="106"/>
  <c r="P87" i="106"/>
  <c r="Q87" i="106"/>
  <c r="R87" i="106"/>
  <c r="U87" i="106"/>
  <c r="V87" i="106"/>
  <c r="W87" i="106"/>
  <c r="X87" i="106"/>
  <c r="AA87" i="106"/>
  <c r="AB87" i="106"/>
  <c r="AC87" i="106"/>
  <c r="AD87" i="106"/>
  <c r="AG87" i="106"/>
  <c r="AH87" i="106"/>
  <c r="AI87" i="106"/>
  <c r="AJ87" i="106"/>
  <c r="AM87" i="106"/>
  <c r="AN87" i="106"/>
  <c r="AO87" i="106"/>
  <c r="AP87" i="106"/>
  <c r="AS87" i="106"/>
  <c r="AT87" i="106"/>
  <c r="AU87" i="106"/>
  <c r="AV87" i="106"/>
  <c r="AY87" i="106"/>
  <c r="AZ87" i="106"/>
  <c r="BA87" i="106"/>
  <c r="BB87" i="106"/>
  <c r="BE87" i="106"/>
  <c r="BF87" i="106"/>
  <c r="BG87" i="106"/>
  <c r="BH87" i="106"/>
  <c r="BK87" i="106"/>
  <c r="BL87" i="106"/>
  <c r="BM87" i="106"/>
  <c r="BN87" i="106"/>
  <c r="C88" i="106"/>
  <c r="D88" i="106"/>
  <c r="E88" i="106"/>
  <c r="F88" i="106"/>
  <c r="I88" i="106"/>
  <c r="J88" i="106"/>
  <c r="K88" i="106"/>
  <c r="L88" i="106"/>
  <c r="O88" i="106"/>
  <c r="P88" i="106"/>
  <c r="Q88" i="106"/>
  <c r="R88" i="106"/>
  <c r="U88" i="106"/>
  <c r="V88" i="106"/>
  <c r="W88" i="106"/>
  <c r="X88" i="106"/>
  <c r="AA88" i="106"/>
  <c r="AB88" i="106"/>
  <c r="AC88" i="106"/>
  <c r="AD88" i="106"/>
  <c r="AG88" i="106"/>
  <c r="AH88" i="106"/>
  <c r="AI88" i="106"/>
  <c r="AJ88" i="106"/>
  <c r="AM88" i="106"/>
  <c r="AN88" i="106"/>
  <c r="AO88" i="106"/>
  <c r="AP88" i="106"/>
  <c r="AS88" i="106"/>
  <c r="AT88" i="106"/>
  <c r="AU88" i="106"/>
  <c r="AV88" i="106"/>
  <c r="AY88" i="106"/>
  <c r="AZ88" i="106"/>
  <c r="BA88" i="106"/>
  <c r="BB88" i="106"/>
  <c r="BE88" i="106"/>
  <c r="BF88" i="106"/>
  <c r="BG88" i="106"/>
  <c r="BH88" i="106"/>
  <c r="BK88" i="106"/>
  <c r="BL88" i="106"/>
  <c r="BM88" i="106"/>
  <c r="BN88" i="106"/>
  <c r="C89" i="106"/>
  <c r="D89" i="106"/>
  <c r="E89" i="106"/>
  <c r="F89" i="106"/>
  <c r="I89" i="106"/>
  <c r="J89" i="106"/>
  <c r="K89" i="106"/>
  <c r="L89" i="106"/>
  <c r="O89" i="106"/>
  <c r="P89" i="106"/>
  <c r="Q89" i="106"/>
  <c r="R89" i="106"/>
  <c r="U89" i="106"/>
  <c r="V89" i="106"/>
  <c r="W89" i="106"/>
  <c r="X89" i="106"/>
  <c r="AA89" i="106"/>
  <c r="AB89" i="106"/>
  <c r="AC89" i="106"/>
  <c r="AD89" i="106"/>
  <c r="AG89" i="106"/>
  <c r="AH89" i="106"/>
  <c r="AI89" i="106"/>
  <c r="AJ89" i="106"/>
  <c r="AN89" i="106"/>
  <c r="AO89" i="106"/>
  <c r="AP89" i="106"/>
  <c r="AS89" i="106"/>
  <c r="G92" i="106"/>
  <c r="D93" i="106"/>
  <c r="E93" i="106"/>
  <c r="F93" i="106"/>
  <c r="I93" i="106"/>
  <c r="J93" i="106"/>
  <c r="K93" i="106"/>
  <c r="L93" i="106"/>
  <c r="O93" i="106"/>
  <c r="P93" i="106"/>
  <c r="Q93" i="106"/>
  <c r="R93" i="106"/>
  <c r="U93" i="106"/>
  <c r="V93" i="106"/>
  <c r="W93" i="106"/>
  <c r="X93" i="106"/>
  <c r="AA93" i="106"/>
  <c r="AB93" i="106"/>
  <c r="AC93" i="106"/>
  <c r="AD93" i="106"/>
  <c r="AG93" i="106"/>
  <c r="AH93" i="106"/>
  <c r="AI93" i="106"/>
  <c r="AJ93" i="106"/>
  <c r="AM93" i="106"/>
  <c r="AN93" i="106"/>
  <c r="AO93" i="106"/>
  <c r="AP93" i="106"/>
  <c r="AS93" i="106"/>
  <c r="AT93" i="106"/>
  <c r="AU93" i="106"/>
  <c r="AV93" i="106"/>
  <c r="AY93" i="106"/>
  <c r="AZ93" i="106"/>
  <c r="BA93" i="106"/>
  <c r="BB93" i="106"/>
  <c r="BE93" i="106"/>
  <c r="BF93" i="106"/>
  <c r="BG93" i="106"/>
  <c r="BH93" i="106"/>
  <c r="BK93" i="106"/>
  <c r="BL93" i="106"/>
  <c r="BM93" i="106"/>
  <c r="BN93" i="106"/>
  <c r="BQ93" i="106"/>
  <c r="I95" i="106"/>
  <c r="O95" i="106"/>
  <c r="U95" i="106"/>
  <c r="W95" i="106"/>
  <c r="AA95" i="106"/>
  <c r="AG95" i="106"/>
  <c r="AH95" i="106"/>
  <c r="AM95" i="106"/>
  <c r="AS95" i="106"/>
  <c r="AY95" i="106"/>
  <c r="BE95" i="106"/>
  <c r="BK95" i="106"/>
  <c r="BQ95" i="106"/>
  <c r="D96" i="106"/>
  <c r="E96" i="106"/>
  <c r="F96" i="106"/>
  <c r="J96" i="106"/>
  <c r="K96" i="106"/>
  <c r="L96" i="106"/>
  <c r="P96" i="106"/>
  <c r="Q96" i="106"/>
  <c r="R96" i="106"/>
  <c r="V96" i="106"/>
  <c r="W96" i="106"/>
  <c r="X96" i="106"/>
  <c r="AB96" i="106"/>
  <c r="AC96" i="106"/>
  <c r="AD96" i="106"/>
  <c r="AH96" i="106"/>
  <c r="AI96" i="106"/>
  <c r="AJ96" i="106"/>
  <c r="AN96" i="106"/>
  <c r="AO96" i="106"/>
  <c r="AP96" i="106"/>
  <c r="AT96" i="106"/>
  <c r="AU96" i="106"/>
  <c r="AV96" i="106"/>
  <c r="AZ96" i="106"/>
  <c r="BA96" i="106"/>
  <c r="BB96" i="106"/>
  <c r="BF96" i="106"/>
  <c r="BG96" i="106"/>
  <c r="BH96" i="106"/>
  <c r="BL96" i="106"/>
  <c r="BM96" i="106"/>
  <c r="BN96" i="106"/>
  <c r="C104" i="106"/>
  <c r="C105" i="106" s="1"/>
  <c r="G103" i="106"/>
  <c r="I103" i="106"/>
  <c r="M103" i="106" s="1"/>
  <c r="I104" i="106"/>
  <c r="O103" i="106"/>
  <c r="O104" i="106"/>
  <c r="O105" i="106" s="1"/>
  <c r="U103" i="106"/>
  <c r="U104" i="106"/>
  <c r="U105" i="106" s="1"/>
  <c r="AA103" i="106"/>
  <c r="AE103" i="106" s="1"/>
  <c r="AA104" i="106"/>
  <c r="AG103" i="106"/>
  <c r="AK103" i="106" s="1"/>
  <c r="AG104" i="106"/>
  <c r="AG105" i="106" s="1"/>
  <c r="AM103" i="106"/>
  <c r="AQ103" i="106" s="1"/>
  <c r="AM104" i="106"/>
  <c r="AM105" i="106" s="1"/>
  <c r="AS103" i="106"/>
  <c r="AW103" i="106" s="1"/>
  <c r="AS104" i="106"/>
  <c r="AS105" i="106" s="1"/>
  <c r="AY103" i="106"/>
  <c r="BC103" i="106" s="1"/>
  <c r="AY104" i="106"/>
  <c r="BE103" i="106"/>
  <c r="BE104" i="106"/>
  <c r="BE105" i="106" s="1"/>
  <c r="BK103" i="106"/>
  <c r="BO103" i="106" s="1"/>
  <c r="BK104" i="106"/>
  <c r="BK105" i="106" s="1"/>
  <c r="BL104" i="106"/>
  <c r="BL105" i="106" s="1"/>
  <c r="G106" i="106"/>
  <c r="M106" i="106"/>
  <c r="S106" i="106"/>
  <c r="Y106" i="106"/>
  <c r="AE106" i="106"/>
  <c r="AK106" i="106"/>
  <c r="AQ106" i="106"/>
  <c r="AW106" i="106"/>
  <c r="BC106" i="106"/>
  <c r="BI106" i="106"/>
  <c r="BO106" i="106"/>
  <c r="CM106" i="106"/>
  <c r="CM108" i="106"/>
  <c r="C117" i="106"/>
  <c r="D117" i="106"/>
  <c r="E117" i="106"/>
  <c r="G111" i="106"/>
  <c r="I111" i="106"/>
  <c r="M111" i="106" s="1"/>
  <c r="I117" i="106"/>
  <c r="J117" i="106"/>
  <c r="K117" i="106"/>
  <c r="O111" i="106"/>
  <c r="S111" i="106" s="1"/>
  <c r="O117" i="106"/>
  <c r="P117" i="106"/>
  <c r="Q117" i="106"/>
  <c r="U111" i="106"/>
  <c r="Y111" i="106" s="1"/>
  <c r="U117" i="106"/>
  <c r="V117" i="106"/>
  <c r="W117" i="106"/>
  <c r="AA111" i="106"/>
  <c r="AE111" i="106" s="1"/>
  <c r="AA117" i="106"/>
  <c r="AB117" i="106"/>
  <c r="AC117" i="106"/>
  <c r="AG111" i="106"/>
  <c r="AK111" i="106" s="1"/>
  <c r="AG117" i="106"/>
  <c r="AH117" i="106"/>
  <c r="AI117" i="106"/>
  <c r="AM111" i="106"/>
  <c r="AQ111" i="106" s="1"/>
  <c r="AM117" i="106"/>
  <c r="AN117" i="106"/>
  <c r="AO117" i="106"/>
  <c r="AS111" i="106"/>
  <c r="AW111" i="106" s="1"/>
  <c r="AS117" i="106"/>
  <c r="AT117" i="106"/>
  <c r="AU117" i="106"/>
  <c r="AY111" i="106"/>
  <c r="BC111" i="106" s="1"/>
  <c r="AY117" i="106"/>
  <c r="AZ117" i="106"/>
  <c r="BA117" i="106"/>
  <c r="BE111" i="106"/>
  <c r="BI111" i="106" s="1"/>
  <c r="BE117" i="106"/>
  <c r="BF117" i="106"/>
  <c r="BG117" i="106"/>
  <c r="BK111" i="106"/>
  <c r="BO111" i="106" s="1"/>
  <c r="BK117" i="106"/>
  <c r="BL117" i="106"/>
  <c r="BM117" i="106"/>
  <c r="C112" i="106"/>
  <c r="C113" i="106" s="1"/>
  <c r="I112" i="106"/>
  <c r="O112" i="106"/>
  <c r="U112" i="106"/>
  <c r="AA112" i="106"/>
  <c r="AG112" i="106"/>
  <c r="AM112" i="106"/>
  <c r="AN112" i="106"/>
  <c r="AS112" i="106"/>
  <c r="AY112" i="106"/>
  <c r="BE112" i="106"/>
  <c r="BK112" i="106"/>
  <c r="CM114" i="106"/>
  <c r="F117" i="106"/>
  <c r="F118" i="106" s="1"/>
  <c r="L117" i="106"/>
  <c r="L118" i="106" s="1"/>
  <c r="R117" i="106"/>
  <c r="R118" i="106" s="1"/>
  <c r="X117" i="106"/>
  <c r="X118" i="106" s="1"/>
  <c r="AD117" i="106"/>
  <c r="AD118" i="106" s="1"/>
  <c r="AE117" i="106"/>
  <c r="AJ117" i="106"/>
  <c r="AJ118" i="106" s="1"/>
  <c r="AP117" i="106"/>
  <c r="AP118" i="106" s="1"/>
  <c r="AV117" i="106"/>
  <c r="AV118" i="106" s="1"/>
  <c r="BB117" i="106"/>
  <c r="BB118" i="106" s="1"/>
  <c r="BH117" i="106"/>
  <c r="BH118" i="106" s="1"/>
  <c r="BN117" i="106"/>
  <c r="BN118" i="106" s="1"/>
  <c r="CM125" i="106"/>
  <c r="L127" i="106"/>
  <c r="CM132" i="106"/>
  <c r="C134" i="106"/>
  <c r="BF134" i="106"/>
  <c r="BI137" i="106"/>
  <c r="BI93" i="107" s="1"/>
  <c r="CM137" i="106"/>
  <c r="CM91" i="107" s="1"/>
  <c r="C141" i="106"/>
  <c r="D141" i="106"/>
  <c r="E141" i="106"/>
  <c r="F141" i="106"/>
  <c r="G141" i="106"/>
  <c r="I141" i="106"/>
  <c r="J141" i="106"/>
  <c r="K141" i="106"/>
  <c r="L141" i="106"/>
  <c r="M141" i="106"/>
  <c r="O141" i="106"/>
  <c r="P141" i="106"/>
  <c r="Q141" i="106"/>
  <c r="R141" i="106"/>
  <c r="S141" i="106"/>
  <c r="U141" i="106"/>
  <c r="V141" i="106"/>
  <c r="W141" i="106"/>
  <c r="X141" i="106"/>
  <c r="Y141" i="106"/>
  <c r="AA141" i="106"/>
  <c r="AB141" i="106"/>
  <c r="AC141" i="106"/>
  <c r="AD141" i="106"/>
  <c r="AE141" i="106"/>
  <c r="AG141" i="106"/>
  <c r="AH141" i="106"/>
  <c r="AI141" i="106"/>
  <c r="AJ141" i="106"/>
  <c r="AK141" i="106"/>
  <c r="AM141" i="106"/>
  <c r="AN141" i="106"/>
  <c r="AO141" i="106"/>
  <c r="AP141" i="106"/>
  <c r="AQ141" i="106"/>
  <c r="AS141" i="106"/>
  <c r="AT141" i="106"/>
  <c r="AU141" i="106"/>
  <c r="AV141" i="106"/>
  <c r="AW141" i="106"/>
  <c r="AY141" i="106"/>
  <c r="AZ141" i="106"/>
  <c r="BA141" i="106"/>
  <c r="BB141" i="106"/>
  <c r="BC141" i="106"/>
  <c r="BE141" i="106"/>
  <c r="BF141" i="106"/>
  <c r="BG141" i="106"/>
  <c r="BH141" i="106"/>
  <c r="BI141" i="106"/>
  <c r="BK141" i="106"/>
  <c r="BL141" i="106"/>
  <c r="BM141" i="106"/>
  <c r="BN141" i="106"/>
  <c r="BO141" i="106"/>
  <c r="BQ141" i="106"/>
  <c r="BT141" i="106"/>
  <c r="BU141" i="106"/>
  <c r="BW141" i="106"/>
  <c r="BX141" i="106"/>
  <c r="BY141" i="106"/>
  <c r="BZ141" i="106"/>
  <c r="CA141" i="106"/>
  <c r="CC141" i="106"/>
  <c r="CD141" i="106"/>
  <c r="CE141" i="106"/>
  <c r="CF141" i="106"/>
  <c r="CG141" i="106"/>
  <c r="CI141" i="106"/>
  <c r="CJ141" i="106"/>
  <c r="CK141" i="106"/>
  <c r="CL141" i="106"/>
  <c r="CM141" i="106"/>
  <c r="C144" i="106"/>
  <c r="D144" i="106"/>
  <c r="E144" i="106"/>
  <c r="F144" i="106"/>
  <c r="G144" i="106"/>
  <c r="I144" i="106"/>
  <c r="J144" i="106"/>
  <c r="K144" i="106"/>
  <c r="L144" i="106"/>
  <c r="O144" i="106"/>
  <c r="P144" i="106"/>
  <c r="Q144" i="106"/>
  <c r="R144" i="106"/>
  <c r="U144" i="106"/>
  <c r="V144" i="106"/>
  <c r="W144" i="106"/>
  <c r="X144" i="106"/>
  <c r="AA144" i="106"/>
  <c r="AB144" i="106"/>
  <c r="AC144" i="106"/>
  <c r="AD144" i="106"/>
  <c r="AG144" i="106"/>
  <c r="AH144" i="106"/>
  <c r="AI144" i="106"/>
  <c r="AJ144" i="106"/>
  <c r="AM144" i="106"/>
  <c r="AN144" i="106"/>
  <c r="AO144" i="106"/>
  <c r="AP144" i="106"/>
  <c r="AS144" i="106"/>
  <c r="AT144" i="106"/>
  <c r="AU144" i="106"/>
  <c r="AV144" i="106"/>
  <c r="AY144" i="106"/>
  <c r="AZ144" i="106"/>
  <c r="BA144" i="106"/>
  <c r="BB144" i="106"/>
  <c r="BE144" i="106"/>
  <c r="BF144" i="106"/>
  <c r="BG144" i="106"/>
  <c r="BH144" i="106"/>
  <c r="BK144" i="106"/>
  <c r="BL144" i="106"/>
  <c r="BM144" i="106"/>
  <c r="BN144" i="106"/>
  <c r="BQ144" i="106"/>
  <c r="BR146" i="106" s="1"/>
  <c r="C145" i="106"/>
  <c r="D145" i="106"/>
  <c r="E145" i="106"/>
  <c r="F145" i="106"/>
  <c r="I145" i="106"/>
  <c r="J145" i="106"/>
  <c r="K145" i="106"/>
  <c r="L145" i="106"/>
  <c r="O145" i="106"/>
  <c r="P145" i="106"/>
  <c r="Q145" i="106"/>
  <c r="R145" i="106"/>
  <c r="U145" i="106"/>
  <c r="V145" i="106"/>
  <c r="W145" i="106"/>
  <c r="X145" i="106"/>
  <c r="AA145" i="106"/>
  <c r="AB145" i="106"/>
  <c r="AC145" i="106"/>
  <c r="AD145" i="106"/>
  <c r="AG145" i="106"/>
  <c r="AH145" i="106"/>
  <c r="AI145" i="106"/>
  <c r="AJ145" i="106"/>
  <c r="AM145" i="106"/>
  <c r="AN145" i="106"/>
  <c r="AO145" i="106"/>
  <c r="AP145" i="106"/>
  <c r="AS145" i="106"/>
  <c r="AT145" i="106"/>
  <c r="AU145" i="106"/>
  <c r="AV145" i="106"/>
  <c r="AY145" i="106"/>
  <c r="AZ145" i="106"/>
  <c r="BA145" i="106"/>
  <c r="BB145" i="106"/>
  <c r="BE145" i="106"/>
  <c r="BF145" i="106"/>
  <c r="BG145" i="106"/>
  <c r="BH145" i="106"/>
  <c r="BK145" i="106"/>
  <c r="BL145" i="106"/>
  <c r="BM145" i="106"/>
  <c r="BN145" i="106"/>
  <c r="BQ145" i="106"/>
  <c r="BX146" i="106"/>
  <c r="BY146" i="106" s="1"/>
  <c r="BZ146" i="106" s="1"/>
  <c r="CD146" i="106" s="1"/>
  <c r="C81" i="106" l="1"/>
  <c r="BF123" i="106"/>
  <c r="BL86" i="107"/>
  <c r="BL87" i="107" s="1"/>
  <c r="BR88" i="107" s="1"/>
  <c r="AC86" i="107"/>
  <c r="AC87" i="107" s="1"/>
  <c r="BR74" i="107"/>
  <c r="BX74" i="107" s="1"/>
  <c r="BR125" i="106"/>
  <c r="BR124" i="106"/>
  <c r="AV71" i="106"/>
  <c r="AJ68" i="106"/>
  <c r="BH70" i="106"/>
  <c r="AJ70" i="106"/>
  <c r="I70" i="106"/>
  <c r="AV69" i="106"/>
  <c r="AW157" i="106"/>
  <c r="O127" i="106"/>
  <c r="AN68" i="106"/>
  <c r="D95" i="106"/>
  <c r="BF112" i="106"/>
  <c r="V112" i="106"/>
  <c r="AK157" i="106"/>
  <c r="E98" i="106"/>
  <c r="E99" i="106" s="1"/>
  <c r="BI144" i="106"/>
  <c r="P127" i="106"/>
  <c r="BI86" i="106"/>
  <c r="AE157" i="106"/>
  <c r="M144" i="106"/>
  <c r="AI134" i="106"/>
  <c r="Y157" i="106"/>
  <c r="M86" i="106"/>
  <c r="V70" i="106"/>
  <c r="BQ134" i="106"/>
  <c r="BM98" i="106"/>
  <c r="BN92" i="106" s="1"/>
  <c r="D71" i="106"/>
  <c r="BO157" i="106"/>
  <c r="S157" i="106"/>
  <c r="AJ22" i="106"/>
  <c r="BA98" i="106"/>
  <c r="BA99" i="106" s="1"/>
  <c r="BA134" i="106"/>
  <c r="D127" i="106"/>
  <c r="AO98" i="106"/>
  <c r="AP92" i="106" s="1"/>
  <c r="BG70" i="106"/>
  <c r="BC157" i="106"/>
  <c r="G157" i="106"/>
  <c r="M157" i="106"/>
  <c r="AY134" i="106"/>
  <c r="AC98" i="106"/>
  <c r="AD92" i="106" s="1"/>
  <c r="BI157" i="106"/>
  <c r="BL127" i="106"/>
  <c r="Q98" i="106"/>
  <c r="R92" i="106" s="1"/>
  <c r="AN36" i="106"/>
  <c r="AQ157" i="106"/>
  <c r="AP68" i="106"/>
  <c r="BG137" i="106"/>
  <c r="BG122" i="106" s="1"/>
  <c r="CD131" i="106"/>
  <c r="J123" i="106"/>
  <c r="D86" i="107"/>
  <c r="D87" i="107" s="1"/>
  <c r="BQ98" i="106"/>
  <c r="BR92" i="106" s="1"/>
  <c r="BR97" i="106" s="1"/>
  <c r="BQ164" i="106"/>
  <c r="BM170" i="106"/>
  <c r="BM171" i="106"/>
  <c r="BK98" i="106"/>
  <c r="BL92" i="106" s="1"/>
  <c r="BK164" i="106"/>
  <c r="BG98" i="106"/>
  <c r="BH92" i="106" s="1"/>
  <c r="BG164" i="106"/>
  <c r="BE98" i="106"/>
  <c r="BF92" i="106" s="1"/>
  <c r="BE164" i="106"/>
  <c r="BE171" i="106" s="1"/>
  <c r="BA170" i="106"/>
  <c r="BA171" i="106"/>
  <c r="AY98" i="106"/>
  <c r="AZ92" i="106" s="1"/>
  <c r="AY164" i="106"/>
  <c r="AU98" i="106"/>
  <c r="AU99" i="106" s="1"/>
  <c r="AU164" i="106"/>
  <c r="AS98" i="106"/>
  <c r="AS99" i="106" s="1"/>
  <c r="AS164" i="106"/>
  <c r="AO171" i="106"/>
  <c r="AO170" i="106"/>
  <c r="AM171" i="106"/>
  <c r="AM170" i="106"/>
  <c r="AI98" i="106"/>
  <c r="AJ92" i="106" s="1"/>
  <c r="AI164" i="106"/>
  <c r="AG98" i="106"/>
  <c r="AH92" i="106" s="1"/>
  <c r="AG164" i="106"/>
  <c r="AC170" i="106"/>
  <c r="AC171" i="106"/>
  <c r="AA171" i="106"/>
  <c r="AA170" i="106"/>
  <c r="W98" i="106"/>
  <c r="W99" i="106" s="1"/>
  <c r="W164" i="106"/>
  <c r="U98" i="106"/>
  <c r="V92" i="106" s="1"/>
  <c r="U164" i="106"/>
  <c r="K46" i="106"/>
  <c r="K65" i="106" s="1"/>
  <c r="K164" i="106"/>
  <c r="I98" i="106"/>
  <c r="J92" i="106" s="1"/>
  <c r="I164" i="106"/>
  <c r="E171" i="106"/>
  <c r="E170" i="106"/>
  <c r="C98" i="106"/>
  <c r="C99" i="106" s="1"/>
  <c r="C164" i="106"/>
  <c r="AA71" i="106"/>
  <c r="BS168" i="106"/>
  <c r="BR168" i="106"/>
  <c r="BO86" i="106"/>
  <c r="BO167" i="106"/>
  <c r="BC86" i="106"/>
  <c r="BC167" i="106"/>
  <c r="AQ86" i="106"/>
  <c r="AQ167" i="106"/>
  <c r="AE86" i="106"/>
  <c r="AE167" i="106"/>
  <c r="S86" i="106"/>
  <c r="S167" i="106"/>
  <c r="G86" i="106"/>
  <c r="G167" i="106"/>
  <c r="BN98" i="106"/>
  <c r="BN99" i="106" s="1"/>
  <c r="BN164" i="106"/>
  <c r="BL98" i="106"/>
  <c r="BL99" i="106" s="1"/>
  <c r="BL164" i="106"/>
  <c r="BH98" i="106"/>
  <c r="BH99" i="106" s="1"/>
  <c r="BH164" i="106"/>
  <c r="BF98" i="106"/>
  <c r="BG92" i="106" s="1"/>
  <c r="BF164" i="106"/>
  <c r="BB98" i="106"/>
  <c r="BB99" i="106" s="1"/>
  <c r="BB164" i="106"/>
  <c r="AZ98" i="106"/>
  <c r="AZ99" i="106" s="1"/>
  <c r="AZ164" i="106"/>
  <c r="AV98" i="106"/>
  <c r="AV99" i="106" s="1"/>
  <c r="AV164" i="106"/>
  <c r="AT98" i="106"/>
  <c r="AT99" i="106" s="1"/>
  <c r="AT164" i="106"/>
  <c r="AP98" i="106"/>
  <c r="AP99" i="106" s="1"/>
  <c r="AP164" i="106"/>
  <c r="AN98" i="106"/>
  <c r="AO92" i="106" s="1"/>
  <c r="AN164" i="106"/>
  <c r="AJ98" i="106"/>
  <c r="AJ99" i="106" s="1"/>
  <c r="AJ164" i="106"/>
  <c r="AH98" i="106"/>
  <c r="AI92" i="106" s="1"/>
  <c r="AH164" i="106"/>
  <c r="AD98" i="106"/>
  <c r="AD164" i="106"/>
  <c r="AB98" i="106"/>
  <c r="AC92" i="106" s="1"/>
  <c r="AB164" i="106"/>
  <c r="X98" i="106"/>
  <c r="X99" i="106" s="1"/>
  <c r="X164" i="106"/>
  <c r="V98" i="106"/>
  <c r="V99" i="106" s="1"/>
  <c r="V164" i="106"/>
  <c r="R98" i="106"/>
  <c r="R164" i="106"/>
  <c r="P98" i="106"/>
  <c r="Q92" i="106" s="1"/>
  <c r="P164" i="106"/>
  <c r="L98" i="106"/>
  <c r="L99" i="106" s="1"/>
  <c r="L164" i="106"/>
  <c r="J98" i="106"/>
  <c r="K92" i="106" s="1"/>
  <c r="J164" i="106"/>
  <c r="F98" i="106"/>
  <c r="F99" i="106" s="1"/>
  <c r="F164" i="106"/>
  <c r="D98" i="106"/>
  <c r="D99" i="106" s="1"/>
  <c r="D164" i="106"/>
  <c r="BH68" i="106"/>
  <c r="AV68" i="106"/>
  <c r="AJ71" i="106"/>
  <c r="AW144" i="106"/>
  <c r="AW167" i="106"/>
  <c r="AK86" i="106"/>
  <c r="AK167" i="106"/>
  <c r="Y86" i="106"/>
  <c r="Y167" i="106"/>
  <c r="V134" i="106"/>
  <c r="X68" i="106"/>
  <c r="BL121" i="106"/>
  <c r="D22" i="106"/>
  <c r="BE134" i="106"/>
  <c r="AN70" i="106"/>
  <c r="AA69" i="106"/>
  <c r="AV22" i="106"/>
  <c r="J68" i="106"/>
  <c r="V46" i="106"/>
  <c r="V48" i="106" s="1"/>
  <c r="AA22" i="106"/>
  <c r="AI121" i="106"/>
  <c r="BM134" i="106"/>
  <c r="BL68" i="106"/>
  <c r="AG127" i="106"/>
  <c r="BH71" i="106"/>
  <c r="O68" i="106"/>
  <c r="AG18" i="107"/>
  <c r="AJ18" i="107" s="1"/>
  <c r="AK18" i="107" s="1"/>
  <c r="CJ6" i="106"/>
  <c r="P6" i="106"/>
  <c r="Y144" i="106"/>
  <c r="BL70" i="106"/>
  <c r="AY68" i="106"/>
  <c r="AA20" i="107"/>
  <c r="AD20" i="107" s="1"/>
  <c r="AE20" i="107" s="1"/>
  <c r="BK18" i="107"/>
  <c r="BN18" i="107" s="1"/>
  <c r="BO18" i="107" s="1"/>
  <c r="O18" i="107"/>
  <c r="R18" i="107" s="1"/>
  <c r="S18" i="107" s="1"/>
  <c r="BC144" i="106"/>
  <c r="U134" i="106"/>
  <c r="AY71" i="106"/>
  <c r="AB69" i="106"/>
  <c r="BQ20" i="107"/>
  <c r="U20" i="107"/>
  <c r="X20" i="107" s="1"/>
  <c r="Y20" i="107" s="1"/>
  <c r="BE18" i="107"/>
  <c r="BH18" i="107" s="1"/>
  <c r="BI18" i="107" s="1"/>
  <c r="I18" i="107"/>
  <c r="L18" i="107" s="1"/>
  <c r="M18" i="107" s="1"/>
  <c r="AY18" i="107"/>
  <c r="BB18" i="107" s="1"/>
  <c r="BC18" i="107" s="1"/>
  <c r="BL134" i="106"/>
  <c r="Q134" i="106"/>
  <c r="AN71" i="106"/>
  <c r="C70" i="106"/>
  <c r="BE20" i="107"/>
  <c r="BH20" i="107" s="1"/>
  <c r="BI20" i="107" s="1"/>
  <c r="I20" i="107"/>
  <c r="L20" i="107" s="1"/>
  <c r="M20" i="107" s="1"/>
  <c r="AT121" i="106"/>
  <c r="CL6" i="106"/>
  <c r="R6" i="106"/>
  <c r="AN134" i="106"/>
  <c r="E127" i="106"/>
  <c r="AU70" i="106"/>
  <c r="BL69" i="106"/>
  <c r="AA68" i="106"/>
  <c r="L36" i="106"/>
  <c r="L46" i="106" s="1"/>
  <c r="BM71" i="106"/>
  <c r="AY20" i="107"/>
  <c r="BB20" i="107" s="1"/>
  <c r="BC20" i="107" s="1"/>
  <c r="CK131" i="106"/>
  <c r="AM18" i="107"/>
  <c r="AP18" i="107" s="1"/>
  <c r="AQ18" i="107" s="1"/>
  <c r="CK6" i="106"/>
  <c r="Q6" i="106"/>
  <c r="C22" i="106"/>
  <c r="AS20" i="107"/>
  <c r="AV20" i="107" s="1"/>
  <c r="AW20" i="107" s="1"/>
  <c r="X146" i="106"/>
  <c r="AA46" i="106"/>
  <c r="AA65" i="106" s="1"/>
  <c r="BS159" i="106"/>
  <c r="I22" i="106"/>
  <c r="AA18" i="107"/>
  <c r="AD18" i="107" s="1"/>
  <c r="AE18" i="107" s="1"/>
  <c r="CI6" i="106"/>
  <c r="O6" i="106"/>
  <c r="BO144" i="106"/>
  <c r="AK144" i="106"/>
  <c r="AB134" i="106"/>
  <c r="D134" i="106"/>
  <c r="BL71" i="106"/>
  <c r="C71" i="106"/>
  <c r="AA70" i="106"/>
  <c r="C68" i="106"/>
  <c r="AG20" i="107"/>
  <c r="AJ20" i="107" s="1"/>
  <c r="AK20" i="107" s="1"/>
  <c r="BQ18" i="107"/>
  <c r="U18" i="107"/>
  <c r="X18" i="107" s="1"/>
  <c r="Y18" i="107" s="1"/>
  <c r="BX122" i="106"/>
  <c r="BT131" i="106"/>
  <c r="BM92" i="107"/>
  <c r="BE81" i="106"/>
  <c r="AN123" i="106"/>
  <c r="AN124" i="106" s="1"/>
  <c r="AB123" i="106"/>
  <c r="AB124" i="106" s="1"/>
  <c r="D123" i="106"/>
  <c r="D124" i="106" s="1"/>
  <c r="BL137" i="106"/>
  <c r="BL92" i="107" s="1"/>
  <c r="F21" i="107"/>
  <c r="G21" i="107" s="1"/>
  <c r="AM71" i="106"/>
  <c r="AB71" i="106"/>
  <c r="X71" i="106"/>
  <c r="AI70" i="106"/>
  <c r="X70" i="106"/>
  <c r="BG69" i="106"/>
  <c r="AU69" i="106"/>
  <c r="AM69" i="106"/>
  <c r="AI69" i="106"/>
  <c r="V69" i="106"/>
  <c r="AM46" i="106"/>
  <c r="AM65" i="106" s="1"/>
  <c r="P36" i="106"/>
  <c r="P46" i="106" s="1"/>
  <c r="P65" i="106" s="1"/>
  <c r="AH112" i="106"/>
  <c r="J112" i="106"/>
  <c r="E95" i="106"/>
  <c r="BL123" i="106"/>
  <c r="AO137" i="106"/>
  <c r="AO91" i="107" s="1"/>
  <c r="AB137" i="106"/>
  <c r="AB131" i="106" s="1"/>
  <c r="AB132" i="106" s="1"/>
  <c r="BA79" i="107"/>
  <c r="AZ79" i="107"/>
  <c r="J71" i="106"/>
  <c r="AZ146" i="106"/>
  <c r="AH146" i="106"/>
  <c r="BL36" i="106"/>
  <c r="BL46" i="106" s="1"/>
  <c r="BE21" i="107"/>
  <c r="BH21" i="107" s="1"/>
  <c r="BI21" i="107" s="1"/>
  <c r="I21" i="107"/>
  <c r="L21" i="107" s="1"/>
  <c r="M21" i="107" s="1"/>
  <c r="BA68" i="106"/>
  <c r="E71" i="106"/>
  <c r="CK122" i="106"/>
  <c r="R79" i="107"/>
  <c r="R70" i="107" s="1"/>
  <c r="X70" i="107" s="1"/>
  <c r="P79" i="107"/>
  <c r="P70" i="107" s="1"/>
  <c r="V99" i="107"/>
  <c r="AY127" i="106"/>
  <c r="O113" i="106"/>
  <c r="BB146" i="106"/>
  <c r="AZ134" i="106"/>
  <c r="C127" i="106"/>
  <c r="AM70" i="106"/>
  <c r="BB69" i="106"/>
  <c r="AM68" i="106"/>
  <c r="AM134" i="106"/>
  <c r="AZ127" i="106"/>
  <c r="P134" i="106"/>
  <c r="BA69" i="106"/>
  <c r="P146" i="106"/>
  <c r="D146" i="106"/>
  <c r="O134" i="106"/>
  <c r="AM127" i="106"/>
  <c r="BB70" i="106"/>
  <c r="F70" i="106"/>
  <c r="AY69" i="106"/>
  <c r="BF68" i="106"/>
  <c r="AB68" i="106"/>
  <c r="BA22" i="106"/>
  <c r="BX123" i="106"/>
  <c r="BX12" i="107" s="1"/>
  <c r="O146" i="106"/>
  <c r="S144" i="106"/>
  <c r="AI127" i="106"/>
  <c r="AY113" i="106"/>
  <c r="AM98" i="106"/>
  <c r="AM99" i="106" s="1"/>
  <c r="AT71" i="106"/>
  <c r="F71" i="106"/>
  <c r="BA70" i="106"/>
  <c r="AB70" i="106"/>
  <c r="E70" i="106"/>
  <c r="X69" i="106"/>
  <c r="BE68" i="106"/>
  <c r="AA127" i="106"/>
  <c r="BK146" i="106"/>
  <c r="AA134" i="106"/>
  <c r="K134" i="106"/>
  <c r="K127" i="106"/>
  <c r="AY70" i="106"/>
  <c r="BA146" i="106"/>
  <c r="W146" i="106"/>
  <c r="BE59" i="107"/>
  <c r="AS107" i="106"/>
  <c r="AS109" i="106" s="1"/>
  <c r="P91" i="107"/>
  <c r="P122" i="106"/>
  <c r="BB14" i="107"/>
  <c r="BB100" i="107" s="1"/>
  <c r="BA100" i="107"/>
  <c r="BG112" i="106"/>
  <c r="AI112" i="106"/>
  <c r="W112" i="106"/>
  <c r="K112" i="106"/>
  <c r="AZ123" i="106"/>
  <c r="AZ124" i="106" s="1"/>
  <c r="AS122" i="106"/>
  <c r="E124" i="106"/>
  <c r="BW131" i="106"/>
  <c r="AZ100" i="107"/>
  <c r="J100" i="107"/>
  <c r="AU86" i="107"/>
  <c r="AU87" i="107" s="1"/>
  <c r="BC30" i="107"/>
  <c r="AQ15" i="107"/>
  <c r="AW44" i="106"/>
  <c r="BM36" i="106"/>
  <c r="BM46" i="106" s="1"/>
  <c r="AD46" i="106"/>
  <c r="AD65" i="106" s="1"/>
  <c r="Q46" i="106"/>
  <c r="Q65" i="106" s="1"/>
  <c r="AE51" i="106"/>
  <c r="AE52" i="106" s="1"/>
  <c r="AE53" i="106" s="1"/>
  <c r="BI51" i="106"/>
  <c r="BI52" i="106" s="1"/>
  <c r="BI53" i="106" s="1"/>
  <c r="M51" i="106"/>
  <c r="M52" i="106" s="1"/>
  <c r="M53" i="106" s="1"/>
  <c r="BK21" i="107"/>
  <c r="O21" i="107"/>
  <c r="R21" i="107" s="1"/>
  <c r="BG68" i="106"/>
  <c r="AU71" i="106"/>
  <c r="AI68" i="106"/>
  <c r="AG71" i="106"/>
  <c r="W71" i="106"/>
  <c r="K68" i="106"/>
  <c r="S15" i="106"/>
  <c r="S22" i="106" s="1"/>
  <c r="AU146" i="106"/>
  <c r="AI146" i="106"/>
  <c r="E146" i="106"/>
  <c r="AA113" i="106"/>
  <c r="AK96" i="106"/>
  <c r="AV92" i="106"/>
  <c r="BA46" i="106"/>
  <c r="R46" i="106"/>
  <c r="R65" i="106" s="1"/>
  <c r="AK51" i="106"/>
  <c r="AK52" i="106" s="1"/>
  <c r="AK53" i="106" s="1"/>
  <c r="Y51" i="106"/>
  <c r="Y52" i="106" s="1"/>
  <c r="AU130" i="106"/>
  <c r="AH68" i="106"/>
  <c r="V71" i="106"/>
  <c r="AH124" i="106"/>
  <c r="E99" i="107"/>
  <c r="C99" i="107"/>
  <c r="C101" i="107" s="1"/>
  <c r="BK107" i="106"/>
  <c r="BK109" i="106" s="1"/>
  <c r="BL103" i="106" s="1"/>
  <c r="BL113" i="106" s="1"/>
  <c r="AH104" i="106"/>
  <c r="AH105" i="106" s="1"/>
  <c r="J104" i="106"/>
  <c r="J105" i="106" s="1"/>
  <c r="AN95" i="106"/>
  <c r="AB95" i="106"/>
  <c r="BE82" i="106"/>
  <c r="CD122" i="106"/>
  <c r="V123" i="106"/>
  <c r="V124" i="106" s="1"/>
  <c r="BH137" i="106"/>
  <c r="BH107" i="106" s="1"/>
  <c r="BF137" i="106"/>
  <c r="BF107" i="106" s="1"/>
  <c r="J137" i="106"/>
  <c r="J92" i="107" s="1"/>
  <c r="AT86" i="107"/>
  <c r="AT87" i="107" s="1"/>
  <c r="BE50" i="107"/>
  <c r="BE80" i="106" s="1"/>
  <c r="AD79" i="107"/>
  <c r="Q79" i="107"/>
  <c r="Q70" i="107" s="1"/>
  <c r="AW42" i="107"/>
  <c r="E29" i="107"/>
  <c r="F29" i="107" s="1"/>
  <c r="F137" i="106" s="1"/>
  <c r="P99" i="107"/>
  <c r="P101" i="107" s="1"/>
  <c r="BN37" i="107"/>
  <c r="BN86" i="107" s="1"/>
  <c r="BN87" i="107" s="1"/>
  <c r="BM86" i="107"/>
  <c r="BM87" i="107" s="1"/>
  <c r="CK92" i="107"/>
  <c r="CI107" i="106"/>
  <c r="AS93" i="107"/>
  <c r="AV91" i="107"/>
  <c r="AV122" i="106"/>
  <c r="AV107" i="106"/>
  <c r="AS58" i="107"/>
  <c r="AS82" i="106"/>
  <c r="D122" i="106"/>
  <c r="D107" i="106"/>
  <c r="U58" i="107"/>
  <c r="U83" i="106" s="1"/>
  <c r="U82" i="106"/>
  <c r="AU137" i="106"/>
  <c r="AU91" i="107" s="1"/>
  <c r="BI64" i="107"/>
  <c r="AS81" i="106"/>
  <c r="W86" i="107"/>
  <c r="W87" i="107" s="1"/>
  <c r="AH122" i="106"/>
  <c r="AH125" i="106" s="1"/>
  <c r="AH92" i="107"/>
  <c r="BF86" i="107"/>
  <c r="BF87" i="107" s="1"/>
  <c r="BL88" i="107" s="1"/>
  <c r="V86" i="107"/>
  <c r="V87" i="107" s="1"/>
  <c r="I107" i="106"/>
  <c r="I109" i="106" s="1"/>
  <c r="J95" i="106"/>
  <c r="U81" i="106"/>
  <c r="CC122" i="106"/>
  <c r="BQ113" i="106"/>
  <c r="BT113" i="106" s="1"/>
  <c r="BW113" i="106" s="1"/>
  <c r="BX113" i="106" s="1"/>
  <c r="BY113" i="106" s="1"/>
  <c r="BZ113" i="106" s="1"/>
  <c r="CC113" i="106" s="1"/>
  <c r="CD113" i="106" s="1"/>
  <c r="CE113" i="106" s="1"/>
  <c r="CF113" i="106" s="1"/>
  <c r="CI113" i="106" s="1"/>
  <c r="CJ113" i="106" s="1"/>
  <c r="CK113" i="106" s="1"/>
  <c r="CL113" i="106" s="1"/>
  <c r="C92" i="107"/>
  <c r="AS50" i="107"/>
  <c r="AS80" i="106" s="1"/>
  <c r="BL95" i="106"/>
  <c r="BR127" i="106"/>
  <c r="AT137" i="106"/>
  <c r="AT131" i="106" s="1"/>
  <c r="AT132" i="106" s="1"/>
  <c r="BA124" i="106"/>
  <c r="P107" i="106"/>
  <c r="AZ95" i="106"/>
  <c r="V95" i="106"/>
  <c r="BM124" i="106"/>
  <c r="AU112" i="106"/>
  <c r="BZ122" i="106"/>
  <c r="AH132" i="106"/>
  <c r="AH91" i="107"/>
  <c r="Q86" i="107"/>
  <c r="Q87" i="107" s="1"/>
  <c r="AB79" i="107"/>
  <c r="AW39" i="107"/>
  <c r="AH107" i="106"/>
  <c r="C107" i="106"/>
  <c r="C109" i="106" s="1"/>
  <c r="D103" i="106" s="1"/>
  <c r="AN137" i="106"/>
  <c r="AN107" i="106" s="1"/>
  <c r="AT112" i="106"/>
  <c r="AP107" i="106"/>
  <c r="I122" i="106"/>
  <c r="CD93" i="107"/>
  <c r="P86" i="107"/>
  <c r="P87" i="107" s="1"/>
  <c r="I113" i="106"/>
  <c r="BF69" i="106"/>
  <c r="I68" i="106"/>
  <c r="BC44" i="106"/>
  <c r="AU22" i="106"/>
  <c r="G96" i="106"/>
  <c r="BF71" i="106"/>
  <c r="F69" i="106"/>
  <c r="F68" i="106"/>
  <c r="BG22" i="106"/>
  <c r="BE146" i="106"/>
  <c r="BB71" i="106"/>
  <c r="R68" i="106"/>
  <c r="E68" i="106"/>
  <c r="E36" i="106"/>
  <c r="E46" i="106" s="1"/>
  <c r="AD71" i="106"/>
  <c r="BN146" i="106"/>
  <c r="R146" i="106"/>
  <c r="BF127" i="106"/>
  <c r="AT127" i="106"/>
  <c r="K98" i="106"/>
  <c r="BA71" i="106"/>
  <c r="AI71" i="106"/>
  <c r="R71" i="106"/>
  <c r="Q70" i="106"/>
  <c r="R69" i="106"/>
  <c r="Q68" i="106"/>
  <c r="AT46" i="106"/>
  <c r="AT48" i="106" s="1"/>
  <c r="AN46" i="106"/>
  <c r="AN48" i="106" s="1"/>
  <c r="C46" i="106"/>
  <c r="AM21" i="107"/>
  <c r="AP21" i="107" s="1"/>
  <c r="K22" i="106"/>
  <c r="AI130" i="106"/>
  <c r="AQ44" i="106"/>
  <c r="G31" i="106"/>
  <c r="G69" i="106" s="1"/>
  <c r="AQ51" i="106"/>
  <c r="AQ52" i="106" s="1"/>
  <c r="AK93" i="106"/>
  <c r="AQ144" i="106"/>
  <c r="W134" i="106"/>
  <c r="BQ127" i="106"/>
  <c r="U127" i="106"/>
  <c r="Y93" i="106"/>
  <c r="Q71" i="106"/>
  <c r="BM70" i="106"/>
  <c r="AD70" i="106"/>
  <c r="P70" i="106"/>
  <c r="BM69" i="106"/>
  <c r="AD69" i="106"/>
  <c r="Q69" i="106"/>
  <c r="AU68" i="106"/>
  <c r="AD68" i="106"/>
  <c r="P68" i="106"/>
  <c r="AI46" i="106"/>
  <c r="AI65" i="106" s="1"/>
  <c r="AG21" i="107"/>
  <c r="AJ21" i="107" s="1"/>
  <c r="AK21" i="107" s="1"/>
  <c r="J22" i="106"/>
  <c r="BW87" i="106"/>
  <c r="BX87" i="106" s="1"/>
  <c r="AO22" i="107"/>
  <c r="R19" i="107"/>
  <c r="S19" i="107" s="1"/>
  <c r="F19" i="107"/>
  <c r="G19" i="107" s="1"/>
  <c r="AE93" i="106"/>
  <c r="BF70" i="106"/>
  <c r="I69" i="106"/>
  <c r="BF99" i="106"/>
  <c r="V68" i="106"/>
  <c r="AU127" i="106"/>
  <c r="AB146" i="106"/>
  <c r="J134" i="106"/>
  <c r="AC71" i="106"/>
  <c r="P71" i="106"/>
  <c r="AC70" i="106"/>
  <c r="AC69" i="106"/>
  <c r="AT68" i="106"/>
  <c r="AC68" i="106"/>
  <c r="AA21" i="107"/>
  <c r="AD21" i="107" s="1"/>
  <c r="BN121" i="106"/>
  <c r="BC93" i="106"/>
  <c r="BG71" i="106"/>
  <c r="AA98" i="106"/>
  <c r="AB92" i="106" s="1"/>
  <c r="I146" i="106"/>
  <c r="Q99" i="106"/>
  <c r="R70" i="106"/>
  <c r="AS21" i="107"/>
  <c r="AV21" i="107" s="1"/>
  <c r="AW21" i="107" s="1"/>
  <c r="AE144" i="106"/>
  <c r="AG134" i="106"/>
  <c r="I134" i="106"/>
  <c r="AO127" i="106"/>
  <c r="AC127" i="106"/>
  <c r="AS113" i="106"/>
  <c r="M96" i="106"/>
  <c r="K71" i="106"/>
  <c r="AT70" i="106"/>
  <c r="AT69" i="106"/>
  <c r="AS68" i="106"/>
  <c r="BI59" i="106"/>
  <c r="S44" i="106"/>
  <c r="AU46" i="106"/>
  <c r="AW59" i="106"/>
  <c r="AP19" i="107"/>
  <c r="AQ19" i="107" s="1"/>
  <c r="AC22" i="107"/>
  <c r="Q99" i="107"/>
  <c r="J99" i="107"/>
  <c r="I99" i="107"/>
  <c r="I101" i="107" s="1"/>
  <c r="AP146" i="106"/>
  <c r="AG146" i="106"/>
  <c r="W99" i="107"/>
  <c r="S38" i="107"/>
  <c r="AP36" i="107"/>
  <c r="AP95" i="106" s="1"/>
  <c r="AO95" i="106"/>
  <c r="W24" i="107"/>
  <c r="X24" i="107" s="1"/>
  <c r="U131" i="106"/>
  <c r="U122" i="106"/>
  <c r="U92" i="107"/>
  <c r="U93" i="107"/>
  <c r="U107" i="106"/>
  <c r="U109" i="106" s="1"/>
  <c r="BA29" i="107"/>
  <c r="BA137" i="106" s="1"/>
  <c r="BA91" i="107" s="1"/>
  <c r="AZ137" i="106"/>
  <c r="AZ131" i="106" s="1"/>
  <c r="AZ132" i="106" s="1"/>
  <c r="L29" i="107"/>
  <c r="L137" i="106" s="1"/>
  <c r="L107" i="106" s="1"/>
  <c r="K137" i="106"/>
  <c r="AJ28" i="107"/>
  <c r="AJ104" i="106" s="1"/>
  <c r="AJ105" i="106" s="1"/>
  <c r="AI104" i="106"/>
  <c r="AI105" i="106" s="1"/>
  <c r="AY81" i="106"/>
  <c r="AY57" i="107"/>
  <c r="O81" i="106"/>
  <c r="O57" i="107"/>
  <c r="AK16" i="107"/>
  <c r="G16" i="107"/>
  <c r="L14" i="107"/>
  <c r="L100" i="107" s="1"/>
  <c r="K100" i="107"/>
  <c r="Q12" i="107"/>
  <c r="Q123" i="106" s="1"/>
  <c r="Q124" i="106" s="1"/>
  <c r="P123" i="106"/>
  <c r="P124" i="106" s="1"/>
  <c r="Q48" i="107"/>
  <c r="R48" i="107" s="1"/>
  <c r="BA40" i="107"/>
  <c r="BB40" i="107" s="1"/>
  <c r="BH37" i="107"/>
  <c r="BG86" i="107"/>
  <c r="BG87" i="107" s="1"/>
  <c r="K37" i="107"/>
  <c r="J86" i="107"/>
  <c r="J87" i="107" s="1"/>
  <c r="AQ31" i="107"/>
  <c r="AU14" i="107"/>
  <c r="AU100" i="107" s="1"/>
  <c r="AT100" i="107"/>
  <c r="K8" i="107"/>
  <c r="L8" i="107" s="1"/>
  <c r="BE93" i="107"/>
  <c r="BE91" i="107"/>
  <c r="CL92" i="107"/>
  <c r="CL122" i="106"/>
  <c r="CL93" i="107"/>
  <c r="CF122" i="106"/>
  <c r="CF93" i="107"/>
  <c r="CF131" i="106"/>
  <c r="CC131" i="106"/>
  <c r="CC93" i="107"/>
  <c r="BS92" i="107"/>
  <c r="BS91" i="107"/>
  <c r="AC41" i="107"/>
  <c r="AD41" i="107" s="1"/>
  <c r="F37" i="107"/>
  <c r="F86" i="107" s="1"/>
  <c r="F87" i="107" s="1"/>
  <c r="E86" i="107"/>
  <c r="E87" i="107" s="1"/>
  <c r="BM91" i="107"/>
  <c r="BM93" i="107"/>
  <c r="BM131" i="106"/>
  <c r="BM132" i="106" s="1"/>
  <c r="BM122" i="106"/>
  <c r="BM125" i="106" s="1"/>
  <c r="W29" i="107"/>
  <c r="V137" i="106"/>
  <c r="V131" i="106" s="1"/>
  <c r="V132" i="106" s="1"/>
  <c r="AE16" i="107"/>
  <c r="BG14" i="107"/>
  <c r="BF100" i="107"/>
  <c r="AU12" i="107"/>
  <c r="AU123" i="106" s="1"/>
  <c r="AU124" i="106" s="1"/>
  <c r="AT123" i="106"/>
  <c r="F8" i="107"/>
  <c r="G8" i="107" s="1"/>
  <c r="CI92" i="107"/>
  <c r="BZ91" i="107"/>
  <c r="D91" i="107"/>
  <c r="Y64" i="107"/>
  <c r="BN30" i="107"/>
  <c r="BO30" i="107" s="1"/>
  <c r="G30" i="107"/>
  <c r="AT33" i="107"/>
  <c r="AV131" i="106"/>
  <c r="BW93" i="107"/>
  <c r="AH93" i="107"/>
  <c r="BX92" i="107"/>
  <c r="S23" i="107"/>
  <c r="AW9" i="107"/>
  <c r="I93" i="107"/>
  <c r="CD91" i="107"/>
  <c r="AS91" i="107"/>
  <c r="AY87" i="107"/>
  <c r="AQ64" i="107"/>
  <c r="M64" i="107"/>
  <c r="AY50" i="107"/>
  <c r="AY80" i="106" s="1"/>
  <c r="BC44" i="107"/>
  <c r="AQ40" i="107"/>
  <c r="O50" i="107"/>
  <c r="O80" i="106" s="1"/>
  <c r="AE32" i="107"/>
  <c r="AV146" i="106"/>
  <c r="AC146" i="106"/>
  <c r="J146" i="106"/>
  <c r="BF146" i="106"/>
  <c r="CJ123" i="106"/>
  <c r="CJ12" i="107" s="1"/>
  <c r="CI12" i="107"/>
  <c r="E92" i="106"/>
  <c r="E22" i="106"/>
  <c r="E59" i="106"/>
  <c r="BL146" i="106"/>
  <c r="F146" i="106"/>
  <c r="CA93" i="107"/>
  <c r="CA91" i="107"/>
  <c r="CA92" i="107"/>
  <c r="G93" i="106"/>
  <c r="J36" i="106"/>
  <c r="J46" i="106" s="1"/>
  <c r="J65" i="106" s="1"/>
  <c r="J69" i="106"/>
  <c r="J70" i="106"/>
  <c r="AE59" i="106"/>
  <c r="I57" i="107"/>
  <c r="I81" i="106"/>
  <c r="AM20" i="107"/>
  <c r="AP20" i="107" s="1"/>
  <c r="AK31" i="106"/>
  <c r="AK36" i="106" s="1"/>
  <c r="AS146" i="106"/>
  <c r="AY146" i="106"/>
  <c r="C146" i="106"/>
  <c r="BU91" i="107"/>
  <c r="BU92" i="107"/>
  <c r="BU93" i="107"/>
  <c r="BK113" i="106"/>
  <c r="AM109" i="106"/>
  <c r="C58" i="107"/>
  <c r="C82" i="106"/>
  <c r="D53" i="106"/>
  <c r="AT52" i="106"/>
  <c r="BQ52" i="106"/>
  <c r="AD99" i="106"/>
  <c r="BS158" i="106"/>
  <c r="AM146" i="106"/>
  <c r="CM93" i="107"/>
  <c r="CM92" i="107"/>
  <c r="CG93" i="107"/>
  <c r="CG91" i="107"/>
  <c r="CG92" i="107"/>
  <c r="AO134" i="106"/>
  <c r="BI92" i="107"/>
  <c r="BI91" i="107"/>
  <c r="O109" i="106"/>
  <c r="O115" i="106" s="1"/>
  <c r="S103" i="106"/>
  <c r="BI96" i="106"/>
  <c r="AJ53" i="106"/>
  <c r="BN36" i="106"/>
  <c r="BN46" i="106" s="1"/>
  <c r="BN70" i="106"/>
  <c r="BN68" i="106"/>
  <c r="BN71" i="106"/>
  <c r="AP36" i="106"/>
  <c r="AP46" i="106" s="1"/>
  <c r="AP70" i="106"/>
  <c r="AP69" i="106"/>
  <c r="AM93" i="107"/>
  <c r="AM92" i="107"/>
  <c r="AM91" i="107"/>
  <c r="AG109" i="106"/>
  <c r="AH103" i="106" s="1"/>
  <c r="Y96" i="106"/>
  <c r="AV53" i="106"/>
  <c r="BN53" i="106"/>
  <c r="BQ36" i="106"/>
  <c r="BQ46" i="106" s="1"/>
  <c r="BQ48" i="106" s="1"/>
  <c r="BQ70" i="106"/>
  <c r="BQ69" i="106"/>
  <c r="BE70" i="106"/>
  <c r="BE69" i="106"/>
  <c r="BE71" i="106"/>
  <c r="AS69" i="106"/>
  <c r="AS71" i="106"/>
  <c r="AS70" i="106"/>
  <c r="AS36" i="106"/>
  <c r="AS46" i="106" s="1"/>
  <c r="AG36" i="106"/>
  <c r="AG46" i="106" s="1"/>
  <c r="AG48" i="106" s="1"/>
  <c r="AG68" i="106"/>
  <c r="AG69" i="106"/>
  <c r="F22" i="106"/>
  <c r="F59" i="106"/>
  <c r="G21" i="106"/>
  <c r="G59" i="106" s="1"/>
  <c r="I50" i="107"/>
  <c r="I80" i="106" s="1"/>
  <c r="BI93" i="106"/>
  <c r="D36" i="106"/>
  <c r="D46" i="106" s="1"/>
  <c r="D70" i="106"/>
  <c r="D68" i="106"/>
  <c r="BK20" i="107"/>
  <c r="BN20" i="107" s="1"/>
  <c r="BO20" i="107" s="1"/>
  <c r="BI31" i="106"/>
  <c r="BI36" i="106" s="1"/>
  <c r="O20" i="107"/>
  <c r="R20" i="107" s="1"/>
  <c r="M31" i="106"/>
  <c r="M36" i="106" s="1"/>
  <c r="BG91" i="107"/>
  <c r="AP71" i="106"/>
  <c r="BT85" i="107"/>
  <c r="BU85" i="107" s="1"/>
  <c r="AO37" i="107"/>
  <c r="AN86" i="107"/>
  <c r="AN87" i="107" s="1"/>
  <c r="AQ96" i="106"/>
  <c r="BL53" i="106"/>
  <c r="O36" i="106"/>
  <c r="O46" i="106" s="1"/>
  <c r="O70" i="106"/>
  <c r="O71" i="106"/>
  <c r="AG131" i="106"/>
  <c r="AG92" i="107"/>
  <c r="AG91" i="107"/>
  <c r="AG93" i="107"/>
  <c r="AG122" i="106"/>
  <c r="BQ107" i="106"/>
  <c r="BQ109" i="106" s="1"/>
  <c r="BR103" i="106" s="1"/>
  <c r="BQ93" i="107"/>
  <c r="BQ122" i="106"/>
  <c r="BQ131" i="106"/>
  <c r="BQ91" i="107"/>
  <c r="BM22" i="106"/>
  <c r="BM68" i="106"/>
  <c r="AA19" i="107"/>
  <c r="AD19" i="107" s="1"/>
  <c r="AE19" i="107" s="1"/>
  <c r="Y59" i="106"/>
  <c r="W14" i="107"/>
  <c r="V100" i="107"/>
  <c r="M93" i="106"/>
  <c r="X53" i="106"/>
  <c r="AY46" i="106"/>
  <c r="AY65" i="106" s="1"/>
  <c r="BC31" i="106"/>
  <c r="BC36" i="106" s="1"/>
  <c r="BC51" i="106"/>
  <c r="BC52" i="106" s="1"/>
  <c r="AB46" i="106"/>
  <c r="AB65" i="106" s="1"/>
  <c r="BX88" i="106"/>
  <c r="BY88" i="106" s="1"/>
  <c r="CJ93" i="107"/>
  <c r="CJ91" i="107"/>
  <c r="CJ122" i="106"/>
  <c r="CJ92" i="107"/>
  <c r="AS18" i="107"/>
  <c r="AQ59" i="106"/>
  <c r="BM45" i="107"/>
  <c r="BN45" i="107" s="1"/>
  <c r="BO45" i="107" s="1"/>
  <c r="BG24" i="107"/>
  <c r="BH24" i="107" s="1"/>
  <c r="G44" i="106"/>
  <c r="AA91" i="107"/>
  <c r="AA92" i="107"/>
  <c r="AA93" i="107"/>
  <c r="BG32" i="107"/>
  <c r="BH32" i="107" s="1"/>
  <c r="AD29" i="107"/>
  <c r="AD137" i="106" s="1"/>
  <c r="AC137" i="106"/>
  <c r="AD53" i="106"/>
  <c r="BG46" i="106"/>
  <c r="R121" i="106"/>
  <c r="BY93" i="107"/>
  <c r="BY91" i="107"/>
  <c r="BY92" i="107"/>
  <c r="BY107" i="106"/>
  <c r="BY131" i="106"/>
  <c r="BY122" i="106"/>
  <c r="BC15" i="106"/>
  <c r="BC22" i="106" s="1"/>
  <c r="BC59" i="106"/>
  <c r="BS93" i="107"/>
  <c r="AB53" i="106"/>
  <c r="P53" i="106"/>
  <c r="O131" i="106"/>
  <c r="O93" i="107"/>
  <c r="O91" i="107"/>
  <c r="O92" i="107"/>
  <c r="O122" i="106"/>
  <c r="CE131" i="106"/>
  <c r="CE91" i="107"/>
  <c r="CE92" i="107"/>
  <c r="CE107" i="106"/>
  <c r="CE122" i="106"/>
  <c r="M69" i="107"/>
  <c r="M73" i="107" s="1"/>
  <c r="I69" i="107"/>
  <c r="G78" i="107"/>
  <c r="BH12" i="107"/>
  <c r="BH123" i="106" s="1"/>
  <c r="BG123" i="106"/>
  <c r="BG124" i="106" s="1"/>
  <c r="AQ31" i="106"/>
  <c r="BQ21" i="107"/>
  <c r="U21" i="107"/>
  <c r="AY91" i="107"/>
  <c r="AY92" i="107"/>
  <c r="AY93" i="107"/>
  <c r="AV93" i="107"/>
  <c r="AV92" i="107"/>
  <c r="P131" i="106"/>
  <c r="P132" i="106" s="1"/>
  <c r="P92" i="107"/>
  <c r="P93" i="107"/>
  <c r="AS92" i="107"/>
  <c r="CL91" i="107"/>
  <c r="C91" i="107"/>
  <c r="BM48" i="107"/>
  <c r="BN48" i="107" s="1"/>
  <c r="BO48" i="107" s="1"/>
  <c r="AI12" i="107"/>
  <c r="I46" i="106"/>
  <c r="I65" i="106" s="1"/>
  <c r="G51" i="106"/>
  <c r="G52" i="106" s="1"/>
  <c r="BQ19" i="107"/>
  <c r="BH91" i="107"/>
  <c r="K32" i="107"/>
  <c r="L32" i="107" s="1"/>
  <c r="BB46" i="106"/>
  <c r="BB65" i="106" s="1"/>
  <c r="Y44" i="106"/>
  <c r="AY21" i="107"/>
  <c r="AP92" i="107"/>
  <c r="AP91" i="107"/>
  <c r="D131" i="106"/>
  <c r="D92" i="107"/>
  <c r="D93" i="107"/>
  <c r="CF107" i="106"/>
  <c r="CF91" i="107"/>
  <c r="CF92" i="107"/>
  <c r="BR92" i="107"/>
  <c r="BR93" i="107"/>
  <c r="BZ92" i="107"/>
  <c r="BE92" i="107"/>
  <c r="Y40" i="107"/>
  <c r="AD24" i="107"/>
  <c r="AE24" i="107" s="1"/>
  <c r="F46" i="106"/>
  <c r="F65" i="106" s="1"/>
  <c r="M44" i="106"/>
  <c r="M164" i="106" s="1"/>
  <c r="AK59" i="106"/>
  <c r="AV46" i="106"/>
  <c r="CD123" i="106"/>
  <c r="CC12" i="107"/>
  <c r="BK91" i="107"/>
  <c r="BK92" i="107"/>
  <c r="CK107" i="106"/>
  <c r="CK93" i="107"/>
  <c r="BT107" i="106"/>
  <c r="BT91" i="107"/>
  <c r="BT92" i="107"/>
  <c r="G15" i="106"/>
  <c r="BT93" i="107"/>
  <c r="Q40" i="107"/>
  <c r="R40" i="107" s="1"/>
  <c r="O99" i="107"/>
  <c r="O101" i="107" s="1"/>
  <c r="BW92" i="107"/>
  <c r="I92" i="107"/>
  <c r="L79" i="107"/>
  <c r="AE64" i="107"/>
  <c r="BH13" i="107"/>
  <c r="BI13" i="107" s="1"/>
  <c r="AQ8" i="107"/>
  <c r="Y15" i="106"/>
  <c r="Y22" i="106" s="1"/>
  <c r="D99" i="107"/>
  <c r="D101" i="107" s="1"/>
  <c r="CI91" i="107"/>
  <c r="BX91" i="107"/>
  <c r="U91" i="107"/>
  <c r="Q41" i="107"/>
  <c r="R41" i="107" s="1"/>
  <c r="AC39" i="107"/>
  <c r="AD39" i="107" s="1"/>
  <c r="AB46" i="107"/>
  <c r="BS63" i="107"/>
  <c r="BT64" i="107"/>
  <c r="W31" i="107"/>
  <c r="X31" i="107" s="1"/>
  <c r="BB19" i="107"/>
  <c r="BC19" i="107" s="1"/>
  <c r="AN14" i="107"/>
  <c r="AN25" i="107" s="1"/>
  <c r="AM25" i="107"/>
  <c r="AM50" i="107" s="1"/>
  <c r="AM80" i="106" s="1"/>
  <c r="AO9" i="107"/>
  <c r="AP9" i="107" s="1"/>
  <c r="J25" i="107"/>
  <c r="BG8" i="107"/>
  <c r="BH8" i="107" s="1"/>
  <c r="CC107" i="106"/>
  <c r="CC92" i="107"/>
  <c r="I91" i="107"/>
  <c r="K23" i="107"/>
  <c r="L23" i="107" s="1"/>
  <c r="BM14" i="107"/>
  <c r="BN14" i="107" s="1"/>
  <c r="BN100" i="107" s="1"/>
  <c r="AU13" i="107"/>
  <c r="AV13" i="107" s="1"/>
  <c r="AC8" i="107"/>
  <c r="AD8" i="107" s="1"/>
  <c r="U99" i="107"/>
  <c r="U101" i="107" s="1"/>
  <c r="K99" i="107"/>
  <c r="CD92" i="107"/>
  <c r="AI48" i="107"/>
  <c r="AJ48" i="107" s="1"/>
  <c r="BG79" i="107"/>
  <c r="BH79" i="107"/>
  <c r="G40" i="107"/>
  <c r="S32" i="107"/>
  <c r="AI29" i="107"/>
  <c r="F23" i="107"/>
  <c r="G23" i="107" s="1"/>
  <c r="AV19" i="107"/>
  <c r="AW19" i="107" s="1"/>
  <c r="AD87" i="107"/>
  <c r="BA45" i="107"/>
  <c r="BB45" i="107" s="1"/>
  <c r="AK13" i="107"/>
  <c r="BO9" i="107"/>
  <c r="BC8" i="107"/>
  <c r="BO40" i="107"/>
  <c r="X30" i="107"/>
  <c r="Y30" i="107" s="1"/>
  <c r="BG16" i="107"/>
  <c r="BH16" i="107" s="1"/>
  <c r="M45" i="107"/>
  <c r="AJ79" i="107"/>
  <c r="AH79" i="107"/>
  <c r="AI79" i="107"/>
  <c r="AI40" i="107"/>
  <c r="AJ40" i="107" s="1"/>
  <c r="G39" i="107"/>
  <c r="P33" i="107"/>
  <c r="BC16" i="107"/>
  <c r="L12" i="107"/>
  <c r="L123" i="106" s="1"/>
  <c r="L124" i="106" s="1"/>
  <c r="S8" i="107"/>
  <c r="U50" i="107"/>
  <c r="U80" i="106" s="1"/>
  <c r="AW30" i="107"/>
  <c r="Q29" i="107"/>
  <c r="Y13" i="107"/>
  <c r="AY79" i="107"/>
  <c r="AE40" i="107"/>
  <c r="M40" i="107"/>
  <c r="Y37" i="107"/>
  <c r="Y86" i="107" s="1"/>
  <c r="Y87" i="107" s="1"/>
  <c r="L19" i="107"/>
  <c r="M19" i="107" s="1"/>
  <c r="BI41" i="107"/>
  <c r="AW37" i="107"/>
  <c r="AW86" i="107" s="1"/>
  <c r="AW87" i="107" s="1"/>
  <c r="BM22" i="107"/>
  <c r="O70" i="107"/>
  <c r="C50" i="107"/>
  <c r="AW64" i="107"/>
  <c r="BC64" i="107"/>
  <c r="AO44" i="107"/>
  <c r="AN46" i="107"/>
  <c r="W8" i="107"/>
  <c r="V25" i="107"/>
  <c r="K48" i="107"/>
  <c r="AP79" i="107"/>
  <c r="AO79" i="107"/>
  <c r="AN79" i="107"/>
  <c r="AM79" i="107"/>
  <c r="AI43" i="107"/>
  <c r="AJ43" i="107" s="1"/>
  <c r="AP39" i="107"/>
  <c r="AQ39" i="107" s="1"/>
  <c r="AD36" i="107"/>
  <c r="AE36" i="107" s="1"/>
  <c r="AE95" i="106" s="1"/>
  <c r="AD31" i="107"/>
  <c r="AE31" i="107" s="1"/>
  <c r="Q22" i="107"/>
  <c r="E22" i="107"/>
  <c r="AI14" i="107"/>
  <c r="AH25" i="107"/>
  <c r="AH100" i="107"/>
  <c r="AK64" i="107"/>
  <c r="BA48" i="107"/>
  <c r="V46" i="107"/>
  <c r="M44" i="107"/>
  <c r="K43" i="107"/>
  <c r="L43" i="107" s="1"/>
  <c r="K42" i="107"/>
  <c r="L42" i="107" s="1"/>
  <c r="J46" i="107"/>
  <c r="AU40" i="107"/>
  <c r="AV40" i="107" s="1"/>
  <c r="AT46" i="107"/>
  <c r="BN39" i="107"/>
  <c r="BO39" i="107" s="1"/>
  <c r="AP38" i="107"/>
  <c r="AQ38" i="107" s="1"/>
  <c r="CD85" i="107"/>
  <c r="CE85" i="107" s="1"/>
  <c r="CF85" i="107" s="1"/>
  <c r="CI85" i="107"/>
  <c r="BB36" i="107"/>
  <c r="BB95" i="106" s="1"/>
  <c r="AS79" i="107"/>
  <c r="AT79" i="107"/>
  <c r="AU79" i="107"/>
  <c r="AV79" i="107"/>
  <c r="D22" i="107"/>
  <c r="F18" i="107"/>
  <c r="G18" i="107" s="1"/>
  <c r="Q15" i="107"/>
  <c r="R15" i="107" s="1"/>
  <c r="BA38" i="107"/>
  <c r="BB38" i="107" s="1"/>
  <c r="AP30" i="107"/>
  <c r="AQ30" i="107" s="1"/>
  <c r="S9" i="107"/>
  <c r="AD48" i="107"/>
  <c r="AU45" i="107"/>
  <c r="AV45" i="107" s="1"/>
  <c r="AU23" i="107"/>
  <c r="AV23" i="107" s="1"/>
  <c r="AW23" i="107" s="1"/>
  <c r="AT25" i="107"/>
  <c r="BO64" i="107"/>
  <c r="S64" i="107"/>
  <c r="AE44" i="107"/>
  <c r="BE79" i="107"/>
  <c r="BF79" i="107"/>
  <c r="Y41" i="107"/>
  <c r="L28" i="107"/>
  <c r="L104" i="106" s="1"/>
  <c r="L105" i="106" s="1"/>
  <c r="AP23" i="107"/>
  <c r="AQ23" i="107" s="1"/>
  <c r="BG48" i="107"/>
  <c r="BA37" i="107"/>
  <c r="BM28" i="107"/>
  <c r="BN28" i="107" s="1"/>
  <c r="BL33" i="107"/>
  <c r="R16" i="107"/>
  <c r="S16" i="107" s="1"/>
  <c r="BI45" i="107"/>
  <c r="AA57" i="107"/>
  <c r="AA50" i="107"/>
  <c r="AA80" i="106" s="1"/>
  <c r="I79" i="107"/>
  <c r="K79" i="107"/>
  <c r="V79" i="107"/>
  <c r="W79" i="107"/>
  <c r="U79" i="107"/>
  <c r="BA42" i="107"/>
  <c r="BB42" i="107" s="1"/>
  <c r="BM41" i="107"/>
  <c r="BL46" i="107"/>
  <c r="BB39" i="107"/>
  <c r="BC39" i="107" s="1"/>
  <c r="BN31" i="107"/>
  <c r="BO31" i="107" s="1"/>
  <c r="AC30" i="107"/>
  <c r="AD30" i="107" s="1"/>
  <c r="R42" i="107"/>
  <c r="S42" i="107" s="1"/>
  <c r="F20" i="107"/>
  <c r="G20" i="107" s="1"/>
  <c r="AP48" i="107"/>
  <c r="Q45" i="107"/>
  <c r="R45" i="107" s="1"/>
  <c r="AU44" i="107"/>
  <c r="AV44" i="107" s="1"/>
  <c r="X44" i="107"/>
  <c r="Y44" i="107" s="1"/>
  <c r="AK41" i="107"/>
  <c r="Y39" i="107"/>
  <c r="E38" i="107"/>
  <c r="G77" i="107"/>
  <c r="Y48" i="107"/>
  <c r="AE45" i="107"/>
  <c r="G44" i="107"/>
  <c r="G42" i="107"/>
  <c r="CA85" i="107"/>
  <c r="BQ87" i="107"/>
  <c r="BQ88" i="107" s="1"/>
  <c r="J33" i="107"/>
  <c r="E24" i="107"/>
  <c r="F24" i="107" s="1"/>
  <c r="D25" i="107"/>
  <c r="X19" i="107"/>
  <c r="Y19" i="107" s="1"/>
  <c r="V22" i="107"/>
  <c r="CJ101" i="107"/>
  <c r="CK101" i="107" s="1"/>
  <c r="CL101" i="107" s="1"/>
  <c r="AW48" i="107"/>
  <c r="E45" i="107"/>
  <c r="F45" i="107" s="1"/>
  <c r="AA79" i="107"/>
  <c r="AU43" i="107"/>
  <c r="AV43" i="107" s="1"/>
  <c r="BA41" i="107"/>
  <c r="BB41" i="107" s="1"/>
  <c r="K41" i="107"/>
  <c r="L41" i="107" s="1"/>
  <c r="M41" i="107" s="1"/>
  <c r="BI40" i="107"/>
  <c r="R39" i="107"/>
  <c r="S39" i="107" s="1"/>
  <c r="L36" i="107"/>
  <c r="BA24" i="107"/>
  <c r="BB24" i="107" s="1"/>
  <c r="AO13" i="107"/>
  <c r="AP13" i="107" s="1"/>
  <c r="W42" i="107"/>
  <c r="X42" i="107" s="1"/>
  <c r="AW41" i="107"/>
  <c r="BG39" i="107"/>
  <c r="BH39" i="107" s="1"/>
  <c r="F31" i="107"/>
  <c r="G31" i="107" s="1"/>
  <c r="BG28" i="107"/>
  <c r="BG104" i="106" s="1"/>
  <c r="BG105" i="106" s="1"/>
  <c r="BF33" i="107"/>
  <c r="BN19" i="107"/>
  <c r="S44" i="107"/>
  <c r="P46" i="107"/>
  <c r="W43" i="107"/>
  <c r="X43" i="107" s="1"/>
  <c r="AH46" i="107"/>
  <c r="AI39" i="107"/>
  <c r="AJ39" i="107" s="1"/>
  <c r="K39" i="107"/>
  <c r="L39" i="107" s="1"/>
  <c r="BI38" i="107"/>
  <c r="BF46" i="107"/>
  <c r="AV32" i="107"/>
  <c r="AW32" i="107" s="1"/>
  <c r="L30" i="107"/>
  <c r="M30" i="107" s="1"/>
  <c r="AC28" i="107"/>
  <c r="AC104" i="106" s="1"/>
  <c r="AC105" i="106" s="1"/>
  <c r="AB33" i="107"/>
  <c r="BA22" i="107"/>
  <c r="W16" i="107"/>
  <c r="X16" i="107" s="1"/>
  <c r="Y45" i="107"/>
  <c r="AE42" i="107"/>
  <c r="AI38" i="107"/>
  <c r="AJ38" i="107" s="1"/>
  <c r="AU36" i="107"/>
  <c r="AU95" i="106" s="1"/>
  <c r="G32" i="107"/>
  <c r="M29" i="107"/>
  <c r="M137" i="106" s="1"/>
  <c r="AK44" i="107"/>
  <c r="BO38" i="107"/>
  <c r="BI31" i="107"/>
  <c r="AK30" i="107"/>
  <c r="AU28" i="107"/>
  <c r="AU104" i="106" s="1"/>
  <c r="BN23" i="107"/>
  <c r="BO23" i="107" s="1"/>
  <c r="AE23" i="107"/>
  <c r="AH22" i="107"/>
  <c r="BO43" i="107"/>
  <c r="AW38" i="107"/>
  <c r="K38" i="107"/>
  <c r="BN36" i="107"/>
  <c r="Q36" i="107"/>
  <c r="Q95" i="106" s="1"/>
  <c r="AK32" i="107"/>
  <c r="BB31" i="107"/>
  <c r="BC31" i="107" s="1"/>
  <c r="AI31" i="107"/>
  <c r="AJ31" i="107" s="1"/>
  <c r="AH33" i="107"/>
  <c r="AQ29" i="107"/>
  <c r="AQ137" i="106" s="1"/>
  <c r="AO41" i="107"/>
  <c r="AP41" i="107" s="1"/>
  <c r="AI37" i="107"/>
  <c r="V33" i="107"/>
  <c r="W28" i="107"/>
  <c r="W104" i="106" s="1"/>
  <c r="W105" i="106" s="1"/>
  <c r="R24" i="107"/>
  <c r="S24" i="107" s="1"/>
  <c r="BB23" i="107"/>
  <c r="BC23" i="107" s="1"/>
  <c r="AT22" i="107"/>
  <c r="BA15" i="107"/>
  <c r="BB15" i="107" s="1"/>
  <c r="AZ25" i="107"/>
  <c r="Q14" i="107"/>
  <c r="AZ46" i="107"/>
  <c r="D46" i="107"/>
  <c r="AE37" i="107"/>
  <c r="AE86" i="107" s="1"/>
  <c r="AE87" i="107" s="1"/>
  <c r="BG36" i="107"/>
  <c r="BG95" i="106" s="1"/>
  <c r="AW31" i="107"/>
  <c r="AO28" i="107"/>
  <c r="AO104" i="106" s="1"/>
  <c r="AO105" i="106" s="1"/>
  <c r="AN33" i="107"/>
  <c r="E28" i="107"/>
  <c r="E104" i="106" s="1"/>
  <c r="D33" i="107"/>
  <c r="AJ8" i="107"/>
  <c r="AK8" i="107" s="1"/>
  <c r="AQ32" i="107"/>
  <c r="Y32" i="107"/>
  <c r="M31" i="107"/>
  <c r="AW29" i="107"/>
  <c r="AW137" i="106" s="1"/>
  <c r="AO24" i="107"/>
  <c r="AP24" i="107" s="1"/>
  <c r="BF22" i="107"/>
  <c r="W22" i="107"/>
  <c r="AG25" i="107"/>
  <c r="AG81" i="106" s="1"/>
  <c r="F12" i="107"/>
  <c r="F123" i="106" s="1"/>
  <c r="F124" i="106" s="1"/>
  <c r="M11" i="107"/>
  <c r="AI36" i="107"/>
  <c r="AI95" i="106" s="1"/>
  <c r="G36" i="107"/>
  <c r="G95" i="106" s="1"/>
  <c r="BA28" i="107"/>
  <c r="BA104" i="106" s="1"/>
  <c r="BA105" i="106" s="1"/>
  <c r="AZ33" i="107"/>
  <c r="Q28" i="107"/>
  <c r="Q104" i="106" s="1"/>
  <c r="Q105" i="106" s="1"/>
  <c r="AN22" i="107"/>
  <c r="X12" i="107"/>
  <c r="X123" i="106" s="1"/>
  <c r="Y38" i="107"/>
  <c r="S30" i="107"/>
  <c r="AI24" i="107"/>
  <c r="AJ24" i="107" s="1"/>
  <c r="M24" i="107"/>
  <c r="BH19" i="107"/>
  <c r="BI19" i="107" s="1"/>
  <c r="AZ22" i="107"/>
  <c r="AK15" i="107"/>
  <c r="E15" i="107"/>
  <c r="F15" i="107" s="1"/>
  <c r="AP12" i="107"/>
  <c r="AP123" i="106" s="1"/>
  <c r="AP124" i="106" s="1"/>
  <c r="S37" i="107"/>
  <c r="S86" i="107" s="1"/>
  <c r="S87" i="107" s="1"/>
  <c r="Y36" i="107"/>
  <c r="Y95" i="106" s="1"/>
  <c r="BN29" i="107"/>
  <c r="AW24" i="107"/>
  <c r="BL22" i="107"/>
  <c r="AU22" i="107"/>
  <c r="AJ19" i="107"/>
  <c r="AK19" i="107" s="1"/>
  <c r="AB22" i="107"/>
  <c r="P22" i="107"/>
  <c r="AW16" i="107"/>
  <c r="BB12" i="107"/>
  <c r="BB123" i="106" s="1"/>
  <c r="AK11" i="107"/>
  <c r="BH9" i="107"/>
  <c r="G9" i="107"/>
  <c r="AD12" i="107"/>
  <c r="AD123" i="106" s="1"/>
  <c r="AD124" i="106" s="1"/>
  <c r="BI11" i="107"/>
  <c r="BF25" i="107"/>
  <c r="AV8" i="107"/>
  <c r="AW8" i="107" s="1"/>
  <c r="J22" i="107"/>
  <c r="M16" i="107"/>
  <c r="BO15" i="107"/>
  <c r="W9" i="107"/>
  <c r="X9" i="107" s="1"/>
  <c r="BG23" i="107"/>
  <c r="BH23" i="107" s="1"/>
  <c r="AW15" i="107"/>
  <c r="AB14" i="107"/>
  <c r="AB25" i="107" s="1"/>
  <c r="BA13" i="107"/>
  <c r="BB13" i="107" s="1"/>
  <c r="E13" i="107"/>
  <c r="F13" i="107" s="1"/>
  <c r="BA11" i="107"/>
  <c r="BA112" i="106" s="1"/>
  <c r="AC11" i="107"/>
  <c r="AC112" i="106" s="1"/>
  <c r="E11" i="107"/>
  <c r="E112" i="106" s="1"/>
  <c r="W23" i="107"/>
  <c r="X23" i="107" s="1"/>
  <c r="C22" i="107"/>
  <c r="AQ16" i="107"/>
  <c r="BI15" i="107"/>
  <c r="M15" i="107"/>
  <c r="BM13" i="107"/>
  <c r="BN13" i="107" s="1"/>
  <c r="Q13" i="107"/>
  <c r="R13" i="107" s="1"/>
  <c r="BG22" i="107"/>
  <c r="AI22" i="107"/>
  <c r="K22" i="107"/>
  <c r="BN12" i="107"/>
  <c r="BN123" i="106" s="1"/>
  <c r="AW11" i="107"/>
  <c r="Y11" i="107"/>
  <c r="K9" i="107"/>
  <c r="AI23" i="107"/>
  <c r="AJ23" i="107" s="1"/>
  <c r="Y15" i="107"/>
  <c r="E14" i="107"/>
  <c r="AC13" i="107"/>
  <c r="AD13" i="107" s="1"/>
  <c r="BM11" i="107"/>
  <c r="AO11" i="107"/>
  <c r="AO112" i="106" s="1"/>
  <c r="P25" i="107"/>
  <c r="Q11" i="107"/>
  <c r="Q112" i="106" s="1"/>
  <c r="AA109" i="106"/>
  <c r="AA105" i="106"/>
  <c r="BO96" i="106"/>
  <c r="CE146" i="106"/>
  <c r="CF146" i="106" s="1"/>
  <c r="CJ146" i="106" s="1"/>
  <c r="AU92" i="106"/>
  <c r="AM113" i="106"/>
  <c r="S93" i="106"/>
  <c r="AP53" i="106"/>
  <c r="J53" i="106"/>
  <c r="BW39" i="106"/>
  <c r="BM146" i="106"/>
  <c r="AT146" i="106"/>
  <c r="AJ146" i="106"/>
  <c r="AA146" i="106"/>
  <c r="Q146" i="106"/>
  <c r="AG113" i="106"/>
  <c r="BC96" i="106"/>
  <c r="AW93" i="106"/>
  <c r="BM99" i="106"/>
  <c r="AO53" i="106"/>
  <c r="R99" i="106"/>
  <c r="AM53" i="106"/>
  <c r="S96" i="106"/>
  <c r="BE113" i="106"/>
  <c r="AY105" i="106"/>
  <c r="AY109" i="106"/>
  <c r="Y103" i="106"/>
  <c r="U113" i="106"/>
  <c r="AQ93" i="106"/>
  <c r="C77" i="106"/>
  <c r="AW51" i="106"/>
  <c r="AW31" i="106"/>
  <c r="AW36" i="106" s="1"/>
  <c r="BH146" i="106"/>
  <c r="AO146" i="106"/>
  <c r="V146" i="106"/>
  <c r="L146" i="106"/>
  <c r="BI103" i="106"/>
  <c r="BT29" i="106"/>
  <c r="BT41" i="107" s="1"/>
  <c r="BQ146" i="106"/>
  <c r="BG146" i="106"/>
  <c r="AN146" i="106"/>
  <c r="AD146" i="106"/>
  <c r="U146" i="106"/>
  <c r="K146" i="106"/>
  <c r="I105" i="106"/>
  <c r="AW96" i="106"/>
  <c r="BM52" i="106"/>
  <c r="BK36" i="106"/>
  <c r="BK46" i="106" s="1"/>
  <c r="BK48" i="106" s="1"/>
  <c r="BK70" i="106"/>
  <c r="BK71" i="106"/>
  <c r="BK68" i="106"/>
  <c r="AZ36" i="106"/>
  <c r="AZ46" i="106" s="1"/>
  <c r="AZ70" i="106"/>
  <c r="AZ68" i="106"/>
  <c r="AZ71" i="106"/>
  <c r="AO68" i="106"/>
  <c r="AO36" i="106"/>
  <c r="AO46" i="106" s="1"/>
  <c r="AO71" i="106"/>
  <c r="AO69" i="106"/>
  <c r="AO70" i="106"/>
  <c r="AE31" i="106"/>
  <c r="U36" i="106"/>
  <c r="U46" i="106" s="1"/>
  <c r="U68" i="106"/>
  <c r="U71" i="106"/>
  <c r="U70" i="106"/>
  <c r="BO93" i="106"/>
  <c r="I71" i="106"/>
  <c r="U53" i="106"/>
  <c r="AH52" i="106"/>
  <c r="BB22" i="106"/>
  <c r="BB68" i="106"/>
  <c r="AG53" i="106"/>
  <c r="BK52" i="106"/>
  <c r="BA52" i="106"/>
  <c r="BH46" i="106"/>
  <c r="O98" i="106"/>
  <c r="BE36" i="106"/>
  <c r="BE46" i="106" s="1"/>
  <c r="BE59" i="106"/>
  <c r="BQ68" i="106"/>
  <c r="BQ71" i="106"/>
  <c r="S31" i="106"/>
  <c r="S36" i="106" s="1"/>
  <c r="S59" i="106"/>
  <c r="AE96" i="106"/>
  <c r="AZ53" i="106"/>
  <c r="AN53" i="106"/>
  <c r="F52" i="106"/>
  <c r="M59" i="106"/>
  <c r="BO31" i="106"/>
  <c r="BO59" i="106"/>
  <c r="K53" i="106"/>
  <c r="AH36" i="106"/>
  <c r="AH46" i="106" s="1"/>
  <c r="AH48" i="106" s="1"/>
  <c r="AH70" i="106"/>
  <c r="AH71" i="106"/>
  <c r="W36" i="106"/>
  <c r="W46" i="106" s="1"/>
  <c r="W70" i="106"/>
  <c r="W68" i="106"/>
  <c r="L68" i="106"/>
  <c r="L71" i="106"/>
  <c r="L69" i="106"/>
  <c r="BE131" i="106"/>
  <c r="BE122" i="106"/>
  <c r="BE107" i="106"/>
  <c r="J59" i="106"/>
  <c r="BO44" i="106"/>
  <c r="BO164" i="106" s="1"/>
  <c r="BB121" i="106"/>
  <c r="AC121" i="106"/>
  <c r="AK44" i="106"/>
  <c r="AK164" i="106" s="1"/>
  <c r="BH121" i="106"/>
  <c r="AE44" i="106"/>
  <c r="AE164" i="106" s="1"/>
  <c r="AC46" i="106"/>
  <c r="Y31" i="106"/>
  <c r="K121" i="106"/>
  <c r="K124" i="106" s="1"/>
  <c r="AD130" i="106"/>
  <c r="AA131" i="106"/>
  <c r="AA122" i="106"/>
  <c r="BI44" i="106"/>
  <c r="BI164" i="106" s="1"/>
  <c r="X46" i="106"/>
  <c r="BF46" i="106"/>
  <c r="W121" i="106"/>
  <c r="W124" i="106" s="1"/>
  <c r="BK131" i="106"/>
  <c r="BK122" i="106"/>
  <c r="AJ46" i="106"/>
  <c r="BO51" i="106"/>
  <c r="S51" i="106"/>
  <c r="AY131" i="106"/>
  <c r="AY122" i="106"/>
  <c r="BF121" i="106"/>
  <c r="BF124" i="106" s="1"/>
  <c r="AP122" i="106"/>
  <c r="AP131" i="106"/>
  <c r="AP132" i="106" s="1"/>
  <c r="CI131" i="106"/>
  <c r="CI122" i="106"/>
  <c r="AV130" i="106"/>
  <c r="AK15" i="106"/>
  <c r="BW107" i="106"/>
  <c r="BW122" i="106"/>
  <c r="AO121" i="106"/>
  <c r="AO124" i="106" s="1"/>
  <c r="X121" i="106"/>
  <c r="F130" i="106"/>
  <c r="C131" i="106"/>
  <c r="C132" i="106" s="1"/>
  <c r="C122" i="106"/>
  <c r="BX107" i="106"/>
  <c r="BX131" i="106"/>
  <c r="AM131" i="106"/>
  <c r="AM122" i="106"/>
  <c r="CJ131" i="106"/>
  <c r="CJ107" i="106"/>
  <c r="BZ107" i="106"/>
  <c r="BZ131" i="106"/>
  <c r="AQ15" i="106"/>
  <c r="J121" i="106"/>
  <c r="J124" i="106" s="1"/>
  <c r="BH130" i="106"/>
  <c r="BT88" i="106"/>
  <c r="CL131" i="106"/>
  <c r="CL107" i="106"/>
  <c r="BO15" i="106"/>
  <c r="AE15" i="106"/>
  <c r="BI15" i="106"/>
  <c r="M15" i="106"/>
  <c r="AW15" i="106"/>
  <c r="BL130" i="106"/>
  <c r="D130" i="106"/>
  <c r="CC88" i="106"/>
  <c r="BG93" i="107" l="1"/>
  <c r="BU74" i="107"/>
  <c r="BU75" i="107" s="1"/>
  <c r="BH122" i="106"/>
  <c r="BH93" i="107"/>
  <c r="BO37" i="107"/>
  <c r="BO86" i="107" s="1"/>
  <c r="BO87" i="107" s="1"/>
  <c r="BC14" i="107"/>
  <c r="BC100" i="107" s="1"/>
  <c r="Y112" i="106"/>
  <c r="Y113" i="106" s="1"/>
  <c r="BI112" i="106"/>
  <c r="BI113" i="106" s="1"/>
  <c r="K48" i="106"/>
  <c r="X92" i="106"/>
  <c r="CD74" i="107"/>
  <c r="CA74" i="107"/>
  <c r="CA75" i="107" s="1"/>
  <c r="E137" i="106"/>
  <c r="E93" i="107" s="1"/>
  <c r="P99" i="106"/>
  <c r="V65" i="106"/>
  <c r="W92" i="106"/>
  <c r="AN92" i="106"/>
  <c r="BE170" i="106"/>
  <c r="AY22" i="107"/>
  <c r="BB22" i="107" s="1"/>
  <c r="AT65" i="106"/>
  <c r="BE99" i="106"/>
  <c r="U99" i="106"/>
  <c r="F92" i="106"/>
  <c r="BL131" i="106"/>
  <c r="BL132" i="106" s="1"/>
  <c r="AD70" i="107"/>
  <c r="BG131" i="106"/>
  <c r="BG132" i="106" s="1"/>
  <c r="BB29" i="107"/>
  <c r="BB137" i="106" s="1"/>
  <c r="BB122" i="106" s="1"/>
  <c r="BB125" i="106" s="1"/>
  <c r="BG92" i="107"/>
  <c r="BG107" i="106"/>
  <c r="BI107" i="106" s="1"/>
  <c r="BR113" i="106"/>
  <c r="BR109" i="106"/>
  <c r="BR115" i="106" s="1"/>
  <c r="C97" i="106"/>
  <c r="D92" i="106"/>
  <c r="R48" i="106"/>
  <c r="AH99" i="106"/>
  <c r="BG99" i="106"/>
  <c r="AT92" i="106"/>
  <c r="AG99" i="106"/>
  <c r="AO99" i="106"/>
  <c r="J99" i="106"/>
  <c r="BQ99" i="106"/>
  <c r="AI99" i="106"/>
  <c r="S46" i="106"/>
  <c r="S65" i="106" s="1"/>
  <c r="BK99" i="106"/>
  <c r="BA92" i="106"/>
  <c r="BB92" i="106"/>
  <c r="AM48" i="106"/>
  <c r="AY99" i="106"/>
  <c r="AT124" i="106"/>
  <c r="AC99" i="106"/>
  <c r="BM92" i="106"/>
  <c r="AN99" i="106"/>
  <c r="AB99" i="106"/>
  <c r="I99" i="106"/>
  <c r="BT10" i="106"/>
  <c r="BU10" i="106" s="1"/>
  <c r="AO131" i="106"/>
  <c r="AO132" i="106" s="1"/>
  <c r="BL93" i="107"/>
  <c r="G98" i="106"/>
  <c r="G99" i="106" s="1"/>
  <c r="G164" i="106"/>
  <c r="S98" i="106"/>
  <c r="U92" i="106" s="1"/>
  <c r="S164" i="106"/>
  <c r="C171" i="106"/>
  <c r="C170" i="106"/>
  <c r="AG171" i="106"/>
  <c r="AG170" i="106"/>
  <c r="AI171" i="106"/>
  <c r="AI170" i="106"/>
  <c r="AS170" i="106"/>
  <c r="AS171" i="106"/>
  <c r="AU171" i="106"/>
  <c r="AU170" i="106"/>
  <c r="AY170" i="106"/>
  <c r="AY171" i="106"/>
  <c r="BG170" i="106"/>
  <c r="BG171" i="106"/>
  <c r="BK171" i="106"/>
  <c r="BK170" i="106"/>
  <c r="BQ171" i="106"/>
  <c r="BQ170" i="106"/>
  <c r="Y98" i="106"/>
  <c r="Y99" i="106" s="1"/>
  <c r="Y164" i="106"/>
  <c r="AU48" i="106"/>
  <c r="AQ98" i="106"/>
  <c r="AQ99" i="106" s="1"/>
  <c r="AQ164" i="106"/>
  <c r="BC98" i="106"/>
  <c r="BI92" i="106" s="1"/>
  <c r="BC164" i="106"/>
  <c r="AW98" i="106"/>
  <c r="AW99" i="106" s="1"/>
  <c r="AW164" i="106"/>
  <c r="BL124" i="106"/>
  <c r="D171" i="106"/>
  <c r="D170" i="106"/>
  <c r="F171" i="106"/>
  <c r="F170" i="106"/>
  <c r="AB170" i="106"/>
  <c r="AB171" i="106"/>
  <c r="AD170" i="106"/>
  <c r="AD171" i="106"/>
  <c r="AH171" i="106"/>
  <c r="AH170" i="106"/>
  <c r="AJ171" i="106"/>
  <c r="AJ170" i="106"/>
  <c r="AN171" i="106"/>
  <c r="AN170" i="106"/>
  <c r="AP171" i="106"/>
  <c r="AP170" i="106"/>
  <c r="AT171" i="106"/>
  <c r="AT170" i="106"/>
  <c r="AV170" i="106"/>
  <c r="AV171" i="106"/>
  <c r="AZ170" i="106"/>
  <c r="AZ171" i="106"/>
  <c r="BB171" i="106"/>
  <c r="BB170" i="106"/>
  <c r="BF171" i="106"/>
  <c r="BF170" i="106"/>
  <c r="BH171" i="106"/>
  <c r="BH170" i="106"/>
  <c r="BL171" i="106"/>
  <c r="BL170" i="106"/>
  <c r="BN170" i="106"/>
  <c r="BN171" i="106"/>
  <c r="G70" i="106"/>
  <c r="AA48" i="106"/>
  <c r="AA99" i="106"/>
  <c r="J6" i="106"/>
  <c r="Q48" i="106"/>
  <c r="V171" i="106"/>
  <c r="V170" i="106"/>
  <c r="M112" i="106"/>
  <c r="M113" i="106" s="1"/>
  <c r="W171" i="106"/>
  <c r="W170" i="106"/>
  <c r="AB48" i="106"/>
  <c r="AS22" i="107"/>
  <c r="AV22" i="107" s="1"/>
  <c r="K6" i="106"/>
  <c r="J131" i="106"/>
  <c r="J132" i="106" s="1"/>
  <c r="U171" i="106"/>
  <c r="U170" i="106"/>
  <c r="BT35" i="106"/>
  <c r="BT159" i="106" s="1"/>
  <c r="X171" i="106"/>
  <c r="X170" i="106"/>
  <c r="C48" i="106"/>
  <c r="I6" i="106"/>
  <c r="L6" i="106"/>
  <c r="BL122" i="106"/>
  <c r="BL125" i="106" s="1"/>
  <c r="AO122" i="106"/>
  <c r="AO125" i="106" s="1"/>
  <c r="BL91" i="107"/>
  <c r="BL107" i="106"/>
  <c r="BL109" i="106" s="1"/>
  <c r="BM103" i="106" s="1"/>
  <c r="AO92" i="107"/>
  <c r="AB107" i="106"/>
  <c r="BE22" i="107"/>
  <c r="BH22" i="107" s="1"/>
  <c r="BH17" i="107" s="1"/>
  <c r="BI17" i="107" s="1"/>
  <c r="AB92" i="107"/>
  <c r="AB93" i="107"/>
  <c r="AB91" i="107"/>
  <c r="AP125" i="106"/>
  <c r="J122" i="106"/>
  <c r="J125" i="106" s="1"/>
  <c r="AB122" i="106"/>
  <c r="AB125" i="106" s="1"/>
  <c r="J91" i="107"/>
  <c r="D125" i="106"/>
  <c r="V101" i="107"/>
  <c r="AK112" i="106"/>
  <c r="AK113" i="106" s="1"/>
  <c r="BC123" i="106"/>
  <c r="AV14" i="107"/>
  <c r="AV100" i="107" s="1"/>
  <c r="AN92" i="107"/>
  <c r="AU92" i="107"/>
  <c r="AO93" i="107"/>
  <c r="CK123" i="106"/>
  <c r="CK12" i="107" s="1"/>
  <c r="AG22" i="107"/>
  <c r="AJ22" i="107" s="1"/>
  <c r="AJ17" i="107" s="1"/>
  <c r="AK17" i="107" s="1"/>
  <c r="G22" i="106"/>
  <c r="BC46" i="106"/>
  <c r="BC65" i="106" s="1"/>
  <c r="AV12" i="107"/>
  <c r="AV123" i="106" s="1"/>
  <c r="AV124" i="106" s="1"/>
  <c r="BA92" i="107"/>
  <c r="AN122" i="106"/>
  <c r="AN125" i="106" s="1"/>
  <c r="AN131" i="106"/>
  <c r="AN132" i="106" s="1"/>
  <c r="V122" i="106"/>
  <c r="V125" i="106" s="1"/>
  <c r="L92" i="107"/>
  <c r="AO107" i="106"/>
  <c r="AQ107" i="106" s="1"/>
  <c r="BL65" i="106"/>
  <c r="BL48" i="106"/>
  <c r="J48" i="106"/>
  <c r="BK22" i="107"/>
  <c r="BN22" i="107" s="1"/>
  <c r="BO22" i="107" s="1"/>
  <c r="G36" i="106"/>
  <c r="G46" i="106" s="1"/>
  <c r="BY123" i="106"/>
  <c r="BY12" i="107" s="1"/>
  <c r="I22" i="107"/>
  <c r="L22" i="107" s="1"/>
  <c r="L17" i="107" s="1"/>
  <c r="M17" i="107" s="1"/>
  <c r="O22" i="107"/>
  <c r="R22" i="107" s="1"/>
  <c r="R17" i="107" s="1"/>
  <c r="S17" i="107" s="1"/>
  <c r="AU65" i="106"/>
  <c r="AW112" i="106"/>
  <c r="AW113" i="106" s="1"/>
  <c r="CC87" i="106"/>
  <c r="CI87" i="106" s="1"/>
  <c r="BB21" i="107"/>
  <c r="BC21" i="107" s="1"/>
  <c r="AG65" i="106"/>
  <c r="BC69" i="106"/>
  <c r="BM48" i="106"/>
  <c r="BA48" i="106"/>
  <c r="AI48" i="106"/>
  <c r="BN21" i="107"/>
  <c r="BO21" i="107" s="1"/>
  <c r="BC70" i="106"/>
  <c r="BT41" i="106"/>
  <c r="BT96" i="106" s="1"/>
  <c r="BU96" i="106" s="1"/>
  <c r="P48" i="106"/>
  <c r="M46" i="106"/>
  <c r="M65" i="106" s="1"/>
  <c r="I115" i="106"/>
  <c r="J111" i="106" s="1"/>
  <c r="J103" i="106"/>
  <c r="J113" i="106" s="1"/>
  <c r="AV132" i="106"/>
  <c r="Y123" i="106"/>
  <c r="V70" i="107"/>
  <c r="AB70" i="107" s="1"/>
  <c r="AH70" i="107" s="1"/>
  <c r="AN70" i="107" s="1"/>
  <c r="AT70" i="107" s="1"/>
  <c r="AZ70" i="107" s="1"/>
  <c r="BF70" i="107" s="1"/>
  <c r="BL70" i="107" s="1"/>
  <c r="BF91" i="107"/>
  <c r="F107" i="106"/>
  <c r="F122" i="106"/>
  <c r="F125" i="106" s="1"/>
  <c r="AK23" i="107"/>
  <c r="BH92" i="107"/>
  <c r="J93" i="107"/>
  <c r="V91" i="107"/>
  <c r="L91" i="107"/>
  <c r="BH131" i="106"/>
  <c r="J101" i="107"/>
  <c r="J107" i="106"/>
  <c r="J109" i="106" s="1"/>
  <c r="BM88" i="107"/>
  <c r="S48" i="106"/>
  <c r="BA65" i="106"/>
  <c r="AW46" i="106"/>
  <c r="AW65" i="106" s="1"/>
  <c r="S21" i="107"/>
  <c r="AM22" i="107"/>
  <c r="AP22" i="107" s="1"/>
  <c r="AP17" i="107" s="1"/>
  <c r="AQ17" i="107" s="1"/>
  <c r="AD48" i="106"/>
  <c r="BK115" i="106"/>
  <c r="BK114" i="106" s="1"/>
  <c r="BF131" i="106"/>
  <c r="BF132" i="106" s="1"/>
  <c r="BF122" i="106"/>
  <c r="BF125" i="106" s="1"/>
  <c r="BG125" i="106"/>
  <c r="Y23" i="107"/>
  <c r="AT50" i="107"/>
  <c r="AT80" i="106" s="1"/>
  <c r="M43" i="107"/>
  <c r="AK43" i="107"/>
  <c r="BF93" i="107"/>
  <c r="AN93" i="107"/>
  <c r="AN91" i="107"/>
  <c r="V92" i="107"/>
  <c r="P125" i="106"/>
  <c r="BF92" i="107"/>
  <c r="CG131" i="106"/>
  <c r="BC40" i="107"/>
  <c r="Y24" i="107"/>
  <c r="D132" i="106"/>
  <c r="AE13" i="107"/>
  <c r="R12" i="107"/>
  <c r="R123" i="106" s="1"/>
  <c r="G37" i="107"/>
  <c r="G86" i="107" s="1"/>
  <c r="G87" i="107" s="1"/>
  <c r="BC29" i="107"/>
  <c r="BC137" i="106" s="1"/>
  <c r="BC92" i="107" s="1"/>
  <c r="AQ13" i="107"/>
  <c r="AW43" i="107"/>
  <c r="W70" i="107"/>
  <c r="AC70" i="107" s="1"/>
  <c r="AI70" i="107" s="1"/>
  <c r="AO70" i="107" s="1"/>
  <c r="AU70" i="107" s="1"/>
  <c r="BA70" i="107" s="1"/>
  <c r="BG70" i="107" s="1"/>
  <c r="BM70" i="107" s="1"/>
  <c r="BS70" i="107" s="1"/>
  <c r="BY70" i="107" s="1"/>
  <c r="CE70" i="107" s="1"/>
  <c r="CK70" i="107" s="1"/>
  <c r="K33" i="107"/>
  <c r="AE8" i="107"/>
  <c r="BU107" i="106"/>
  <c r="BI32" i="107"/>
  <c r="L93" i="107"/>
  <c r="AK28" i="107"/>
  <c r="J50" i="107"/>
  <c r="J80" i="106" s="1"/>
  <c r="S13" i="107"/>
  <c r="AQ12" i="107"/>
  <c r="AE39" i="107"/>
  <c r="BI16" i="107"/>
  <c r="S41" i="107"/>
  <c r="F131" i="106"/>
  <c r="F132" i="106" s="1"/>
  <c r="AS59" i="107"/>
  <c r="AS83" i="106"/>
  <c r="AT92" i="107"/>
  <c r="AT122" i="106"/>
  <c r="AT107" i="106"/>
  <c r="G29" i="107"/>
  <c r="G137" i="106" s="1"/>
  <c r="G91" i="107" s="1"/>
  <c r="AT93" i="107"/>
  <c r="F93" i="107"/>
  <c r="U59" i="107"/>
  <c r="BM46" i="107"/>
  <c r="L131" i="106"/>
  <c r="L132" i="106" s="1"/>
  <c r="AJ70" i="107"/>
  <c r="AP70" i="107" s="1"/>
  <c r="AV70" i="107" s="1"/>
  <c r="BB70" i="107" s="1"/>
  <c r="BH70" i="107" s="1"/>
  <c r="BN70" i="107" s="1"/>
  <c r="BT70" i="107" s="1"/>
  <c r="BZ70" i="107" s="1"/>
  <c r="CF70" i="107" s="1"/>
  <c r="CL70" i="107" s="1"/>
  <c r="AQ123" i="106"/>
  <c r="F92" i="107"/>
  <c r="AU93" i="107"/>
  <c r="AU122" i="106"/>
  <c r="AU125" i="106" s="1"/>
  <c r="AU107" i="106"/>
  <c r="AU131" i="106"/>
  <c r="AU132" i="106" s="1"/>
  <c r="AQ9" i="107"/>
  <c r="AT91" i="107"/>
  <c r="CG122" i="106"/>
  <c r="L122" i="106"/>
  <c r="L125" i="106" s="1"/>
  <c r="M104" i="106"/>
  <c r="AK40" i="107"/>
  <c r="F91" i="107"/>
  <c r="L92" i="106"/>
  <c r="K99" i="106"/>
  <c r="CM122" i="106"/>
  <c r="BM65" i="106"/>
  <c r="BU122" i="106"/>
  <c r="Y92" i="106"/>
  <c r="C115" i="106"/>
  <c r="C118" i="106" s="1"/>
  <c r="AA22" i="107"/>
  <c r="AD22" i="107" s="1"/>
  <c r="AD17" i="107" s="1"/>
  <c r="AE17" i="107" s="1"/>
  <c r="AQ21" i="107"/>
  <c r="S99" i="106"/>
  <c r="AQ20" i="107"/>
  <c r="F48" i="106"/>
  <c r="AN65" i="106"/>
  <c r="C65" i="106"/>
  <c r="BU41" i="107"/>
  <c r="P103" i="106"/>
  <c r="P109" i="106" s="1"/>
  <c r="AE21" i="107"/>
  <c r="AK104" i="106"/>
  <c r="BO12" i="107"/>
  <c r="BC13" i="107"/>
  <c r="AE12" i="107"/>
  <c r="G15" i="107"/>
  <c r="Y12" i="107"/>
  <c r="D50" i="107"/>
  <c r="D80" i="106" s="1"/>
  <c r="BC15" i="107"/>
  <c r="AQ41" i="107"/>
  <c r="X46" i="107"/>
  <c r="Y42" i="107"/>
  <c r="U70" i="107"/>
  <c r="AA70" i="107" s="1"/>
  <c r="AG70" i="107" s="1"/>
  <c r="AM70" i="107" s="1"/>
  <c r="AS70" i="107" s="1"/>
  <c r="AY70" i="107" s="1"/>
  <c r="BE70" i="107" s="1"/>
  <c r="BK70" i="107" s="1"/>
  <c r="BQ70" i="107" s="1"/>
  <c r="BW70" i="107" s="1"/>
  <c r="BC36" i="107"/>
  <c r="BC95" i="106" s="1"/>
  <c r="AC46" i="107"/>
  <c r="AK48" i="107"/>
  <c r="K101" i="107"/>
  <c r="AZ92" i="107"/>
  <c r="CG107" i="106"/>
  <c r="M8" i="107"/>
  <c r="E92" i="107"/>
  <c r="L37" i="107"/>
  <c r="K86" i="107"/>
  <c r="K87" i="107" s="1"/>
  <c r="AY82" i="106"/>
  <c r="AY58" i="107"/>
  <c r="K91" i="107"/>
  <c r="K92" i="107"/>
  <c r="K93" i="107"/>
  <c r="K107" i="106"/>
  <c r="K131" i="106"/>
  <c r="K132" i="106" s="1"/>
  <c r="K122" i="106"/>
  <c r="K125" i="106" s="1"/>
  <c r="AQ36" i="107"/>
  <c r="AQ95" i="106" s="1"/>
  <c r="BC12" i="107"/>
  <c r="P50" i="107"/>
  <c r="P80" i="106" s="1"/>
  <c r="BC24" i="107"/>
  <c r="BN41" i="107"/>
  <c r="BO41" i="107" s="1"/>
  <c r="BC45" i="107"/>
  <c r="AE123" i="106"/>
  <c r="V107" i="106"/>
  <c r="V93" i="107"/>
  <c r="AE41" i="107"/>
  <c r="M14" i="107"/>
  <c r="M100" i="107" s="1"/>
  <c r="S48" i="107"/>
  <c r="X29" i="107"/>
  <c r="X137" i="106" s="1"/>
  <c r="W137" i="106"/>
  <c r="BI37" i="107"/>
  <c r="BI86" i="107" s="1"/>
  <c r="BI87" i="107" s="1"/>
  <c r="BH86" i="107"/>
  <c r="BH87" i="107" s="1"/>
  <c r="BN88" i="107" s="1"/>
  <c r="O58" i="107"/>
  <c r="O82" i="106"/>
  <c r="AZ91" i="107"/>
  <c r="AZ93" i="107"/>
  <c r="AZ122" i="106"/>
  <c r="AZ125" i="106" s="1"/>
  <c r="AZ107" i="106"/>
  <c r="AE29" i="107"/>
  <c r="AE137" i="106" s="1"/>
  <c r="AE91" i="107" s="1"/>
  <c r="AI25" i="107"/>
  <c r="AI57" i="107" s="1"/>
  <c r="BH14" i="107"/>
  <c r="BG100" i="107"/>
  <c r="BA122" i="106"/>
  <c r="BA125" i="106" s="1"/>
  <c r="BA107" i="106"/>
  <c r="BA93" i="107"/>
  <c r="BA131" i="106"/>
  <c r="BA132" i="106" s="1"/>
  <c r="BF50" i="107"/>
  <c r="BF80" i="106" s="1"/>
  <c r="M32" i="107"/>
  <c r="V50" i="107"/>
  <c r="V80" i="106" s="1"/>
  <c r="BT121" i="106"/>
  <c r="AB57" i="107"/>
  <c r="AB81" i="106"/>
  <c r="I48" i="106"/>
  <c r="M36" i="107"/>
  <c r="M95" i="106" s="1"/>
  <c r="L95" i="106"/>
  <c r="BW64" i="107"/>
  <c r="CC64" i="107" s="1"/>
  <c r="BT63" i="107"/>
  <c r="BU63" i="107" s="1"/>
  <c r="AG115" i="106"/>
  <c r="AG118" i="106" s="1"/>
  <c r="BN124" i="106"/>
  <c r="U22" i="107"/>
  <c r="X22" i="107" s="1"/>
  <c r="AV18" i="107"/>
  <c r="AW18" i="107" s="1"/>
  <c r="M92" i="107"/>
  <c r="M93" i="107"/>
  <c r="M91" i="107"/>
  <c r="M28" i="107"/>
  <c r="M12" i="107"/>
  <c r="G68" i="106"/>
  <c r="AK24" i="107"/>
  <c r="AI33" i="107"/>
  <c r="AZ50" i="107"/>
  <c r="AZ80" i="106" s="1"/>
  <c r="AB50" i="107"/>
  <c r="AB80" i="106" s="1"/>
  <c r="M39" i="107"/>
  <c r="BI39" i="107"/>
  <c r="BQ22" i="107"/>
  <c r="AK31" i="107"/>
  <c r="S45" i="107"/>
  <c r="BM33" i="107"/>
  <c r="BM104" i="106"/>
  <c r="CG85" i="107"/>
  <c r="AW13" i="107"/>
  <c r="AJ12" i="107"/>
  <c r="AI123" i="106"/>
  <c r="X21" i="107"/>
  <c r="Y21" i="107" s="1"/>
  <c r="M70" i="106"/>
  <c r="M69" i="106"/>
  <c r="AT53" i="106"/>
  <c r="E105" i="106"/>
  <c r="AN57" i="107"/>
  <c r="AN81" i="106"/>
  <c r="BB91" i="107"/>
  <c r="BB93" i="107"/>
  <c r="BB92" i="107"/>
  <c r="BB107" i="106"/>
  <c r="BN33" i="107"/>
  <c r="BN104" i="106"/>
  <c r="BN105" i="106" s="1"/>
  <c r="AH109" i="106"/>
  <c r="AH113" i="106"/>
  <c r="I58" i="107"/>
  <c r="I82" i="106"/>
  <c r="BB131" i="106"/>
  <c r="BB132" i="106" s="1"/>
  <c r="AW92" i="107"/>
  <c r="AW93" i="107"/>
  <c r="AW91" i="107"/>
  <c r="W46" i="107"/>
  <c r="AU105" i="106"/>
  <c r="AO14" i="107"/>
  <c r="AN100" i="107"/>
  <c r="AQ70" i="106"/>
  <c r="AQ69" i="106"/>
  <c r="AQ36" i="106"/>
  <c r="AQ46" i="106" s="1"/>
  <c r="AQ65" i="106" s="1"/>
  <c r="BI24" i="107"/>
  <c r="D48" i="106"/>
  <c r="D65" i="106"/>
  <c r="AP48" i="106"/>
  <c r="AP65" i="106"/>
  <c r="BB48" i="106"/>
  <c r="BU131" i="106"/>
  <c r="G13" i="107"/>
  <c r="G12" i="107"/>
  <c r="BC42" i="107"/>
  <c r="BC38" i="107"/>
  <c r="M42" i="107"/>
  <c r="V57" i="107"/>
  <c r="V81" i="106"/>
  <c r="R29" i="107"/>
  <c r="R137" i="106" s="1"/>
  <c r="Q137" i="106"/>
  <c r="AJ29" i="107"/>
  <c r="AJ137" i="106" s="1"/>
  <c r="AI137" i="106"/>
  <c r="BI8" i="107"/>
  <c r="S40" i="107"/>
  <c r="AW123" i="106"/>
  <c r="BG48" i="106"/>
  <c r="BG65" i="106"/>
  <c r="AC93" i="107"/>
  <c r="AC91" i="107"/>
  <c r="AC92" i="107"/>
  <c r="AC122" i="106"/>
  <c r="AC125" i="106" s="1"/>
  <c r="AC131" i="106"/>
  <c r="AC132" i="106" s="1"/>
  <c r="AC107" i="106"/>
  <c r="BI123" i="106"/>
  <c r="S20" i="107"/>
  <c r="BT34" i="106"/>
  <c r="BT158" i="106" s="1"/>
  <c r="C59" i="107"/>
  <c r="C83" i="106"/>
  <c r="L48" i="106"/>
  <c r="L65" i="106"/>
  <c r="G71" i="106"/>
  <c r="BO29" i="107"/>
  <c r="BO137" i="106" s="1"/>
  <c r="BN137" i="106"/>
  <c r="CA122" i="106"/>
  <c r="C125" i="106"/>
  <c r="BC71" i="106"/>
  <c r="AZ57" i="107"/>
  <c r="AZ81" i="106"/>
  <c r="M123" i="106"/>
  <c r="BB124" i="106"/>
  <c r="BE109" i="106"/>
  <c r="BF103" i="106" s="1"/>
  <c r="AQ91" i="107"/>
  <c r="AQ92" i="107"/>
  <c r="AQ93" i="107"/>
  <c r="AH50" i="107"/>
  <c r="AH80" i="106" s="1"/>
  <c r="G24" i="107"/>
  <c r="AT57" i="107"/>
  <c r="AT81" i="106"/>
  <c r="BI12" i="107"/>
  <c r="BO14" i="107"/>
  <c r="BM100" i="107"/>
  <c r="BO100" i="107" s="1"/>
  <c r="J57" i="107"/>
  <c r="J81" i="106"/>
  <c r="CD12" i="107"/>
  <c r="CE123" i="106"/>
  <c r="BZ88" i="106"/>
  <c r="G123" i="106"/>
  <c r="G124" i="106" s="1"/>
  <c r="BI69" i="106"/>
  <c r="BI70" i="106"/>
  <c r="BN48" i="106"/>
  <c r="BN65" i="106"/>
  <c r="BQ65" i="106"/>
  <c r="AK69" i="106"/>
  <c r="AK70" i="106"/>
  <c r="BF57" i="107"/>
  <c r="BF81" i="106"/>
  <c r="M77" i="107"/>
  <c r="S69" i="107"/>
  <c r="S73" i="107" s="1"/>
  <c r="M78" i="107"/>
  <c r="O69" i="107"/>
  <c r="X14" i="107"/>
  <c r="X100" i="107" s="1"/>
  <c r="W100" i="107"/>
  <c r="W101" i="107" s="1"/>
  <c r="AM57" i="107"/>
  <c r="AM81" i="106"/>
  <c r="M98" i="106"/>
  <c r="AO86" i="107"/>
  <c r="AO87" i="107" s="1"/>
  <c r="AP37" i="107"/>
  <c r="AP86" i="107" s="1"/>
  <c r="AP87" i="107" s="1"/>
  <c r="P57" i="107"/>
  <c r="P81" i="106"/>
  <c r="BN95" i="106"/>
  <c r="AA58" i="107"/>
  <c r="AA82" i="106"/>
  <c r="AD46" i="107"/>
  <c r="AD95" i="106"/>
  <c r="C53" i="107"/>
  <c r="C80" i="106"/>
  <c r="AD131" i="106"/>
  <c r="AD132" i="106" s="1"/>
  <c r="AD91" i="107"/>
  <c r="AD92" i="107"/>
  <c r="AD122" i="106"/>
  <c r="AD125" i="106" s="1"/>
  <c r="AD93" i="107"/>
  <c r="AD107" i="106"/>
  <c r="CA131" i="106"/>
  <c r="X124" i="106"/>
  <c r="AK46" i="106"/>
  <c r="AK65" i="106" s="1"/>
  <c r="AY48" i="106"/>
  <c r="BM112" i="106"/>
  <c r="Y43" i="107"/>
  <c r="BC41" i="107"/>
  <c r="D57" i="107"/>
  <c r="D81" i="106"/>
  <c r="S15" i="107"/>
  <c r="AH57" i="107"/>
  <c r="AH81" i="106"/>
  <c r="M23" i="107"/>
  <c r="Y31" i="107"/>
  <c r="AV65" i="106"/>
  <c r="AV48" i="106"/>
  <c r="G53" i="106"/>
  <c r="BO123" i="106"/>
  <c r="BC68" i="106"/>
  <c r="BQ53" i="106"/>
  <c r="AN103" i="106"/>
  <c r="AM115" i="106"/>
  <c r="CJ85" i="107"/>
  <c r="CK85" i="107" s="1"/>
  <c r="CL85" i="107" s="1"/>
  <c r="BO19" i="107"/>
  <c r="AC14" i="107"/>
  <c r="AC25" i="107" s="1"/>
  <c r="AB100" i="107"/>
  <c r="AJ36" i="107"/>
  <c r="AJ95" i="106" s="1"/>
  <c r="AI46" i="107"/>
  <c r="AO33" i="107"/>
  <c r="AP28" i="107"/>
  <c r="AP104" i="106" s="1"/>
  <c r="R36" i="107"/>
  <c r="R95" i="106" s="1"/>
  <c r="Q46" i="107"/>
  <c r="AV36" i="107"/>
  <c r="AV95" i="106" s="1"/>
  <c r="AU46" i="107"/>
  <c r="BO28" i="107"/>
  <c r="AK39" i="107"/>
  <c r="AW40" i="107"/>
  <c r="BB48" i="107"/>
  <c r="BB11" i="107"/>
  <c r="BB112" i="106" s="1"/>
  <c r="BC112" i="106" s="1"/>
  <c r="BC113" i="106" s="1"/>
  <c r="BA25" i="107"/>
  <c r="Y9" i="107"/>
  <c r="AQ24" i="107"/>
  <c r="BO36" i="107"/>
  <c r="BG33" i="107"/>
  <c r="BH28" i="107"/>
  <c r="BH104" i="106" s="1"/>
  <c r="F38" i="107"/>
  <c r="E46" i="107"/>
  <c r="AW44" i="107"/>
  <c r="AE30" i="107"/>
  <c r="L33" i="107"/>
  <c r="AW45" i="107"/>
  <c r="AO46" i="107"/>
  <c r="AD11" i="107"/>
  <c r="AD112" i="106" s="1"/>
  <c r="AE112" i="106" s="1"/>
  <c r="AE113" i="106" s="1"/>
  <c r="AN50" i="107"/>
  <c r="AN80" i="106" s="1"/>
  <c r="AP11" i="107"/>
  <c r="AP112" i="106" s="1"/>
  <c r="AQ112" i="106" s="1"/>
  <c r="AQ113" i="106" s="1"/>
  <c r="BB28" i="107"/>
  <c r="BB104" i="106" s="1"/>
  <c r="BB105" i="106" s="1"/>
  <c r="BA33" i="107"/>
  <c r="AU33" i="107"/>
  <c r="AV28" i="107"/>
  <c r="AV104" i="106" s="1"/>
  <c r="AV105" i="106" s="1"/>
  <c r="AP44" i="107"/>
  <c r="BG25" i="107"/>
  <c r="X8" i="107"/>
  <c r="W25" i="107"/>
  <c r="R28" i="107"/>
  <c r="R104" i="106" s="1"/>
  <c r="Q33" i="107"/>
  <c r="W33" i="107"/>
  <c r="X28" i="107"/>
  <c r="R11" i="107"/>
  <c r="R112" i="106" s="1"/>
  <c r="S112" i="106" s="1"/>
  <c r="S113" i="106" s="1"/>
  <c r="Q25" i="107"/>
  <c r="F14" i="107"/>
  <c r="F100" i="107" s="1"/>
  <c r="E100" i="107"/>
  <c r="E101" i="107" s="1"/>
  <c r="AQ48" i="107"/>
  <c r="AJ14" i="107"/>
  <c r="AI100" i="107"/>
  <c r="AU25" i="107"/>
  <c r="F11" i="107"/>
  <c r="F112" i="106" s="1"/>
  <c r="G112" i="106" s="1"/>
  <c r="G113" i="106" s="1"/>
  <c r="E25" i="107"/>
  <c r="R14" i="107"/>
  <c r="Q100" i="107"/>
  <c r="Q101" i="107" s="1"/>
  <c r="L38" i="107"/>
  <c r="M38" i="107" s="1"/>
  <c r="K46" i="107"/>
  <c r="AK38" i="107"/>
  <c r="Y16" i="107"/>
  <c r="AE48" i="107"/>
  <c r="F22" i="107"/>
  <c r="F17" i="107" s="1"/>
  <c r="G17" i="107" s="1"/>
  <c r="AJ37" i="107"/>
  <c r="AJ86" i="107" s="1"/>
  <c r="AJ87" i="107" s="1"/>
  <c r="AI86" i="107"/>
  <c r="AI87" i="107" s="1"/>
  <c r="BB37" i="107"/>
  <c r="BB86" i="107" s="1"/>
  <c r="BB87" i="107" s="1"/>
  <c r="BA86" i="107"/>
  <c r="BA87" i="107" s="1"/>
  <c r="BA46" i="107"/>
  <c r="BN11" i="107"/>
  <c r="BN112" i="106" s="1"/>
  <c r="L9" i="107"/>
  <c r="K25" i="107"/>
  <c r="BO13" i="107"/>
  <c r="BI23" i="107"/>
  <c r="BI9" i="107"/>
  <c r="AG50" i="107"/>
  <c r="AG80" i="106" s="1"/>
  <c r="AG57" i="107"/>
  <c r="F28" i="107"/>
  <c r="F104" i="106" s="1"/>
  <c r="F105" i="106" s="1"/>
  <c r="E33" i="107"/>
  <c r="BH36" i="107"/>
  <c r="BH95" i="106" s="1"/>
  <c r="BG46" i="107"/>
  <c r="AD28" i="107"/>
  <c r="AD104" i="106" s="1"/>
  <c r="AC33" i="107"/>
  <c r="G45" i="107"/>
  <c r="BH48" i="107"/>
  <c r="L48" i="107"/>
  <c r="F53" i="106"/>
  <c r="U115" i="106"/>
  <c r="V103" i="106"/>
  <c r="BO98" i="106"/>
  <c r="O48" i="106"/>
  <c r="O65" i="106"/>
  <c r="BO69" i="106"/>
  <c r="BO70" i="106"/>
  <c r="AO48" i="106"/>
  <c r="AO65" i="106"/>
  <c r="AY115" i="106"/>
  <c r="AY118" i="106" s="1"/>
  <c r="AZ103" i="106"/>
  <c r="BT123" i="106"/>
  <c r="S69" i="106"/>
  <c r="S70" i="106"/>
  <c r="AS92" i="106"/>
  <c r="BX105" i="106"/>
  <c r="CM107" i="106"/>
  <c r="CA107" i="106"/>
  <c r="BO36" i="106"/>
  <c r="BO46" i="106" s="1"/>
  <c r="BO65" i="106" s="1"/>
  <c r="AK98" i="106"/>
  <c r="BE48" i="106"/>
  <c r="BE65" i="106"/>
  <c r="AS48" i="106"/>
  <c r="AS65" i="106"/>
  <c r="BC53" i="106"/>
  <c r="BU29" i="106"/>
  <c r="AW69" i="106"/>
  <c r="AW70" i="106"/>
  <c r="O114" i="106"/>
  <c r="P111" i="106"/>
  <c r="O118" i="106"/>
  <c r="D109" i="106"/>
  <c r="D113" i="106"/>
  <c r="BY87" i="106"/>
  <c r="AC48" i="106"/>
  <c r="AC65" i="106"/>
  <c r="AW22" i="106"/>
  <c r="AW68" i="106"/>
  <c r="AW71" i="106"/>
  <c r="BT87" i="106"/>
  <c r="M22" i="106"/>
  <c r="M68" i="106"/>
  <c r="M71" i="106"/>
  <c r="E65" i="106"/>
  <c r="E48" i="106"/>
  <c r="BO52" i="106"/>
  <c r="BH125" i="106"/>
  <c r="BH124" i="106"/>
  <c r="W48" i="106"/>
  <c r="W65" i="106"/>
  <c r="O99" i="106"/>
  <c r="P92" i="106"/>
  <c r="S71" i="106"/>
  <c r="AH65" i="106"/>
  <c r="AE69" i="106"/>
  <c r="AE36" i="106"/>
  <c r="AE46" i="106" s="1"/>
  <c r="AE70" i="106"/>
  <c r="BX39" i="106"/>
  <c r="AS115" i="106"/>
  <c r="AS118" i="106" s="1"/>
  <c r="AT103" i="106"/>
  <c r="Y53" i="106"/>
  <c r="BH48" i="106"/>
  <c r="BH65" i="106"/>
  <c r="AK68" i="106"/>
  <c r="AK71" i="106"/>
  <c r="AK22" i="106"/>
  <c r="S52" i="106"/>
  <c r="U48" i="106"/>
  <c r="U65" i="106"/>
  <c r="AW52" i="106"/>
  <c r="CD88" i="106"/>
  <c r="CI88" i="106"/>
  <c r="BI68" i="106"/>
  <c r="BI71" i="106"/>
  <c r="BI22" i="106"/>
  <c r="AE22" i="106"/>
  <c r="AE68" i="106"/>
  <c r="AE71" i="106"/>
  <c r="BQ115" i="106"/>
  <c r="BO22" i="106"/>
  <c r="BO71" i="106"/>
  <c r="BO68" i="106"/>
  <c r="CM131" i="106"/>
  <c r="AJ65" i="106"/>
  <c r="AJ48" i="106"/>
  <c r="BF65" i="106"/>
  <c r="BF48" i="106"/>
  <c r="Y36" i="106"/>
  <c r="Y46" i="106" s="1"/>
  <c r="Y70" i="106"/>
  <c r="Y68" i="106"/>
  <c r="Y69" i="106"/>
  <c r="Y71" i="106"/>
  <c r="AE98" i="106"/>
  <c r="S68" i="106"/>
  <c r="BK65" i="106"/>
  <c r="AH53" i="106"/>
  <c r="AZ48" i="106"/>
  <c r="AZ65" i="106"/>
  <c r="BC99" i="106"/>
  <c r="BM53" i="106"/>
  <c r="CK146" i="106"/>
  <c r="AB103" i="106"/>
  <c r="AA115" i="106"/>
  <c r="AQ22" i="106"/>
  <c r="AQ71" i="106"/>
  <c r="AQ68" i="106"/>
  <c r="BI46" i="106"/>
  <c r="BI98" i="106"/>
  <c r="AC124" i="106"/>
  <c r="AQ53" i="106"/>
  <c r="BA53" i="106"/>
  <c r="X65" i="106"/>
  <c r="X48" i="106"/>
  <c r="BK53" i="106"/>
  <c r="E131" i="106" l="1"/>
  <c r="E132" i="106" s="1"/>
  <c r="E91" i="107"/>
  <c r="E107" i="106"/>
  <c r="E122" i="106"/>
  <c r="E125" i="106" s="1"/>
  <c r="CI64" i="107"/>
  <c r="CJ64" i="107" s="1"/>
  <c r="CK64" i="107" s="1"/>
  <c r="CL64" i="107" s="1"/>
  <c r="CD64" i="107"/>
  <c r="CE64" i="107" s="1"/>
  <c r="CF64" i="107" s="1"/>
  <c r="BZ123" i="106"/>
  <c r="BZ12" i="107" s="1"/>
  <c r="Y14" i="107"/>
  <c r="Y100" i="107" s="1"/>
  <c r="BR70" i="107"/>
  <c r="BX70" i="107" s="1"/>
  <c r="CJ74" i="107"/>
  <c r="CM74" i="107" s="1"/>
  <c r="CG74" i="107"/>
  <c r="CG75" i="107" s="1"/>
  <c r="CL123" i="106"/>
  <c r="CL12" i="107" s="1"/>
  <c r="CM12" i="107" s="1"/>
  <c r="BT30" i="107"/>
  <c r="BU30" i="107" s="1"/>
  <c r="AW14" i="107"/>
  <c r="AW100" i="107" s="1"/>
  <c r="AW12" i="107"/>
  <c r="BQ118" i="106"/>
  <c r="BR111" i="106"/>
  <c r="BR114" i="106" s="1"/>
  <c r="M92" i="106"/>
  <c r="I92" i="106"/>
  <c r="BU168" i="106"/>
  <c r="BW10" i="106"/>
  <c r="AY92" i="106"/>
  <c r="BE92" i="106"/>
  <c r="AW92" i="106"/>
  <c r="BC92" i="106"/>
  <c r="AE92" i="106"/>
  <c r="BT168" i="106"/>
  <c r="AA92" i="106"/>
  <c r="M33" i="107"/>
  <c r="BS169" i="106"/>
  <c r="BO171" i="106"/>
  <c r="BI170" i="106"/>
  <c r="BC170" i="106"/>
  <c r="AW171" i="106"/>
  <c r="AQ170" i="106"/>
  <c r="AK170" i="106"/>
  <c r="AE171" i="106"/>
  <c r="G170" i="106"/>
  <c r="BW30" i="107"/>
  <c r="BW168" i="106"/>
  <c r="BR134" i="106"/>
  <c r="BR169" i="106"/>
  <c r="BO170" i="106"/>
  <c r="BI171" i="106"/>
  <c r="BC171" i="106"/>
  <c r="AW170" i="106"/>
  <c r="AQ171" i="106"/>
  <c r="AK171" i="106"/>
  <c r="AE170" i="106"/>
  <c r="G171" i="106"/>
  <c r="G48" i="106"/>
  <c r="G65" i="106"/>
  <c r="Y171" i="106"/>
  <c r="K170" i="106"/>
  <c r="K171" i="106"/>
  <c r="I171" i="106"/>
  <c r="I170" i="106"/>
  <c r="R171" i="106"/>
  <c r="R170" i="106"/>
  <c r="O171" i="106"/>
  <c r="O170" i="106"/>
  <c r="P171" i="106"/>
  <c r="P170" i="106"/>
  <c r="L170" i="106"/>
  <c r="L171" i="106"/>
  <c r="BU35" i="106"/>
  <c r="BU159" i="106" s="1"/>
  <c r="Y170" i="106"/>
  <c r="Q171" i="106"/>
  <c r="Q170" i="106"/>
  <c r="J171" i="106"/>
  <c r="J170" i="106"/>
  <c r="BB17" i="107"/>
  <c r="BC17" i="107" s="1"/>
  <c r="AQ122" i="106"/>
  <c r="AE93" i="107"/>
  <c r="CA12" i="107"/>
  <c r="AV125" i="106"/>
  <c r="BU41" i="106"/>
  <c r="BW41" i="106" s="1"/>
  <c r="BW96" i="106" s="1"/>
  <c r="BI122" i="106"/>
  <c r="BC48" i="106"/>
  <c r="CD87" i="106"/>
  <c r="CE87" i="106" s="1"/>
  <c r="I114" i="106"/>
  <c r="BC93" i="107"/>
  <c r="AQ131" i="106"/>
  <c r="I118" i="106"/>
  <c r="BC91" i="107"/>
  <c r="G131" i="106"/>
  <c r="G132" i="106"/>
  <c r="G107" i="106"/>
  <c r="AE122" i="106"/>
  <c r="BI131" i="106"/>
  <c r="BL115" i="106"/>
  <c r="BL118" i="106" s="1"/>
  <c r="AV17" i="107"/>
  <c r="AW17" i="107" s="1"/>
  <c r="P113" i="106"/>
  <c r="D111" i="106"/>
  <c r="S12" i="107"/>
  <c r="AI81" i="106"/>
  <c r="M107" i="106"/>
  <c r="BH132" i="106"/>
  <c r="BK118" i="106"/>
  <c r="BL111" i="106"/>
  <c r="AH111" i="106"/>
  <c r="BG50" i="107"/>
  <c r="BG80" i="106" s="1"/>
  <c r="G22" i="107"/>
  <c r="AP46" i="107"/>
  <c r="G125" i="106"/>
  <c r="M131" i="106"/>
  <c r="AE92" i="107"/>
  <c r="L46" i="107"/>
  <c r="AE22" i="107"/>
  <c r="AG114" i="106"/>
  <c r="BO33" i="107"/>
  <c r="M22" i="107"/>
  <c r="AJ33" i="107"/>
  <c r="AW107" i="106"/>
  <c r="M122" i="106"/>
  <c r="G92" i="107"/>
  <c r="AE46" i="107"/>
  <c r="AW122" i="106"/>
  <c r="AT125" i="106"/>
  <c r="G93" i="107"/>
  <c r="BC122" i="106"/>
  <c r="BN46" i="107"/>
  <c r="BH25" i="107"/>
  <c r="BH57" i="107" s="1"/>
  <c r="AW131" i="106"/>
  <c r="BC22" i="107"/>
  <c r="C114" i="106"/>
  <c r="BC107" i="106"/>
  <c r="BT130" i="106"/>
  <c r="BT133" i="106" s="1"/>
  <c r="BT19" i="106" s="1"/>
  <c r="AQ22" i="107"/>
  <c r="BE115" i="106"/>
  <c r="BE114" i="106" s="1"/>
  <c r="AK48" i="106"/>
  <c r="BI22" i="107"/>
  <c r="Y46" i="107"/>
  <c r="AE107" i="106"/>
  <c r="L86" i="107"/>
  <c r="L87" i="107" s="1"/>
  <c r="M37" i="107"/>
  <c r="M86" i="107" s="1"/>
  <c r="M87" i="107" s="1"/>
  <c r="W92" i="107"/>
  <c r="W93" i="107"/>
  <c r="W91" i="107"/>
  <c r="W122" i="106"/>
  <c r="W107" i="106"/>
  <c r="W131" i="106"/>
  <c r="BB46" i="107"/>
  <c r="AE131" i="106"/>
  <c r="BH100" i="107"/>
  <c r="BI100" i="107" s="1"/>
  <c r="BI14" i="107"/>
  <c r="BI25" i="107" s="1"/>
  <c r="BI81" i="106" s="1"/>
  <c r="AY59" i="107"/>
  <c r="AY83" i="106"/>
  <c r="G122" i="106"/>
  <c r="BC131" i="106"/>
  <c r="BC37" i="107"/>
  <c r="BC86" i="107" s="1"/>
  <c r="BC87" i="107" s="1"/>
  <c r="AK29" i="107"/>
  <c r="AK137" i="106" s="1"/>
  <c r="AK93" i="107" s="1"/>
  <c r="O59" i="107"/>
  <c r="O83" i="106"/>
  <c r="X122" i="106"/>
  <c r="X125" i="106" s="1"/>
  <c r="X107" i="106"/>
  <c r="X131" i="106"/>
  <c r="X132" i="106" s="1"/>
  <c r="X91" i="107"/>
  <c r="X92" i="107"/>
  <c r="X93" i="107"/>
  <c r="Y29" i="107"/>
  <c r="Y137" i="106" s="1"/>
  <c r="BA50" i="107"/>
  <c r="BA80" i="106" s="1"/>
  <c r="AC57" i="107"/>
  <c r="AC81" i="106"/>
  <c r="X17" i="107"/>
  <c r="Y17" i="107" s="1"/>
  <c r="Y22" i="107"/>
  <c r="BA57" i="107"/>
  <c r="BA81" i="106"/>
  <c r="BO48" i="106"/>
  <c r="BT124" i="106"/>
  <c r="BT12" i="107"/>
  <c r="BU12" i="107" s="1"/>
  <c r="K57" i="107"/>
  <c r="K81" i="106"/>
  <c r="E57" i="107"/>
  <c r="E81" i="106"/>
  <c r="D58" i="107"/>
  <c r="D82" i="106"/>
  <c r="R124" i="106"/>
  <c r="S123" i="106"/>
  <c r="BC104" i="106"/>
  <c r="AI58" i="107"/>
  <c r="AI82" i="106"/>
  <c r="AQ37" i="107"/>
  <c r="AQ86" i="107" s="1"/>
  <c r="AQ87" i="107" s="1"/>
  <c r="Q57" i="107"/>
  <c r="Q81" i="106"/>
  <c r="AM58" i="107"/>
  <c r="AM82" i="106"/>
  <c r="Q91" i="107"/>
  <c r="Q92" i="107"/>
  <c r="Q93" i="107"/>
  <c r="Q122" i="106"/>
  <c r="Q131" i="106"/>
  <c r="Q107" i="106"/>
  <c r="BM105" i="106"/>
  <c r="BO104" i="106"/>
  <c r="AC50" i="107"/>
  <c r="AC80" i="106" s="1"/>
  <c r="BH105" i="106"/>
  <c r="BI104" i="106"/>
  <c r="BF58" i="107"/>
  <c r="BF82" i="106"/>
  <c r="J58" i="107"/>
  <c r="J82" i="106"/>
  <c r="R91" i="107"/>
  <c r="R131" i="106"/>
  <c r="R132" i="106" s="1"/>
  <c r="R92" i="107"/>
  <c r="R93" i="107"/>
  <c r="R122" i="106"/>
  <c r="R125" i="106" s="1"/>
  <c r="R107" i="106"/>
  <c r="BU64" i="107"/>
  <c r="AD105" i="106"/>
  <c r="AE104" i="106"/>
  <c r="K50" i="107"/>
  <c r="K80" i="106" s="1"/>
  <c r="BG57" i="107"/>
  <c r="BG81" i="106"/>
  <c r="AU50" i="107"/>
  <c r="AU80" i="106" s="1"/>
  <c r="AI50" i="107"/>
  <c r="AI80" i="106" s="1"/>
  <c r="CM85" i="107"/>
  <c r="AN111" i="106"/>
  <c r="AM114" i="106"/>
  <c r="AM118" i="106"/>
  <c r="BO112" i="106"/>
  <c r="BO113" i="106" s="1"/>
  <c r="C54" i="107"/>
  <c r="D52" i="107"/>
  <c r="D53" i="107" s="1"/>
  <c r="P58" i="107"/>
  <c r="P82" i="106"/>
  <c r="AG58" i="107"/>
  <c r="AG82" i="106"/>
  <c r="W57" i="107"/>
  <c r="W81" i="106"/>
  <c r="AU57" i="107"/>
  <c r="AU81" i="106"/>
  <c r="X33" i="107"/>
  <c r="X104" i="106"/>
  <c r="BO46" i="107"/>
  <c r="BO95" i="106"/>
  <c r="AN113" i="106"/>
  <c r="AN109" i="106"/>
  <c r="BX10" i="106"/>
  <c r="AI93" i="107"/>
  <c r="AI91" i="107"/>
  <c r="AI92" i="107"/>
  <c r="AI122" i="106"/>
  <c r="AI125" i="106" s="1"/>
  <c r="AI131" i="106"/>
  <c r="AI107" i="106"/>
  <c r="V58" i="107"/>
  <c r="V82" i="106"/>
  <c r="AP14" i="107"/>
  <c r="AO100" i="107"/>
  <c r="AN58" i="107"/>
  <c r="AN82" i="106"/>
  <c r="AI124" i="106"/>
  <c r="BX64" i="107"/>
  <c r="BW63" i="107"/>
  <c r="AO25" i="107"/>
  <c r="AK22" i="107"/>
  <c r="AH58" i="107"/>
  <c r="AH82" i="106"/>
  <c r="L78" i="107"/>
  <c r="J78" i="107"/>
  <c r="I78" i="107"/>
  <c r="I72" i="107" s="1"/>
  <c r="K78" i="107"/>
  <c r="AZ58" i="107"/>
  <c r="AZ82" i="106"/>
  <c r="BN93" i="107"/>
  <c r="BN91" i="107"/>
  <c r="BN92" i="107"/>
  <c r="BN122" i="106"/>
  <c r="BN131" i="106"/>
  <c r="BN107" i="106"/>
  <c r="BO107" i="106" s="1"/>
  <c r="BT16" i="107"/>
  <c r="BU16" i="107" s="1"/>
  <c r="BU34" i="106"/>
  <c r="AJ131" i="106"/>
  <c r="AJ132" i="106" s="1"/>
  <c r="AJ91" i="107"/>
  <c r="AJ93" i="107"/>
  <c r="AJ92" i="107"/>
  <c r="AJ122" i="106"/>
  <c r="AJ107" i="106"/>
  <c r="AW104" i="106"/>
  <c r="I59" i="107"/>
  <c r="I83" i="106"/>
  <c r="AJ123" i="106"/>
  <c r="AK12" i="107"/>
  <c r="AB58" i="107"/>
  <c r="AB82" i="106"/>
  <c r="AE11" i="107"/>
  <c r="O92" i="106"/>
  <c r="S92" i="106"/>
  <c r="M99" i="106"/>
  <c r="Y69" i="107"/>
  <c r="Y73" i="107" s="1"/>
  <c r="S78" i="107"/>
  <c r="U69" i="107"/>
  <c r="S77" i="107"/>
  <c r="BO93" i="107"/>
  <c r="BO91" i="107"/>
  <c r="BO92" i="107"/>
  <c r="G104" i="106"/>
  <c r="AP105" i="106"/>
  <c r="AQ104" i="106"/>
  <c r="R105" i="106"/>
  <c r="S104" i="106"/>
  <c r="AQ44" i="107"/>
  <c r="AA59" i="107"/>
  <c r="AA83" i="106"/>
  <c r="K77" i="107"/>
  <c r="I77" i="107"/>
  <c r="I71" i="107" s="1"/>
  <c r="L77" i="107"/>
  <c r="J77" i="107"/>
  <c r="CF123" i="106"/>
  <c r="CF12" i="107" s="1"/>
  <c r="CE12" i="107"/>
  <c r="AT58" i="107"/>
  <c r="AT82" i="106"/>
  <c r="AI103" i="106"/>
  <c r="AH115" i="106"/>
  <c r="AI111" i="106" s="1"/>
  <c r="S29" i="107"/>
  <c r="S137" i="106" s="1"/>
  <c r="BB33" i="107"/>
  <c r="BC28" i="107"/>
  <c r="BC33" i="107" s="1"/>
  <c r="F46" i="107"/>
  <c r="G38" i="107"/>
  <c r="G46" i="107" s="1"/>
  <c r="AK37" i="107"/>
  <c r="AK86" i="107" s="1"/>
  <c r="AK87" i="107" s="1"/>
  <c r="AD33" i="107"/>
  <c r="AE28" i="107"/>
  <c r="AE33" i="107" s="1"/>
  <c r="AW22" i="107"/>
  <c r="Y8" i="107"/>
  <c r="F25" i="107"/>
  <c r="G11" i="107"/>
  <c r="AV46" i="107"/>
  <c r="AW36" i="107"/>
  <c r="AJ46" i="107"/>
  <c r="AK36" i="107"/>
  <c r="Y28" i="107"/>
  <c r="AP25" i="107"/>
  <c r="AQ11" i="107"/>
  <c r="BH33" i="107"/>
  <c r="BI28" i="107"/>
  <c r="BI33" i="107" s="1"/>
  <c r="Q50" i="107"/>
  <c r="Q80" i="106" s="1"/>
  <c r="AJ100" i="107"/>
  <c r="AK14" i="107"/>
  <c r="BO11" i="107"/>
  <c r="AC100" i="107"/>
  <c r="AD14" i="107"/>
  <c r="AD100" i="107" s="1"/>
  <c r="R100" i="107"/>
  <c r="S14" i="107"/>
  <c r="S100" i="107" s="1"/>
  <c r="R33" i="107"/>
  <c r="S28" i="107"/>
  <c r="S22" i="107"/>
  <c r="AV33" i="107"/>
  <c r="AW28" i="107"/>
  <c r="AW33" i="107" s="1"/>
  <c r="BC11" i="107"/>
  <c r="BI48" i="107"/>
  <c r="BH46" i="107"/>
  <c r="BI36" i="107"/>
  <c r="BN17" i="107"/>
  <c r="BO17" i="107" s="1"/>
  <c r="F33" i="107"/>
  <c r="G28" i="107"/>
  <c r="G33" i="107" s="1"/>
  <c r="AJ25" i="107"/>
  <c r="R25" i="107"/>
  <c r="S11" i="107"/>
  <c r="BS86" i="107"/>
  <c r="BT87" i="107"/>
  <c r="BS88" i="107"/>
  <c r="CC70" i="107"/>
  <c r="M48" i="107"/>
  <c r="R46" i="107"/>
  <c r="S36" i="107"/>
  <c r="L25" i="107"/>
  <c r="M9" i="107"/>
  <c r="M25" i="107" s="1"/>
  <c r="E50" i="107"/>
  <c r="W50" i="107"/>
  <c r="W80" i="106" s="1"/>
  <c r="BC48" i="107"/>
  <c r="AP33" i="107"/>
  <c r="AQ28" i="107"/>
  <c r="AQ33" i="107" s="1"/>
  <c r="G14" i="107"/>
  <c r="G100" i="107" s="1"/>
  <c r="M48" i="106"/>
  <c r="BI48" i="106"/>
  <c r="BI65" i="106"/>
  <c r="AB111" i="106"/>
  <c r="AA114" i="106"/>
  <c r="Y48" i="106"/>
  <c r="Y65" i="106"/>
  <c r="AM92" i="106"/>
  <c r="AQ92" i="106"/>
  <c r="AK99" i="106"/>
  <c r="BY105" i="106"/>
  <c r="AW48" i="106"/>
  <c r="AZ109" i="106"/>
  <c r="AZ113" i="106"/>
  <c r="AB113" i="106"/>
  <c r="AB109" i="106"/>
  <c r="BY39" i="106"/>
  <c r="AY114" i="106"/>
  <c r="AZ111" i="106"/>
  <c r="BQ92" i="106"/>
  <c r="BU92" i="106"/>
  <c r="BO99" i="106"/>
  <c r="BO53" i="106"/>
  <c r="E103" i="106"/>
  <c r="D115" i="106"/>
  <c r="D118" i="106" s="1"/>
  <c r="CJ87" i="106"/>
  <c r="S53" i="106"/>
  <c r="CL146" i="106"/>
  <c r="BR12" i="3"/>
  <c r="CJ88" i="106"/>
  <c r="V113" i="106"/>
  <c r="V109" i="106"/>
  <c r="BI99" i="106"/>
  <c r="BO92" i="106"/>
  <c r="BK92" i="106"/>
  <c r="Q103" i="106"/>
  <c r="P115" i="106"/>
  <c r="AQ48" i="106"/>
  <c r="AK92" i="106"/>
  <c r="AG92" i="106"/>
  <c r="AE99" i="106"/>
  <c r="BF109" i="106"/>
  <c r="BF113" i="106"/>
  <c r="BW29" i="106"/>
  <c r="BW41" i="107" s="1"/>
  <c r="BM113" i="106"/>
  <c r="BM109" i="106"/>
  <c r="BQ114" i="106"/>
  <c r="AW53" i="106"/>
  <c r="AT113" i="106"/>
  <c r="AT109" i="106"/>
  <c r="AE48" i="106"/>
  <c r="AE65" i="106"/>
  <c r="BZ87" i="106"/>
  <c r="K103" i="106"/>
  <c r="J115" i="106"/>
  <c r="V111" i="106"/>
  <c r="U114" i="106"/>
  <c r="BT126" i="106"/>
  <c r="CE88" i="106"/>
  <c r="AS114" i="106"/>
  <c r="AT111" i="106"/>
  <c r="U118" i="106"/>
  <c r="AA118" i="106"/>
  <c r="AW25" i="107" l="1"/>
  <c r="CM75" i="107"/>
  <c r="BU70" i="107"/>
  <c r="BU79" i="107" s="1"/>
  <c r="CD70" i="107"/>
  <c r="CJ70" i="107" s="1"/>
  <c r="CA70" i="107"/>
  <c r="CA79" i="107" s="1"/>
  <c r="BU114" i="106"/>
  <c r="BR35" i="3"/>
  <c r="BR62" i="106"/>
  <c r="BR64" i="106"/>
  <c r="BX41" i="106"/>
  <c r="BY41" i="106" s="1"/>
  <c r="S33" i="107"/>
  <c r="BW34" i="106"/>
  <c r="BU158" i="106"/>
  <c r="BB25" i="107"/>
  <c r="BB50" i="107" s="1"/>
  <c r="BB80" i="106" s="1"/>
  <c r="BX30" i="107"/>
  <c r="BX168" i="106"/>
  <c r="BU19" i="106"/>
  <c r="BU169" i="106" s="1"/>
  <c r="BT169" i="106"/>
  <c r="BL114" i="106"/>
  <c r="M170" i="106"/>
  <c r="S171" i="106"/>
  <c r="S170" i="106"/>
  <c r="BW35" i="106"/>
  <c r="M171" i="106"/>
  <c r="BC25" i="107"/>
  <c r="BC81" i="106" s="1"/>
  <c r="AK92" i="107"/>
  <c r="G133" i="106"/>
  <c r="I130" i="106" s="1"/>
  <c r="I132" i="106" s="1"/>
  <c r="M132" i="106" s="1"/>
  <c r="BM111" i="106"/>
  <c r="BH81" i="106"/>
  <c r="CG12" i="107"/>
  <c r="AV25" i="107"/>
  <c r="AV81" i="106" s="1"/>
  <c r="BF111" i="106"/>
  <c r="S25" i="107"/>
  <c r="S81" i="106" s="1"/>
  <c r="Y33" i="107"/>
  <c r="G126" i="106"/>
  <c r="I121" i="106" s="1"/>
  <c r="AK33" i="107"/>
  <c r="AK91" i="107"/>
  <c r="BC46" i="107"/>
  <c r="BE118" i="106"/>
  <c r="S107" i="106"/>
  <c r="Y107" i="106"/>
  <c r="AE14" i="107"/>
  <c r="AE100" i="107" s="1"/>
  <c r="BH50" i="107"/>
  <c r="BH80" i="106" s="1"/>
  <c r="M46" i="107"/>
  <c r="M50" i="107" s="1"/>
  <c r="M80" i="106" s="1"/>
  <c r="W125" i="106"/>
  <c r="Y122" i="106"/>
  <c r="W132" i="106"/>
  <c r="Y131" i="106"/>
  <c r="BT134" i="106"/>
  <c r="AH118" i="106"/>
  <c r="Y93" i="107"/>
  <c r="Y91" i="107"/>
  <c r="Y92" i="107"/>
  <c r="AP57" i="107"/>
  <c r="AP81" i="106"/>
  <c r="AO57" i="107"/>
  <c r="AO81" i="106"/>
  <c r="Q125" i="106"/>
  <c r="S122" i="106"/>
  <c r="AP50" i="107"/>
  <c r="AP80" i="106" s="1"/>
  <c r="F57" i="107"/>
  <c r="F81" i="106"/>
  <c r="AQ46" i="107"/>
  <c r="AA69" i="107"/>
  <c r="Y78" i="107"/>
  <c r="AE69" i="107"/>
  <c r="AE73" i="107" s="1"/>
  <c r="Y77" i="107"/>
  <c r="CC63" i="107"/>
  <c r="AQ14" i="107"/>
  <c r="AQ100" i="107" s="1"/>
  <c r="AP100" i="107"/>
  <c r="W58" i="107"/>
  <c r="W82" i="106"/>
  <c r="L57" i="107"/>
  <c r="L81" i="106"/>
  <c r="S46" i="107"/>
  <c r="S95" i="106"/>
  <c r="AW57" i="107"/>
  <c r="AW61" i="107" s="1"/>
  <c r="AW81" i="106"/>
  <c r="BX63" i="107"/>
  <c r="BY64" i="107"/>
  <c r="BY10" i="106"/>
  <c r="BG58" i="107"/>
  <c r="BG82" i="106"/>
  <c r="AI59" i="107"/>
  <c r="AI83" i="106"/>
  <c r="AB59" i="107"/>
  <c r="AB83" i="106"/>
  <c r="BN132" i="106"/>
  <c r="BO131" i="106"/>
  <c r="D54" i="107"/>
  <c r="E52" i="107"/>
  <c r="E53" i="107" s="1"/>
  <c r="F52" i="107" s="1"/>
  <c r="BA58" i="107"/>
  <c r="BA82" i="106"/>
  <c r="M57" i="107"/>
  <c r="M81" i="106"/>
  <c r="AW46" i="107"/>
  <c r="AW50" i="107" s="1"/>
  <c r="AW80" i="106" s="1"/>
  <c r="AW95" i="106"/>
  <c r="BN125" i="106"/>
  <c r="BO122" i="106"/>
  <c r="J59" i="107"/>
  <c r="J83" i="106"/>
  <c r="R50" i="107"/>
  <c r="S93" i="107"/>
  <c r="S91" i="107"/>
  <c r="S92" i="107"/>
  <c r="AJ124" i="106"/>
  <c r="AJ125" i="106"/>
  <c r="AK123" i="106"/>
  <c r="V59" i="107"/>
  <c r="V83" i="106"/>
  <c r="AG59" i="107"/>
  <c r="AG83" i="106"/>
  <c r="BF59" i="107"/>
  <c r="BF83" i="106"/>
  <c r="E58" i="107"/>
  <c r="E82" i="106"/>
  <c r="AK46" i="107"/>
  <c r="AK95" i="106"/>
  <c r="AU58" i="107"/>
  <c r="AU82" i="106"/>
  <c r="K58" i="107"/>
  <c r="K82" i="106"/>
  <c r="AN115" i="106"/>
  <c r="AO103" i="106"/>
  <c r="BI46" i="107"/>
  <c r="BI50" i="107" s="1"/>
  <c r="BI80" i="106" s="1"/>
  <c r="BI95" i="106"/>
  <c r="AK107" i="106"/>
  <c r="X105" i="106"/>
  <c r="Y104" i="106"/>
  <c r="E80" i="106"/>
  <c r="R57" i="107"/>
  <c r="R81" i="106"/>
  <c r="AD25" i="107"/>
  <c r="Y25" i="107"/>
  <c r="I82" i="107"/>
  <c r="I73" i="107"/>
  <c r="AI132" i="106"/>
  <c r="AK131" i="106"/>
  <c r="BH58" i="107"/>
  <c r="BH82" i="106"/>
  <c r="AN59" i="107"/>
  <c r="AN83" i="106"/>
  <c r="P59" i="107"/>
  <c r="P83" i="106"/>
  <c r="AT59" i="107"/>
  <c r="AT83" i="106"/>
  <c r="R78" i="107"/>
  <c r="P78" i="107"/>
  <c r="O78" i="107"/>
  <c r="O72" i="107" s="1"/>
  <c r="Q78" i="107"/>
  <c r="D59" i="107"/>
  <c r="D83" i="106"/>
  <c r="AH59" i="107"/>
  <c r="AH83" i="106"/>
  <c r="AM59" i="107"/>
  <c r="AM83" i="106"/>
  <c r="AJ57" i="107"/>
  <c r="AJ81" i="106"/>
  <c r="AO50" i="107"/>
  <c r="AO80" i="106" s="1"/>
  <c r="AI113" i="106"/>
  <c r="AI109" i="106"/>
  <c r="AH114" i="106"/>
  <c r="R77" i="107"/>
  <c r="P77" i="107"/>
  <c r="O77" i="107"/>
  <c r="O71" i="107" s="1"/>
  <c r="Q77" i="107"/>
  <c r="AZ59" i="107"/>
  <c r="AZ83" i="106"/>
  <c r="AK122" i="106"/>
  <c r="X25" i="107"/>
  <c r="Q132" i="106"/>
  <c r="S131" i="106"/>
  <c r="Q58" i="107"/>
  <c r="Q82" i="106"/>
  <c r="AC58" i="107"/>
  <c r="AC82" i="106"/>
  <c r="L50" i="107"/>
  <c r="L80" i="106" s="1"/>
  <c r="AK100" i="107"/>
  <c r="AK25" i="107"/>
  <c r="BI57" i="107"/>
  <c r="CI70" i="107"/>
  <c r="CM70" i="107" s="1"/>
  <c r="CG70" i="107"/>
  <c r="CG79" i="107" s="1"/>
  <c r="AJ50" i="107"/>
  <c r="G25" i="107"/>
  <c r="BT86" i="107"/>
  <c r="BT88" i="107"/>
  <c r="F50" i="107"/>
  <c r="BG103" i="106"/>
  <c r="BF115" i="106"/>
  <c r="E111" i="106"/>
  <c r="D114" i="106"/>
  <c r="CF88" i="106"/>
  <c r="K111" i="106"/>
  <c r="J114" i="106"/>
  <c r="AU103" i="106"/>
  <c r="AT115" i="106"/>
  <c r="AT118" i="106" s="1"/>
  <c r="E109" i="106"/>
  <c r="E113" i="106"/>
  <c r="K113" i="106"/>
  <c r="K109" i="106"/>
  <c r="CF87" i="106"/>
  <c r="J118" i="106"/>
  <c r="BN103" i="106"/>
  <c r="BM115" i="106"/>
  <c r="Q111" i="106"/>
  <c r="P114" i="106"/>
  <c r="AC103" i="106"/>
  <c r="AB115" i="106"/>
  <c r="BZ105" i="106"/>
  <c r="CK88" i="106"/>
  <c r="V115" i="106"/>
  <c r="V118" i="106" s="1"/>
  <c r="W103" i="106"/>
  <c r="Q113" i="106"/>
  <c r="Q109" i="106"/>
  <c r="CK87" i="106"/>
  <c r="BA103" i="106"/>
  <c r="AZ115" i="106"/>
  <c r="BT20" i="106"/>
  <c r="BT127" i="106" s="1"/>
  <c r="BX29" i="106"/>
  <c r="BX41" i="107" s="1"/>
  <c r="P118" i="106"/>
  <c r="BZ39" i="106"/>
  <c r="BB57" i="107" l="1"/>
  <c r="BX96" i="106"/>
  <c r="BB81" i="106"/>
  <c r="BC57" i="107"/>
  <c r="BC61" i="107" s="1"/>
  <c r="BC50" i="107"/>
  <c r="BC80" i="106" s="1"/>
  <c r="BY168" i="106"/>
  <c r="BW159" i="106"/>
  <c r="BW16" i="107"/>
  <c r="BW158" i="106"/>
  <c r="BX34" i="106"/>
  <c r="BX35" i="106"/>
  <c r="BX159" i="106" s="1"/>
  <c r="G134" i="106"/>
  <c r="M130" i="106"/>
  <c r="M133" i="106" s="1"/>
  <c r="M134" i="106" s="1"/>
  <c r="AV57" i="107"/>
  <c r="AQ25" i="107"/>
  <c r="AV50" i="107"/>
  <c r="S50" i="107"/>
  <c r="S80" i="106" s="1"/>
  <c r="G127" i="106"/>
  <c r="I125" i="106"/>
  <c r="M125" i="106" s="1"/>
  <c r="M121" i="106"/>
  <c r="I124" i="106"/>
  <c r="S57" i="107"/>
  <c r="CM79" i="107"/>
  <c r="AE25" i="107"/>
  <c r="AK50" i="107"/>
  <c r="BI61" i="107"/>
  <c r="BZ41" i="106"/>
  <c r="BY96" i="106"/>
  <c r="E54" i="107"/>
  <c r="AE77" i="107"/>
  <c r="AE78" i="107"/>
  <c r="AG69" i="107"/>
  <c r="AK69" i="107"/>
  <c r="AK73" i="107" s="1"/>
  <c r="R80" i="106"/>
  <c r="AJ80" i="106"/>
  <c r="BZ10" i="106"/>
  <c r="BZ168" i="106" s="1"/>
  <c r="BY30" i="107"/>
  <c r="AC59" i="107"/>
  <c r="AC83" i="106"/>
  <c r="Q59" i="107"/>
  <c r="Q83" i="106"/>
  <c r="E59" i="107"/>
  <c r="E83" i="106"/>
  <c r="X78" i="107"/>
  <c r="V78" i="107"/>
  <c r="W78" i="107"/>
  <c r="U78" i="107"/>
  <c r="U72" i="107" s="1"/>
  <c r="K59" i="107"/>
  <c r="K83" i="106"/>
  <c r="BI58" i="107"/>
  <c r="BI82" i="106"/>
  <c r="Y57" i="107"/>
  <c r="Y61" i="107" s="1"/>
  <c r="Y81" i="106"/>
  <c r="Y50" i="107"/>
  <c r="F53" i="107"/>
  <c r="F54" i="107" s="1"/>
  <c r="F80" i="106"/>
  <c r="AD57" i="107"/>
  <c r="AD81" i="106"/>
  <c r="AD50" i="107"/>
  <c r="W59" i="107"/>
  <c r="W83" i="106"/>
  <c r="AO58" i="107"/>
  <c r="AO82" i="106"/>
  <c r="BB58" i="107"/>
  <c r="BB82" i="106"/>
  <c r="BA59" i="107"/>
  <c r="BA83" i="106"/>
  <c r="AW58" i="107"/>
  <c r="AW82" i="106"/>
  <c r="G57" i="107"/>
  <c r="G81" i="106"/>
  <c r="AI115" i="106"/>
  <c r="AJ103" i="106"/>
  <c r="BH59" i="107"/>
  <c r="BH83" i="106"/>
  <c r="AU59" i="107"/>
  <c r="AU83" i="106"/>
  <c r="BG59" i="107"/>
  <c r="BG83" i="106"/>
  <c r="O82" i="107"/>
  <c r="O73" i="107"/>
  <c r="R58" i="107"/>
  <c r="R82" i="106"/>
  <c r="F58" i="107"/>
  <c r="F82" i="106"/>
  <c r="AO113" i="106"/>
  <c r="AO109" i="106"/>
  <c r="M58" i="107"/>
  <c r="M82" i="106"/>
  <c r="BZ64" i="107"/>
  <c r="BZ63" i="107" s="1"/>
  <c r="BY63" i="107"/>
  <c r="CI63" i="107"/>
  <c r="AP58" i="107"/>
  <c r="AP82" i="106"/>
  <c r="AK57" i="107"/>
  <c r="AK61" i="107" s="1"/>
  <c r="AK81" i="106"/>
  <c r="X57" i="107"/>
  <c r="X81" i="106"/>
  <c r="X50" i="107"/>
  <c r="AJ58" i="107"/>
  <c r="AJ82" i="106"/>
  <c r="K69" i="107"/>
  <c r="J69" i="107"/>
  <c r="AN118" i="106"/>
  <c r="AO111" i="106"/>
  <c r="AN114" i="106"/>
  <c r="CD63" i="107"/>
  <c r="L58" i="107"/>
  <c r="L82" i="106"/>
  <c r="W77" i="107"/>
  <c r="V77" i="107"/>
  <c r="X77" i="107"/>
  <c r="U77" i="107"/>
  <c r="U71" i="107" s="1"/>
  <c r="G50" i="107"/>
  <c r="BT37" i="107"/>
  <c r="BU86" i="107"/>
  <c r="BU87" i="107" s="1"/>
  <c r="BA111" i="106"/>
  <c r="AZ114" i="106"/>
  <c r="BN111" i="106"/>
  <c r="BN114" i="106" s="1"/>
  <c r="BM114" i="106"/>
  <c r="E115" i="106"/>
  <c r="E118" i="106" s="1"/>
  <c r="F103" i="106"/>
  <c r="AC109" i="106"/>
  <c r="AC113" i="106"/>
  <c r="BN113" i="106"/>
  <c r="BN108" i="106"/>
  <c r="BO108" i="106" s="1"/>
  <c r="BO109" i="106" s="1"/>
  <c r="BG111" i="106"/>
  <c r="BF114" i="106"/>
  <c r="BY29" i="106"/>
  <c r="BG109" i="106"/>
  <c r="BG113" i="106"/>
  <c r="R103" i="106"/>
  <c r="Q115" i="106"/>
  <c r="AC111" i="106"/>
  <c r="AB114" i="106"/>
  <c r="L103" i="106"/>
  <c r="K115" i="106"/>
  <c r="AU113" i="106"/>
  <c r="AU109" i="106"/>
  <c r="CL88" i="106"/>
  <c r="CL87" i="106"/>
  <c r="CC105" i="106"/>
  <c r="BF118" i="106"/>
  <c r="BA109" i="106"/>
  <c r="BA113" i="106"/>
  <c r="BU20" i="106"/>
  <c r="CA39" i="106"/>
  <c r="W109" i="106"/>
  <c r="W113" i="106"/>
  <c r="W111" i="106"/>
  <c r="V114" i="106"/>
  <c r="AZ118" i="106"/>
  <c r="AB118" i="106"/>
  <c r="BM118" i="106"/>
  <c r="AT114" i="106"/>
  <c r="AU111" i="106"/>
  <c r="AQ50" i="107" l="1"/>
  <c r="AQ80" i="106" s="1"/>
  <c r="AQ81" i="106"/>
  <c r="AE50" i="107"/>
  <c r="BC58" i="107"/>
  <c r="BC59" i="107" s="1"/>
  <c r="BC82" i="106"/>
  <c r="O130" i="106"/>
  <c r="O132" i="106" s="1"/>
  <c r="S132" i="106" s="1"/>
  <c r="AV58" i="107"/>
  <c r="AV83" i="106" s="1"/>
  <c r="BX16" i="107"/>
  <c r="BX158" i="106"/>
  <c r="BY34" i="106"/>
  <c r="BY35" i="106"/>
  <c r="BY159" i="106" s="1"/>
  <c r="AV82" i="106"/>
  <c r="AQ57" i="107"/>
  <c r="AQ61" i="107" s="1"/>
  <c r="S58" i="107"/>
  <c r="S83" i="106" s="1"/>
  <c r="AE81" i="106"/>
  <c r="M126" i="106"/>
  <c r="O121" i="106" s="1"/>
  <c r="AV80" i="106"/>
  <c r="M124" i="106"/>
  <c r="S82" i="106"/>
  <c r="AE57" i="107"/>
  <c r="AE61" i="107" s="1"/>
  <c r="AK80" i="106"/>
  <c r="CA41" i="106"/>
  <c r="CC41" i="106" s="1"/>
  <c r="BZ96" i="106"/>
  <c r="CA96" i="106" s="1"/>
  <c r="AP103" i="106"/>
  <c r="AO115" i="106"/>
  <c r="AP59" i="107"/>
  <c r="AP83" i="106"/>
  <c r="G58" i="107"/>
  <c r="G82" i="106"/>
  <c r="BB59" i="107"/>
  <c r="BB83" i="106"/>
  <c r="AD58" i="107"/>
  <c r="AD82" i="106"/>
  <c r="BI59" i="107"/>
  <c r="BI83" i="106"/>
  <c r="CA10" i="106"/>
  <c r="CA168" i="106" s="1"/>
  <c r="J72" i="107"/>
  <c r="J71" i="107"/>
  <c r="J82" i="107" s="1"/>
  <c r="AK58" i="107"/>
  <c r="AK82" i="106"/>
  <c r="AQ58" i="107"/>
  <c r="BZ30" i="107"/>
  <c r="CA30" i="107" s="1"/>
  <c r="AK78" i="107"/>
  <c r="AM69" i="107"/>
  <c r="AK77" i="107"/>
  <c r="AQ69" i="107"/>
  <c r="AQ73" i="107" s="1"/>
  <c r="R59" i="107"/>
  <c r="R83" i="106"/>
  <c r="AD80" i="106"/>
  <c r="P69" i="107"/>
  <c r="Q69" i="107"/>
  <c r="G53" i="107"/>
  <c r="I52" i="107" s="1"/>
  <c r="G80" i="106"/>
  <c r="L59" i="107"/>
  <c r="L83" i="106"/>
  <c r="CF63" i="107"/>
  <c r="AO59" i="107"/>
  <c r="AO83" i="106"/>
  <c r="AC78" i="107"/>
  <c r="AA78" i="107"/>
  <c r="AA72" i="107" s="1"/>
  <c r="AD78" i="107"/>
  <c r="AB78" i="107"/>
  <c r="U82" i="107"/>
  <c r="U73" i="107"/>
  <c r="AJ111" i="106"/>
  <c r="AJ114" i="106" s="1"/>
  <c r="AI114" i="106"/>
  <c r="Y58" i="107"/>
  <c r="Y82" i="106"/>
  <c r="K72" i="107"/>
  <c r="K71" i="107"/>
  <c r="K82" i="107" s="1"/>
  <c r="BY41" i="107"/>
  <c r="AJ59" i="107"/>
  <c r="AJ83" i="106"/>
  <c r="F59" i="107"/>
  <c r="F83" i="106"/>
  <c r="AI118" i="106"/>
  <c r="AW59" i="107"/>
  <c r="AW83" i="106"/>
  <c r="Y80" i="106"/>
  <c r="AB77" i="107"/>
  <c r="AC77" i="107"/>
  <c r="AD77" i="107"/>
  <c r="AA77" i="107"/>
  <c r="AA71" i="107" s="1"/>
  <c r="X58" i="107"/>
  <c r="X82" i="106"/>
  <c r="CE63" i="107"/>
  <c r="CA63" i="107"/>
  <c r="BO114" i="106"/>
  <c r="BO115" i="106" s="1"/>
  <c r="BO118" i="106" s="1"/>
  <c r="CJ63" i="107"/>
  <c r="X80" i="106"/>
  <c r="M59" i="107"/>
  <c r="M83" i="106"/>
  <c r="AJ113" i="106"/>
  <c r="AJ108" i="106"/>
  <c r="AK108" i="106" s="1"/>
  <c r="AK109" i="106" s="1"/>
  <c r="BW87" i="107"/>
  <c r="BU88" i="107"/>
  <c r="BU37" i="107"/>
  <c r="AV103" i="106"/>
  <c r="AU115" i="106"/>
  <c r="AU118" i="106" s="1"/>
  <c r="R111" i="106"/>
  <c r="R114" i="106" s="1"/>
  <c r="Q114" i="106"/>
  <c r="W115" i="106"/>
  <c r="W118" i="106" s="1"/>
  <c r="X103" i="106"/>
  <c r="R113" i="106"/>
  <c r="R108" i="106"/>
  <c r="S108" i="106" s="1"/>
  <c r="S109" i="106" s="1"/>
  <c r="K114" i="106"/>
  <c r="L111" i="106"/>
  <c r="L114" i="106" s="1"/>
  <c r="K118" i="106"/>
  <c r="BH103" i="106"/>
  <c r="BG115" i="106"/>
  <c r="E114" i="106"/>
  <c r="F111" i="106"/>
  <c r="F114" i="106" s="1"/>
  <c r="CC39" i="106"/>
  <c r="CD105" i="106"/>
  <c r="BZ29" i="106"/>
  <c r="AC115" i="106"/>
  <c r="AC118" i="106" s="1"/>
  <c r="AD103" i="106"/>
  <c r="BB103" i="106"/>
  <c r="BA115" i="106"/>
  <c r="BA118" i="106" s="1"/>
  <c r="L113" i="106"/>
  <c r="L108" i="106"/>
  <c r="M108" i="106" s="1"/>
  <c r="M109" i="106" s="1"/>
  <c r="Q118" i="106"/>
  <c r="F108" i="106"/>
  <c r="G108" i="106" s="1"/>
  <c r="G109" i="106" s="1"/>
  <c r="F113" i="106"/>
  <c r="AE80" i="106" l="1"/>
  <c r="AQ82" i="106"/>
  <c r="BC83" i="106"/>
  <c r="S130" i="106"/>
  <c r="S133" i="106" s="1"/>
  <c r="U130" i="106" s="1"/>
  <c r="U132" i="106" s="1"/>
  <c r="Y132" i="106" s="1"/>
  <c r="AV59" i="107"/>
  <c r="BY16" i="107"/>
  <c r="BY158" i="106"/>
  <c r="BZ34" i="106"/>
  <c r="BZ35" i="106"/>
  <c r="BZ159" i="106" s="1"/>
  <c r="M127" i="106"/>
  <c r="S59" i="107"/>
  <c r="AE82" i="106"/>
  <c r="G54" i="107"/>
  <c r="AK114" i="106"/>
  <c r="AK115" i="106" s="1"/>
  <c r="AK118" i="106" s="1"/>
  <c r="AE58" i="107"/>
  <c r="AE59" i="107" s="1"/>
  <c r="M114" i="106"/>
  <c r="M115" i="106" s="1"/>
  <c r="M118" i="106" s="1"/>
  <c r="J73" i="107"/>
  <c r="L69" i="107" s="1"/>
  <c r="L71" i="107" s="1"/>
  <c r="CC96" i="106"/>
  <c r="CD41" i="106"/>
  <c r="V69" i="107"/>
  <c r="W69" i="107"/>
  <c r="AG78" i="107"/>
  <c r="AG72" i="107" s="1"/>
  <c r="AH78" i="107"/>
  <c r="AI78" i="107"/>
  <c r="AJ78" i="107"/>
  <c r="AP113" i="106"/>
  <c r="AP108" i="106"/>
  <c r="AQ108" i="106" s="1"/>
  <c r="AQ109" i="106" s="1"/>
  <c r="CA64" i="107"/>
  <c r="Q71" i="107"/>
  <c r="Q82" i="107" s="1"/>
  <c r="Q72" i="107"/>
  <c r="P72" i="107"/>
  <c r="P71" i="107"/>
  <c r="P82" i="107" s="1"/>
  <c r="AK59" i="107"/>
  <c r="AK83" i="106"/>
  <c r="AA82" i="107"/>
  <c r="AA73" i="107"/>
  <c r="CL63" i="107"/>
  <c r="AQ59" i="107"/>
  <c r="AQ83" i="106"/>
  <c r="AD59" i="107"/>
  <c r="AD83" i="106"/>
  <c r="G59" i="107"/>
  <c r="G83" i="106"/>
  <c r="X59" i="107"/>
  <c r="X83" i="106"/>
  <c r="Y59" i="107"/>
  <c r="Y83" i="106"/>
  <c r="AW69" i="107"/>
  <c r="AW73" i="107" s="1"/>
  <c r="AQ78" i="107"/>
  <c r="AS69" i="107"/>
  <c r="AQ77" i="107"/>
  <c r="CK63" i="107"/>
  <c r="CG63" i="107"/>
  <c r="BZ41" i="107"/>
  <c r="CA41" i="107" s="1"/>
  <c r="AI77" i="107"/>
  <c r="AJ77" i="107"/>
  <c r="AH77" i="107"/>
  <c r="AG77" i="107"/>
  <c r="AG71" i="107" s="1"/>
  <c r="CC10" i="106"/>
  <c r="CC168" i="106" s="1"/>
  <c r="AO118" i="106"/>
  <c r="AP111" i="106"/>
  <c r="AP114" i="106" s="1"/>
  <c r="AO114" i="106"/>
  <c r="K73" i="107"/>
  <c r="M52" i="107"/>
  <c r="M53" i="107" s="1"/>
  <c r="I53" i="107"/>
  <c r="BW86" i="107"/>
  <c r="BX87" i="107"/>
  <c r="BW88" i="107"/>
  <c r="G114" i="106"/>
  <c r="G115" i="106" s="1"/>
  <c r="G118" i="106" s="1"/>
  <c r="AV111" i="106"/>
  <c r="AV114" i="106" s="1"/>
  <c r="AU114" i="106"/>
  <c r="AD108" i="106"/>
  <c r="AE108" i="106" s="1"/>
  <c r="AE109" i="106" s="1"/>
  <c r="AD113" i="106"/>
  <c r="AV108" i="106"/>
  <c r="AW108" i="106" s="1"/>
  <c r="AW109" i="106" s="1"/>
  <c r="AV113" i="106"/>
  <c r="BA114" i="106"/>
  <c r="BB111" i="106"/>
  <c r="BB114" i="106" s="1"/>
  <c r="AC114" i="106"/>
  <c r="AD111" i="106"/>
  <c r="AD114" i="106" s="1"/>
  <c r="X108" i="106"/>
  <c r="Y108" i="106" s="1"/>
  <c r="Y109" i="106" s="1"/>
  <c r="X113" i="106"/>
  <c r="CE105" i="106"/>
  <c r="S121" i="106"/>
  <c r="O124" i="106"/>
  <c r="O125" i="106"/>
  <c r="S125" i="106" s="1"/>
  <c r="BB108" i="106"/>
  <c r="BC108" i="106" s="1"/>
  <c r="BC109" i="106" s="1"/>
  <c r="BB113" i="106"/>
  <c r="BH111" i="106"/>
  <c r="BH114" i="106" s="1"/>
  <c r="BG114" i="106"/>
  <c r="W114" i="106"/>
  <c r="X111" i="106"/>
  <c r="X114" i="106" s="1"/>
  <c r="CD39" i="106"/>
  <c r="BG118" i="106"/>
  <c r="S114" i="106"/>
  <c r="S115" i="106" s="1"/>
  <c r="S118" i="106" s="1"/>
  <c r="CA29" i="106"/>
  <c r="BH113" i="106"/>
  <c r="BH108" i="106"/>
  <c r="BI108" i="106" s="1"/>
  <c r="BI109" i="106" s="1"/>
  <c r="S134" i="106" l="1"/>
  <c r="Y130" i="106"/>
  <c r="L72" i="107"/>
  <c r="L73" i="107" s="1"/>
  <c r="BZ158" i="106"/>
  <c r="BZ16" i="107"/>
  <c r="CA16" i="107" s="1"/>
  <c r="CA34" i="106"/>
  <c r="CA35" i="106"/>
  <c r="CA159" i="106" s="1"/>
  <c r="AE83" i="106"/>
  <c r="P73" i="107"/>
  <c r="R69" i="107" s="1"/>
  <c r="R72" i="107" s="1"/>
  <c r="CE41" i="106"/>
  <c r="CD96" i="106"/>
  <c r="AQ114" i="106"/>
  <c r="AQ115" i="106" s="1"/>
  <c r="AQ118" i="106" s="1"/>
  <c r="Q73" i="107"/>
  <c r="AO77" i="107"/>
  <c r="AP77" i="107"/>
  <c r="AN77" i="107"/>
  <c r="AM77" i="107"/>
  <c r="AM71" i="107" s="1"/>
  <c r="CD10" i="106"/>
  <c r="BC69" i="107"/>
  <c r="BC73" i="107" s="1"/>
  <c r="AW77" i="107"/>
  <c r="AW78" i="107"/>
  <c r="AY69" i="107"/>
  <c r="AB69" i="107"/>
  <c r="AC69" i="107"/>
  <c r="V72" i="107"/>
  <c r="V71" i="107"/>
  <c r="V82" i="107" s="1"/>
  <c r="BI114" i="106"/>
  <c r="BI115" i="106" s="1"/>
  <c r="BI118" i="106" s="1"/>
  <c r="CC30" i="107"/>
  <c r="CM63" i="107"/>
  <c r="CM64" i="107" s="1"/>
  <c r="CG64" i="107"/>
  <c r="W71" i="107"/>
  <c r="W82" i="107" s="1"/>
  <c r="W72" i="107"/>
  <c r="AG82" i="107"/>
  <c r="AG73" i="107"/>
  <c r="AM78" i="107"/>
  <c r="AM72" i="107" s="1"/>
  <c r="AO78" i="107"/>
  <c r="AN78" i="107"/>
  <c r="AP78" i="107"/>
  <c r="AW114" i="106"/>
  <c r="AW115" i="106" s="1"/>
  <c r="AW118" i="106" s="1"/>
  <c r="L82" i="107"/>
  <c r="BY87" i="107"/>
  <c r="BX86" i="107"/>
  <c r="BX37" i="107" s="1"/>
  <c r="BX88" i="107"/>
  <c r="BW37" i="107"/>
  <c r="I54" i="107"/>
  <c r="J52" i="107"/>
  <c r="J53" i="107" s="1"/>
  <c r="O52" i="107"/>
  <c r="M54" i="107"/>
  <c r="Y114" i="106"/>
  <c r="Y115" i="106" s="1"/>
  <c r="Y118" i="106" s="1"/>
  <c r="CC29" i="106"/>
  <c r="BC114" i="106"/>
  <c r="BC115" i="106" s="1"/>
  <c r="BC118" i="106" s="1"/>
  <c r="Y133" i="106"/>
  <c r="S126" i="106"/>
  <c r="S124" i="106"/>
  <c r="AE114" i="106"/>
  <c r="AE115" i="106" s="1"/>
  <c r="AE118" i="106" s="1"/>
  <c r="CF105" i="106"/>
  <c r="CE39" i="106"/>
  <c r="R71" i="107" l="1"/>
  <c r="R82" i="107" s="1"/>
  <c r="CD30" i="107"/>
  <c r="CD168" i="106"/>
  <c r="CA158" i="106"/>
  <c r="CC34" i="106"/>
  <c r="CC35" i="106"/>
  <c r="CC159" i="106" s="1"/>
  <c r="W73" i="107"/>
  <c r="CE96" i="106"/>
  <c r="CF41" i="106"/>
  <c r="V73" i="107"/>
  <c r="X69" i="107" s="1"/>
  <c r="X71" i="107" s="1"/>
  <c r="AC72" i="107"/>
  <c r="AC71" i="107"/>
  <c r="AC82" i="107" s="1"/>
  <c r="AB71" i="107"/>
  <c r="AB82" i="107" s="1"/>
  <c r="AB72" i="107"/>
  <c r="CC41" i="107"/>
  <c r="AT78" i="107"/>
  <c r="AS78" i="107"/>
  <c r="AS72" i="107" s="1"/>
  <c r="AU78" i="107"/>
  <c r="AV78" i="107"/>
  <c r="AH69" i="107"/>
  <c r="AI69" i="107"/>
  <c r="AM82" i="107"/>
  <c r="AM73" i="107"/>
  <c r="BI69" i="107"/>
  <c r="BI73" i="107" s="1"/>
  <c r="BC78" i="107"/>
  <c r="BC77" i="107"/>
  <c r="BE69" i="107"/>
  <c r="AV77" i="107"/>
  <c r="AU77" i="107"/>
  <c r="AT77" i="107"/>
  <c r="AS77" i="107"/>
  <c r="AS71" i="107" s="1"/>
  <c r="CE10" i="106"/>
  <c r="J54" i="107"/>
  <c r="K52" i="107"/>
  <c r="K53" i="107" s="1"/>
  <c r="BY86" i="107"/>
  <c r="BZ87" i="107"/>
  <c r="BY88" i="107"/>
  <c r="O53" i="107"/>
  <c r="S52" i="107"/>
  <c r="S53" i="107" s="1"/>
  <c r="U121" i="106"/>
  <c r="S127" i="106"/>
  <c r="CF39" i="106"/>
  <c r="CI105" i="106"/>
  <c r="AA130" i="106"/>
  <c r="Y134" i="106"/>
  <c r="CD29" i="106"/>
  <c r="X72" i="107" l="1"/>
  <c r="X73" i="107" s="1"/>
  <c r="R73" i="107"/>
  <c r="CE30" i="107"/>
  <c r="CE168" i="106"/>
  <c r="CC158" i="106"/>
  <c r="CC16" i="107"/>
  <c r="CD34" i="106"/>
  <c r="CD35" i="106"/>
  <c r="CD159" i="106" s="1"/>
  <c r="AC73" i="107"/>
  <c r="AB73" i="107"/>
  <c r="AD69" i="107" s="1"/>
  <c r="AD72" i="107" s="1"/>
  <c r="CG41" i="106"/>
  <c r="CI41" i="106" s="1"/>
  <c r="CF96" i="106"/>
  <c r="CG96" i="106" s="1"/>
  <c r="AY78" i="107"/>
  <c r="AY72" i="107" s="1"/>
  <c r="AZ78" i="107"/>
  <c r="BA78" i="107"/>
  <c r="BB78" i="107"/>
  <c r="AH72" i="107"/>
  <c r="AH71" i="107"/>
  <c r="AH82" i="107" s="1"/>
  <c r="CD41" i="107"/>
  <c r="AS73" i="107"/>
  <c r="AS82" i="107"/>
  <c r="BO69" i="107"/>
  <c r="BO73" i="107" s="1"/>
  <c r="BI77" i="107"/>
  <c r="BI78" i="107"/>
  <c r="BK69" i="107"/>
  <c r="CF10" i="106"/>
  <c r="CF168" i="106" s="1"/>
  <c r="X82" i="107"/>
  <c r="AI71" i="107"/>
  <c r="AI82" i="107" s="1"/>
  <c r="AI72" i="107"/>
  <c r="BA77" i="107"/>
  <c r="AY77" i="107"/>
  <c r="AY71" i="107" s="1"/>
  <c r="BB77" i="107"/>
  <c r="AZ77" i="107"/>
  <c r="AN69" i="107"/>
  <c r="AO69" i="107"/>
  <c r="BZ86" i="107"/>
  <c r="BZ37" i="107" s="1"/>
  <c r="BZ88" i="107"/>
  <c r="S54" i="107"/>
  <c r="U52" i="107"/>
  <c r="BY37" i="107"/>
  <c r="P52" i="107"/>
  <c r="P53" i="107" s="1"/>
  <c r="O54" i="107"/>
  <c r="K54" i="107"/>
  <c r="L52" i="107"/>
  <c r="L53" i="107" s="1"/>
  <c r="L54" i="107" s="1"/>
  <c r="U124" i="106"/>
  <c r="Y121" i="106"/>
  <c r="U125" i="106"/>
  <c r="Y125" i="106" s="1"/>
  <c r="AE130" i="106"/>
  <c r="AA132" i="106"/>
  <c r="AE132" i="106" s="1"/>
  <c r="CG39" i="106"/>
  <c r="CE29" i="106"/>
  <c r="CJ105" i="106"/>
  <c r="CD158" i="106" l="1"/>
  <c r="CD16" i="107"/>
  <c r="CE34" i="106"/>
  <c r="CE35" i="106"/>
  <c r="CE159" i="106" s="1"/>
  <c r="AD71" i="107"/>
  <c r="AD82" i="107" s="1"/>
  <c r="CA86" i="107"/>
  <c r="CA87" i="107" s="1"/>
  <c r="CC87" i="107" s="1"/>
  <c r="AH73" i="107"/>
  <c r="AJ69" i="107" s="1"/>
  <c r="AJ71" i="107" s="1"/>
  <c r="AJ82" i="107" s="1"/>
  <c r="CJ41" i="106"/>
  <c r="CI96" i="106"/>
  <c r="AO71" i="107"/>
  <c r="AO82" i="107" s="1"/>
  <c r="AO72" i="107"/>
  <c r="CG10" i="106"/>
  <c r="CG168" i="106" s="1"/>
  <c r="AU69" i="107"/>
  <c r="AT69" i="107"/>
  <c r="AN72" i="107"/>
  <c r="AN71" i="107"/>
  <c r="CE41" i="107"/>
  <c r="CF30" i="107"/>
  <c r="CG30" i="107" s="1"/>
  <c r="BH78" i="107"/>
  <c r="BK78" i="107"/>
  <c r="BL78" i="107" s="1"/>
  <c r="BM78" i="107" s="1"/>
  <c r="BN78" i="107" s="1"/>
  <c r="BG78" i="107"/>
  <c r="BE78" i="107"/>
  <c r="BE72" i="107" s="1"/>
  <c r="BF78" i="107"/>
  <c r="BE77" i="107"/>
  <c r="BE71" i="107" s="1"/>
  <c r="BK77" i="107"/>
  <c r="BL77" i="107" s="1"/>
  <c r="BM77" i="107" s="1"/>
  <c r="BN77" i="107" s="1"/>
  <c r="BH77" i="107"/>
  <c r="BF77" i="107"/>
  <c r="BG77" i="107"/>
  <c r="AY73" i="107"/>
  <c r="AY82" i="107"/>
  <c r="AE133" i="106"/>
  <c r="AG130" i="106" s="1"/>
  <c r="AI73" i="107"/>
  <c r="BO77" i="107"/>
  <c r="BQ69" i="107"/>
  <c r="BO78" i="107"/>
  <c r="CA37" i="107"/>
  <c r="Y52" i="107"/>
  <c r="Y53" i="107" s="1"/>
  <c r="U53" i="107"/>
  <c r="P54" i="107"/>
  <c r="Q52" i="107"/>
  <c r="Q53" i="107" s="1"/>
  <c r="CI39" i="106"/>
  <c r="Y126" i="106"/>
  <c r="Y124" i="106"/>
  <c r="CK105" i="106"/>
  <c r="CF29" i="106"/>
  <c r="L4" i="29"/>
  <c r="R4" i="29"/>
  <c r="X4" i="29"/>
  <c r="CF4" i="29"/>
  <c r="CL4" i="29"/>
  <c r="F4" i="29"/>
  <c r="F5" i="29"/>
  <c r="T5" i="29"/>
  <c r="N5" i="29" s="1"/>
  <c r="H5" i="29" s="1"/>
  <c r="U5" i="29"/>
  <c r="O5" i="29"/>
  <c r="I5" i="29" s="1"/>
  <c r="V5" i="29"/>
  <c r="P5" i="29" s="1"/>
  <c r="J5" i="29" s="1"/>
  <c r="W5" i="29"/>
  <c r="Q5" i="29" s="1"/>
  <c r="K5" i="29" s="1"/>
  <c r="L5" i="29"/>
  <c r="R5" i="29"/>
  <c r="X5" i="29"/>
  <c r="AD4" i="29"/>
  <c r="AD5" i="29"/>
  <c r="AJ4" i="29"/>
  <c r="AJ5" i="29"/>
  <c r="AP4" i="29"/>
  <c r="AP5" i="29"/>
  <c r="AV4" i="29"/>
  <c r="AV5" i="29"/>
  <c r="BB4" i="29"/>
  <c r="BB5" i="29"/>
  <c r="BH4" i="29"/>
  <c r="BH5" i="29"/>
  <c r="BN4" i="29"/>
  <c r="BN5" i="29"/>
  <c r="BZ4" i="29"/>
  <c r="BZ5" i="29"/>
  <c r="CB5" i="29"/>
  <c r="CH5" i="29" s="1"/>
  <c r="CC5" i="29"/>
  <c r="CI5" i="29" s="1"/>
  <c r="CD5" i="29"/>
  <c r="CJ5" i="29" s="1"/>
  <c r="CE5" i="29"/>
  <c r="CK5" i="29" s="1"/>
  <c r="CF5" i="29"/>
  <c r="BT6" i="29"/>
  <c r="BV6" i="29" s="1"/>
  <c r="BM8" i="29"/>
  <c r="BP8" i="29" s="1"/>
  <c r="BM9" i="29"/>
  <c r="BP9" i="29" s="1"/>
  <c r="BM10" i="29"/>
  <c r="BP10" i="29" s="1"/>
  <c r="BR10" i="29" s="1"/>
  <c r="BS10" i="29" s="1"/>
  <c r="BT10" i="29" s="1"/>
  <c r="BV10" i="29" s="1"/>
  <c r="BW10" i="29" s="1"/>
  <c r="BX10" i="29" s="1"/>
  <c r="BY10" i="29" s="1"/>
  <c r="BZ10" i="29" s="1"/>
  <c r="CB10" i="29" s="1"/>
  <c r="CC10" i="29" s="1"/>
  <c r="BM11" i="29"/>
  <c r="BP11" i="29" s="1"/>
  <c r="BM12" i="29"/>
  <c r="BP12" i="29" s="1"/>
  <c r="BP59" i="29" s="1"/>
  <c r="BM13" i="29"/>
  <c r="BP13" i="29" s="1"/>
  <c r="BR13" i="29" s="1"/>
  <c r="BS13" i="29" s="1"/>
  <c r="BT13" i="29" s="1"/>
  <c r="BV13" i="29" s="1"/>
  <c r="BW13" i="29" s="1"/>
  <c r="BX13" i="29" s="1"/>
  <c r="BY13" i="29" s="1"/>
  <c r="BZ13" i="29" s="1"/>
  <c r="CB13" i="29" s="1"/>
  <c r="CC13" i="29" s="1"/>
  <c r="CD13" i="29" s="1"/>
  <c r="BM14" i="29"/>
  <c r="BP14" i="29" s="1"/>
  <c r="BR14" i="29" s="1"/>
  <c r="BS14" i="29" s="1"/>
  <c r="BT14" i="29" s="1"/>
  <c r="BV14" i="29" s="1"/>
  <c r="BW14" i="29" s="1"/>
  <c r="BX14" i="29" s="1"/>
  <c r="BY14" i="29" s="1"/>
  <c r="BZ14" i="29" s="1"/>
  <c r="CB14" i="29" s="1"/>
  <c r="CC14" i="29" s="1"/>
  <c r="CD14" i="29" s="1"/>
  <c r="CE14" i="29" s="1"/>
  <c r="CF14" i="29" s="1"/>
  <c r="BM15" i="29"/>
  <c r="BP15" i="29" s="1"/>
  <c r="BR15" i="29" s="1"/>
  <c r="BS15" i="29" s="1"/>
  <c r="BT15" i="29" s="1"/>
  <c r="BV15" i="29" s="1"/>
  <c r="BW15" i="29" s="1"/>
  <c r="BX15" i="29" s="1"/>
  <c r="BY15" i="29" s="1"/>
  <c r="BZ15" i="29" s="1"/>
  <c r="CB15" i="29" s="1"/>
  <c r="BM16" i="29"/>
  <c r="BP16" i="29" s="1"/>
  <c r="BR16" i="29" s="1"/>
  <c r="BS16" i="29" s="1"/>
  <c r="BP17" i="29"/>
  <c r="BR17" i="29" s="1"/>
  <c r="BS17" i="29" s="1"/>
  <c r="BT17" i="29" s="1"/>
  <c r="BV17" i="29" s="1"/>
  <c r="BW17" i="29" s="1"/>
  <c r="BX17" i="29" s="1"/>
  <c r="BY17" i="29" s="1"/>
  <c r="BZ17" i="29" s="1"/>
  <c r="CB17" i="29" s="1"/>
  <c r="CC17" i="29" s="1"/>
  <c r="CD17" i="29" s="1"/>
  <c r="CE17" i="29" s="1"/>
  <c r="CF17" i="29" s="1"/>
  <c r="CH17" i="29" s="1"/>
  <c r="CI17" i="29" s="1"/>
  <c r="CJ17" i="29" s="1"/>
  <c r="CK17" i="29" s="1"/>
  <c r="CL17" i="29" s="1"/>
  <c r="BM6" i="29"/>
  <c r="BM7" i="29"/>
  <c r="BP7" i="29" s="1"/>
  <c r="BP20" i="29"/>
  <c r="CL5" i="29"/>
  <c r="AL6" i="29"/>
  <c r="AM6" i="29" s="1"/>
  <c r="AN6" i="29" s="1"/>
  <c r="AO6" i="29"/>
  <c r="AR6" i="29" s="1"/>
  <c r="AL7" i="29"/>
  <c r="AO7" i="29"/>
  <c r="AR7" i="29" s="1"/>
  <c r="AS7" i="29" s="1"/>
  <c r="AL8" i="29"/>
  <c r="AO8" i="29"/>
  <c r="AR8" i="29" s="1"/>
  <c r="AL9" i="29"/>
  <c r="AM9" i="29" s="1"/>
  <c r="AN9" i="29" s="1"/>
  <c r="AO9" i="29"/>
  <c r="AR9" i="29" s="1"/>
  <c r="AL10" i="29"/>
  <c r="AM10" i="29" s="1"/>
  <c r="AN10" i="29" s="1"/>
  <c r="AO10" i="29"/>
  <c r="AR10" i="29" s="1"/>
  <c r="AS10" i="29" s="1"/>
  <c r="AT10" i="29" s="1"/>
  <c r="AL11" i="29"/>
  <c r="AM11" i="29" s="1"/>
  <c r="AN11" i="29" s="1"/>
  <c r="AO11" i="29"/>
  <c r="AL12" i="29"/>
  <c r="AM12" i="29" s="1"/>
  <c r="AN12" i="29"/>
  <c r="AO12" i="29"/>
  <c r="AL13" i="29"/>
  <c r="AO13" i="29"/>
  <c r="AL14" i="29"/>
  <c r="AM14" i="29" s="1"/>
  <c r="AN14" i="29" s="1"/>
  <c r="AO14" i="29"/>
  <c r="AR14" i="29" s="1"/>
  <c r="AS14" i="29" s="1"/>
  <c r="AT14" i="29" s="1"/>
  <c r="AL15" i="29"/>
  <c r="AM15" i="29" s="1"/>
  <c r="AN15" i="29" s="1"/>
  <c r="AO15" i="29"/>
  <c r="AL16" i="29"/>
  <c r="AM16" i="29" s="1"/>
  <c r="AN16" i="29" s="1"/>
  <c r="AO16" i="29"/>
  <c r="AL17" i="29"/>
  <c r="AM17" i="29" s="1"/>
  <c r="AN17" i="29" s="1"/>
  <c r="AO17" i="29"/>
  <c r="AL20" i="29"/>
  <c r="AM20" i="29"/>
  <c r="AN20" i="29"/>
  <c r="AO18" i="29"/>
  <c r="AU6" i="29"/>
  <c r="AU7" i="29"/>
  <c r="AU8" i="29"/>
  <c r="AU9" i="29"/>
  <c r="AX9" i="29" s="1"/>
  <c r="AY9" i="29" s="1"/>
  <c r="AU10" i="29"/>
  <c r="AX10" i="29" s="1"/>
  <c r="AY10" i="29" s="1"/>
  <c r="AZ10" i="29" s="1"/>
  <c r="AU11" i="29"/>
  <c r="AX11" i="29" s="1"/>
  <c r="AY11" i="29" s="1"/>
  <c r="AU12" i="29"/>
  <c r="AX12" i="29" s="1"/>
  <c r="AY12" i="29" s="1"/>
  <c r="AZ12" i="29" s="1"/>
  <c r="AU13" i="29"/>
  <c r="AX13" i="29" s="1"/>
  <c r="AY13" i="29" s="1"/>
  <c r="AU14" i="29"/>
  <c r="AU15" i="29"/>
  <c r="AX15" i="29" s="1"/>
  <c r="AY15" i="29" s="1"/>
  <c r="AZ15" i="29" s="1"/>
  <c r="AU16" i="29"/>
  <c r="AX16" i="29" s="1"/>
  <c r="AR17" i="29"/>
  <c r="AS17" i="29" s="1"/>
  <c r="AT17" i="29" s="1"/>
  <c r="AU17" i="29"/>
  <c r="AR20" i="29"/>
  <c r="AS20" i="29"/>
  <c r="AT20" i="29"/>
  <c r="AU18" i="29"/>
  <c r="BA6" i="29"/>
  <c r="BD6" i="29" s="1"/>
  <c r="AX7" i="29"/>
  <c r="AY7" i="29" s="1"/>
  <c r="AZ7" i="29" s="1"/>
  <c r="BA7" i="29"/>
  <c r="BD7" i="29" s="1"/>
  <c r="BA8" i="29"/>
  <c r="BD8" i="29" s="1"/>
  <c r="BA9" i="29"/>
  <c r="BD9" i="29" s="1"/>
  <c r="BA10" i="29"/>
  <c r="BD10" i="29" s="1"/>
  <c r="BA11" i="29"/>
  <c r="BD11" i="29" s="1"/>
  <c r="BA12" i="29"/>
  <c r="BD12" i="29" s="1"/>
  <c r="BE12" i="29" s="1"/>
  <c r="BF12" i="29" s="1"/>
  <c r="BA13" i="29"/>
  <c r="BD13" i="29" s="1"/>
  <c r="BA14" i="29"/>
  <c r="BD14" i="29" s="1"/>
  <c r="BE14" i="29" s="1"/>
  <c r="BF14" i="29" s="1"/>
  <c r="BA15" i="29"/>
  <c r="BD15" i="29" s="1"/>
  <c r="BA16" i="29"/>
  <c r="BD16" i="29" s="1"/>
  <c r="AX17" i="29"/>
  <c r="AY17" i="29" s="1"/>
  <c r="AZ17" i="29" s="1"/>
  <c r="BA17" i="29"/>
  <c r="AX20" i="29"/>
  <c r="AY20" i="29"/>
  <c r="AZ20" i="29"/>
  <c r="BA18" i="29"/>
  <c r="BG6" i="29"/>
  <c r="BJ6" i="29" s="1"/>
  <c r="BK6" i="29" s="1"/>
  <c r="BL6" i="29" s="1"/>
  <c r="BG7" i="29"/>
  <c r="BG8" i="29"/>
  <c r="BG9" i="29"/>
  <c r="BG10" i="29"/>
  <c r="BJ10" i="29" s="1"/>
  <c r="BK10" i="29" s="1"/>
  <c r="BG11" i="29"/>
  <c r="BJ11" i="29" s="1"/>
  <c r="BG12" i="29"/>
  <c r="BJ12" i="29" s="1"/>
  <c r="BK12" i="29" s="1"/>
  <c r="BL12" i="29" s="1"/>
  <c r="BG13" i="29"/>
  <c r="BG14" i="29"/>
  <c r="BG15" i="29"/>
  <c r="BG16" i="29"/>
  <c r="BJ16" i="29" s="1"/>
  <c r="BD17" i="29"/>
  <c r="BE17" i="29" s="1"/>
  <c r="BF17" i="29" s="1"/>
  <c r="BG17" i="29"/>
  <c r="BD20" i="29"/>
  <c r="BE20" i="29"/>
  <c r="BF20" i="29"/>
  <c r="BG18" i="29"/>
  <c r="BJ8" i="29"/>
  <c r="BK8" i="29" s="1"/>
  <c r="BJ14" i="29"/>
  <c r="BK14" i="29" s="1"/>
  <c r="BL14" i="29" s="1"/>
  <c r="BM33" i="29" s="1"/>
  <c r="BN33" i="29" s="1"/>
  <c r="BJ17" i="29"/>
  <c r="BK17" i="29" s="1"/>
  <c r="BL17" i="29" s="1"/>
  <c r="BM17" i="29"/>
  <c r="BJ20" i="29"/>
  <c r="BK20" i="29"/>
  <c r="BL20" i="29"/>
  <c r="BM18" i="29"/>
  <c r="BT4" i="29"/>
  <c r="BT5" i="29"/>
  <c r="F19" i="29"/>
  <c r="F21" i="29" s="1"/>
  <c r="L19" i="29"/>
  <c r="R19" i="29"/>
  <c r="R21" i="29" s="1"/>
  <c r="X19" i="29"/>
  <c r="X21" i="29" s="1"/>
  <c r="AD19" i="29"/>
  <c r="AD21" i="29" s="1"/>
  <c r="AJ19" i="29"/>
  <c r="AJ21" i="29" s="1"/>
  <c r="AP19" i="29"/>
  <c r="AO20" i="29"/>
  <c r="AP20" i="29"/>
  <c r="AV19" i="29"/>
  <c r="AU20" i="29"/>
  <c r="AV20" i="29"/>
  <c r="BB19" i="29"/>
  <c r="BA20" i="29"/>
  <c r="BB20" i="29"/>
  <c r="BH19" i="29"/>
  <c r="BH21" i="29" s="1"/>
  <c r="BH22" i="29" s="1"/>
  <c r="BN19" i="29"/>
  <c r="BN21" i="29" s="1"/>
  <c r="BN22" i="29" s="1"/>
  <c r="BG20" i="29"/>
  <c r="BM20" i="29"/>
  <c r="L21" i="29"/>
  <c r="A25" i="29"/>
  <c r="A40" i="29" s="1"/>
  <c r="A53" i="29" s="1"/>
  <c r="A26" i="29"/>
  <c r="A41" i="29" s="1"/>
  <c r="A54" i="29" s="1"/>
  <c r="A27" i="29"/>
  <c r="A28" i="29"/>
  <c r="A29" i="29"/>
  <c r="A44" i="29" s="1"/>
  <c r="A57" i="29" s="1"/>
  <c r="A30" i="29"/>
  <c r="A45" i="29" s="1"/>
  <c r="A31" i="29"/>
  <c r="A32" i="29"/>
  <c r="A47" i="29" s="1"/>
  <c r="A60" i="29" s="1"/>
  <c r="A33" i="29"/>
  <c r="A48" i="29" s="1"/>
  <c r="A61" i="29" s="1"/>
  <c r="A34" i="29"/>
  <c r="A35" i="29"/>
  <c r="A50" i="29" s="1"/>
  <c r="A63" i="29" s="1"/>
  <c r="A36" i="29"/>
  <c r="AP36" i="29"/>
  <c r="BT25" i="29"/>
  <c r="BT26" i="29"/>
  <c r="BT27" i="29"/>
  <c r="BT28" i="29"/>
  <c r="BT29" i="29"/>
  <c r="BT30" i="29"/>
  <c r="BT31" i="29"/>
  <c r="BT32" i="29"/>
  <c r="BT33" i="29"/>
  <c r="BT34" i="29"/>
  <c r="BT35" i="29"/>
  <c r="BT36" i="29"/>
  <c r="BZ25" i="29"/>
  <c r="BZ26" i="29"/>
  <c r="BZ27" i="29"/>
  <c r="BZ28" i="29"/>
  <c r="BZ29" i="29"/>
  <c r="BZ30" i="29"/>
  <c r="BZ31" i="29"/>
  <c r="BZ32" i="29"/>
  <c r="BZ33" i="29"/>
  <c r="BZ34" i="29"/>
  <c r="BZ35" i="29"/>
  <c r="BZ36" i="29"/>
  <c r="CF25" i="29"/>
  <c r="CF26" i="29"/>
  <c r="CF27" i="29"/>
  <c r="CF28" i="29"/>
  <c r="CF29" i="29"/>
  <c r="CF30" i="29"/>
  <c r="CF31" i="29"/>
  <c r="CF32" i="29"/>
  <c r="CF33" i="29"/>
  <c r="CF34" i="29"/>
  <c r="CF35" i="29"/>
  <c r="CF36" i="29"/>
  <c r="CL25" i="29"/>
  <c r="CL26" i="29"/>
  <c r="CL27" i="29"/>
  <c r="CL28" i="29"/>
  <c r="CL29" i="29"/>
  <c r="CL30" i="29"/>
  <c r="CL31" i="29"/>
  <c r="CL32" i="29"/>
  <c r="CL33" i="29"/>
  <c r="CL34" i="29"/>
  <c r="CL35" i="29"/>
  <c r="CL36" i="29"/>
  <c r="L25" i="29"/>
  <c r="L26" i="29"/>
  <c r="L27" i="29"/>
  <c r="L28" i="29"/>
  <c r="L29" i="29"/>
  <c r="L30" i="29"/>
  <c r="L31" i="29"/>
  <c r="L32" i="29"/>
  <c r="L33" i="29"/>
  <c r="L34" i="29"/>
  <c r="L35" i="29"/>
  <c r="L36" i="29"/>
  <c r="R25" i="29"/>
  <c r="R26" i="29"/>
  <c r="R27" i="29"/>
  <c r="R28" i="29"/>
  <c r="R29" i="29"/>
  <c r="R30" i="29"/>
  <c r="R31" i="29"/>
  <c r="R32" i="29"/>
  <c r="R33" i="29"/>
  <c r="R34" i="29"/>
  <c r="R35" i="29"/>
  <c r="R36" i="29"/>
  <c r="X25" i="29"/>
  <c r="X26" i="29"/>
  <c r="X27" i="29"/>
  <c r="X28" i="29"/>
  <c r="X29" i="29"/>
  <c r="X30" i="29"/>
  <c r="X31" i="29"/>
  <c r="X32" i="29"/>
  <c r="X33" i="29"/>
  <c r="X34" i="29"/>
  <c r="X35" i="29"/>
  <c r="X36" i="29"/>
  <c r="AD25" i="29"/>
  <c r="AD26" i="29"/>
  <c r="AD27" i="29"/>
  <c r="AD28" i="29"/>
  <c r="AD29" i="29"/>
  <c r="AD30" i="29"/>
  <c r="AD31" i="29"/>
  <c r="AD32" i="29"/>
  <c r="AD33" i="29"/>
  <c r="AD34" i="29"/>
  <c r="AD35" i="29"/>
  <c r="AD36" i="29"/>
  <c r="AJ25" i="29"/>
  <c r="AJ26" i="29"/>
  <c r="AJ27" i="29"/>
  <c r="AJ28" i="29"/>
  <c r="AJ29" i="29"/>
  <c r="AJ30" i="29"/>
  <c r="AJ31" i="29"/>
  <c r="AJ32" i="29"/>
  <c r="AJ33" i="29"/>
  <c r="AJ34" i="29"/>
  <c r="AJ35" i="29"/>
  <c r="AJ36" i="29"/>
  <c r="AL37" i="29"/>
  <c r="AM37" i="29"/>
  <c r="AN37" i="29"/>
  <c r="AR37" i="29"/>
  <c r="AS37" i="29"/>
  <c r="AT37" i="29"/>
  <c r="AX37" i="29"/>
  <c r="AY37" i="29"/>
  <c r="AZ37" i="29"/>
  <c r="BD37" i="29"/>
  <c r="BE37" i="29"/>
  <c r="BF37" i="29"/>
  <c r="BJ37" i="29"/>
  <c r="BK37" i="29"/>
  <c r="BL37" i="29"/>
  <c r="BP37" i="29"/>
  <c r="BQ37" i="29"/>
  <c r="BR37" i="29"/>
  <c r="BS37" i="29"/>
  <c r="BV37" i="29"/>
  <c r="BW37" i="29"/>
  <c r="BX37" i="29"/>
  <c r="BY37" i="29"/>
  <c r="CB37" i="29"/>
  <c r="CC37" i="29"/>
  <c r="CD37" i="29"/>
  <c r="CE37" i="29"/>
  <c r="CH37" i="29"/>
  <c r="CI37" i="29"/>
  <c r="CJ37" i="29"/>
  <c r="CK37" i="29"/>
  <c r="AM40" i="29"/>
  <c r="AN40" i="29"/>
  <c r="AO40" i="29"/>
  <c r="AM41" i="29"/>
  <c r="AN41" i="29"/>
  <c r="AO41" i="29"/>
  <c r="AM42" i="29"/>
  <c r="AN42" i="29"/>
  <c r="AO42" i="29"/>
  <c r="AM43" i="29"/>
  <c r="AN43" i="29"/>
  <c r="AO43" i="29"/>
  <c r="AM44" i="29"/>
  <c r="AN44" i="29"/>
  <c r="AO44" i="29"/>
  <c r="AM45" i="29"/>
  <c r="AN45" i="29"/>
  <c r="AN58" i="29" s="1"/>
  <c r="AO45" i="29"/>
  <c r="AM46" i="29"/>
  <c r="AN46" i="29"/>
  <c r="AO46" i="29"/>
  <c r="AS40" i="29"/>
  <c r="AT40" i="29"/>
  <c r="AU40" i="29"/>
  <c r="AS41" i="29"/>
  <c r="AT41" i="29"/>
  <c r="AU41" i="29"/>
  <c r="AS42" i="29"/>
  <c r="AT42" i="29"/>
  <c r="AU42" i="29"/>
  <c r="AS43" i="29"/>
  <c r="AT43" i="29"/>
  <c r="AU43" i="29"/>
  <c r="AS44" i="29"/>
  <c r="AT44" i="29"/>
  <c r="AU44" i="29"/>
  <c r="AS45" i="29"/>
  <c r="AT45" i="29"/>
  <c r="AU45" i="29"/>
  <c r="AS46" i="29"/>
  <c r="AT46" i="29"/>
  <c r="AU46" i="29"/>
  <c r="AY40" i="29"/>
  <c r="AZ40" i="29"/>
  <c r="BA40" i="29"/>
  <c r="AY41" i="29"/>
  <c r="AZ41" i="29"/>
  <c r="BA41" i="29"/>
  <c r="AY42" i="29"/>
  <c r="AZ42" i="29"/>
  <c r="BA42" i="29"/>
  <c r="AY43" i="29"/>
  <c r="AZ43" i="29"/>
  <c r="BA43" i="29"/>
  <c r="AY44" i="29"/>
  <c r="AZ44" i="29"/>
  <c r="BA44" i="29"/>
  <c r="AY45" i="29"/>
  <c r="AZ45" i="29"/>
  <c r="BA45" i="29"/>
  <c r="AY46" i="29"/>
  <c r="AZ46" i="29"/>
  <c r="BA46" i="29"/>
  <c r="BE40" i="29"/>
  <c r="BF40" i="29"/>
  <c r="BG40" i="29"/>
  <c r="BE41" i="29"/>
  <c r="BF41" i="29"/>
  <c r="BG41" i="29"/>
  <c r="BE42" i="29"/>
  <c r="BF42" i="29"/>
  <c r="BG42" i="29"/>
  <c r="BE43" i="29"/>
  <c r="BF43" i="29"/>
  <c r="BG43" i="29"/>
  <c r="BE44" i="29"/>
  <c r="BF44" i="29"/>
  <c r="BG44" i="29"/>
  <c r="BE45" i="29"/>
  <c r="BF45" i="29"/>
  <c r="BG45" i="29"/>
  <c r="BE46" i="29"/>
  <c r="BF46" i="29"/>
  <c r="BG46" i="29"/>
  <c r="BN40" i="29"/>
  <c r="BJ40" i="29" s="1"/>
  <c r="BN41" i="29"/>
  <c r="BK41" i="29" s="1"/>
  <c r="BN42" i="29"/>
  <c r="BL42" i="29"/>
  <c r="BN43" i="29"/>
  <c r="BL43" i="29" s="1"/>
  <c r="BN44" i="29"/>
  <c r="BK44" i="29" s="1"/>
  <c r="BM44" i="29"/>
  <c r="BT41" i="29"/>
  <c r="BZ41" i="29" s="1"/>
  <c r="CF41" i="29" s="1"/>
  <c r="BR44" i="29"/>
  <c r="BT45" i="29"/>
  <c r="BZ45" i="29" s="1"/>
  <c r="BX45" i="29" s="1"/>
  <c r="BN46" i="29"/>
  <c r="BT46" i="29" s="1"/>
  <c r="BS46" i="29" s="1"/>
  <c r="BW45" i="29"/>
  <c r="AL40" i="29"/>
  <c r="AL41" i="29"/>
  <c r="AL42" i="29"/>
  <c r="AL43" i="29"/>
  <c r="AL44" i="29"/>
  <c r="AL45" i="29"/>
  <c r="AR40" i="29"/>
  <c r="AR41" i="29"/>
  <c r="AR42" i="29"/>
  <c r="AR43" i="29"/>
  <c r="AR44" i="29"/>
  <c r="AR45" i="29"/>
  <c r="AX40" i="29"/>
  <c r="AX41" i="29"/>
  <c r="AX54" i="29" s="1"/>
  <c r="AX42" i="29"/>
  <c r="AX43" i="29"/>
  <c r="AX44" i="29"/>
  <c r="AX45" i="29"/>
  <c r="BD40" i="29"/>
  <c r="BD41" i="29"/>
  <c r="BD42" i="29"/>
  <c r="BD43" i="29"/>
  <c r="BD44" i="29"/>
  <c r="BD45" i="29"/>
  <c r="BJ45" i="29"/>
  <c r="BK45" i="29"/>
  <c r="BL45" i="29"/>
  <c r="BM45" i="29"/>
  <c r="BP45" i="29"/>
  <c r="BV45" i="29"/>
  <c r="AL47" i="29"/>
  <c r="AM47" i="29"/>
  <c r="AN47" i="29"/>
  <c r="AO47" i="29"/>
  <c r="AL48" i="29"/>
  <c r="AM48" i="29"/>
  <c r="AN48" i="29"/>
  <c r="AO48" i="29"/>
  <c r="AL49" i="29"/>
  <c r="AM49" i="29"/>
  <c r="AN49" i="29"/>
  <c r="AO49" i="29"/>
  <c r="AL50" i="29"/>
  <c r="AM50" i="29"/>
  <c r="AN50" i="29"/>
  <c r="AO50" i="29"/>
  <c r="AR47" i="29"/>
  <c r="AS47" i="29"/>
  <c r="AT47" i="29"/>
  <c r="AU47" i="29"/>
  <c r="AR48" i="29"/>
  <c r="AS48" i="29"/>
  <c r="AT48" i="29"/>
  <c r="AU48" i="29"/>
  <c r="AR49" i="29"/>
  <c r="AS49" i="29"/>
  <c r="AT49" i="29"/>
  <c r="AU49" i="29"/>
  <c r="AR50" i="29"/>
  <c r="AS50" i="29"/>
  <c r="AT50" i="29"/>
  <c r="AU50" i="29"/>
  <c r="AX47" i="29"/>
  <c r="AY47" i="29"/>
  <c r="AZ47" i="29"/>
  <c r="BA47" i="29"/>
  <c r="AX48" i="29"/>
  <c r="AY48" i="29"/>
  <c r="AZ48" i="29"/>
  <c r="BA48" i="29"/>
  <c r="AX49" i="29"/>
  <c r="AY49" i="29"/>
  <c r="AZ49" i="29"/>
  <c r="BA49" i="29"/>
  <c r="AX50" i="29"/>
  <c r="AY50" i="29"/>
  <c r="AZ50" i="29"/>
  <c r="BA50" i="29"/>
  <c r="BD47" i="29"/>
  <c r="BE47" i="29"/>
  <c r="BF47" i="29"/>
  <c r="BG47" i="29"/>
  <c r="BD48" i="29"/>
  <c r="BE48" i="29"/>
  <c r="BF48" i="29"/>
  <c r="BG48" i="29"/>
  <c r="BD49" i="29"/>
  <c r="BE49" i="29"/>
  <c r="BF49" i="29"/>
  <c r="BG49" i="29"/>
  <c r="BD50" i="29"/>
  <c r="BE50" i="29"/>
  <c r="BF50" i="29"/>
  <c r="BG50" i="29"/>
  <c r="BN47" i="29"/>
  <c r="BK47" i="29" s="1"/>
  <c r="BN48" i="29"/>
  <c r="BJ48" i="29" s="1"/>
  <c r="BN49" i="29"/>
  <c r="BM49" i="29" s="1"/>
  <c r="BN50" i="29"/>
  <c r="A42" i="29"/>
  <c r="A55" i="29" s="1"/>
  <c r="A43" i="29"/>
  <c r="A56" i="29" s="1"/>
  <c r="A46" i="29"/>
  <c r="A59" i="29" s="1"/>
  <c r="A49" i="29"/>
  <c r="A62" i="29" s="1"/>
  <c r="AX59" i="29"/>
  <c r="A58" i="29"/>
  <c r="L53" i="29"/>
  <c r="L54" i="29"/>
  <c r="L55" i="29"/>
  <c r="L56" i="29"/>
  <c r="L57" i="29"/>
  <c r="L58" i="29"/>
  <c r="L59" i="29"/>
  <c r="L60" i="29"/>
  <c r="L61" i="29"/>
  <c r="L62" i="29"/>
  <c r="L63" i="29"/>
  <c r="R53" i="29"/>
  <c r="R54" i="29"/>
  <c r="R55" i="29"/>
  <c r="R56" i="29"/>
  <c r="R57" i="29"/>
  <c r="R58" i="29"/>
  <c r="R59" i="29"/>
  <c r="R60" i="29"/>
  <c r="R61" i="29"/>
  <c r="R62" i="29"/>
  <c r="R63" i="29"/>
  <c r="X53" i="29"/>
  <c r="X54" i="29"/>
  <c r="X55" i="29"/>
  <c r="X56" i="29"/>
  <c r="X57" i="29"/>
  <c r="X58" i="29"/>
  <c r="X59" i="29"/>
  <c r="X60" i="29"/>
  <c r="X61" i="29"/>
  <c r="X62" i="29"/>
  <c r="X63" i="29"/>
  <c r="AD53" i="29"/>
  <c r="AD54" i="29"/>
  <c r="AD55" i="29"/>
  <c r="AD56" i="29"/>
  <c r="AD57" i="29"/>
  <c r="AD58" i="29"/>
  <c r="AD59" i="29"/>
  <c r="AD60" i="29"/>
  <c r="AD61" i="29"/>
  <c r="AD62" i="29"/>
  <c r="AD63" i="29"/>
  <c r="AJ53" i="29"/>
  <c r="AJ54" i="29"/>
  <c r="AJ55" i="29"/>
  <c r="AJ56" i="29"/>
  <c r="AJ57" i="29"/>
  <c r="AJ58" i="29"/>
  <c r="AJ59" i="29"/>
  <c r="AJ60" i="29"/>
  <c r="AJ61" i="29"/>
  <c r="AJ62" i="29"/>
  <c r="AJ63" i="29"/>
  <c r="AL66" i="29"/>
  <c r="AM66" i="29"/>
  <c r="AN66" i="29"/>
  <c r="AO66" i="29"/>
  <c r="AR66" i="29"/>
  <c r="AS66" i="29"/>
  <c r="AT66" i="29"/>
  <c r="AU66" i="29"/>
  <c r="AX66" i="29"/>
  <c r="AY66" i="29"/>
  <c r="AZ66" i="29"/>
  <c r="BA66" i="29"/>
  <c r="BD66" i="29"/>
  <c r="BF66" i="29"/>
  <c r="BJ66" i="29"/>
  <c r="BK66" i="29"/>
  <c r="BL66" i="29"/>
  <c r="AH9" i="118"/>
  <c r="AI9" i="118"/>
  <c r="AK9" i="118"/>
  <c r="AN14" i="118"/>
  <c r="AN30" i="118" s="1"/>
  <c r="AO14" i="118"/>
  <c r="AO30" i="118" s="1"/>
  <c r="AP14" i="118"/>
  <c r="AQ14" i="118"/>
  <c r="AR14" i="118"/>
  <c r="AS14" i="118"/>
  <c r="AU16" i="118"/>
  <c r="AX16" i="118"/>
  <c r="BB16" i="118"/>
  <c r="F20" i="118"/>
  <c r="G20" i="118"/>
  <c r="H20" i="118"/>
  <c r="I20" i="118"/>
  <c r="J20" i="118"/>
  <c r="K20" i="118"/>
  <c r="L20" i="118"/>
  <c r="M20" i="118"/>
  <c r="N20" i="118"/>
  <c r="O20" i="118"/>
  <c r="P20" i="118"/>
  <c r="Q20" i="118"/>
  <c r="R20" i="118"/>
  <c r="S20" i="118"/>
  <c r="T20" i="118"/>
  <c r="U20" i="118"/>
  <c r="V20" i="118"/>
  <c r="W20" i="118"/>
  <c r="X20" i="118"/>
  <c r="Y20" i="118"/>
  <c r="Z20" i="118"/>
  <c r="AA20" i="118"/>
  <c r="AB20" i="118"/>
  <c r="AC20" i="118"/>
  <c r="AD20" i="118"/>
  <c r="AE20" i="118"/>
  <c r="AF20" i="118"/>
  <c r="AG20" i="118"/>
  <c r="AH20" i="118"/>
  <c r="AI20" i="118"/>
  <c r="AJ20" i="118"/>
  <c r="AK20" i="118"/>
  <c r="AL20" i="118"/>
  <c r="AM20" i="118"/>
  <c r="AN20" i="118"/>
  <c r="AO20" i="118"/>
  <c r="AP20" i="118"/>
  <c r="AQ20" i="118"/>
  <c r="AR20" i="118"/>
  <c r="AS20" i="118"/>
  <c r="AT20" i="118"/>
  <c r="AU20" i="118"/>
  <c r="AV20" i="118"/>
  <c r="AW20" i="118"/>
  <c r="AX20" i="118"/>
  <c r="AY20" i="118"/>
  <c r="AZ20" i="118"/>
  <c r="BA20" i="118"/>
  <c r="F22" i="118"/>
  <c r="G22" i="118"/>
  <c r="H22" i="118"/>
  <c r="I22" i="118"/>
  <c r="J22" i="118"/>
  <c r="K22" i="118"/>
  <c r="L22" i="118"/>
  <c r="M22" i="118"/>
  <c r="N22" i="118"/>
  <c r="O22" i="118"/>
  <c r="P22" i="118"/>
  <c r="Q22" i="118"/>
  <c r="R22" i="118"/>
  <c r="S22" i="118"/>
  <c r="T22" i="118"/>
  <c r="U22" i="118"/>
  <c r="V22" i="118"/>
  <c r="W22" i="118"/>
  <c r="X22" i="118"/>
  <c r="Y22" i="118"/>
  <c r="Z22" i="118"/>
  <c r="AA22" i="118"/>
  <c r="AB22" i="118"/>
  <c r="AC22" i="118"/>
  <c r="AD22" i="118"/>
  <c r="AE22" i="118"/>
  <c r="AF22" i="118"/>
  <c r="AG22" i="118"/>
  <c r="F23" i="118"/>
  <c r="G23" i="118"/>
  <c r="H23" i="118"/>
  <c r="I23" i="118"/>
  <c r="J23" i="118"/>
  <c r="K23" i="118"/>
  <c r="L23" i="118"/>
  <c r="M23" i="118"/>
  <c r="N23" i="118"/>
  <c r="O23" i="118"/>
  <c r="P23" i="118"/>
  <c r="Q23" i="118"/>
  <c r="R23" i="118"/>
  <c r="S23" i="118"/>
  <c r="T23" i="118"/>
  <c r="U23" i="118"/>
  <c r="V23" i="118"/>
  <c r="W23" i="118"/>
  <c r="X23" i="118"/>
  <c r="Y23" i="118"/>
  <c r="Z23" i="118"/>
  <c r="AA23" i="118"/>
  <c r="AB23" i="118"/>
  <c r="AC23" i="118"/>
  <c r="AD23" i="118"/>
  <c r="AE23" i="118"/>
  <c r="AF23" i="118"/>
  <c r="AG23" i="118"/>
  <c r="F24" i="118"/>
  <c r="G24" i="118"/>
  <c r="H24" i="118"/>
  <c r="I24" i="118"/>
  <c r="J24" i="118"/>
  <c r="K24" i="118"/>
  <c r="L24" i="118"/>
  <c r="M24" i="118"/>
  <c r="N24" i="118"/>
  <c r="O24" i="118"/>
  <c r="P24" i="118"/>
  <c r="Q24" i="118"/>
  <c r="R24" i="118"/>
  <c r="S24" i="118"/>
  <c r="T24" i="118"/>
  <c r="U24" i="118"/>
  <c r="V24" i="118"/>
  <c r="W24" i="118"/>
  <c r="X24" i="118"/>
  <c r="Y24" i="118"/>
  <c r="Z24" i="118"/>
  <c r="AA24" i="118"/>
  <c r="AB24" i="118"/>
  <c r="AC24" i="118"/>
  <c r="AD24" i="118"/>
  <c r="AE24" i="118"/>
  <c r="AF24" i="118"/>
  <c r="AG24" i="118"/>
  <c r="F25" i="118"/>
  <c r="G25" i="118"/>
  <c r="H25" i="118"/>
  <c r="I25" i="118"/>
  <c r="J25" i="118"/>
  <c r="K25" i="118"/>
  <c r="L25" i="118"/>
  <c r="M25" i="118"/>
  <c r="N25" i="118"/>
  <c r="O25" i="118"/>
  <c r="P25" i="118"/>
  <c r="Q25" i="118"/>
  <c r="R25" i="118"/>
  <c r="S25" i="118"/>
  <c r="T25" i="118"/>
  <c r="U25" i="118"/>
  <c r="F26" i="118"/>
  <c r="G26" i="118"/>
  <c r="H26" i="118"/>
  <c r="I26" i="118"/>
  <c r="J26" i="118"/>
  <c r="K26" i="118"/>
  <c r="L26" i="118"/>
  <c r="M26" i="118"/>
  <c r="N26" i="118"/>
  <c r="O26" i="118"/>
  <c r="P26" i="118"/>
  <c r="Q26" i="118"/>
  <c r="R26" i="118"/>
  <c r="S26" i="118"/>
  <c r="T26" i="118"/>
  <c r="U26" i="118"/>
  <c r="V26" i="118"/>
  <c r="W26" i="118"/>
  <c r="X26" i="118"/>
  <c r="Y26" i="118"/>
  <c r="Z26" i="118"/>
  <c r="AA26" i="118"/>
  <c r="AB26" i="118"/>
  <c r="AC26" i="118"/>
  <c r="AD26" i="118"/>
  <c r="AE26" i="118"/>
  <c r="AF26" i="118"/>
  <c r="AG26" i="118"/>
  <c r="AH26" i="118"/>
  <c r="AI26" i="118"/>
  <c r="AJ26" i="118"/>
  <c r="AK26" i="118"/>
  <c r="F27" i="118"/>
  <c r="G27" i="118"/>
  <c r="H27" i="118"/>
  <c r="I27" i="118"/>
  <c r="J27" i="118"/>
  <c r="K27" i="118"/>
  <c r="L27" i="118"/>
  <c r="M27" i="118"/>
  <c r="N27" i="118"/>
  <c r="O27" i="118"/>
  <c r="P27" i="118"/>
  <c r="Q27" i="118"/>
  <c r="R27" i="118"/>
  <c r="S27" i="118"/>
  <c r="T27" i="118"/>
  <c r="U27" i="118"/>
  <c r="V27" i="118"/>
  <c r="W27" i="118"/>
  <c r="X27" i="118"/>
  <c r="Y27" i="118"/>
  <c r="Z27" i="118"/>
  <c r="AA27" i="118"/>
  <c r="AB27" i="118"/>
  <c r="AC27" i="118"/>
  <c r="AD27" i="118"/>
  <c r="AE27" i="118"/>
  <c r="AF27" i="118"/>
  <c r="AG27" i="118"/>
  <c r="AH27" i="118"/>
  <c r="AI27" i="118"/>
  <c r="AJ27" i="118"/>
  <c r="AK27" i="118"/>
  <c r="F28" i="118"/>
  <c r="G28" i="118"/>
  <c r="H28" i="118"/>
  <c r="I28" i="118"/>
  <c r="J28" i="118"/>
  <c r="K28" i="118"/>
  <c r="L28" i="118"/>
  <c r="M28" i="118"/>
  <c r="N28" i="118"/>
  <c r="O28" i="118"/>
  <c r="P28" i="118"/>
  <c r="Q28" i="118"/>
  <c r="R28" i="118"/>
  <c r="S28" i="118"/>
  <c r="T28" i="118"/>
  <c r="U28" i="118"/>
  <c r="V28" i="118"/>
  <c r="W28" i="118"/>
  <c r="X28" i="118"/>
  <c r="Y28" i="118"/>
  <c r="Z28" i="118"/>
  <c r="AA28" i="118"/>
  <c r="AB28" i="118"/>
  <c r="AC28" i="118"/>
  <c r="AD28" i="118"/>
  <c r="AE28" i="118"/>
  <c r="AF28" i="118"/>
  <c r="AG28" i="118"/>
  <c r="AH28" i="118"/>
  <c r="AI28" i="118"/>
  <c r="AJ28" i="118"/>
  <c r="AK28" i="118"/>
  <c r="A21" i="118"/>
  <c r="A22" i="118"/>
  <c r="A23" i="118"/>
  <c r="A24" i="118"/>
  <c r="A25" i="118"/>
  <c r="A26" i="118"/>
  <c r="A27" i="118"/>
  <c r="A28" i="118"/>
  <c r="F32" i="118"/>
  <c r="G32" i="118"/>
  <c r="H32" i="118"/>
  <c r="I32" i="118"/>
  <c r="J32" i="118"/>
  <c r="K32" i="118"/>
  <c r="L32" i="118"/>
  <c r="M32" i="118"/>
  <c r="N32" i="118"/>
  <c r="O32" i="118"/>
  <c r="P32" i="118"/>
  <c r="Q32" i="118"/>
  <c r="R32" i="118"/>
  <c r="S32" i="118"/>
  <c r="T32" i="118"/>
  <c r="U32" i="118"/>
  <c r="V32" i="118"/>
  <c r="W32" i="118"/>
  <c r="X32" i="118"/>
  <c r="Y32" i="118"/>
  <c r="Z32" i="118"/>
  <c r="AA32" i="118"/>
  <c r="AB32" i="118"/>
  <c r="AC32" i="118"/>
  <c r="AD32" i="118"/>
  <c r="AE32" i="118"/>
  <c r="AF32" i="118"/>
  <c r="AG32" i="118"/>
  <c r="AH32" i="118"/>
  <c r="AI32" i="118"/>
  <c r="AJ32" i="118"/>
  <c r="AK32" i="118"/>
  <c r="A32" i="118"/>
  <c r="A33" i="118"/>
  <c r="B38" i="118"/>
  <c r="C38" i="118"/>
  <c r="D38" i="118"/>
  <c r="E38" i="118"/>
  <c r="F38" i="118"/>
  <c r="G38" i="118"/>
  <c r="H38" i="118"/>
  <c r="I38" i="118"/>
  <c r="J38" i="118"/>
  <c r="K38" i="118"/>
  <c r="L38" i="118"/>
  <c r="M38" i="118"/>
  <c r="N38" i="118"/>
  <c r="O38" i="118"/>
  <c r="P38" i="118"/>
  <c r="Q38" i="118"/>
  <c r="R38" i="118"/>
  <c r="S38" i="118"/>
  <c r="T38" i="118"/>
  <c r="U38" i="118"/>
  <c r="V38" i="118"/>
  <c r="W38" i="118"/>
  <c r="X38" i="118"/>
  <c r="Y38" i="118"/>
  <c r="Z38" i="118"/>
  <c r="AA38" i="118"/>
  <c r="AB38" i="118"/>
  <c r="AC38" i="118"/>
  <c r="AD38" i="118"/>
  <c r="AE38" i="118"/>
  <c r="AF38" i="118"/>
  <c r="AG38" i="118"/>
  <c r="AH38" i="118"/>
  <c r="AI38" i="118"/>
  <c r="AJ38" i="118"/>
  <c r="AK38" i="118"/>
  <c r="AL38" i="118"/>
  <c r="AM38" i="118"/>
  <c r="AN38" i="118"/>
  <c r="AO38" i="118"/>
  <c r="AP38" i="118"/>
  <c r="AI50" i="118"/>
  <c r="AJ50" i="118"/>
  <c r="AK50" i="118"/>
  <c r="AL50" i="118"/>
  <c r="AI51" i="118"/>
  <c r="AJ51" i="118"/>
  <c r="AK51" i="118"/>
  <c r="AL51" i="118"/>
  <c r="AI52" i="118"/>
  <c r="AJ52" i="118"/>
  <c r="AK52" i="118"/>
  <c r="AL52" i="118"/>
  <c r="AQ38" i="118"/>
  <c r="AR38" i="118"/>
  <c r="AS38" i="118"/>
  <c r="AT38" i="118"/>
  <c r="AU38" i="118"/>
  <c r="AV38" i="118"/>
  <c r="AW38" i="118"/>
  <c r="AX38" i="118"/>
  <c r="AY38" i="118"/>
  <c r="AZ38" i="118"/>
  <c r="BA38" i="118"/>
  <c r="BB38" i="118"/>
  <c r="BC38" i="118"/>
  <c r="BD38" i="118"/>
  <c r="BE38" i="118"/>
  <c r="AM50" i="118"/>
  <c r="AN50" i="118"/>
  <c r="AO50" i="118"/>
  <c r="AP50" i="118"/>
  <c r="AQ50" i="118"/>
  <c r="AR50" i="118"/>
  <c r="AS50" i="118"/>
  <c r="AT50" i="118"/>
  <c r="AM51" i="118"/>
  <c r="AN51" i="118"/>
  <c r="AO51" i="118"/>
  <c r="AP51" i="118"/>
  <c r="AQ51" i="118"/>
  <c r="AR51" i="118"/>
  <c r="AS51" i="118"/>
  <c r="AT51" i="118"/>
  <c r="AM52" i="118"/>
  <c r="AN52" i="118"/>
  <c r="AO52" i="118"/>
  <c r="AP52" i="118"/>
  <c r="AQ52" i="118"/>
  <c r="AR52" i="118"/>
  <c r="AS52" i="118"/>
  <c r="AT52" i="118"/>
  <c r="AM53" i="118"/>
  <c r="AM54" i="118"/>
  <c r="AN54" i="118"/>
  <c r="AO54" i="118"/>
  <c r="AP54" i="118"/>
  <c r="AU74" i="118"/>
  <c r="AQ54" i="118"/>
  <c r="AR54" i="118"/>
  <c r="AS54" i="118"/>
  <c r="AX74" i="118"/>
  <c r="AT54" i="118"/>
  <c r="B48" i="118"/>
  <c r="C48" i="118"/>
  <c r="D48" i="118"/>
  <c r="E48" i="118"/>
  <c r="F48" i="118"/>
  <c r="G48" i="118"/>
  <c r="H48" i="118"/>
  <c r="I48" i="118"/>
  <c r="J48" i="118"/>
  <c r="K48" i="118"/>
  <c r="L48" i="118"/>
  <c r="M48" i="118"/>
  <c r="N48" i="118"/>
  <c r="O48" i="118"/>
  <c r="P48" i="118"/>
  <c r="Q48" i="118"/>
  <c r="R48" i="118"/>
  <c r="S48" i="118"/>
  <c r="T48" i="118"/>
  <c r="U48" i="118"/>
  <c r="V48" i="118"/>
  <c r="W48" i="118"/>
  <c r="X48" i="118"/>
  <c r="Y48" i="118"/>
  <c r="Z48" i="118"/>
  <c r="AA48" i="118"/>
  <c r="AB48" i="118"/>
  <c r="AC48" i="118"/>
  <c r="AD48" i="118"/>
  <c r="AE48" i="118"/>
  <c r="AF48" i="118"/>
  <c r="AG48" i="118"/>
  <c r="B50" i="118"/>
  <c r="C50" i="118"/>
  <c r="D50" i="118"/>
  <c r="E50" i="118"/>
  <c r="F50" i="118"/>
  <c r="G50" i="118"/>
  <c r="H50" i="118"/>
  <c r="I50" i="118"/>
  <c r="J50" i="118"/>
  <c r="K50" i="118"/>
  <c r="L50" i="118"/>
  <c r="M50" i="118"/>
  <c r="N50" i="118"/>
  <c r="O50" i="118"/>
  <c r="P50" i="118"/>
  <c r="Q50" i="118"/>
  <c r="R50" i="118"/>
  <c r="S50" i="118"/>
  <c r="T50" i="118"/>
  <c r="U50" i="118"/>
  <c r="V50" i="118"/>
  <c r="W50" i="118"/>
  <c r="X50" i="118"/>
  <c r="Y50" i="118"/>
  <c r="Z50" i="118"/>
  <c r="AA50" i="118"/>
  <c r="AB50" i="118"/>
  <c r="AC50" i="118"/>
  <c r="AE50" i="118"/>
  <c r="AF50" i="118"/>
  <c r="AG50" i="118"/>
  <c r="B51" i="118"/>
  <c r="C51" i="118"/>
  <c r="D51" i="118"/>
  <c r="E51" i="118"/>
  <c r="F51" i="118"/>
  <c r="G51" i="118"/>
  <c r="H51" i="118"/>
  <c r="I51" i="118"/>
  <c r="J51" i="118"/>
  <c r="K51" i="118"/>
  <c r="L51" i="118"/>
  <c r="M51" i="118"/>
  <c r="N51" i="118"/>
  <c r="O51" i="118"/>
  <c r="P51" i="118"/>
  <c r="Q51" i="118"/>
  <c r="R51" i="118"/>
  <c r="S51" i="118"/>
  <c r="T51" i="118"/>
  <c r="U51" i="118"/>
  <c r="V51" i="118"/>
  <c r="W51" i="118"/>
  <c r="X51" i="118"/>
  <c r="Y51" i="118"/>
  <c r="Z51" i="118"/>
  <c r="AA51" i="118"/>
  <c r="AB51" i="118"/>
  <c r="AC51" i="118"/>
  <c r="AE51" i="118"/>
  <c r="AF51" i="118"/>
  <c r="AG51" i="118"/>
  <c r="B52" i="118"/>
  <c r="C52" i="118"/>
  <c r="D52" i="118"/>
  <c r="E52" i="118"/>
  <c r="F52" i="118"/>
  <c r="G52" i="118"/>
  <c r="H52" i="118"/>
  <c r="I52" i="118"/>
  <c r="J52" i="118"/>
  <c r="K52" i="118"/>
  <c r="L52" i="118"/>
  <c r="M52" i="118"/>
  <c r="N52" i="118"/>
  <c r="O52" i="118"/>
  <c r="P52" i="118"/>
  <c r="Q52" i="118"/>
  <c r="R52" i="118"/>
  <c r="S52" i="118"/>
  <c r="T52" i="118"/>
  <c r="U52" i="118"/>
  <c r="V52" i="118"/>
  <c r="W52" i="118"/>
  <c r="X52" i="118"/>
  <c r="Y52" i="118"/>
  <c r="Z52" i="118"/>
  <c r="AA52" i="118"/>
  <c r="AB52" i="118"/>
  <c r="AC52" i="118"/>
  <c r="AE52" i="118"/>
  <c r="AF52" i="118"/>
  <c r="AG52" i="118"/>
  <c r="AH48" i="118"/>
  <c r="AI48" i="118"/>
  <c r="AJ48" i="118"/>
  <c r="AK48" i="118"/>
  <c r="AL48" i="118"/>
  <c r="AM48" i="118"/>
  <c r="AN48" i="118"/>
  <c r="AO48" i="118"/>
  <c r="AP48" i="118"/>
  <c r="AQ48" i="118"/>
  <c r="AR48" i="118"/>
  <c r="AS48" i="118"/>
  <c r="AT48" i="118"/>
  <c r="AU48" i="118"/>
  <c r="AV48" i="118"/>
  <c r="AW48" i="118"/>
  <c r="AX48" i="118"/>
  <c r="AY48" i="118"/>
  <c r="AZ48" i="118"/>
  <c r="BA48" i="118"/>
  <c r="BB48" i="118"/>
  <c r="BC48" i="118"/>
  <c r="BD48" i="118"/>
  <c r="BE48" i="118"/>
  <c r="AH50" i="118"/>
  <c r="AH51" i="118"/>
  <c r="AH52" i="118"/>
  <c r="AH54" i="118"/>
  <c r="AI54" i="118"/>
  <c r="AJ54" i="118"/>
  <c r="AK54" i="118"/>
  <c r="AL54" i="118"/>
  <c r="B68" i="118"/>
  <c r="C68" i="118"/>
  <c r="D68" i="118"/>
  <c r="E68" i="118"/>
  <c r="F68" i="118"/>
  <c r="G68" i="118"/>
  <c r="H68" i="118"/>
  <c r="I68" i="118"/>
  <c r="J68" i="118"/>
  <c r="K68" i="118"/>
  <c r="L68" i="118"/>
  <c r="M68" i="118"/>
  <c r="N68" i="118"/>
  <c r="O68" i="118"/>
  <c r="P68" i="118"/>
  <c r="Q68" i="118"/>
  <c r="R68" i="118"/>
  <c r="S68" i="118"/>
  <c r="T68" i="118"/>
  <c r="U68" i="118"/>
  <c r="V68" i="118"/>
  <c r="W68" i="118"/>
  <c r="X68" i="118"/>
  <c r="Y68" i="118"/>
  <c r="Z68" i="118"/>
  <c r="AA68" i="118"/>
  <c r="AB68" i="118"/>
  <c r="AC68" i="118"/>
  <c r="AD68" i="118"/>
  <c r="AE68" i="118"/>
  <c r="AF68" i="118"/>
  <c r="AG68" i="118"/>
  <c r="AH68" i="118"/>
  <c r="AI68" i="118"/>
  <c r="AJ68" i="118"/>
  <c r="AK68" i="118"/>
  <c r="AL68" i="118"/>
  <c r="AM68" i="118"/>
  <c r="AN68" i="118"/>
  <c r="AO68" i="118"/>
  <c r="AP68" i="118"/>
  <c r="AQ68" i="118"/>
  <c r="AR68" i="118"/>
  <c r="AS68" i="118"/>
  <c r="AT68" i="118"/>
  <c r="AU68" i="118"/>
  <c r="AV68" i="118"/>
  <c r="AW68" i="118"/>
  <c r="AX68" i="118"/>
  <c r="AY68" i="118"/>
  <c r="AZ68" i="118"/>
  <c r="BA68" i="118"/>
  <c r="BB68" i="118"/>
  <c r="BC68" i="118"/>
  <c r="BD68" i="118"/>
  <c r="BE68" i="118"/>
  <c r="B78" i="118"/>
  <c r="C78" i="118"/>
  <c r="D78" i="118"/>
  <c r="E78" i="118"/>
  <c r="F78" i="118"/>
  <c r="G78" i="118"/>
  <c r="H78" i="118"/>
  <c r="I78" i="118"/>
  <c r="J78" i="118"/>
  <c r="K78" i="118"/>
  <c r="L78" i="118"/>
  <c r="M78" i="118"/>
  <c r="N78" i="118"/>
  <c r="O78" i="118"/>
  <c r="P78" i="118"/>
  <c r="Q78" i="118"/>
  <c r="R78" i="118"/>
  <c r="S78" i="118"/>
  <c r="T78" i="118"/>
  <c r="U78" i="118"/>
  <c r="V78" i="118"/>
  <c r="W78" i="118"/>
  <c r="X78" i="118"/>
  <c r="Y78" i="118"/>
  <c r="Z78" i="118"/>
  <c r="AA78" i="118"/>
  <c r="AB78" i="118"/>
  <c r="AC78" i="118"/>
  <c r="AD78" i="118"/>
  <c r="AE78" i="118"/>
  <c r="AF78" i="118"/>
  <c r="AG78" i="118"/>
  <c r="AH78" i="118"/>
  <c r="AI78" i="118"/>
  <c r="AJ78" i="118"/>
  <c r="AK78" i="118"/>
  <c r="AM78" i="118"/>
  <c r="AN78" i="118"/>
  <c r="AO78" i="118"/>
  <c r="AQ78" i="118"/>
  <c r="AR78" i="118"/>
  <c r="AS78" i="118"/>
  <c r="AT78" i="118"/>
  <c r="AU78" i="118"/>
  <c r="AV78" i="118"/>
  <c r="AW78" i="118"/>
  <c r="AX78" i="118"/>
  <c r="AY78" i="118"/>
  <c r="AZ78" i="118"/>
  <c r="BA78" i="118"/>
  <c r="BB78" i="118"/>
  <c r="BC78" i="118"/>
  <c r="BD78" i="118"/>
  <c r="BE78" i="118"/>
  <c r="A79" i="118"/>
  <c r="A81" i="118"/>
  <c r="AL78" i="118"/>
  <c r="A83" i="118"/>
  <c r="A85" i="118"/>
  <c r="A87" i="118"/>
  <c r="AP78" i="118"/>
  <c r="A89" i="118"/>
  <c r="A91" i="118"/>
  <c r="M4" i="51"/>
  <c r="S4" i="51"/>
  <c r="Y4" i="51"/>
  <c r="CG4" i="51"/>
  <c r="CM4" i="51"/>
  <c r="G4" i="51"/>
  <c r="G5" i="51"/>
  <c r="U5" i="51"/>
  <c r="O5" i="51" s="1"/>
  <c r="I5" i="51" s="1"/>
  <c r="V5" i="51"/>
  <c r="P5" i="51" s="1"/>
  <c r="J5" i="51" s="1"/>
  <c r="W5" i="51"/>
  <c r="Q5" i="51" s="1"/>
  <c r="K5" i="51" s="1"/>
  <c r="X5" i="51"/>
  <c r="R5" i="51" s="1"/>
  <c r="L5" i="51" s="1"/>
  <c r="M5" i="51"/>
  <c r="S5" i="51"/>
  <c r="Y5" i="51"/>
  <c r="AE4" i="51"/>
  <c r="AE5" i="51"/>
  <c r="AK4" i="51"/>
  <c r="AK5" i="51"/>
  <c r="AQ4" i="51"/>
  <c r="AQ5" i="51"/>
  <c r="AW4" i="51"/>
  <c r="AW5" i="51"/>
  <c r="BC4" i="51"/>
  <c r="BC5" i="51"/>
  <c r="BI4" i="51"/>
  <c r="BI5" i="51"/>
  <c r="BO4" i="51"/>
  <c r="BO5" i="51"/>
  <c r="BU4" i="51"/>
  <c r="BU5" i="51"/>
  <c r="CA4" i="51"/>
  <c r="CA5" i="51"/>
  <c r="CC5" i="51"/>
  <c r="CI5" i="51" s="1"/>
  <c r="CD5" i="51"/>
  <c r="CJ5" i="51" s="1"/>
  <c r="CE5" i="51"/>
  <c r="CK5" i="51" s="1"/>
  <c r="CF5" i="51"/>
  <c r="CL5" i="51" s="1"/>
  <c r="CG5" i="51"/>
  <c r="CM5" i="51"/>
  <c r="G7" i="51"/>
  <c r="M7" i="51"/>
  <c r="S7" i="51"/>
  <c r="Y7" i="51"/>
  <c r="AE7" i="51"/>
  <c r="AK7" i="51"/>
  <c r="AQ7" i="51"/>
  <c r="AS7" i="51"/>
  <c r="AW7" i="51" s="1"/>
  <c r="BO7" i="51"/>
  <c r="BQ8" i="51"/>
  <c r="BQ10" i="51" s="1"/>
  <c r="BW8" i="51"/>
  <c r="BW7" i="51" s="1"/>
  <c r="BX8" i="51"/>
  <c r="BY8" i="51"/>
  <c r="BZ8" i="51"/>
  <c r="CC8" i="51"/>
  <c r="CD8" i="51"/>
  <c r="CE8" i="51"/>
  <c r="CF8" i="51"/>
  <c r="CI8" i="51"/>
  <c r="CJ8" i="51"/>
  <c r="CK8" i="51"/>
  <c r="CL8" i="51"/>
  <c r="I8" i="51"/>
  <c r="J8" i="51"/>
  <c r="K8" i="51"/>
  <c r="L8" i="51"/>
  <c r="O8" i="51"/>
  <c r="P8" i="51"/>
  <c r="Q8" i="51"/>
  <c r="R8" i="51"/>
  <c r="U8" i="51"/>
  <c r="V8" i="51"/>
  <c r="W8" i="51"/>
  <c r="X8" i="51"/>
  <c r="AA8" i="51"/>
  <c r="AB8" i="51"/>
  <c r="AC8" i="51"/>
  <c r="AD8" i="51"/>
  <c r="AG8" i="51"/>
  <c r="AH8" i="51"/>
  <c r="AI8" i="51"/>
  <c r="AJ8" i="51"/>
  <c r="AM8" i="51"/>
  <c r="AN8" i="51"/>
  <c r="AO8" i="51"/>
  <c r="AP8" i="51"/>
  <c r="AT8" i="51"/>
  <c r="AU8" i="51"/>
  <c r="AV8" i="51"/>
  <c r="AZ8" i="51"/>
  <c r="AZ10" i="51" s="1"/>
  <c r="BA8" i="51"/>
  <c r="BA10" i="51" s="1"/>
  <c r="BB8" i="51"/>
  <c r="BB10" i="51" s="1"/>
  <c r="BE8" i="51"/>
  <c r="BF8" i="51"/>
  <c r="BF10" i="51" s="1"/>
  <c r="BG8" i="51"/>
  <c r="BH8" i="51"/>
  <c r="BE9" i="51"/>
  <c r="BF9" i="51"/>
  <c r="BG9" i="51"/>
  <c r="BH9" i="51"/>
  <c r="BL8" i="51"/>
  <c r="BL10" i="51" s="1"/>
  <c r="BM8" i="51"/>
  <c r="BN8" i="51"/>
  <c r="BI7" i="51"/>
  <c r="BK8" i="51"/>
  <c r="BK10" i="51" s="1"/>
  <c r="BK9" i="51"/>
  <c r="BK12" i="51" s="1"/>
  <c r="AP6" i="118" s="1"/>
  <c r="BM9" i="51"/>
  <c r="BM12" i="51" s="1"/>
  <c r="AR70" i="118" s="1"/>
  <c r="BN9" i="51"/>
  <c r="BC7" i="51"/>
  <c r="AY12" i="51"/>
  <c r="AH6" i="118" s="1"/>
  <c r="AH22" i="118" s="1"/>
  <c r="AZ12" i="51"/>
  <c r="AI70" i="118" s="1"/>
  <c r="BA12" i="51"/>
  <c r="AJ6" i="118" s="1"/>
  <c r="AJ22" i="118" s="1"/>
  <c r="BB12" i="51"/>
  <c r="AK6" i="118" s="1"/>
  <c r="AK22" i="118" s="1"/>
  <c r="BF12" i="51"/>
  <c r="AM70" i="118" s="1"/>
  <c r="BL12" i="51"/>
  <c r="BQ12" i="51"/>
  <c r="AU70" i="118"/>
  <c r="AV6" i="118"/>
  <c r="BT12" i="51"/>
  <c r="AW6" i="118" s="1"/>
  <c r="BW12" i="51"/>
  <c r="AX6" i="118" s="1"/>
  <c r="BX12" i="51"/>
  <c r="BY12" i="51"/>
  <c r="BZ12" i="51"/>
  <c r="CC12" i="51"/>
  <c r="CD12" i="51"/>
  <c r="BC6" i="118" s="1"/>
  <c r="CE12" i="51"/>
  <c r="BD6" i="118" s="1"/>
  <c r="CF12" i="51"/>
  <c r="CI12" i="51"/>
  <c r="CJ12" i="51"/>
  <c r="CK12" i="51"/>
  <c r="CL12" i="51"/>
  <c r="G14" i="51"/>
  <c r="M14" i="51"/>
  <c r="S14" i="51"/>
  <c r="Y14" i="51"/>
  <c r="AE14" i="51"/>
  <c r="AK14" i="51"/>
  <c r="AQ14" i="51"/>
  <c r="AS14" i="51"/>
  <c r="BQ15" i="51"/>
  <c r="BQ17" i="51" s="1"/>
  <c r="BW15" i="51"/>
  <c r="BW14" i="51" s="1"/>
  <c r="BX15" i="51"/>
  <c r="BY15" i="51"/>
  <c r="BZ15" i="51"/>
  <c r="CD16" i="51"/>
  <c r="I15" i="51"/>
  <c r="J15" i="51"/>
  <c r="K15" i="51"/>
  <c r="L15" i="51"/>
  <c r="O15" i="51"/>
  <c r="P15" i="51"/>
  <c r="Q15" i="51"/>
  <c r="R15" i="51"/>
  <c r="U15" i="51"/>
  <c r="V15" i="51"/>
  <c r="W15" i="51"/>
  <c r="X15" i="51"/>
  <c r="AA15" i="51"/>
  <c r="AB15" i="51"/>
  <c r="AC15" i="51"/>
  <c r="AD15" i="51"/>
  <c r="AG15" i="51"/>
  <c r="AH15" i="51"/>
  <c r="AI15" i="51"/>
  <c r="AJ15" i="51"/>
  <c r="AM15" i="51"/>
  <c r="AN15" i="51"/>
  <c r="AO15" i="51"/>
  <c r="AP15" i="51"/>
  <c r="AT15" i="51"/>
  <c r="AU15" i="51"/>
  <c r="AV15" i="51"/>
  <c r="AZ15" i="51"/>
  <c r="AZ17" i="51" s="1"/>
  <c r="BA15" i="51"/>
  <c r="BA17" i="51" s="1"/>
  <c r="BB15" i="51"/>
  <c r="BB17" i="51" s="1"/>
  <c r="BE15" i="51"/>
  <c r="BF15" i="51"/>
  <c r="BG15" i="51"/>
  <c r="BH15" i="51"/>
  <c r="BE16" i="51"/>
  <c r="BF16" i="51"/>
  <c r="BG16" i="51"/>
  <c r="BH16" i="51"/>
  <c r="BL15" i="51"/>
  <c r="BL17" i="51" s="1"/>
  <c r="BM15" i="51"/>
  <c r="BN15" i="51"/>
  <c r="BM16" i="51"/>
  <c r="BM19" i="51" s="1"/>
  <c r="AR7" i="118" s="1"/>
  <c r="BN16" i="51"/>
  <c r="CC15" i="51"/>
  <c r="CI15" i="51"/>
  <c r="BK15" i="51"/>
  <c r="BK16" i="51"/>
  <c r="BC14" i="51"/>
  <c r="BI14" i="51"/>
  <c r="BO14" i="51"/>
  <c r="AY19" i="51"/>
  <c r="AZ19" i="51"/>
  <c r="AI71" i="118" s="1"/>
  <c r="BA19" i="51"/>
  <c r="BB19" i="51"/>
  <c r="AK7" i="118" s="1"/>
  <c r="AK23" i="118" s="1"/>
  <c r="BL19" i="51"/>
  <c r="AQ71" i="118" s="1"/>
  <c r="BN19" i="51"/>
  <c r="AS7" i="118" s="1"/>
  <c r="BQ19" i="51"/>
  <c r="AT7" i="118" s="1"/>
  <c r="BT19" i="51"/>
  <c r="BW19" i="51"/>
  <c r="BX19" i="51"/>
  <c r="AY7" i="118" s="1"/>
  <c r="BY19" i="51"/>
  <c r="AZ7" i="118" s="1"/>
  <c r="BZ19" i="51"/>
  <c r="BA7" i="118" s="1"/>
  <c r="CC19" i="51"/>
  <c r="BB7" i="118" s="1"/>
  <c r="CI19" i="51"/>
  <c r="G21" i="51"/>
  <c r="M21" i="51"/>
  <c r="S21" i="51"/>
  <c r="Y21" i="51"/>
  <c r="AE21" i="51"/>
  <c r="AK21" i="51"/>
  <c r="AQ21" i="51"/>
  <c r="AS21" i="51"/>
  <c r="AD52" i="118" s="1"/>
  <c r="BO21" i="51"/>
  <c r="BQ22" i="51"/>
  <c r="BQ24" i="51" s="1"/>
  <c r="AU52" i="118" s="1"/>
  <c r="CD23" i="51"/>
  <c r="CD22" i="51" s="1"/>
  <c r="CK22" i="51"/>
  <c r="I22" i="51"/>
  <c r="J22" i="51"/>
  <c r="K22" i="51"/>
  <c r="L22" i="51"/>
  <c r="O22" i="51"/>
  <c r="P22" i="51"/>
  <c r="Q22" i="51"/>
  <c r="R22" i="51"/>
  <c r="U22" i="51"/>
  <c r="V22" i="51"/>
  <c r="W22" i="51"/>
  <c r="X22" i="51"/>
  <c r="AA22" i="51"/>
  <c r="AB22" i="51"/>
  <c r="AC22" i="51"/>
  <c r="AD22" i="51"/>
  <c r="AG22" i="51"/>
  <c r="AH22" i="51"/>
  <c r="AI22" i="51"/>
  <c r="AJ22" i="51"/>
  <c r="AM22" i="51"/>
  <c r="AN22" i="51"/>
  <c r="AO22" i="51"/>
  <c r="AP22" i="51"/>
  <c r="AT22" i="51"/>
  <c r="AU22" i="51"/>
  <c r="AV22" i="51"/>
  <c r="AZ22" i="51"/>
  <c r="AZ24" i="51" s="1"/>
  <c r="BA22" i="51"/>
  <c r="BA24" i="51" s="1"/>
  <c r="BB22" i="51"/>
  <c r="BB24" i="51" s="1"/>
  <c r="BE22" i="51"/>
  <c r="BF22" i="51"/>
  <c r="BG22" i="51"/>
  <c r="BH22" i="51"/>
  <c r="BE23" i="51"/>
  <c r="BF23" i="51"/>
  <c r="BG23" i="51"/>
  <c r="BH23" i="51"/>
  <c r="BL22" i="51"/>
  <c r="BL24" i="51" s="1"/>
  <c r="BM22" i="51"/>
  <c r="BN22" i="51"/>
  <c r="BN24" i="51" s="1"/>
  <c r="BI21" i="51"/>
  <c r="CC22" i="51"/>
  <c r="CI22" i="51"/>
  <c r="BK22" i="51"/>
  <c r="BK23" i="51"/>
  <c r="BK26" i="51" s="1"/>
  <c r="AP72" i="118" s="1"/>
  <c r="BM23" i="51"/>
  <c r="BN23" i="51"/>
  <c r="BN26" i="51" s="1"/>
  <c r="BC21" i="51"/>
  <c r="AY26" i="51"/>
  <c r="AH8" i="118" s="1"/>
  <c r="AH24" i="118" s="1"/>
  <c r="AZ26" i="51"/>
  <c r="AI8" i="118" s="1"/>
  <c r="AI24" i="118" s="1"/>
  <c r="BA26" i="51"/>
  <c r="AJ8" i="118" s="1"/>
  <c r="AJ24" i="118" s="1"/>
  <c r="BB26" i="51"/>
  <c r="AK72" i="118" s="1"/>
  <c r="BE26" i="51"/>
  <c r="BF26" i="51"/>
  <c r="BL26" i="51"/>
  <c r="BQ26" i="51"/>
  <c r="AT8" i="118" s="1"/>
  <c r="AU8" i="118"/>
  <c r="AV72" i="118"/>
  <c r="BT26" i="51"/>
  <c r="AW8" i="118" s="1"/>
  <c r="CC26" i="51"/>
  <c r="CI26" i="51"/>
  <c r="C28" i="51"/>
  <c r="B49" i="118" s="1"/>
  <c r="D28" i="51"/>
  <c r="D181" i="51" s="1"/>
  <c r="E28" i="51"/>
  <c r="F28" i="51"/>
  <c r="F149" i="51" s="1"/>
  <c r="I28" i="51"/>
  <c r="F49" i="118" s="1"/>
  <c r="J28" i="51"/>
  <c r="K28" i="51"/>
  <c r="O28" i="51"/>
  <c r="P28" i="51"/>
  <c r="P149" i="51" s="1"/>
  <c r="Q28" i="51"/>
  <c r="Q181" i="51" s="1"/>
  <c r="AA28" i="51"/>
  <c r="R49" i="118" s="1"/>
  <c r="AB28" i="51"/>
  <c r="AB149" i="51" s="1"/>
  <c r="AC28" i="51"/>
  <c r="U28" i="51"/>
  <c r="N49" i="118" s="1"/>
  <c r="V28" i="51"/>
  <c r="W28" i="51"/>
  <c r="W180" i="51" s="1"/>
  <c r="AG28" i="51"/>
  <c r="AG149" i="51" s="1"/>
  <c r="AH28" i="51"/>
  <c r="AH182" i="51" s="1"/>
  <c r="AI28" i="51"/>
  <c r="AI181" i="51" s="1"/>
  <c r="AM28" i="51"/>
  <c r="Z49" i="118" s="1"/>
  <c r="AN28" i="51"/>
  <c r="AO28" i="51"/>
  <c r="AT28" i="51"/>
  <c r="AT180" i="51" s="1"/>
  <c r="AU28" i="51"/>
  <c r="AU181" i="51" s="1"/>
  <c r="AY28" i="51"/>
  <c r="AH49" i="118" s="1"/>
  <c r="AZ28" i="51"/>
  <c r="AI49" i="118" s="1"/>
  <c r="BA28" i="51"/>
  <c r="AJ49" i="118" s="1"/>
  <c r="BB28" i="51"/>
  <c r="AK49" i="118" s="1"/>
  <c r="AV28" i="51"/>
  <c r="AG49" i="118" s="1"/>
  <c r="BE28" i="51"/>
  <c r="BF28" i="51"/>
  <c r="AM49" i="118" s="1"/>
  <c r="BG28" i="51"/>
  <c r="AN49" i="118" s="1"/>
  <c r="BH28" i="51"/>
  <c r="BH149" i="51" s="1"/>
  <c r="BK28" i="51"/>
  <c r="BK149" i="51" s="1"/>
  <c r="BK159" i="3" s="1"/>
  <c r="BL28" i="51"/>
  <c r="BM28" i="51"/>
  <c r="BN28" i="51"/>
  <c r="BQ28" i="51"/>
  <c r="BQ180" i="51" s="1"/>
  <c r="U30" i="51"/>
  <c r="W30" i="51"/>
  <c r="S30" i="51"/>
  <c r="S33" i="51" s="1"/>
  <c r="Y30" i="51"/>
  <c r="AE30" i="51"/>
  <c r="AK30" i="51"/>
  <c r="AQ30" i="51"/>
  <c r="AQ33" i="51" s="1"/>
  <c r="AW30" i="51"/>
  <c r="L28" i="51"/>
  <c r="I49" i="118" s="1"/>
  <c r="R28" i="51"/>
  <c r="M49" i="118" s="1"/>
  <c r="X28" i="51"/>
  <c r="Q49" i="118" s="1"/>
  <c r="AD28" i="51"/>
  <c r="AD149" i="51" s="1"/>
  <c r="AJ28" i="51"/>
  <c r="AP28" i="51"/>
  <c r="AC49" i="118" s="1"/>
  <c r="I33" i="51"/>
  <c r="J33" i="51"/>
  <c r="G5" i="118" s="1"/>
  <c r="G21" i="118" s="1"/>
  <c r="K33" i="51"/>
  <c r="H5" i="118" s="1"/>
  <c r="H21" i="118" s="1"/>
  <c r="M33" i="51"/>
  <c r="O33" i="51"/>
  <c r="J5" i="118" s="1"/>
  <c r="P33" i="51"/>
  <c r="Q33" i="51"/>
  <c r="V33" i="51"/>
  <c r="Y33" i="51"/>
  <c r="AA33" i="51"/>
  <c r="R5" i="118" s="1"/>
  <c r="AB33" i="51"/>
  <c r="AC33" i="51"/>
  <c r="AG33" i="51"/>
  <c r="AH33" i="51"/>
  <c r="W5" i="118" s="1"/>
  <c r="AI33" i="51"/>
  <c r="X5" i="118" s="1"/>
  <c r="AK33" i="51"/>
  <c r="AM33" i="51"/>
  <c r="Z5" i="118" s="1"/>
  <c r="AN33" i="51"/>
  <c r="AO33" i="51"/>
  <c r="AS33" i="51"/>
  <c r="AD5" i="118" s="1"/>
  <c r="AT33" i="51"/>
  <c r="AE5" i="118" s="1"/>
  <c r="AU33" i="51"/>
  <c r="AF5" i="118" s="1"/>
  <c r="BC36" i="51"/>
  <c r="BO36" i="51"/>
  <c r="BQ37" i="51"/>
  <c r="BQ39" i="51" s="1"/>
  <c r="BW37" i="51"/>
  <c r="BW36" i="51" s="1"/>
  <c r="BX37" i="51"/>
  <c r="BY37" i="51"/>
  <c r="BZ37" i="51"/>
  <c r="CC37" i="51"/>
  <c r="CD37" i="51"/>
  <c r="CE37" i="51"/>
  <c r="CF37" i="51"/>
  <c r="CI37" i="51"/>
  <c r="CJ37" i="51"/>
  <c r="CK37" i="51"/>
  <c r="CL37" i="51"/>
  <c r="BE37" i="51"/>
  <c r="BF37" i="51"/>
  <c r="BG37" i="51"/>
  <c r="BG39" i="51" s="1"/>
  <c r="BH37" i="51"/>
  <c r="BE38" i="51"/>
  <c r="BF38" i="51"/>
  <c r="BG38" i="51"/>
  <c r="BH38" i="51"/>
  <c r="BK37" i="51"/>
  <c r="BL37" i="51"/>
  <c r="BM37" i="51"/>
  <c r="BN37" i="51"/>
  <c r="BI36" i="51"/>
  <c r="BK38" i="51"/>
  <c r="BL38" i="51"/>
  <c r="BM38" i="51"/>
  <c r="BN38" i="51"/>
  <c r="BE40" i="51"/>
  <c r="BF40" i="51"/>
  <c r="BF41" i="51" s="1"/>
  <c r="BG40" i="51"/>
  <c r="BL41" i="51"/>
  <c r="BM41" i="51"/>
  <c r="BQ41" i="51"/>
  <c r="AT10" i="118" s="1"/>
  <c r="AU10" i="118"/>
  <c r="AV10" i="118"/>
  <c r="BT41" i="51"/>
  <c r="BW41" i="51"/>
  <c r="BX41" i="51"/>
  <c r="BY41" i="51"/>
  <c r="AZ10" i="118" s="1"/>
  <c r="BZ41" i="51"/>
  <c r="BA10" i="118" s="1"/>
  <c r="CC41" i="51"/>
  <c r="BB10" i="118" s="1"/>
  <c r="CD41" i="51"/>
  <c r="BC10" i="118" s="1"/>
  <c r="CE41" i="51"/>
  <c r="BD10" i="118" s="1"/>
  <c r="CF41" i="51"/>
  <c r="CI41" i="51"/>
  <c r="CJ41" i="51"/>
  <c r="CK41" i="51"/>
  <c r="CL41" i="51"/>
  <c r="BC43" i="51"/>
  <c r="BQ44" i="51"/>
  <c r="BQ46" i="51" s="1"/>
  <c r="BW44" i="51"/>
  <c r="BW43" i="51" s="1"/>
  <c r="BX44" i="51"/>
  <c r="BY44" i="51"/>
  <c r="BZ44" i="51"/>
  <c r="CC44" i="51"/>
  <c r="CD44" i="51"/>
  <c r="CE44" i="51"/>
  <c r="CF44" i="51"/>
  <c r="CI44" i="51"/>
  <c r="CJ44" i="51"/>
  <c r="CK44" i="51"/>
  <c r="CL44" i="51"/>
  <c r="BE44" i="51"/>
  <c r="BF44" i="51"/>
  <c r="BG44" i="51"/>
  <c r="BH44" i="51"/>
  <c r="BE45" i="51"/>
  <c r="BF45" i="51"/>
  <c r="BG45" i="51"/>
  <c r="BH45" i="51"/>
  <c r="BH48" i="51" s="1"/>
  <c r="BK44" i="51"/>
  <c r="BL44" i="51"/>
  <c r="BM44" i="51"/>
  <c r="BN44" i="51"/>
  <c r="BK45" i="51"/>
  <c r="BK48" i="51" s="1"/>
  <c r="AP11" i="118" s="1"/>
  <c r="BL45" i="51"/>
  <c r="BL48" i="51" s="1"/>
  <c r="BM45" i="51"/>
  <c r="BM48" i="51" s="1"/>
  <c r="BN45" i="51"/>
  <c r="BN48" i="51" s="1"/>
  <c r="BI43" i="51"/>
  <c r="BO43" i="51"/>
  <c r="BQ48" i="51"/>
  <c r="AT11" i="118" s="1"/>
  <c r="BT48" i="51"/>
  <c r="AW11" i="118" s="1"/>
  <c r="BW48" i="51"/>
  <c r="AX11" i="118" s="1"/>
  <c r="BX48" i="51"/>
  <c r="AY11" i="118" s="1"/>
  <c r="BY48" i="51"/>
  <c r="AZ11" i="118" s="1"/>
  <c r="BZ48" i="51"/>
  <c r="BA11" i="118" s="1"/>
  <c r="CC48" i="51"/>
  <c r="CD48" i="51"/>
  <c r="CE48" i="51"/>
  <c r="CF48" i="51"/>
  <c r="CI48" i="51"/>
  <c r="CJ48" i="51"/>
  <c r="CK48" i="51"/>
  <c r="CL48" i="51"/>
  <c r="BC50" i="51"/>
  <c r="BQ51" i="51"/>
  <c r="BQ53" i="51" s="1"/>
  <c r="BW51" i="51"/>
  <c r="BW50" i="51" s="1"/>
  <c r="BX51" i="51"/>
  <c r="BY51" i="51"/>
  <c r="BZ51" i="51"/>
  <c r="CC51" i="51"/>
  <c r="CD51" i="51"/>
  <c r="CE51" i="51"/>
  <c r="CF51" i="51"/>
  <c r="CI51" i="51"/>
  <c r="CJ51" i="51"/>
  <c r="CK51" i="51"/>
  <c r="CL51" i="51"/>
  <c r="BE51" i="51"/>
  <c r="BF51" i="51"/>
  <c r="BG51" i="51"/>
  <c r="BH51" i="51"/>
  <c r="BH53" i="51" s="1"/>
  <c r="BE52" i="51"/>
  <c r="BE55" i="51" s="1"/>
  <c r="BF52" i="51"/>
  <c r="BF55" i="51" s="1"/>
  <c r="AM12" i="118" s="1"/>
  <c r="AM28" i="118" s="1"/>
  <c r="BG52" i="51"/>
  <c r="BH52" i="51"/>
  <c r="BH55" i="51" s="1"/>
  <c r="AO12" i="118" s="1"/>
  <c r="AO28" i="118" s="1"/>
  <c r="BK51" i="51"/>
  <c r="BL51" i="51"/>
  <c r="BM51" i="51"/>
  <c r="BM53" i="51" s="1"/>
  <c r="BN51" i="51"/>
  <c r="BK52" i="51"/>
  <c r="BK55" i="51" s="1"/>
  <c r="AP12" i="118" s="1"/>
  <c r="BL52" i="51"/>
  <c r="BL55" i="51" s="1"/>
  <c r="BM52" i="51"/>
  <c r="BN52" i="51"/>
  <c r="BI50" i="51"/>
  <c r="BO50" i="51"/>
  <c r="BG55" i="51"/>
  <c r="BM55" i="51"/>
  <c r="BQ55" i="51"/>
  <c r="AT12" i="118" s="1"/>
  <c r="AU12" i="118"/>
  <c r="AV12" i="118"/>
  <c r="BT55" i="51"/>
  <c r="AW12" i="118" s="1"/>
  <c r="BW55" i="51"/>
  <c r="AX12" i="118" s="1"/>
  <c r="BX55" i="51"/>
  <c r="BY55" i="51"/>
  <c r="BZ55" i="51"/>
  <c r="CC55" i="51"/>
  <c r="BB12" i="118" s="1"/>
  <c r="CD55" i="51"/>
  <c r="BC12" i="118" s="1"/>
  <c r="CE55" i="51"/>
  <c r="BD12" i="118" s="1"/>
  <c r="CF55" i="51"/>
  <c r="CI55" i="51"/>
  <c r="CJ55" i="51"/>
  <c r="CK55" i="51"/>
  <c r="CL55" i="51"/>
  <c r="BE78" i="51"/>
  <c r="AL53" i="118" s="1"/>
  <c r="BE71" i="51"/>
  <c r="BF71" i="51"/>
  <c r="BG78" i="51"/>
  <c r="AN53" i="118" s="1"/>
  <c r="BG71" i="51"/>
  <c r="BK78" i="51"/>
  <c r="BK58" i="51" s="1"/>
  <c r="BL78" i="51"/>
  <c r="BL72" i="51"/>
  <c r="BL74" i="51" s="1"/>
  <c r="BM78" i="51"/>
  <c r="BM72" i="51"/>
  <c r="BN78" i="51"/>
  <c r="BH71" i="51"/>
  <c r="BN72" i="51"/>
  <c r="BN74" i="51" s="1"/>
  <c r="BQ78" i="51"/>
  <c r="BQ72" i="51"/>
  <c r="BE59" i="51"/>
  <c r="BE61" i="51" s="1"/>
  <c r="BF59" i="51"/>
  <c r="BF61" i="51" s="1"/>
  <c r="BH78" i="51"/>
  <c r="BH59" i="51"/>
  <c r="BH61" i="51" s="1"/>
  <c r="BG61" i="51"/>
  <c r="BK61" i="51"/>
  <c r="BL61" i="51"/>
  <c r="BM61" i="51"/>
  <c r="BN61" i="51"/>
  <c r="BQ61" i="51"/>
  <c r="BI60" i="51"/>
  <c r="BI62" i="51"/>
  <c r="BE63" i="51"/>
  <c r="AL13" i="118" s="1"/>
  <c r="AL29" i="118" s="1"/>
  <c r="BF63" i="51"/>
  <c r="AM13" i="118" s="1"/>
  <c r="AM29" i="118" s="1"/>
  <c r="BG63" i="51"/>
  <c r="AN13" i="118" s="1"/>
  <c r="AN29" i="118" s="1"/>
  <c r="BH63" i="51"/>
  <c r="BK63" i="51"/>
  <c r="BL63" i="51"/>
  <c r="BM63" i="51"/>
  <c r="BN63" i="51"/>
  <c r="BQ63" i="51"/>
  <c r="BE65" i="51"/>
  <c r="AL14" i="118" s="1"/>
  <c r="AL30" i="118" s="1"/>
  <c r="BF65" i="51"/>
  <c r="BO65" i="51"/>
  <c r="BC66" i="51"/>
  <c r="BH66" i="51"/>
  <c r="BI66" i="51" s="1"/>
  <c r="BN66" i="51"/>
  <c r="BO66" i="51" s="1"/>
  <c r="BI69" i="51"/>
  <c r="BK72" i="51"/>
  <c r="BK76" i="51"/>
  <c r="BL76" i="51"/>
  <c r="BM76" i="51"/>
  <c r="BN76" i="51"/>
  <c r="BQ76" i="51"/>
  <c r="AY78" i="51"/>
  <c r="AY189" i="51" s="1"/>
  <c r="AZ78" i="51"/>
  <c r="AZ187" i="51" s="1"/>
  <c r="BA78" i="51"/>
  <c r="BB78" i="51"/>
  <c r="BL82" i="51"/>
  <c r="BA83" i="51"/>
  <c r="BC86" i="51"/>
  <c r="BI86" i="51"/>
  <c r="BO86" i="51"/>
  <c r="AV16" i="118"/>
  <c r="BW86" i="51"/>
  <c r="BX87" i="51"/>
  <c r="CD87" i="51"/>
  <c r="CE87" i="51" s="1"/>
  <c r="BD16" i="118" s="1"/>
  <c r="CJ87" i="51"/>
  <c r="BE87" i="51"/>
  <c r="BF87" i="51"/>
  <c r="AM74" i="118" s="1"/>
  <c r="BG87" i="51"/>
  <c r="BH87" i="51"/>
  <c r="AO16" i="118" s="1"/>
  <c r="AO32" i="118" s="1"/>
  <c r="BE151" i="51"/>
  <c r="BE163" i="3" s="1"/>
  <c r="BE152" i="51"/>
  <c r="BE153" i="51"/>
  <c r="BF150" i="51"/>
  <c r="BF161" i="3" s="1"/>
  <c r="BF151" i="51"/>
  <c r="BF163" i="3" s="1"/>
  <c r="BF152" i="51"/>
  <c r="BF153" i="51"/>
  <c r="BG151" i="51"/>
  <c r="BG163" i="3" s="1"/>
  <c r="BG152" i="51"/>
  <c r="BG153" i="51"/>
  <c r="BH151" i="51"/>
  <c r="BH152" i="51"/>
  <c r="BH153" i="51"/>
  <c r="BK87" i="51"/>
  <c r="BL87" i="51"/>
  <c r="BM87" i="51"/>
  <c r="AR16" i="118" s="1"/>
  <c r="BN87" i="51"/>
  <c r="AS16" i="118" s="1"/>
  <c r="BK151" i="51"/>
  <c r="BK163" i="3" s="1"/>
  <c r="BK152" i="51"/>
  <c r="BK153" i="51"/>
  <c r="BL151" i="51"/>
  <c r="BL163" i="3" s="1"/>
  <c r="BL152" i="51"/>
  <c r="BL153" i="51"/>
  <c r="BM151" i="51"/>
  <c r="BM163" i="3" s="1"/>
  <c r="BM152" i="51"/>
  <c r="BM153" i="51"/>
  <c r="BN151" i="51"/>
  <c r="BN152" i="51"/>
  <c r="BN153" i="51"/>
  <c r="BQ87" i="51"/>
  <c r="AT16" i="118" s="1"/>
  <c r="AY151" i="51"/>
  <c r="AY163" i="3" s="1"/>
  <c r="AZ151" i="51"/>
  <c r="AZ163" i="3" s="1"/>
  <c r="BA151" i="51"/>
  <c r="BA163" i="3" s="1"/>
  <c r="BB151" i="51"/>
  <c r="BQ151" i="51"/>
  <c r="BQ163" i="3" s="1"/>
  <c r="BQ152" i="51"/>
  <c r="BQ153" i="51"/>
  <c r="BR152" i="51"/>
  <c r="BR153" i="51"/>
  <c r="BT152" i="51"/>
  <c r="BT153" i="51"/>
  <c r="BW152" i="51"/>
  <c r="BW153" i="51"/>
  <c r="BX152" i="51"/>
  <c r="BX153" i="51"/>
  <c r="BY152" i="51"/>
  <c r="BY153" i="51"/>
  <c r="BZ152" i="51"/>
  <c r="BZ153" i="51"/>
  <c r="CC152" i="51"/>
  <c r="CC153" i="51"/>
  <c r="CD152" i="51"/>
  <c r="CD153" i="51"/>
  <c r="CE152" i="51"/>
  <c r="CE153" i="51"/>
  <c r="CF152" i="51"/>
  <c r="CF153" i="51"/>
  <c r="CI152" i="51"/>
  <c r="CI153" i="51"/>
  <c r="CJ152" i="51"/>
  <c r="CJ153" i="51"/>
  <c r="CK152" i="51"/>
  <c r="CK153" i="51"/>
  <c r="CL152" i="51"/>
  <c r="CL153" i="51"/>
  <c r="G91" i="51"/>
  <c r="M91" i="51"/>
  <c r="S91" i="51"/>
  <c r="Y91" i="51"/>
  <c r="AE91" i="51"/>
  <c r="AK91" i="51"/>
  <c r="AQ91" i="51"/>
  <c r="AS91" i="51"/>
  <c r="I92" i="51"/>
  <c r="J92" i="51"/>
  <c r="K92" i="51"/>
  <c r="L92" i="51"/>
  <c r="O92" i="51"/>
  <c r="P92" i="51"/>
  <c r="Q92" i="51"/>
  <c r="R92" i="51"/>
  <c r="U92" i="51"/>
  <c r="V92" i="51"/>
  <c r="W92" i="51"/>
  <c r="X92" i="51"/>
  <c r="AA92" i="51"/>
  <c r="AB92" i="51"/>
  <c r="AC92" i="51"/>
  <c r="AD92" i="51"/>
  <c r="AG92" i="51"/>
  <c r="AH92" i="51"/>
  <c r="AI92" i="51"/>
  <c r="AJ92" i="51"/>
  <c r="AM92" i="51"/>
  <c r="AN92" i="51"/>
  <c r="AO92" i="51"/>
  <c r="AP92" i="51"/>
  <c r="AT92" i="51"/>
  <c r="AU92" i="51"/>
  <c r="AV92" i="51"/>
  <c r="G98" i="51"/>
  <c r="M98" i="51"/>
  <c r="S98" i="51"/>
  <c r="Y98" i="51"/>
  <c r="AE98" i="51"/>
  <c r="AK98" i="51"/>
  <c r="AQ98" i="51"/>
  <c r="AS98" i="51"/>
  <c r="I99" i="51"/>
  <c r="J99" i="51"/>
  <c r="K99" i="51"/>
  <c r="L99" i="51"/>
  <c r="O99" i="51"/>
  <c r="P99" i="51"/>
  <c r="Q99" i="51"/>
  <c r="R99" i="51"/>
  <c r="U99" i="51"/>
  <c r="V99" i="51"/>
  <c r="W99" i="51"/>
  <c r="X99" i="51"/>
  <c r="AA99" i="51"/>
  <c r="AB99" i="51"/>
  <c r="AC99" i="51"/>
  <c r="AD99" i="51"/>
  <c r="AG99" i="51"/>
  <c r="AH99" i="51"/>
  <c r="AI99" i="51"/>
  <c r="AJ99" i="51"/>
  <c r="AM99" i="51"/>
  <c r="AN99" i="51"/>
  <c r="AO99" i="51"/>
  <c r="AP99" i="51"/>
  <c r="AT99" i="51"/>
  <c r="AU99" i="51"/>
  <c r="AV99" i="51"/>
  <c r="G105" i="51"/>
  <c r="M105" i="51"/>
  <c r="S105" i="51"/>
  <c r="Y105" i="51"/>
  <c r="AE105" i="51"/>
  <c r="AK105" i="51"/>
  <c r="AQ105" i="51"/>
  <c r="AS105" i="51"/>
  <c r="I106" i="51"/>
  <c r="J106" i="51"/>
  <c r="K106" i="51"/>
  <c r="L106" i="51"/>
  <c r="O106" i="51"/>
  <c r="P106" i="51"/>
  <c r="Q106" i="51"/>
  <c r="R106" i="51"/>
  <c r="U106" i="51"/>
  <c r="V106" i="51"/>
  <c r="W106" i="51"/>
  <c r="X106" i="51"/>
  <c r="AA106" i="51"/>
  <c r="AB106" i="51"/>
  <c r="AC106" i="51"/>
  <c r="AD106" i="51"/>
  <c r="AG106" i="51"/>
  <c r="AH106" i="51"/>
  <c r="AI106" i="51"/>
  <c r="AJ106" i="51"/>
  <c r="AM106" i="51"/>
  <c r="AN106" i="51"/>
  <c r="AO106" i="51"/>
  <c r="AP106" i="51"/>
  <c r="AT106" i="51"/>
  <c r="AU106" i="51"/>
  <c r="AV106" i="51"/>
  <c r="C112" i="51"/>
  <c r="C189" i="51" s="1"/>
  <c r="D112" i="51"/>
  <c r="E112" i="51"/>
  <c r="F112" i="51"/>
  <c r="F152" i="51" s="1"/>
  <c r="I112" i="51"/>
  <c r="I189" i="51" s="1"/>
  <c r="J112" i="51"/>
  <c r="J187" i="51" s="1"/>
  <c r="K112" i="51"/>
  <c r="K187" i="51" s="1"/>
  <c r="O112" i="51"/>
  <c r="P112" i="51"/>
  <c r="P188" i="51" s="1"/>
  <c r="Q112" i="51"/>
  <c r="Q152" i="51" s="1"/>
  <c r="U112" i="51"/>
  <c r="U187" i="51" s="1"/>
  <c r="V112" i="51"/>
  <c r="V187" i="51" s="1"/>
  <c r="W112" i="51"/>
  <c r="W187" i="51" s="1"/>
  <c r="AA112" i="51"/>
  <c r="AA152" i="51" s="1"/>
  <c r="AB112" i="51"/>
  <c r="AB187" i="51" s="1"/>
  <c r="AC112" i="51"/>
  <c r="AG112" i="51"/>
  <c r="AH112" i="51"/>
  <c r="AH188" i="51" s="1"/>
  <c r="AI112" i="51"/>
  <c r="AI187" i="51" s="1"/>
  <c r="AM112" i="51"/>
  <c r="AM189" i="51" s="1"/>
  <c r="AN112" i="51"/>
  <c r="AN152" i="51" s="1"/>
  <c r="AO112" i="51"/>
  <c r="AO187" i="51" s="1"/>
  <c r="AT112" i="51"/>
  <c r="AU112" i="51"/>
  <c r="L112" i="51"/>
  <c r="L187" i="51" s="1"/>
  <c r="R112" i="51"/>
  <c r="X112" i="51"/>
  <c r="AD112" i="51"/>
  <c r="AD189" i="51" s="1"/>
  <c r="AJ112" i="51"/>
  <c r="AJ187" i="51" s="1"/>
  <c r="AP112" i="51"/>
  <c r="AP187" i="51" s="1"/>
  <c r="AV112" i="51"/>
  <c r="AV187" i="51" s="1"/>
  <c r="U116" i="51"/>
  <c r="V116" i="51"/>
  <c r="I117" i="51"/>
  <c r="J117" i="51"/>
  <c r="K117" i="51"/>
  <c r="M117" i="51"/>
  <c r="O117" i="51"/>
  <c r="P117" i="51"/>
  <c r="Q117" i="51"/>
  <c r="S117" i="51"/>
  <c r="W117" i="51"/>
  <c r="Y117" i="51"/>
  <c r="AA117" i="51"/>
  <c r="AB117" i="51"/>
  <c r="AC117" i="51"/>
  <c r="AE117" i="51"/>
  <c r="AG117" i="51"/>
  <c r="AH117" i="51"/>
  <c r="AI117" i="51"/>
  <c r="AK117" i="51"/>
  <c r="AM117" i="51"/>
  <c r="AN117" i="51"/>
  <c r="AO117" i="51"/>
  <c r="AB9" i="118" s="1"/>
  <c r="AQ117" i="51"/>
  <c r="AS117" i="51"/>
  <c r="AD9" i="118" s="1"/>
  <c r="AT117" i="51"/>
  <c r="AU117" i="51"/>
  <c r="AW117" i="51"/>
  <c r="G120" i="51"/>
  <c r="M120" i="51"/>
  <c r="S120" i="51"/>
  <c r="Y120" i="51"/>
  <c r="AE120" i="51"/>
  <c r="AK120" i="51"/>
  <c r="AQ120" i="51"/>
  <c r="AS120" i="51"/>
  <c r="I121" i="51"/>
  <c r="J121" i="51"/>
  <c r="K121" i="51"/>
  <c r="L121" i="51"/>
  <c r="O121" i="51"/>
  <c r="P121" i="51"/>
  <c r="Q121" i="51"/>
  <c r="R121" i="51"/>
  <c r="U121" i="51"/>
  <c r="V121" i="51"/>
  <c r="W121" i="51"/>
  <c r="X121" i="51"/>
  <c r="AA121" i="51"/>
  <c r="AB121" i="51"/>
  <c r="AC121" i="51"/>
  <c r="AD121" i="51"/>
  <c r="AG121" i="51"/>
  <c r="AH121" i="51"/>
  <c r="AI121" i="51"/>
  <c r="AJ121" i="51"/>
  <c r="AM121" i="51"/>
  <c r="AN121" i="51"/>
  <c r="AO121" i="51"/>
  <c r="AP121" i="51"/>
  <c r="AT121" i="51"/>
  <c r="AU121" i="51"/>
  <c r="AV121" i="51"/>
  <c r="G127" i="51"/>
  <c r="M127" i="51"/>
  <c r="S127" i="51"/>
  <c r="Y127" i="51"/>
  <c r="AE127" i="51"/>
  <c r="AK127" i="51"/>
  <c r="AQ127" i="51"/>
  <c r="AS127" i="51"/>
  <c r="AW127" i="51" s="1"/>
  <c r="I128" i="51"/>
  <c r="J128" i="51"/>
  <c r="K128" i="51"/>
  <c r="L128" i="51"/>
  <c r="O128" i="51"/>
  <c r="P128" i="51"/>
  <c r="Q128" i="51"/>
  <c r="R128" i="51"/>
  <c r="U128" i="51"/>
  <c r="V128" i="51"/>
  <c r="W128" i="51"/>
  <c r="X128" i="51"/>
  <c r="AA128" i="51"/>
  <c r="AB128" i="51"/>
  <c r="AC128" i="51"/>
  <c r="AD128" i="51"/>
  <c r="AG128" i="51"/>
  <c r="AH128" i="51"/>
  <c r="AI128" i="51"/>
  <c r="AJ128" i="51"/>
  <c r="AM128" i="51"/>
  <c r="AN128" i="51"/>
  <c r="AO128" i="51"/>
  <c r="AP128" i="51"/>
  <c r="AT128" i="51"/>
  <c r="AU128" i="51"/>
  <c r="AV128" i="51"/>
  <c r="G134" i="51"/>
  <c r="M134" i="51"/>
  <c r="S134" i="51"/>
  <c r="Y134" i="51"/>
  <c r="AE134" i="51"/>
  <c r="AK134" i="51"/>
  <c r="AQ134" i="51"/>
  <c r="AS134" i="51"/>
  <c r="I135" i="51"/>
  <c r="J135" i="51"/>
  <c r="K135" i="51"/>
  <c r="L135" i="51"/>
  <c r="O135" i="51"/>
  <c r="P135" i="51"/>
  <c r="Q135" i="51"/>
  <c r="R135" i="51"/>
  <c r="U135" i="51"/>
  <c r="V135" i="51"/>
  <c r="W135" i="51"/>
  <c r="X135" i="51"/>
  <c r="AA135" i="51"/>
  <c r="AB135" i="51"/>
  <c r="AC135" i="51"/>
  <c r="AD135" i="51"/>
  <c r="AG135" i="51"/>
  <c r="AH135" i="51"/>
  <c r="AI135" i="51"/>
  <c r="AJ135" i="51"/>
  <c r="AM135" i="51"/>
  <c r="AN135" i="51"/>
  <c r="AO135" i="51"/>
  <c r="AP135" i="51"/>
  <c r="AT135" i="51"/>
  <c r="AU135" i="51"/>
  <c r="AV135" i="51"/>
  <c r="C141" i="51"/>
  <c r="D141" i="51"/>
  <c r="E141" i="51"/>
  <c r="E153" i="51" s="1"/>
  <c r="F141" i="51"/>
  <c r="F153" i="51" s="1"/>
  <c r="I141" i="51"/>
  <c r="I153" i="51" s="1"/>
  <c r="J141" i="51"/>
  <c r="J153" i="51" s="1"/>
  <c r="K141" i="51"/>
  <c r="K153" i="51" s="1"/>
  <c r="O141" i="51"/>
  <c r="P141" i="51"/>
  <c r="P153" i="51" s="1"/>
  <c r="Q141" i="51"/>
  <c r="U141" i="51"/>
  <c r="V141" i="51"/>
  <c r="W141" i="51"/>
  <c r="U143" i="51"/>
  <c r="U146" i="51" s="1"/>
  <c r="V143" i="51"/>
  <c r="V146" i="51" s="1"/>
  <c r="W143" i="51"/>
  <c r="W146" i="51" s="1"/>
  <c r="AA141" i="51"/>
  <c r="AB141" i="51"/>
  <c r="AB153" i="51" s="1"/>
  <c r="AC141" i="51"/>
  <c r="AC153" i="51" s="1"/>
  <c r="AA143" i="51"/>
  <c r="AA146" i="51" s="1"/>
  <c r="AB143" i="51"/>
  <c r="AC143" i="51"/>
  <c r="AG141" i="51"/>
  <c r="AH141" i="51"/>
  <c r="AH153" i="51" s="1"/>
  <c r="AI141" i="51"/>
  <c r="AG143" i="51"/>
  <c r="AG146" i="51" s="1"/>
  <c r="AH143" i="51"/>
  <c r="AH146" i="51" s="1"/>
  <c r="AI143" i="51"/>
  <c r="AI146" i="51" s="1"/>
  <c r="AT141" i="51"/>
  <c r="AT153" i="51" s="1"/>
  <c r="AU141" i="51"/>
  <c r="AM141" i="51"/>
  <c r="AM153" i="51" s="1"/>
  <c r="AN141" i="51"/>
  <c r="AO141" i="51"/>
  <c r="AO153" i="51" s="1"/>
  <c r="AS143" i="51"/>
  <c r="AS146" i="51" s="1"/>
  <c r="AT143" i="51"/>
  <c r="AT146" i="51" s="1"/>
  <c r="AU143" i="51"/>
  <c r="AU146" i="51" s="1"/>
  <c r="L141" i="51"/>
  <c r="L153" i="51" s="1"/>
  <c r="AM143" i="51"/>
  <c r="AM146" i="51" s="1"/>
  <c r="AO143" i="51"/>
  <c r="AO146" i="51" s="1"/>
  <c r="R141" i="51"/>
  <c r="R153" i="51" s="1"/>
  <c r="S143" i="51"/>
  <c r="S146" i="51" s="1"/>
  <c r="X141" i="51"/>
  <c r="X153" i="51" s="1"/>
  <c r="Y143" i="51"/>
  <c r="Y146" i="51" s="1"/>
  <c r="AD141" i="51"/>
  <c r="AE143" i="51"/>
  <c r="AE146" i="51" s="1"/>
  <c r="AJ141" i="51"/>
  <c r="AJ153" i="51" s="1"/>
  <c r="AK143" i="51"/>
  <c r="AP141" i="51"/>
  <c r="AP153" i="51" s="1"/>
  <c r="AQ143" i="51"/>
  <c r="AV141" i="51"/>
  <c r="AW143" i="51"/>
  <c r="I146" i="51"/>
  <c r="J146" i="51"/>
  <c r="K146" i="51"/>
  <c r="M146" i="51"/>
  <c r="O146" i="51"/>
  <c r="P146" i="51"/>
  <c r="Q146" i="51"/>
  <c r="AB146" i="51"/>
  <c r="AC146" i="51"/>
  <c r="AN146" i="51"/>
  <c r="AQ146" i="51"/>
  <c r="AW146" i="51"/>
  <c r="C150" i="51"/>
  <c r="D150" i="51"/>
  <c r="E150" i="51"/>
  <c r="F150" i="51"/>
  <c r="G150" i="51"/>
  <c r="C151" i="51"/>
  <c r="D151" i="51"/>
  <c r="E151" i="51"/>
  <c r="F151" i="51"/>
  <c r="G151" i="51"/>
  <c r="I150" i="51"/>
  <c r="J150" i="51"/>
  <c r="K150" i="51"/>
  <c r="L150" i="51"/>
  <c r="M150" i="51"/>
  <c r="I151" i="51"/>
  <c r="J151" i="51"/>
  <c r="K151" i="51"/>
  <c r="L151" i="51"/>
  <c r="M151" i="51"/>
  <c r="M156" i="51"/>
  <c r="M159" i="51" s="1"/>
  <c r="M44" i="3" s="1"/>
  <c r="O150" i="51"/>
  <c r="P150" i="51"/>
  <c r="Q150" i="51"/>
  <c r="R150" i="51"/>
  <c r="S150" i="51"/>
  <c r="O151" i="51"/>
  <c r="P151" i="51"/>
  <c r="Q151" i="51"/>
  <c r="R151" i="51"/>
  <c r="S151" i="51"/>
  <c r="S156" i="51"/>
  <c r="S159" i="51" s="1"/>
  <c r="U150" i="51"/>
  <c r="V150" i="51"/>
  <c r="W150" i="51"/>
  <c r="X150" i="51"/>
  <c r="Y150" i="51"/>
  <c r="U151" i="51"/>
  <c r="V151" i="51"/>
  <c r="W151" i="51"/>
  <c r="X151" i="51"/>
  <c r="Y151" i="51"/>
  <c r="Y156" i="51"/>
  <c r="Y159" i="51" s="1"/>
  <c r="AA150" i="51"/>
  <c r="AB150" i="51"/>
  <c r="AC150" i="51"/>
  <c r="AA151" i="51"/>
  <c r="AB151" i="51"/>
  <c r="AC151" i="51"/>
  <c r="AA156" i="51"/>
  <c r="AA159" i="51" s="1"/>
  <c r="AB156" i="51"/>
  <c r="AB159" i="51" s="1"/>
  <c r="AC156" i="51"/>
  <c r="AC159" i="51" s="1"/>
  <c r="AI149" i="51"/>
  <c r="AG150" i="51"/>
  <c r="AH150" i="51"/>
  <c r="AI150" i="51"/>
  <c r="AG151" i="51"/>
  <c r="AH151" i="51"/>
  <c r="AI151" i="51"/>
  <c r="AG156" i="51"/>
  <c r="AH156" i="51"/>
  <c r="AH159" i="51" s="1"/>
  <c r="AI156" i="51"/>
  <c r="AI159" i="51" s="1"/>
  <c r="AS150" i="51"/>
  <c r="AT150" i="51"/>
  <c r="AU150" i="51"/>
  <c r="AS151" i="51"/>
  <c r="AT151" i="51"/>
  <c r="AU151" i="51"/>
  <c r="AM150" i="51"/>
  <c r="AM151" i="51"/>
  <c r="AN150" i="51"/>
  <c r="AN151" i="51"/>
  <c r="AO150" i="51"/>
  <c r="AO151" i="51"/>
  <c r="AS156" i="51"/>
  <c r="AS159" i="51" s="1"/>
  <c r="AT156" i="51"/>
  <c r="AU156" i="51"/>
  <c r="AV150" i="51"/>
  <c r="AV151" i="51"/>
  <c r="AW150" i="51"/>
  <c r="AW151" i="51"/>
  <c r="AM156" i="51"/>
  <c r="AM159" i="51" s="1"/>
  <c r="AO156" i="51"/>
  <c r="AO43" i="3" s="1"/>
  <c r="AE150" i="51"/>
  <c r="AE151" i="51"/>
  <c r="AE156" i="51"/>
  <c r="AK150" i="51"/>
  <c r="AK151" i="51"/>
  <c r="AK156" i="51"/>
  <c r="AK43" i="3" s="1"/>
  <c r="AQ150" i="51"/>
  <c r="AQ151" i="51"/>
  <c r="AQ156" i="51"/>
  <c r="AW156" i="51"/>
  <c r="AW159" i="51" s="1"/>
  <c r="AD150" i="51"/>
  <c r="AD151" i="51"/>
  <c r="AJ150" i="51"/>
  <c r="AJ151" i="51"/>
  <c r="AP150" i="51"/>
  <c r="AP151" i="51"/>
  <c r="AE159" i="51"/>
  <c r="AG159" i="51"/>
  <c r="AG44" i="3" s="1"/>
  <c r="AN159" i="51"/>
  <c r="BB159" i="51"/>
  <c r="BB44" i="3" s="1"/>
  <c r="BC159" i="51"/>
  <c r="BC44" i="3" s="1"/>
  <c r="BK159" i="51"/>
  <c r="BQ159" i="51"/>
  <c r="J180" i="51"/>
  <c r="AJ181" i="51"/>
  <c r="I184" i="51"/>
  <c r="J184" i="51"/>
  <c r="K184" i="51"/>
  <c r="L184" i="51"/>
  <c r="O184" i="51"/>
  <c r="P184" i="51"/>
  <c r="Q184" i="51"/>
  <c r="R184" i="51"/>
  <c r="U184" i="51"/>
  <c r="V184" i="51"/>
  <c r="W184" i="51"/>
  <c r="X184" i="51"/>
  <c r="AA184" i="51"/>
  <c r="AB184" i="51"/>
  <c r="AC184" i="51"/>
  <c r="AD184" i="51"/>
  <c r="AG184" i="51"/>
  <c r="AH184" i="51"/>
  <c r="AI184" i="51"/>
  <c r="AJ184" i="51"/>
  <c r="AM184" i="51"/>
  <c r="AN184" i="51"/>
  <c r="AO184" i="51"/>
  <c r="AP184" i="51"/>
  <c r="AS184" i="51"/>
  <c r="AT184" i="51"/>
  <c r="AU184" i="51"/>
  <c r="AV184" i="51"/>
  <c r="AY184" i="51"/>
  <c r="AZ184" i="51"/>
  <c r="BA184" i="51"/>
  <c r="BB184" i="51"/>
  <c r="BE184" i="51"/>
  <c r="BF184" i="51"/>
  <c r="BG184" i="51"/>
  <c r="BH184" i="51"/>
  <c r="BK184" i="51"/>
  <c r="BL184" i="51"/>
  <c r="BM184" i="51"/>
  <c r="BN184" i="51"/>
  <c r="BQ184" i="51"/>
  <c r="BR184" i="51"/>
  <c r="BS184" i="51"/>
  <c r="BT184" i="51"/>
  <c r="G185" i="51"/>
  <c r="M185" i="51"/>
  <c r="L185" i="51" s="1"/>
  <c r="S185" i="51"/>
  <c r="P185" i="51" s="1"/>
  <c r="Y185" i="51"/>
  <c r="U185" i="51" s="1"/>
  <c r="AE185" i="51"/>
  <c r="AK185" i="51"/>
  <c r="AG185" i="51" s="1"/>
  <c r="AQ185" i="51"/>
  <c r="AO185" i="51" s="1"/>
  <c r="AW185" i="51"/>
  <c r="AT185" i="51" s="1"/>
  <c r="BC185" i="51"/>
  <c r="BI185" i="51"/>
  <c r="BH185" i="51" s="1"/>
  <c r="BO185" i="51"/>
  <c r="BK185" i="51" s="1"/>
  <c r="BU185" i="51"/>
  <c r="BQ185" i="51" s="1"/>
  <c r="M190" i="51"/>
  <c r="L190" i="51" s="1"/>
  <c r="S190" i="51"/>
  <c r="O190" i="51" s="1"/>
  <c r="Y190" i="51"/>
  <c r="U190" i="51" s="1"/>
  <c r="AE190" i="51"/>
  <c r="AK190" i="51"/>
  <c r="AQ190" i="51"/>
  <c r="AW198" i="51"/>
  <c r="AT198" i="51" s="1"/>
  <c r="BC198" i="51"/>
  <c r="BA198" i="51" s="1"/>
  <c r="BF187" i="51"/>
  <c r="BF188" i="51"/>
  <c r="BF189" i="51"/>
  <c r="BE197" i="51"/>
  <c r="BF197" i="51"/>
  <c r="BG197" i="51"/>
  <c r="BH197" i="51"/>
  <c r="BI198" i="51"/>
  <c r="BE198" i="51" s="1"/>
  <c r="BK197" i="51"/>
  <c r="BL197" i="51"/>
  <c r="BM197" i="51"/>
  <c r="BN197" i="51"/>
  <c r="BO198" i="51"/>
  <c r="BO204" i="51"/>
  <c r="BO210" i="51" s="1"/>
  <c r="BK210" i="51" s="1"/>
  <c r="BQ210" i="51" s="1"/>
  <c r="BW210" i="51" s="1"/>
  <c r="CC210" i="51" s="1"/>
  <c r="CI210" i="51" s="1"/>
  <c r="BU194" i="51"/>
  <c r="BR194" i="51" s="1"/>
  <c r="BQ197" i="51"/>
  <c r="BR197" i="51"/>
  <c r="BS197" i="51"/>
  <c r="BT197" i="51"/>
  <c r="BQ195" i="51"/>
  <c r="BU198" i="51"/>
  <c r="BQ198" i="51" s="1"/>
  <c r="BR195" i="51"/>
  <c r="BS195" i="51"/>
  <c r="BT195" i="51"/>
  <c r="G193" i="51"/>
  <c r="M193" i="51"/>
  <c r="J193" i="51" s="1"/>
  <c r="S193" i="51"/>
  <c r="O193" i="51" s="1"/>
  <c r="Y193" i="51"/>
  <c r="AE193" i="51"/>
  <c r="AD193" i="51" s="1"/>
  <c r="AK193" i="51"/>
  <c r="AI193" i="51" s="1"/>
  <c r="AQ193" i="51"/>
  <c r="AN193" i="51" s="1"/>
  <c r="I194" i="51"/>
  <c r="J194" i="51"/>
  <c r="K194" i="51"/>
  <c r="L194" i="51"/>
  <c r="O194" i="51"/>
  <c r="P194" i="51"/>
  <c r="Q194" i="51"/>
  <c r="R194" i="51"/>
  <c r="U194" i="51"/>
  <c r="V194" i="51"/>
  <c r="W194" i="51"/>
  <c r="X194" i="51"/>
  <c r="AA194" i="51"/>
  <c r="AB194" i="51"/>
  <c r="AC194" i="51"/>
  <c r="AD194" i="51"/>
  <c r="AG194" i="51"/>
  <c r="AH194" i="51"/>
  <c r="AI194" i="51"/>
  <c r="AJ194" i="51"/>
  <c r="AM194" i="51"/>
  <c r="AN194" i="51"/>
  <c r="AO194" i="51"/>
  <c r="AP194" i="51"/>
  <c r="AS194" i="51"/>
  <c r="AT194" i="51"/>
  <c r="AU194" i="51"/>
  <c r="AV194" i="51"/>
  <c r="AY194" i="51"/>
  <c r="AZ194" i="51"/>
  <c r="BA194" i="51"/>
  <c r="BB194" i="51"/>
  <c r="G195" i="51"/>
  <c r="M195" i="51"/>
  <c r="I195" i="51" s="1"/>
  <c r="S195" i="51"/>
  <c r="Y195" i="51"/>
  <c r="U195" i="51" s="1"/>
  <c r="AE195" i="51"/>
  <c r="AB195" i="51" s="1"/>
  <c r="AK195" i="51"/>
  <c r="AG195" i="51" s="1"/>
  <c r="AQ195" i="51"/>
  <c r="AM195" i="51" s="1"/>
  <c r="AW195" i="51"/>
  <c r="BC195" i="51"/>
  <c r="I196" i="51"/>
  <c r="J196" i="51"/>
  <c r="K196" i="51"/>
  <c r="L196" i="51"/>
  <c r="I197" i="51"/>
  <c r="J197" i="51"/>
  <c r="K197" i="51"/>
  <c r="L197" i="51"/>
  <c r="O196" i="51"/>
  <c r="P196" i="51"/>
  <c r="Q196" i="51"/>
  <c r="R196" i="51"/>
  <c r="O197" i="51"/>
  <c r="P197" i="51"/>
  <c r="Q197" i="51"/>
  <c r="R197" i="51"/>
  <c r="U196" i="51"/>
  <c r="V196" i="51"/>
  <c r="W196" i="51"/>
  <c r="X196" i="51"/>
  <c r="U197" i="51"/>
  <c r="V197" i="51"/>
  <c r="W197" i="51"/>
  <c r="X197" i="51"/>
  <c r="AA196" i="51"/>
  <c r="AB196" i="51"/>
  <c r="AC196" i="51"/>
  <c r="AD196" i="51"/>
  <c r="AA197" i="51"/>
  <c r="AB197" i="51"/>
  <c r="AC197" i="51"/>
  <c r="AD197" i="51"/>
  <c r="AG196" i="51"/>
  <c r="AH196" i="51"/>
  <c r="AI196" i="51"/>
  <c r="AJ196" i="51"/>
  <c r="AG197" i="51"/>
  <c r="AH197" i="51"/>
  <c r="AI197" i="51"/>
  <c r="AJ197" i="51"/>
  <c r="AM196" i="51"/>
  <c r="AN196" i="51"/>
  <c r="AO196" i="51"/>
  <c r="AP196" i="51"/>
  <c r="AM197" i="51"/>
  <c r="AN197" i="51"/>
  <c r="AO197" i="51"/>
  <c r="AP197" i="51"/>
  <c r="AS197" i="51"/>
  <c r="AT197" i="51"/>
  <c r="AU197" i="51"/>
  <c r="AV197" i="51"/>
  <c r="AY197" i="51"/>
  <c r="AZ197" i="51"/>
  <c r="BA197" i="51"/>
  <c r="BB197" i="51"/>
  <c r="AW204" i="51"/>
  <c r="AW210" i="51" s="1"/>
  <c r="AQ210" i="51" s="1"/>
  <c r="BC204" i="51"/>
  <c r="BC210" i="51" s="1"/>
  <c r="BB210" i="51" s="1"/>
  <c r="BI204" i="51"/>
  <c r="BI209" i="51" s="1"/>
  <c r="BH209" i="51" s="1"/>
  <c r="BJ211" i="51"/>
  <c r="G227" i="51"/>
  <c r="M227" i="51"/>
  <c r="S227" i="51"/>
  <c r="Y227" i="51"/>
  <c r="AE227" i="51"/>
  <c r="AK227" i="51"/>
  <c r="AQ227" i="51"/>
  <c r="AW227" i="51"/>
  <c r="BC227" i="51"/>
  <c r="BI227" i="51"/>
  <c r="BO227" i="51"/>
  <c r="G229" i="51"/>
  <c r="M229" i="51"/>
  <c r="BI229" i="51"/>
  <c r="BO229" i="51"/>
  <c r="G238" i="51"/>
  <c r="G241" i="51"/>
  <c r="M238" i="51"/>
  <c r="M241" i="51"/>
  <c r="S238" i="51"/>
  <c r="S241" i="51"/>
  <c r="Y238" i="51"/>
  <c r="Y241" i="51"/>
  <c r="AE238" i="51"/>
  <c r="AE241" i="51"/>
  <c r="AK241" i="51"/>
  <c r="AQ241" i="51"/>
  <c r="AW241" i="51"/>
  <c r="BC241" i="51"/>
  <c r="AW258" i="51"/>
  <c r="BC258" i="51"/>
  <c r="M277" i="51"/>
  <c r="S277" i="51"/>
  <c r="Y277" i="51"/>
  <c r="AE277" i="51"/>
  <c r="AK277" i="51"/>
  <c r="AQ277" i="51"/>
  <c r="AW277" i="51"/>
  <c r="BC277" i="51"/>
  <c r="BI277" i="51"/>
  <c r="BO277" i="51"/>
  <c r="CG5" i="3"/>
  <c r="CM5" i="3"/>
  <c r="U6" i="3"/>
  <c r="O6" i="3" s="1"/>
  <c r="I6" i="3" s="1"/>
  <c r="I7" i="3" s="1"/>
  <c r="V6" i="3"/>
  <c r="W6" i="3"/>
  <c r="Q6" i="3" s="1"/>
  <c r="K6" i="3" s="1"/>
  <c r="X6" i="3"/>
  <c r="BU5" i="3"/>
  <c r="BU6" i="3"/>
  <c r="CA5" i="3"/>
  <c r="CA6" i="3"/>
  <c r="CC6" i="3"/>
  <c r="CC7" i="3" s="1"/>
  <c r="CD6" i="3"/>
  <c r="CJ6" i="3" s="1"/>
  <c r="CE6" i="3"/>
  <c r="CK6" i="3" s="1"/>
  <c r="CF6" i="3"/>
  <c r="CG6" i="3"/>
  <c r="BQ172" i="3"/>
  <c r="BQ133" i="3" s="1"/>
  <c r="BQ169" i="3"/>
  <c r="BQ166" i="3"/>
  <c r="BQ11" i="3"/>
  <c r="BQ34" i="3" s="1"/>
  <c r="BL169" i="3"/>
  <c r="BL132" i="3" s="1"/>
  <c r="BZ171" i="3"/>
  <c r="CD171" i="3"/>
  <c r="CE171" i="3" s="1"/>
  <c r="CF171" i="3" s="1"/>
  <c r="BL11" i="3"/>
  <c r="BR49" i="3" s="1"/>
  <c r="BM169" i="3"/>
  <c r="BM166" i="3"/>
  <c r="BM11" i="3"/>
  <c r="BS49" i="3" s="1"/>
  <c r="BN160" i="3"/>
  <c r="BN169" i="3" s="1"/>
  <c r="BN132" i="3" s="1"/>
  <c r="BN158" i="3"/>
  <c r="BN166" i="3" s="1"/>
  <c r="BN11" i="3"/>
  <c r="CM6" i="3"/>
  <c r="CJ171" i="3"/>
  <c r="CK171" i="3" s="1"/>
  <c r="CL171" i="3" s="1"/>
  <c r="D7" i="3"/>
  <c r="E7" i="3"/>
  <c r="F7" i="3"/>
  <c r="F74" i="106" s="1"/>
  <c r="AB7" i="3"/>
  <c r="AB74" i="106" s="1"/>
  <c r="AC7" i="3"/>
  <c r="AC74" i="106" s="1"/>
  <c r="AD7" i="3"/>
  <c r="AD74" i="106" s="1"/>
  <c r="AG7" i="3"/>
  <c r="AG74" i="106" s="1"/>
  <c r="AH7" i="3"/>
  <c r="AH74" i="106" s="1"/>
  <c r="AI7" i="3"/>
  <c r="AI74" i="106" s="1"/>
  <c r="AJ7" i="3"/>
  <c r="AJ74" i="106" s="1"/>
  <c r="AM7" i="3"/>
  <c r="AM74" i="106" s="1"/>
  <c r="AN7" i="3"/>
  <c r="AN74" i="106" s="1"/>
  <c r="AO7" i="3"/>
  <c r="AP7" i="3"/>
  <c r="AP74" i="106" s="1"/>
  <c r="AS7" i="3"/>
  <c r="AS74" i="106" s="1"/>
  <c r="AT7" i="3"/>
  <c r="AT74" i="106" s="1"/>
  <c r="AU7" i="3"/>
  <c r="AU74" i="106" s="1"/>
  <c r="AV7" i="3"/>
  <c r="AV74" i="106" s="1"/>
  <c r="AY7" i="3"/>
  <c r="AZ7" i="3"/>
  <c r="AZ74" i="106" s="1"/>
  <c r="BA7" i="3"/>
  <c r="BA74" i="106" s="1"/>
  <c r="BB7" i="3"/>
  <c r="BB74" i="106" s="1"/>
  <c r="BE7" i="3"/>
  <c r="BF7" i="3"/>
  <c r="BG7" i="3"/>
  <c r="BH7" i="3"/>
  <c r="BH74" i="106" s="1"/>
  <c r="BK7" i="3"/>
  <c r="BL7" i="3"/>
  <c r="BM7" i="3"/>
  <c r="BN7" i="3"/>
  <c r="BN74" i="106" s="1"/>
  <c r="BQ7" i="3"/>
  <c r="BQ74" i="106" s="1"/>
  <c r="BW74" i="106" s="1"/>
  <c r="CC74" i="106" s="1"/>
  <c r="CI74" i="106" s="1"/>
  <c r="BR7" i="3"/>
  <c r="BS7" i="3"/>
  <c r="BT7" i="3"/>
  <c r="BQ9" i="3"/>
  <c r="BW7" i="3"/>
  <c r="BX7" i="3"/>
  <c r="BY7" i="3"/>
  <c r="BZ7" i="3"/>
  <c r="AW5" i="3"/>
  <c r="AW6" i="3"/>
  <c r="AW8" i="3"/>
  <c r="AW149" i="106" s="1"/>
  <c r="BC5" i="3"/>
  <c r="BC6" i="3"/>
  <c r="BC8" i="3"/>
  <c r="BC149" i="106" s="1"/>
  <c r="BI5" i="3"/>
  <c r="BI6" i="3"/>
  <c r="BI8" i="3"/>
  <c r="F9" i="3"/>
  <c r="F32" i="3" s="1"/>
  <c r="L9" i="3"/>
  <c r="R9" i="3"/>
  <c r="X9" i="3"/>
  <c r="AA9" i="3"/>
  <c r="AB9" i="3"/>
  <c r="AC9" i="3"/>
  <c r="AD9" i="3"/>
  <c r="AA10" i="3"/>
  <c r="AA120" i="3" s="1"/>
  <c r="AA121" i="3" s="1"/>
  <c r="AG9" i="3"/>
  <c r="AH9" i="3"/>
  <c r="AI9" i="3"/>
  <c r="AJ9" i="3"/>
  <c r="AN9" i="3"/>
  <c r="AO9" i="3"/>
  <c r="AP9" i="3"/>
  <c r="AO10" i="3"/>
  <c r="AT9" i="3"/>
  <c r="AU9" i="3"/>
  <c r="AV9" i="3"/>
  <c r="AS9" i="3"/>
  <c r="AV10" i="3"/>
  <c r="AV120" i="3" s="1"/>
  <c r="AV121" i="3" s="1"/>
  <c r="AT11" i="3"/>
  <c r="AU63" i="3"/>
  <c r="AV63" i="3"/>
  <c r="AZ9" i="3"/>
  <c r="BA9" i="3"/>
  <c r="BB9" i="3"/>
  <c r="BH9" i="3"/>
  <c r="BI9" i="3"/>
  <c r="BN9" i="3"/>
  <c r="BN47" i="3" s="1"/>
  <c r="C10" i="3"/>
  <c r="C120" i="3" s="1"/>
  <c r="C121" i="3" s="1"/>
  <c r="D10" i="3"/>
  <c r="E10" i="3"/>
  <c r="I10" i="3"/>
  <c r="J10" i="3"/>
  <c r="J33" i="3" s="1"/>
  <c r="K10" i="3"/>
  <c r="K33" i="3" s="1"/>
  <c r="O10" i="3"/>
  <c r="P10" i="3"/>
  <c r="Q10" i="3"/>
  <c r="U10" i="3"/>
  <c r="V10" i="3"/>
  <c r="W10" i="3"/>
  <c r="AS10" i="3"/>
  <c r="AS13" i="3" s="1"/>
  <c r="AY10" i="3"/>
  <c r="BB10" i="3"/>
  <c r="BB120" i="3" s="1"/>
  <c r="BB121" i="3" s="1"/>
  <c r="AY11" i="3"/>
  <c r="AZ11" i="3"/>
  <c r="AZ128" i="3" s="1"/>
  <c r="AZ129" i="3" s="1"/>
  <c r="BA11" i="3"/>
  <c r="BB11" i="3"/>
  <c r="BB128" i="3" s="1"/>
  <c r="BB129" i="3" s="1"/>
  <c r="BE10" i="3"/>
  <c r="BF10" i="3"/>
  <c r="BF120" i="3" s="1"/>
  <c r="BF121" i="3" s="1"/>
  <c r="BG10" i="3"/>
  <c r="BG120" i="3" s="1"/>
  <c r="BG121" i="3" s="1"/>
  <c r="BH10" i="3"/>
  <c r="BH120" i="3" s="1"/>
  <c r="BH121" i="3" s="1"/>
  <c r="BE57" i="3"/>
  <c r="BE58" i="3"/>
  <c r="BE59" i="3"/>
  <c r="BI59" i="3" s="1"/>
  <c r="BF11" i="3"/>
  <c r="BF128" i="3" s="1"/>
  <c r="BF129" i="3" s="1"/>
  <c r="BG63" i="3"/>
  <c r="BG11" i="3" s="1"/>
  <c r="BG128" i="3" s="1"/>
  <c r="BG129" i="3" s="1"/>
  <c r="BH63" i="3"/>
  <c r="BK10" i="3"/>
  <c r="BK33" i="3" s="1"/>
  <c r="BL10" i="3"/>
  <c r="BM10" i="3"/>
  <c r="BO5" i="3"/>
  <c r="BO6" i="3"/>
  <c r="BO8" i="3"/>
  <c r="G5" i="3"/>
  <c r="G6" i="3"/>
  <c r="G8" i="3"/>
  <c r="G149" i="106" s="1"/>
  <c r="G11" i="3"/>
  <c r="M5" i="3"/>
  <c r="M6" i="3"/>
  <c r="M8" i="3"/>
  <c r="M149" i="106" s="1"/>
  <c r="M11" i="3"/>
  <c r="S5" i="3"/>
  <c r="S6" i="3"/>
  <c r="S8" i="3"/>
  <c r="S149" i="106" s="1"/>
  <c r="S9" i="3"/>
  <c r="S11" i="3"/>
  <c r="Y5" i="3"/>
  <c r="Y6" i="3"/>
  <c r="Y8" i="3"/>
  <c r="Y149" i="106" s="1"/>
  <c r="Y11" i="3"/>
  <c r="AE5" i="3"/>
  <c r="AE6" i="3"/>
  <c r="AE8" i="3"/>
  <c r="AE149" i="106" s="1"/>
  <c r="AE11" i="3"/>
  <c r="AK5" i="3"/>
  <c r="AK6" i="3"/>
  <c r="AK8" i="3"/>
  <c r="AK149" i="106" s="1"/>
  <c r="AK11" i="3"/>
  <c r="AM9" i="3"/>
  <c r="AM10" i="3"/>
  <c r="AM11" i="3"/>
  <c r="AQ5" i="3"/>
  <c r="AQ6" i="3"/>
  <c r="AQ8" i="3"/>
  <c r="AQ149" i="106" s="1"/>
  <c r="BK57" i="3"/>
  <c r="BK58" i="3"/>
  <c r="BO58" i="3" s="1"/>
  <c r="BK59" i="3"/>
  <c r="BO59" i="3" s="1"/>
  <c r="C18" i="3"/>
  <c r="C15" i="3"/>
  <c r="D18" i="3"/>
  <c r="D15" i="3" s="1"/>
  <c r="E18" i="3"/>
  <c r="E15" i="3" s="1"/>
  <c r="F18" i="3"/>
  <c r="F15" i="3" s="1"/>
  <c r="I18" i="3"/>
  <c r="J18" i="3"/>
  <c r="J15" i="3" s="1"/>
  <c r="K18" i="3"/>
  <c r="K15" i="3" s="1"/>
  <c r="L18" i="3"/>
  <c r="L15" i="3" s="1"/>
  <c r="O18" i="3"/>
  <c r="P18" i="3"/>
  <c r="P15" i="3" s="1"/>
  <c r="Q18" i="3"/>
  <c r="Q15" i="3" s="1"/>
  <c r="R18" i="3"/>
  <c r="R15" i="3" s="1"/>
  <c r="U18" i="3"/>
  <c r="V18" i="3"/>
  <c r="V15" i="3" s="1"/>
  <c r="W18" i="3"/>
  <c r="W15" i="3" s="1"/>
  <c r="X18" i="3"/>
  <c r="X15" i="3" s="1"/>
  <c r="AA18" i="3"/>
  <c r="AA15" i="3" s="1"/>
  <c r="AB18" i="3"/>
  <c r="AB15" i="3" s="1"/>
  <c r="AC18" i="3"/>
  <c r="AC15" i="3" s="1"/>
  <c r="AD18" i="3"/>
  <c r="AD15" i="3" s="1"/>
  <c r="AG18" i="3"/>
  <c r="AH18" i="3"/>
  <c r="AH15" i="3" s="1"/>
  <c r="AI18" i="3"/>
  <c r="AI15" i="3" s="1"/>
  <c r="AJ18" i="3"/>
  <c r="AJ15" i="3" s="1"/>
  <c r="AM18" i="3"/>
  <c r="AM15" i="3" s="1"/>
  <c r="AN18" i="3"/>
  <c r="AN15" i="3" s="1"/>
  <c r="AO18" i="3"/>
  <c r="AO15" i="3" s="1"/>
  <c r="AP18" i="3"/>
  <c r="AP15" i="3" s="1"/>
  <c r="AS18" i="3"/>
  <c r="AS15" i="3" s="1"/>
  <c r="AT18" i="3"/>
  <c r="AU18" i="3"/>
  <c r="AU15" i="3" s="1"/>
  <c r="AV18" i="3"/>
  <c r="AV15" i="3" s="1"/>
  <c r="AY18" i="3"/>
  <c r="AZ18" i="3"/>
  <c r="AZ15" i="3" s="1"/>
  <c r="BA18" i="3"/>
  <c r="BA15" i="3" s="1"/>
  <c r="BB18" i="3"/>
  <c r="BB15" i="3" s="1"/>
  <c r="BE18" i="3"/>
  <c r="BG18" i="3"/>
  <c r="BG15" i="3" s="1"/>
  <c r="BK18" i="3"/>
  <c r="BK15" i="3" s="1"/>
  <c r="BL18" i="3"/>
  <c r="BM18" i="3"/>
  <c r="BM15" i="3" s="1"/>
  <c r="BQ18" i="3"/>
  <c r="BF16" i="3"/>
  <c r="BF18" i="3"/>
  <c r="BH16" i="3"/>
  <c r="BH18" i="3"/>
  <c r="BN16" i="3"/>
  <c r="BO16" i="3" s="1"/>
  <c r="G16" i="3"/>
  <c r="G17" i="3"/>
  <c r="G145" i="106" s="1"/>
  <c r="G146" i="106" s="1"/>
  <c r="M16" i="3"/>
  <c r="M17" i="3"/>
  <c r="M145" i="106" s="1"/>
  <c r="M146" i="106" s="1"/>
  <c r="S16" i="3"/>
  <c r="S17" i="3"/>
  <c r="S145" i="106" s="1"/>
  <c r="S146" i="106" s="1"/>
  <c r="Y16" i="3"/>
  <c r="X66" i="29" s="1"/>
  <c r="Y17" i="3"/>
  <c r="Y145" i="106" s="1"/>
  <c r="Y146" i="106" s="1"/>
  <c r="AE16" i="3"/>
  <c r="AD66" i="29" s="1"/>
  <c r="AE17" i="3"/>
  <c r="AE145" i="106" s="1"/>
  <c r="AE146" i="106" s="1"/>
  <c r="AK16" i="3"/>
  <c r="AK17" i="3"/>
  <c r="AK145" i="106" s="1"/>
  <c r="AK146" i="106" s="1"/>
  <c r="AQ16" i="3"/>
  <c r="AQ17" i="3"/>
  <c r="AQ145" i="106" s="1"/>
  <c r="AQ146" i="106" s="1"/>
  <c r="AW16" i="3"/>
  <c r="AV66" i="29" s="1"/>
  <c r="AW17" i="3"/>
  <c r="AW145" i="106" s="1"/>
  <c r="AW146" i="106" s="1"/>
  <c r="BC16" i="3"/>
  <c r="BB66" i="29" s="1"/>
  <c r="BC17" i="3"/>
  <c r="BC145" i="106" s="1"/>
  <c r="BC146" i="106" s="1"/>
  <c r="BI17" i="3"/>
  <c r="BI145" i="106" s="1"/>
  <c r="BI146" i="106" s="1"/>
  <c r="BO17" i="3"/>
  <c r="BO145" i="106" s="1"/>
  <c r="BO146" i="106" s="1"/>
  <c r="CA18" i="3"/>
  <c r="CG18" i="3"/>
  <c r="CM18" i="3"/>
  <c r="AT63" i="3"/>
  <c r="AY22" i="3"/>
  <c r="AZ22" i="3"/>
  <c r="BA22" i="3"/>
  <c r="BB22" i="3"/>
  <c r="BF63" i="3"/>
  <c r="BE62" i="3"/>
  <c r="BI62" i="3" s="1"/>
  <c r="BG22" i="3"/>
  <c r="BL63" i="3"/>
  <c r="BL22" i="3" s="1"/>
  <c r="BM63" i="3"/>
  <c r="BM22" i="3" s="1"/>
  <c r="BN63" i="3"/>
  <c r="BN22" i="3" s="1"/>
  <c r="BQ63" i="3"/>
  <c r="BQ22" i="3" s="1"/>
  <c r="G22" i="3"/>
  <c r="M22" i="3"/>
  <c r="S22" i="3"/>
  <c r="Y22" i="3"/>
  <c r="AE22" i="3"/>
  <c r="AK22" i="3"/>
  <c r="AQ22" i="3"/>
  <c r="BQ71" i="3"/>
  <c r="G28" i="3"/>
  <c r="M28" i="3"/>
  <c r="S28" i="3"/>
  <c r="Y28" i="3"/>
  <c r="AE28" i="3"/>
  <c r="AK28" i="3"/>
  <c r="AQ28" i="3"/>
  <c r="AW28" i="3"/>
  <c r="BC28" i="3"/>
  <c r="BI28" i="3"/>
  <c r="BO28" i="3"/>
  <c r="C32" i="3"/>
  <c r="D32" i="3"/>
  <c r="E32" i="3"/>
  <c r="C34" i="3"/>
  <c r="D34" i="3"/>
  <c r="E34" i="3"/>
  <c r="F34" i="3"/>
  <c r="I32" i="3"/>
  <c r="J32" i="3"/>
  <c r="K32" i="3"/>
  <c r="I34" i="3"/>
  <c r="J34" i="3"/>
  <c r="K34" i="3"/>
  <c r="L34" i="3"/>
  <c r="O32" i="3"/>
  <c r="P32" i="3"/>
  <c r="Q32" i="3"/>
  <c r="O34" i="3"/>
  <c r="P34" i="3"/>
  <c r="Q34" i="3"/>
  <c r="R34" i="3"/>
  <c r="U32" i="3"/>
  <c r="V32" i="3"/>
  <c r="W32" i="3"/>
  <c r="U34" i="3"/>
  <c r="V34" i="3"/>
  <c r="W34" i="3"/>
  <c r="X34" i="3"/>
  <c r="AA32" i="3"/>
  <c r="AA34" i="3"/>
  <c r="AB34" i="3"/>
  <c r="AC34" i="3"/>
  <c r="AD34" i="3"/>
  <c r="AG34" i="3"/>
  <c r="AH34" i="3"/>
  <c r="AI34" i="3"/>
  <c r="AJ34" i="3"/>
  <c r="AM32" i="3"/>
  <c r="AN32" i="3"/>
  <c r="AN34" i="3"/>
  <c r="AO34" i="3"/>
  <c r="AP34" i="3"/>
  <c r="AS32" i="3"/>
  <c r="AV32" i="3"/>
  <c r="AS34" i="3"/>
  <c r="AY32" i="3"/>
  <c r="BB32" i="3"/>
  <c r="BE32" i="3"/>
  <c r="BF32" i="3"/>
  <c r="BG32" i="3"/>
  <c r="BH32" i="3"/>
  <c r="BK32" i="3"/>
  <c r="BL32" i="3"/>
  <c r="BM32" i="3"/>
  <c r="BN33" i="3"/>
  <c r="BQ33" i="3"/>
  <c r="B36" i="3"/>
  <c r="I42" i="3"/>
  <c r="J42" i="3"/>
  <c r="K42" i="3"/>
  <c r="L42" i="3"/>
  <c r="M43" i="3"/>
  <c r="I47" i="3"/>
  <c r="J47" i="3"/>
  <c r="K47" i="3"/>
  <c r="I49" i="3"/>
  <c r="J49" i="3"/>
  <c r="K49" i="3"/>
  <c r="L49" i="3"/>
  <c r="O42" i="3"/>
  <c r="P42" i="3"/>
  <c r="Q42" i="3"/>
  <c r="R42" i="3"/>
  <c r="S43" i="3"/>
  <c r="O47" i="3"/>
  <c r="P47" i="3"/>
  <c r="Q47" i="3"/>
  <c r="O49" i="3"/>
  <c r="P49" i="3"/>
  <c r="Q49" i="3"/>
  <c r="R49" i="3"/>
  <c r="U42" i="3"/>
  <c r="V42" i="3"/>
  <c r="W42" i="3"/>
  <c r="X42" i="3"/>
  <c r="U47" i="3"/>
  <c r="V47" i="3"/>
  <c r="W47" i="3"/>
  <c r="U49" i="3"/>
  <c r="V49" i="3"/>
  <c r="W49" i="3"/>
  <c r="X49" i="3"/>
  <c r="AA42" i="3"/>
  <c r="AB42" i="3"/>
  <c r="AC42" i="3"/>
  <c r="AD42" i="3"/>
  <c r="AA43" i="3"/>
  <c r="AB43" i="3"/>
  <c r="AE43" i="3"/>
  <c r="AA47" i="3"/>
  <c r="AA49" i="3"/>
  <c r="AB49" i="3"/>
  <c r="AC49" i="3"/>
  <c r="AD49" i="3"/>
  <c r="AG42" i="3"/>
  <c r="AH42" i="3"/>
  <c r="AI42" i="3"/>
  <c r="AJ42" i="3"/>
  <c r="AG43" i="3"/>
  <c r="AH43" i="3"/>
  <c r="AI43" i="3"/>
  <c r="AG49" i="3"/>
  <c r="AH49" i="3"/>
  <c r="AI49" i="3"/>
  <c r="AJ49" i="3"/>
  <c r="AM42" i="3"/>
  <c r="AN42" i="3"/>
  <c r="AO42" i="3"/>
  <c r="AP42" i="3"/>
  <c r="AM43" i="3"/>
  <c r="AN43" i="3"/>
  <c r="AM47" i="3"/>
  <c r="AN49" i="3"/>
  <c r="AO49" i="3"/>
  <c r="AP49" i="3"/>
  <c r="AS42" i="3"/>
  <c r="AT42" i="3"/>
  <c r="AU42" i="3"/>
  <c r="AV42" i="3"/>
  <c r="AW43" i="3"/>
  <c r="AS47" i="3"/>
  <c r="AY42" i="3"/>
  <c r="AZ42" i="3"/>
  <c r="BA42" i="3"/>
  <c r="BB42" i="3"/>
  <c r="BB43" i="3"/>
  <c r="BC43" i="3"/>
  <c r="AY47" i="3"/>
  <c r="BB47" i="3"/>
  <c r="BE42" i="3"/>
  <c r="BF42" i="3"/>
  <c r="BG42" i="3"/>
  <c r="BH42" i="3"/>
  <c r="BE47" i="3"/>
  <c r="BH47" i="3"/>
  <c r="BK42" i="3"/>
  <c r="BL42" i="3"/>
  <c r="BM42" i="3"/>
  <c r="BN42" i="3"/>
  <c r="BK43" i="3"/>
  <c r="BL43" i="3"/>
  <c r="BM43" i="3"/>
  <c r="BK47" i="3"/>
  <c r="BL47" i="3"/>
  <c r="BM47" i="3"/>
  <c r="BQ42" i="3"/>
  <c r="BQ43" i="3"/>
  <c r="B47" i="3"/>
  <c r="B48" i="3"/>
  <c r="B50" i="3"/>
  <c r="C56" i="3"/>
  <c r="D56" i="3"/>
  <c r="E56" i="3"/>
  <c r="F56" i="3"/>
  <c r="I56" i="3"/>
  <c r="J56" i="3"/>
  <c r="K56" i="3"/>
  <c r="L56" i="3"/>
  <c r="O56" i="3"/>
  <c r="P56" i="3"/>
  <c r="Q56" i="3"/>
  <c r="R56" i="3"/>
  <c r="U56" i="3"/>
  <c r="V56" i="3"/>
  <c r="W56" i="3"/>
  <c r="X56" i="3"/>
  <c r="AA56" i="3"/>
  <c r="AB56" i="3"/>
  <c r="AC56" i="3"/>
  <c r="AD56" i="3"/>
  <c r="AG56" i="3"/>
  <c r="AH56" i="3"/>
  <c r="AI56" i="3"/>
  <c r="AJ56" i="3"/>
  <c r="AM56" i="3"/>
  <c r="AN56" i="3"/>
  <c r="AO56" i="3"/>
  <c r="AP56" i="3"/>
  <c r="AS56" i="3"/>
  <c r="AT59" i="3"/>
  <c r="AU56" i="3"/>
  <c r="AV56" i="3"/>
  <c r="AY56" i="3"/>
  <c r="AZ56" i="3"/>
  <c r="BA56" i="3"/>
  <c r="BB56" i="3"/>
  <c r="BG56" i="3"/>
  <c r="BH56" i="3"/>
  <c r="BT59" i="3"/>
  <c r="BU59" i="3" s="1"/>
  <c r="G57" i="3"/>
  <c r="G58" i="3"/>
  <c r="G59" i="3"/>
  <c r="G60" i="3"/>
  <c r="G61" i="3"/>
  <c r="G62" i="3"/>
  <c r="G63" i="3"/>
  <c r="G65" i="3"/>
  <c r="M57" i="3"/>
  <c r="M58" i="3"/>
  <c r="M59" i="3"/>
  <c r="M60" i="3"/>
  <c r="M61" i="3"/>
  <c r="M62" i="3"/>
  <c r="M63" i="3"/>
  <c r="M65" i="3"/>
  <c r="S57" i="3"/>
  <c r="S58" i="3"/>
  <c r="S59" i="3"/>
  <c r="S60" i="3"/>
  <c r="S61" i="3"/>
  <c r="S62" i="3"/>
  <c r="S63" i="3"/>
  <c r="S65" i="3"/>
  <c r="Y57" i="3"/>
  <c r="Y58" i="3"/>
  <c r="Y59" i="3"/>
  <c r="Y60" i="3"/>
  <c r="Y61" i="3"/>
  <c r="Y62" i="3"/>
  <c r="Y63" i="3"/>
  <c r="Y65" i="3"/>
  <c r="AE57" i="3"/>
  <c r="AE58" i="3"/>
  <c r="AE59" i="3"/>
  <c r="AE60" i="3"/>
  <c r="AE61" i="3"/>
  <c r="AE62" i="3"/>
  <c r="AE63" i="3"/>
  <c r="AE65" i="3"/>
  <c r="AK57" i="3"/>
  <c r="AK58" i="3"/>
  <c r="AK59" i="3"/>
  <c r="AK60" i="3"/>
  <c r="AK61" i="3"/>
  <c r="AK62" i="3"/>
  <c r="AK63" i="3"/>
  <c r="AK65" i="3"/>
  <c r="AQ57" i="3"/>
  <c r="AQ58" i="3"/>
  <c r="AQ59" i="3"/>
  <c r="AQ60" i="3"/>
  <c r="AQ61" i="3"/>
  <c r="AQ62" i="3"/>
  <c r="AQ63" i="3"/>
  <c r="AQ65" i="3"/>
  <c r="AW57" i="3"/>
  <c r="AW58" i="3"/>
  <c r="AW60" i="3"/>
  <c r="AW61" i="3"/>
  <c r="AW62" i="3"/>
  <c r="AW65" i="3"/>
  <c r="BC57" i="3"/>
  <c r="BC58" i="3"/>
  <c r="BC59" i="3"/>
  <c r="BC60" i="3"/>
  <c r="BC61" i="3"/>
  <c r="BC62" i="3"/>
  <c r="BC63" i="3"/>
  <c r="BC65" i="3"/>
  <c r="BI60" i="3"/>
  <c r="BI61" i="3"/>
  <c r="BI65" i="3"/>
  <c r="BO60" i="3"/>
  <c r="BO61" i="3"/>
  <c r="BO62" i="3"/>
  <c r="BO65" i="3"/>
  <c r="BU57" i="3"/>
  <c r="BU60" i="3"/>
  <c r="BU61" i="3"/>
  <c r="BU62" i="3"/>
  <c r="BU65" i="3"/>
  <c r="CA57" i="3"/>
  <c r="CA58" i="3"/>
  <c r="CA59" i="3"/>
  <c r="CA60" i="3"/>
  <c r="CA61" i="3"/>
  <c r="CA62" i="3"/>
  <c r="CA65" i="3"/>
  <c r="CG57" i="3"/>
  <c r="CG59" i="3"/>
  <c r="CG60" i="3"/>
  <c r="CG61" i="3"/>
  <c r="CG62" i="3"/>
  <c r="CG65" i="3"/>
  <c r="CM57" i="3"/>
  <c r="CM59" i="3"/>
  <c r="CM60" i="3"/>
  <c r="CM61" i="3"/>
  <c r="CM62" i="3"/>
  <c r="CM65" i="3"/>
  <c r="C70" i="3"/>
  <c r="C71" i="3"/>
  <c r="D71" i="3"/>
  <c r="E70" i="3" s="1"/>
  <c r="E71" i="3"/>
  <c r="F71" i="3"/>
  <c r="G71" i="3" s="1"/>
  <c r="I71" i="3"/>
  <c r="I82" i="3" s="1"/>
  <c r="J81" i="3" s="1"/>
  <c r="J71" i="3"/>
  <c r="K71" i="3"/>
  <c r="L70" i="3" s="1"/>
  <c r="L71" i="3"/>
  <c r="O71" i="3"/>
  <c r="O82" i="3" s="1"/>
  <c r="P81" i="3" s="1"/>
  <c r="P71" i="3"/>
  <c r="Q71" i="3"/>
  <c r="R70" i="3" s="1"/>
  <c r="R71" i="3"/>
  <c r="U71" i="3"/>
  <c r="V71" i="3"/>
  <c r="W70" i="3" s="1"/>
  <c r="W71" i="3"/>
  <c r="X70" i="3" s="1"/>
  <c r="X71" i="3"/>
  <c r="AA71" i="3"/>
  <c r="AB70" i="3" s="1"/>
  <c r="AB71" i="3"/>
  <c r="AC71" i="3"/>
  <c r="AD71" i="3"/>
  <c r="AE71" i="3" s="1"/>
  <c r="AG70" i="3" s="1"/>
  <c r="AK70" i="3" s="1"/>
  <c r="AG71" i="3"/>
  <c r="AH71" i="3"/>
  <c r="AI71" i="3"/>
  <c r="AI82" i="3" s="1"/>
  <c r="AJ81" i="3" s="1"/>
  <c r="AJ71" i="3"/>
  <c r="AK71" i="3" s="1"/>
  <c r="AM70" i="3" s="1"/>
  <c r="AQ70" i="3" s="1"/>
  <c r="AM71" i="3"/>
  <c r="AN70" i="3" s="1"/>
  <c r="AN71" i="3"/>
  <c r="AN82" i="3" s="1"/>
  <c r="AO81" i="3" s="1"/>
  <c r="AO71" i="3"/>
  <c r="AP71" i="3"/>
  <c r="AS71" i="3"/>
  <c r="AT71" i="3"/>
  <c r="AU71" i="3"/>
  <c r="AV70" i="3" s="1"/>
  <c r="AV71" i="3"/>
  <c r="AV82" i="3" s="1"/>
  <c r="AW82" i="3" s="1"/>
  <c r="AY71" i="3"/>
  <c r="AZ71" i="3"/>
  <c r="BA71" i="3"/>
  <c r="BB70" i="3" s="1"/>
  <c r="BB71" i="3"/>
  <c r="BC71" i="3" s="1"/>
  <c r="BE81" i="3" s="1"/>
  <c r="BI81" i="3" s="1"/>
  <c r="BE71" i="3"/>
  <c r="BF70" i="3" s="1"/>
  <c r="BF71" i="3"/>
  <c r="BF82" i="3" s="1"/>
  <c r="BG81" i="3" s="1"/>
  <c r="BG71" i="3"/>
  <c r="BH70" i="3" s="1"/>
  <c r="BH71" i="3"/>
  <c r="BI71" i="3" s="1"/>
  <c r="BK70" i="3" s="1"/>
  <c r="BO70" i="3" s="1"/>
  <c r="BK71" i="3"/>
  <c r="BL71" i="3"/>
  <c r="BM71" i="3"/>
  <c r="BN71" i="3"/>
  <c r="BO71" i="3" s="1"/>
  <c r="G75" i="3"/>
  <c r="E75" i="3" s="1"/>
  <c r="G76" i="3"/>
  <c r="D76" i="3" s="1"/>
  <c r="C76" i="3"/>
  <c r="G77" i="3"/>
  <c r="C77" i="3" s="1"/>
  <c r="M75" i="3"/>
  <c r="J75" i="3" s="1"/>
  <c r="M76" i="3"/>
  <c r="I76" i="3" s="1"/>
  <c r="M77" i="3"/>
  <c r="S75" i="3"/>
  <c r="S76" i="3"/>
  <c r="S77" i="3"/>
  <c r="Q77" i="3" s="1"/>
  <c r="R77" i="3"/>
  <c r="Y75" i="3"/>
  <c r="X75" i="3" s="1"/>
  <c r="Y76" i="3"/>
  <c r="V76" i="3" s="1"/>
  <c r="Y77" i="3"/>
  <c r="U77" i="3" s="1"/>
  <c r="AE75" i="3"/>
  <c r="AC75" i="3" s="1"/>
  <c r="AE76" i="3"/>
  <c r="AE77" i="3"/>
  <c r="AA77" i="3" s="1"/>
  <c r="AK75" i="3"/>
  <c r="AK76" i="3"/>
  <c r="AK77" i="3"/>
  <c r="AI77" i="3" s="1"/>
  <c r="AJ77" i="3"/>
  <c r="AQ75" i="3"/>
  <c r="AQ76" i="3"/>
  <c r="AM76" i="3"/>
  <c r="AQ77" i="3"/>
  <c r="AW75" i="3"/>
  <c r="AS75" i="3"/>
  <c r="AW76" i="3"/>
  <c r="AW77" i="3"/>
  <c r="AU77" i="3" s="1"/>
  <c r="BC75" i="3"/>
  <c r="BC76" i="3"/>
  <c r="BC77" i="3"/>
  <c r="BA77" i="3" s="1"/>
  <c r="BB77" i="3"/>
  <c r="BI75" i="3"/>
  <c r="BG75" i="3" s="1"/>
  <c r="BI76" i="3"/>
  <c r="BI77" i="3"/>
  <c r="BO75" i="3"/>
  <c r="BU75" i="3" s="1"/>
  <c r="BS75" i="3" s="1"/>
  <c r="BO76" i="3"/>
  <c r="BK76" i="3" s="1"/>
  <c r="BO77" i="3"/>
  <c r="BK77" i="3" s="1"/>
  <c r="C80" i="3"/>
  <c r="D80" i="3"/>
  <c r="E80" i="3"/>
  <c r="F80" i="3"/>
  <c r="G80" i="3"/>
  <c r="I80" i="3"/>
  <c r="J80" i="3"/>
  <c r="K80" i="3"/>
  <c r="L80" i="3"/>
  <c r="M80" i="3"/>
  <c r="O80" i="3"/>
  <c r="P80" i="3"/>
  <c r="Q80" i="3"/>
  <c r="R80" i="3"/>
  <c r="S80" i="3"/>
  <c r="U80" i="3"/>
  <c r="V80" i="3"/>
  <c r="W80" i="3"/>
  <c r="X80" i="3"/>
  <c r="Y80" i="3"/>
  <c r="AA80" i="3"/>
  <c r="AB80" i="3"/>
  <c r="AC80" i="3"/>
  <c r="AD80" i="3"/>
  <c r="AE80" i="3"/>
  <c r="AG80" i="3"/>
  <c r="AH80" i="3"/>
  <c r="AI80" i="3"/>
  <c r="AJ80" i="3"/>
  <c r="AK80" i="3"/>
  <c r="AM80" i="3"/>
  <c r="AN80" i="3"/>
  <c r="AO80" i="3"/>
  <c r="AP80" i="3"/>
  <c r="AQ80" i="3"/>
  <c r="AS80" i="3"/>
  <c r="AT80" i="3"/>
  <c r="AU80" i="3"/>
  <c r="AV80" i="3"/>
  <c r="AW80" i="3"/>
  <c r="AY80" i="3"/>
  <c r="AZ80" i="3"/>
  <c r="BA80" i="3"/>
  <c r="BB80" i="3"/>
  <c r="BC80" i="3"/>
  <c r="BE80" i="3"/>
  <c r="BF80" i="3"/>
  <c r="BG80" i="3"/>
  <c r="BH80" i="3"/>
  <c r="BI80" i="3"/>
  <c r="BK80" i="3"/>
  <c r="BL80" i="3"/>
  <c r="BM80" i="3"/>
  <c r="BN80" i="3"/>
  <c r="BO80" i="3"/>
  <c r="BQ80" i="3"/>
  <c r="BE87" i="3"/>
  <c r="BK87" i="3"/>
  <c r="S116" i="3"/>
  <c r="M116" i="3" s="1"/>
  <c r="AE116" i="3"/>
  <c r="S118" i="3"/>
  <c r="AE118" i="3"/>
  <c r="AK118" i="3" s="1"/>
  <c r="BN120" i="3"/>
  <c r="BN121" i="3" s="1"/>
  <c r="BQ120" i="3"/>
  <c r="BQ121" i="3" s="1"/>
  <c r="AQ173" i="3"/>
  <c r="G169" i="3"/>
  <c r="M169" i="3"/>
  <c r="S169" i="3"/>
  <c r="Y169" i="3"/>
  <c r="AE169" i="3"/>
  <c r="AK169" i="3"/>
  <c r="AQ158" i="3"/>
  <c r="AQ164" i="3" s="1"/>
  <c r="AQ169" i="3"/>
  <c r="AY166" i="3"/>
  <c r="AZ166" i="3"/>
  <c r="BA166" i="3"/>
  <c r="BB158" i="3"/>
  <c r="BB166" i="3" s="1"/>
  <c r="AY169" i="3"/>
  <c r="AZ169" i="3"/>
  <c r="BA169" i="3"/>
  <c r="BA132" i="3" s="1"/>
  <c r="BB160" i="3"/>
  <c r="BB169" i="3" s="1"/>
  <c r="BF166" i="3"/>
  <c r="BF131" i="3" s="1"/>
  <c r="BG166" i="3"/>
  <c r="BG131" i="3" s="1"/>
  <c r="BH158" i="3"/>
  <c r="BF169" i="3"/>
  <c r="BF132" i="3" s="1"/>
  <c r="BG169" i="3"/>
  <c r="BG132" i="3" s="1"/>
  <c r="BH160" i="3"/>
  <c r="C128" i="3"/>
  <c r="C129" i="3" s="1"/>
  <c r="D128" i="3"/>
  <c r="D129" i="3" s="1"/>
  <c r="E128" i="3"/>
  <c r="E129" i="3" s="1"/>
  <c r="F128" i="3"/>
  <c r="F129" i="3" s="1"/>
  <c r="I128" i="3"/>
  <c r="I129" i="3" s="1"/>
  <c r="J128" i="3"/>
  <c r="J129" i="3" s="1"/>
  <c r="K128" i="3"/>
  <c r="K129" i="3" s="1"/>
  <c r="L128" i="3"/>
  <c r="L129" i="3" s="1"/>
  <c r="O128" i="3"/>
  <c r="O129" i="3" s="1"/>
  <c r="P128" i="3"/>
  <c r="P129" i="3" s="1"/>
  <c r="Q128" i="3"/>
  <c r="Q129" i="3" s="1"/>
  <c r="R128" i="3"/>
  <c r="R129" i="3" s="1"/>
  <c r="U128" i="3"/>
  <c r="U129" i="3" s="1"/>
  <c r="V128" i="3"/>
  <c r="V129" i="3" s="1"/>
  <c r="W128" i="3"/>
  <c r="W129" i="3" s="1"/>
  <c r="X128" i="3"/>
  <c r="X129" i="3" s="1"/>
  <c r="AA128" i="3"/>
  <c r="AA129" i="3" s="1"/>
  <c r="AB128" i="3"/>
  <c r="AB129" i="3" s="1"/>
  <c r="AC128" i="3"/>
  <c r="AC129" i="3" s="1"/>
  <c r="AD128" i="3"/>
  <c r="AD129" i="3" s="1"/>
  <c r="AG128" i="3"/>
  <c r="AG129" i="3" s="1"/>
  <c r="AH128" i="3"/>
  <c r="AH129" i="3" s="1"/>
  <c r="AI128" i="3"/>
  <c r="AI129" i="3" s="1"/>
  <c r="AJ128" i="3"/>
  <c r="AJ129" i="3" s="1"/>
  <c r="AN128" i="3"/>
  <c r="AN129" i="3" s="1"/>
  <c r="AO128" i="3"/>
  <c r="AO129" i="3" s="1"/>
  <c r="AP128" i="3"/>
  <c r="AP129" i="3" s="1"/>
  <c r="AS128" i="3"/>
  <c r="AS129" i="3" s="1"/>
  <c r="AM131" i="3"/>
  <c r="AN131" i="3"/>
  <c r="AO131" i="3"/>
  <c r="AP131" i="3"/>
  <c r="AM132" i="3"/>
  <c r="AN132" i="3"/>
  <c r="AO132" i="3"/>
  <c r="AP132" i="3"/>
  <c r="AM133" i="3"/>
  <c r="AN133" i="3"/>
  <c r="AO133" i="3"/>
  <c r="AP133" i="3"/>
  <c r="AS131" i="3"/>
  <c r="AT131" i="3"/>
  <c r="AU131" i="3"/>
  <c r="AV131" i="3"/>
  <c r="AS132" i="3"/>
  <c r="AT132" i="3"/>
  <c r="AU132" i="3"/>
  <c r="AV132" i="3"/>
  <c r="AS133" i="3"/>
  <c r="AT133" i="3"/>
  <c r="AU133" i="3"/>
  <c r="AV133" i="3"/>
  <c r="AY172" i="3"/>
  <c r="AZ172" i="3"/>
  <c r="BA172" i="3"/>
  <c r="BB162" i="3"/>
  <c r="BE172" i="3"/>
  <c r="BE133" i="3" s="1"/>
  <c r="BF172" i="3"/>
  <c r="BG172" i="3"/>
  <c r="BH162" i="3"/>
  <c r="BK172" i="3"/>
  <c r="BK133" i="3" s="1"/>
  <c r="BL172" i="3"/>
  <c r="BL173" i="3" s="1"/>
  <c r="BM172" i="3"/>
  <c r="BN162" i="3"/>
  <c r="AQ139" i="3"/>
  <c r="AW139" i="3"/>
  <c r="BC139" i="3"/>
  <c r="BI139" i="3"/>
  <c r="BO139" i="3"/>
  <c r="BC148" i="3"/>
  <c r="BC150" i="3"/>
  <c r="BC152" i="3"/>
  <c r="BI148" i="3"/>
  <c r="BI150" i="3"/>
  <c r="BI152" i="3"/>
  <c r="BO148" i="3"/>
  <c r="BO150" i="3"/>
  <c r="BO152" i="3"/>
  <c r="AQ150" i="3"/>
  <c r="AQ152" i="3"/>
  <c r="AW148" i="3"/>
  <c r="AW150" i="3"/>
  <c r="AW152" i="3"/>
  <c r="AY164" i="3"/>
  <c r="AZ164" i="3"/>
  <c r="BA164" i="3"/>
  <c r="BE164" i="3"/>
  <c r="BF164" i="3"/>
  <c r="BG164" i="3"/>
  <c r="BI164" i="3"/>
  <c r="BK164" i="3"/>
  <c r="BL164" i="3"/>
  <c r="BM164" i="3"/>
  <c r="BO164" i="3"/>
  <c r="G164" i="3"/>
  <c r="M164" i="3"/>
  <c r="S164" i="3"/>
  <c r="Y164" i="3"/>
  <c r="AE164" i="3"/>
  <c r="BC164" i="3"/>
  <c r="AW164" i="3"/>
  <c r="BQ164" i="3"/>
  <c r="AK164" i="3"/>
  <c r="I198" i="3"/>
  <c r="J198" i="3"/>
  <c r="K198" i="3"/>
  <c r="L198" i="3"/>
  <c r="O198" i="3"/>
  <c r="P198" i="3"/>
  <c r="Q198" i="3"/>
  <c r="R198" i="3"/>
  <c r="U198" i="3"/>
  <c r="V198" i="3"/>
  <c r="W198" i="3"/>
  <c r="X198" i="3"/>
  <c r="AA198" i="3"/>
  <c r="AB198" i="3"/>
  <c r="AC198" i="3"/>
  <c r="AD198" i="3"/>
  <c r="AG198" i="3"/>
  <c r="AH198" i="3"/>
  <c r="AI198" i="3"/>
  <c r="AJ198" i="3"/>
  <c r="AM198" i="3"/>
  <c r="AN198" i="3"/>
  <c r="AO198" i="3"/>
  <c r="AP198" i="3"/>
  <c r="AS198" i="3"/>
  <c r="AT198" i="3"/>
  <c r="AU198" i="3"/>
  <c r="AV198" i="3"/>
  <c r="AY198" i="3"/>
  <c r="AZ198" i="3"/>
  <c r="BA198" i="3"/>
  <c r="BB198" i="3"/>
  <c r="BE198" i="3"/>
  <c r="BF198" i="3"/>
  <c r="BG198" i="3"/>
  <c r="BH198" i="3"/>
  <c r="BK198" i="3"/>
  <c r="BL198" i="3"/>
  <c r="BM198" i="3"/>
  <c r="BN198" i="3"/>
  <c r="BQ198" i="3"/>
  <c r="BR198" i="3"/>
  <c r="BS198" i="3"/>
  <c r="BT198" i="3"/>
  <c r="BW198" i="3"/>
  <c r="BX198" i="3"/>
  <c r="BY198" i="3"/>
  <c r="BZ198" i="3"/>
  <c r="CC198" i="3"/>
  <c r="CD198" i="3"/>
  <c r="CE198" i="3"/>
  <c r="CF198" i="3"/>
  <c r="CI198" i="3"/>
  <c r="CJ198" i="3"/>
  <c r="CK198" i="3"/>
  <c r="CL198" i="3"/>
  <c r="C183" i="3"/>
  <c r="D183" i="3"/>
  <c r="E183" i="3"/>
  <c r="F183" i="3"/>
  <c r="C185" i="3"/>
  <c r="D185" i="3"/>
  <c r="E185" i="3"/>
  <c r="F185" i="3"/>
  <c r="I185" i="3"/>
  <c r="J185" i="3"/>
  <c r="K185" i="3"/>
  <c r="L185" i="3"/>
  <c r="O185" i="3"/>
  <c r="P185" i="3"/>
  <c r="Q185" i="3"/>
  <c r="R185" i="3"/>
  <c r="U185" i="3"/>
  <c r="V185" i="3"/>
  <c r="W185" i="3"/>
  <c r="X185" i="3"/>
  <c r="AA185" i="3"/>
  <c r="AB185" i="3"/>
  <c r="AC185" i="3"/>
  <c r="AD185" i="3"/>
  <c r="AG185" i="3"/>
  <c r="AH185" i="3"/>
  <c r="AI185" i="3"/>
  <c r="AJ185" i="3"/>
  <c r="AM185" i="3"/>
  <c r="AN185" i="3"/>
  <c r="AO185" i="3"/>
  <c r="AP185" i="3"/>
  <c r="AS185" i="3"/>
  <c r="AT185" i="3"/>
  <c r="AU185" i="3"/>
  <c r="AV185" i="3"/>
  <c r="AY185" i="3"/>
  <c r="AZ185" i="3"/>
  <c r="BA185" i="3"/>
  <c r="BB185" i="3"/>
  <c r="BE185" i="3"/>
  <c r="BF185" i="3"/>
  <c r="BG185" i="3"/>
  <c r="BH185" i="3"/>
  <c r="BK185" i="3"/>
  <c r="BL185" i="3"/>
  <c r="BM185" i="3"/>
  <c r="BN185" i="3"/>
  <c r="BQ185" i="3"/>
  <c r="BX186" i="3"/>
  <c r="C187" i="3"/>
  <c r="D187" i="3"/>
  <c r="E187" i="3"/>
  <c r="F187" i="3"/>
  <c r="I187" i="3"/>
  <c r="J187" i="3"/>
  <c r="K187" i="3"/>
  <c r="L187" i="3"/>
  <c r="O187" i="3"/>
  <c r="P187" i="3"/>
  <c r="Q187" i="3"/>
  <c r="R187" i="3"/>
  <c r="U187" i="3"/>
  <c r="V187" i="3"/>
  <c r="W187" i="3"/>
  <c r="X187" i="3"/>
  <c r="AA187" i="3"/>
  <c r="AB187" i="3"/>
  <c r="AC187" i="3"/>
  <c r="AD187" i="3"/>
  <c r="AG187" i="3"/>
  <c r="AH187" i="3"/>
  <c r="AI187" i="3"/>
  <c r="AJ187" i="3"/>
  <c r="AM187" i="3"/>
  <c r="AN187" i="3"/>
  <c r="AO187" i="3"/>
  <c r="AP187" i="3"/>
  <c r="AS187" i="3"/>
  <c r="AT187" i="3"/>
  <c r="AU187" i="3"/>
  <c r="AV187" i="3"/>
  <c r="AY187" i="3"/>
  <c r="AZ187" i="3"/>
  <c r="BA187" i="3"/>
  <c r="BB187" i="3"/>
  <c r="BE187" i="3"/>
  <c r="BF187" i="3"/>
  <c r="BG187" i="3"/>
  <c r="BH187" i="3"/>
  <c r="BK187" i="3"/>
  <c r="BL187" i="3"/>
  <c r="BM187" i="3"/>
  <c r="BN187" i="3"/>
  <c r="BQ187" i="3"/>
  <c r="C189" i="3"/>
  <c r="D189" i="3"/>
  <c r="E189" i="3"/>
  <c r="F189" i="3"/>
  <c r="I189" i="3"/>
  <c r="J189" i="3"/>
  <c r="K189" i="3"/>
  <c r="L189" i="3"/>
  <c r="O189" i="3"/>
  <c r="P189" i="3"/>
  <c r="Q189" i="3"/>
  <c r="R189" i="3"/>
  <c r="U189" i="3"/>
  <c r="V189" i="3"/>
  <c r="W189" i="3"/>
  <c r="X189" i="3"/>
  <c r="AA189" i="3"/>
  <c r="AB189" i="3"/>
  <c r="AC189" i="3"/>
  <c r="AD189" i="3"/>
  <c r="AG189" i="3"/>
  <c r="AH189" i="3"/>
  <c r="AI189" i="3"/>
  <c r="AJ189" i="3"/>
  <c r="AM189" i="3"/>
  <c r="AN189" i="3"/>
  <c r="AO189" i="3"/>
  <c r="AP189" i="3"/>
  <c r="AS189" i="3"/>
  <c r="AT189" i="3"/>
  <c r="AU189" i="3"/>
  <c r="AV189" i="3"/>
  <c r="AY189" i="3"/>
  <c r="AZ189" i="3"/>
  <c r="BA189" i="3"/>
  <c r="BB189" i="3"/>
  <c r="BE189" i="3"/>
  <c r="BF189" i="3"/>
  <c r="BG189" i="3"/>
  <c r="BH189" i="3"/>
  <c r="BK189" i="3"/>
  <c r="BL189" i="3"/>
  <c r="BM189" i="3"/>
  <c r="BN189" i="3"/>
  <c r="BQ189" i="3"/>
  <c r="G182" i="3"/>
  <c r="G184" i="3"/>
  <c r="G186" i="3"/>
  <c r="G188" i="3"/>
  <c r="G190" i="3"/>
  <c r="M184" i="3"/>
  <c r="M186" i="3"/>
  <c r="M188" i="3"/>
  <c r="M190" i="3"/>
  <c r="S184" i="3"/>
  <c r="S186" i="3"/>
  <c r="S188" i="3"/>
  <c r="S190" i="3"/>
  <c r="Y184" i="3"/>
  <c r="Y186" i="3"/>
  <c r="Y188" i="3"/>
  <c r="Y190" i="3"/>
  <c r="AE184" i="3"/>
  <c r="AE186" i="3"/>
  <c r="AE188" i="3"/>
  <c r="AE190" i="3"/>
  <c r="AK184" i="3"/>
  <c r="AK186" i="3"/>
  <c r="AK188" i="3"/>
  <c r="AK190" i="3"/>
  <c r="AQ184" i="3"/>
  <c r="AQ186" i="3"/>
  <c r="AQ188" i="3"/>
  <c r="AQ190" i="3"/>
  <c r="AW184" i="3"/>
  <c r="AW186" i="3"/>
  <c r="AW188" i="3"/>
  <c r="AW190" i="3"/>
  <c r="BC184" i="3"/>
  <c r="BC186" i="3"/>
  <c r="BC188" i="3"/>
  <c r="BC190" i="3"/>
  <c r="BI184" i="3"/>
  <c r="BI186" i="3"/>
  <c r="BI188" i="3"/>
  <c r="BI190" i="3"/>
  <c r="BO184" i="3"/>
  <c r="BO186" i="3"/>
  <c r="BO188" i="3"/>
  <c r="BO190" i="3"/>
  <c r="BU184" i="3"/>
  <c r="BU186" i="3"/>
  <c r="BU188" i="3"/>
  <c r="BU190" i="3"/>
  <c r="CA184" i="3"/>
  <c r="CA188" i="3"/>
  <c r="CA190" i="3"/>
  <c r="CG184" i="3"/>
  <c r="CG186" i="3"/>
  <c r="CG188" i="3"/>
  <c r="CG190" i="3"/>
  <c r="CM184" i="3"/>
  <c r="CM186" i="3"/>
  <c r="CM188" i="3"/>
  <c r="CM190" i="3"/>
  <c r="C191" i="3"/>
  <c r="D191" i="3"/>
  <c r="E191" i="3"/>
  <c r="F191" i="3"/>
  <c r="I191" i="3"/>
  <c r="J191" i="3"/>
  <c r="K191" i="3"/>
  <c r="L191" i="3"/>
  <c r="O191" i="3"/>
  <c r="P191" i="3"/>
  <c r="Q191" i="3"/>
  <c r="R191" i="3"/>
  <c r="U191" i="3"/>
  <c r="V191" i="3"/>
  <c r="W191" i="3"/>
  <c r="X191" i="3"/>
  <c r="AA191" i="3"/>
  <c r="AB191" i="3"/>
  <c r="AC191" i="3"/>
  <c r="AD191" i="3"/>
  <c r="AG191" i="3"/>
  <c r="AH191" i="3"/>
  <c r="AI191" i="3"/>
  <c r="AJ191" i="3"/>
  <c r="AM191" i="3"/>
  <c r="AN191" i="3"/>
  <c r="AO191" i="3"/>
  <c r="AP191" i="3"/>
  <c r="AS191" i="3"/>
  <c r="AT191" i="3"/>
  <c r="AU191" i="3"/>
  <c r="AV191" i="3"/>
  <c r="AY191" i="3"/>
  <c r="AZ191" i="3"/>
  <c r="BA191" i="3"/>
  <c r="BB191" i="3"/>
  <c r="BE191" i="3"/>
  <c r="BF191" i="3"/>
  <c r="BG191" i="3"/>
  <c r="BH191" i="3"/>
  <c r="BK191" i="3"/>
  <c r="BL191" i="3"/>
  <c r="BM191" i="3"/>
  <c r="BN191" i="3"/>
  <c r="BQ191" i="3"/>
  <c r="C198" i="3"/>
  <c r="D198" i="3"/>
  <c r="E198" i="3"/>
  <c r="F198" i="3"/>
  <c r="BI199" i="3"/>
  <c r="BO199" i="3"/>
  <c r="BS82" i="51" l="1"/>
  <c r="BS79" i="51"/>
  <c r="BS81" i="51"/>
  <c r="BS83" i="51" s="1"/>
  <c r="BM188" i="51"/>
  <c r="BS32" i="51"/>
  <c r="BS29" i="51"/>
  <c r="BS31" i="51" s="1"/>
  <c r="BS30" i="51"/>
  <c r="BS76" i="106"/>
  <c r="BS74" i="106"/>
  <c r="BY74" i="106" s="1"/>
  <c r="CE74" i="106" s="1"/>
  <c r="CK74" i="106" s="1"/>
  <c r="BS75" i="106"/>
  <c r="AL63" i="29"/>
  <c r="AL59" i="29"/>
  <c r="AM59" i="29"/>
  <c r="AM53" i="29"/>
  <c r="AX60" i="29"/>
  <c r="BQ45" i="29"/>
  <c r="BQ58" i="29" s="1"/>
  <c r="BS48" i="3"/>
  <c r="AM152" i="51"/>
  <c r="AU198" i="51"/>
  <c r="AS198" i="51"/>
  <c r="I180" i="51"/>
  <c r="BM47" i="29"/>
  <c r="BJ41" i="29"/>
  <c r="BL44" i="29"/>
  <c r="AD73" i="107"/>
  <c r="AR53" i="118"/>
  <c r="AR49" i="118"/>
  <c r="AM182" i="51"/>
  <c r="F182" i="51"/>
  <c r="AM185" i="51"/>
  <c r="AV198" i="51"/>
  <c r="AY150" i="51"/>
  <c r="AY161" i="3" s="1"/>
  <c r="AY188" i="51"/>
  <c r="AD181" i="51"/>
  <c r="AW128" i="51"/>
  <c r="AA149" i="51"/>
  <c r="AA44" i="3"/>
  <c r="AY187" i="51"/>
  <c r="AD180" i="51"/>
  <c r="AH180" i="51"/>
  <c r="BH182" i="51"/>
  <c r="X149" i="51"/>
  <c r="BA149" i="51"/>
  <c r="BA159" i="3" s="1"/>
  <c r="F180" i="51"/>
  <c r="BG188" i="51"/>
  <c r="AZ181" i="51"/>
  <c r="J13" i="3"/>
  <c r="J150" i="106" s="1"/>
  <c r="AX51" i="118"/>
  <c r="BN82" i="3"/>
  <c r="BO82" i="3" s="1"/>
  <c r="BK74" i="51"/>
  <c r="AJ188" i="51"/>
  <c r="AW209" i="51"/>
  <c r="AV209" i="51" s="1"/>
  <c r="AI44" i="3"/>
  <c r="I190" i="51"/>
  <c r="AU149" i="51"/>
  <c r="W189" i="51"/>
  <c r="AJ152" i="51"/>
  <c r="R181" i="51"/>
  <c r="AJ189" i="51"/>
  <c r="AU180" i="51"/>
  <c r="L182" i="51"/>
  <c r="AA82" i="3"/>
  <c r="AB81" i="3" s="1"/>
  <c r="AT15" i="118"/>
  <c r="AX31" i="118" s="1"/>
  <c r="AN185" i="51"/>
  <c r="X180" i="51"/>
  <c r="C180" i="51"/>
  <c r="I149" i="51"/>
  <c r="BU18" i="51"/>
  <c r="AN44" i="3"/>
  <c r="AH187" i="51"/>
  <c r="Q188" i="51"/>
  <c r="J188" i="51"/>
  <c r="P180" i="51"/>
  <c r="AT13" i="118"/>
  <c r="AX29" i="118" s="1"/>
  <c r="CJ26" i="51"/>
  <c r="BB163" i="3"/>
  <c r="AH189" i="51"/>
  <c r="AG181" i="51"/>
  <c r="X182" i="51"/>
  <c r="AH152" i="51"/>
  <c r="C149" i="51"/>
  <c r="S106" i="51"/>
  <c r="BR82" i="51"/>
  <c r="BR79" i="51"/>
  <c r="BR81" i="51"/>
  <c r="BR32" i="51"/>
  <c r="BR30" i="51"/>
  <c r="BR29" i="51"/>
  <c r="BB33" i="3"/>
  <c r="AS120" i="3"/>
  <c r="AS121" i="3" s="1"/>
  <c r="BR74" i="106"/>
  <c r="BX74" i="106" s="1"/>
  <c r="CD74" i="106" s="1"/>
  <c r="CJ74" i="106" s="1"/>
  <c r="BR75" i="106"/>
  <c r="BX75" i="106" s="1"/>
  <c r="BR76" i="106"/>
  <c r="BX76" i="106" s="1"/>
  <c r="CA88" i="107"/>
  <c r="AJ72" i="107"/>
  <c r="BO149" i="106"/>
  <c r="BR48" i="3"/>
  <c r="BR70" i="3"/>
  <c r="AS36" i="3"/>
  <c r="AS150" i="106"/>
  <c r="BI149" i="106"/>
  <c r="BR75" i="3"/>
  <c r="Y99" i="51"/>
  <c r="AP189" i="51"/>
  <c r="AH44" i="3"/>
  <c r="AK17" i="118"/>
  <c r="T17" i="118"/>
  <c r="AM44" i="3"/>
  <c r="AM180" i="51"/>
  <c r="F181" i="51"/>
  <c r="V17" i="118"/>
  <c r="Y135" i="51"/>
  <c r="AQ49" i="118"/>
  <c r="BE24" i="51"/>
  <c r="AP17" i="118"/>
  <c r="BK187" i="51"/>
  <c r="BT194" i="51"/>
  <c r="BQ182" i="51"/>
  <c r="AE15" i="51"/>
  <c r="V189" i="51"/>
  <c r="J189" i="51"/>
  <c r="AH181" i="51"/>
  <c r="BQ44" i="3"/>
  <c r="AD17" i="118"/>
  <c r="V152" i="51"/>
  <c r="AW98" i="51"/>
  <c r="AW99" i="51" s="1"/>
  <c r="BS151" i="106"/>
  <c r="CE158" i="106"/>
  <c r="CF34" i="106"/>
  <c r="CE16" i="107"/>
  <c r="AS33" i="3"/>
  <c r="CF35" i="106"/>
  <c r="CF159" i="106" s="1"/>
  <c r="AD59" i="118"/>
  <c r="R59" i="118"/>
  <c r="AE44" i="3"/>
  <c r="AY198" i="51"/>
  <c r="BM187" i="51"/>
  <c r="V188" i="51"/>
  <c r="AZ182" i="51"/>
  <c r="AZ180" i="51"/>
  <c r="AM181" i="51"/>
  <c r="AB182" i="51"/>
  <c r="AB181" i="51"/>
  <c r="AB180" i="51"/>
  <c r="W181" i="51"/>
  <c r="R182" i="51"/>
  <c r="D182" i="51"/>
  <c r="AM149" i="51"/>
  <c r="AM154" i="51" s="1"/>
  <c r="O142" i="51"/>
  <c r="O144" i="51" s="1"/>
  <c r="AS128" i="51"/>
  <c r="W113" i="51"/>
  <c r="W115" i="51" s="1"/>
  <c r="AZ149" i="51"/>
  <c r="AZ159" i="3" s="1"/>
  <c r="BM150" i="51"/>
  <c r="BM161" i="3" s="1"/>
  <c r="CK87" i="51"/>
  <c r="V59" i="118"/>
  <c r="J59" i="118"/>
  <c r="F59" i="118"/>
  <c r="BU16" i="51"/>
  <c r="AK187" i="3"/>
  <c r="BL48" i="3"/>
  <c r="AQ185" i="3"/>
  <c r="S185" i="3"/>
  <c r="AK191" i="3"/>
  <c r="AS30" i="118"/>
  <c r="M106" i="51"/>
  <c r="BI63" i="51"/>
  <c r="BL120" i="3"/>
  <c r="BL121" i="3" s="1"/>
  <c r="AU82" i="3"/>
  <c r="AV81" i="3" s="1"/>
  <c r="BG34" i="3"/>
  <c r="BQ13" i="3"/>
  <c r="AK42" i="3"/>
  <c r="AJ195" i="51"/>
  <c r="AA69" i="118"/>
  <c r="W69" i="118"/>
  <c r="G69" i="118"/>
  <c r="CJ22" i="51"/>
  <c r="Z69" i="118"/>
  <c r="H69" i="118"/>
  <c r="AK189" i="3"/>
  <c r="AK185" i="3"/>
  <c r="AE185" i="3"/>
  <c r="J120" i="3"/>
  <c r="J121" i="3" s="1"/>
  <c r="AS20" i="3"/>
  <c r="AS179" i="3"/>
  <c r="BK169" i="3"/>
  <c r="BK132" i="3" s="1"/>
  <c r="BE82" i="3"/>
  <c r="BF81" i="3" s="1"/>
  <c r="AQ191" i="3"/>
  <c r="BE82" i="51"/>
  <c r="AW21" i="51"/>
  <c r="AW22" i="51" s="1"/>
  <c r="AR74" i="118"/>
  <c r="AR71" i="118"/>
  <c r="AW70" i="118"/>
  <c r="AV70" i="118"/>
  <c r="AV81" i="118" s="1"/>
  <c r="AJ72" i="118"/>
  <c r="AK70" i="118"/>
  <c r="AH70" i="118"/>
  <c r="AD69" i="118"/>
  <c r="V49" i="118"/>
  <c r="Z59" i="118" s="1"/>
  <c r="V69" i="118"/>
  <c r="BC16" i="118"/>
  <c r="BE12" i="118"/>
  <c r="BE10" i="118"/>
  <c r="BE26" i="118" s="1"/>
  <c r="AV8" i="118"/>
  <c r="AP8" i="118"/>
  <c r="AT24" i="118" s="1"/>
  <c r="AQ7" i="118"/>
  <c r="AI6" i="118"/>
  <c r="AI22" i="118" s="1"/>
  <c r="AH195" i="51"/>
  <c r="O185" i="51"/>
  <c r="M92" i="51"/>
  <c r="CG153" i="51"/>
  <c r="AZ26" i="118"/>
  <c r="AM29" i="51"/>
  <c r="X69" i="118"/>
  <c r="BB71" i="118"/>
  <c r="AT74" i="118"/>
  <c r="AU72" i="118"/>
  <c r="K49" i="118"/>
  <c r="O59" i="118" s="1"/>
  <c r="AP13" i="118"/>
  <c r="AP29" i="118" s="1"/>
  <c r="AJ9" i="118"/>
  <c r="BE6" i="118"/>
  <c r="AU6" i="118"/>
  <c r="AK8" i="118"/>
  <c r="AK24" i="118" s="1"/>
  <c r="M187" i="3"/>
  <c r="G187" i="3"/>
  <c r="AS134" i="3"/>
  <c r="AS135" i="3" s="1"/>
  <c r="AM81" i="3"/>
  <c r="AQ81" i="3" s="1"/>
  <c r="AJ82" i="3"/>
  <c r="AK82" i="3" s="1"/>
  <c r="AW71" i="3"/>
  <c r="AY70" i="3" s="1"/>
  <c r="BC70" i="3" s="1"/>
  <c r="BG33" i="3"/>
  <c r="AQ42" i="3"/>
  <c r="M189" i="3"/>
  <c r="BC42" i="3"/>
  <c r="AE134" i="106"/>
  <c r="BM132" i="3"/>
  <c r="AY132" i="3"/>
  <c r="BA131" i="3"/>
  <c r="BE173" i="3"/>
  <c r="AW191" i="3"/>
  <c r="G189" i="3"/>
  <c r="BC140" i="3"/>
  <c r="BA140" i="3" s="1"/>
  <c r="BA139" i="3" s="1"/>
  <c r="K120" i="3"/>
  <c r="K121" i="3" s="1"/>
  <c r="AO70" i="3"/>
  <c r="BK166" i="3"/>
  <c r="BK167" i="3" s="1"/>
  <c r="AQ189" i="3"/>
  <c r="M191" i="3"/>
  <c r="M185" i="3"/>
  <c r="G185" i="3"/>
  <c r="AQ140" i="3"/>
  <c r="AM140" i="3" s="1"/>
  <c r="AM139" i="3" s="1"/>
  <c r="AW42" i="3"/>
  <c r="BC191" i="3"/>
  <c r="AQ187" i="3"/>
  <c r="BK120" i="3"/>
  <c r="BK121" i="3" s="1"/>
  <c r="BG13" i="3"/>
  <c r="P48" i="3"/>
  <c r="BK72" i="107"/>
  <c r="AJ73" i="107"/>
  <c r="CK41" i="106"/>
  <c r="CJ96" i="106"/>
  <c r="BF77" i="3"/>
  <c r="BG77" i="3"/>
  <c r="D76" i="106"/>
  <c r="D74" i="106"/>
  <c r="D75" i="106"/>
  <c r="CK7" i="3"/>
  <c r="BW151" i="51"/>
  <c r="AZ12" i="118"/>
  <c r="AZ28" i="118" s="1"/>
  <c r="BI54" i="51"/>
  <c r="AV7" i="118"/>
  <c r="AV23" i="118" s="1"/>
  <c r="R66" i="29"/>
  <c r="AZ69" i="107"/>
  <c r="BA69" i="107"/>
  <c r="AC44" i="3"/>
  <c r="AA13" i="3"/>
  <c r="AA150" i="106" s="1"/>
  <c r="AZ98" i="107"/>
  <c r="AZ89" i="106"/>
  <c r="AP10" i="3"/>
  <c r="AV48" i="3" s="1"/>
  <c r="AP97" i="107"/>
  <c r="AP99" i="107" s="1"/>
  <c r="AP101" i="107" s="1"/>
  <c r="AP76" i="106"/>
  <c r="AP75" i="106"/>
  <c r="AP32" i="3"/>
  <c r="AY12" i="118"/>
  <c r="AY28" i="118" s="1"/>
  <c r="O181" i="51"/>
  <c r="O149" i="51"/>
  <c r="J49" i="118"/>
  <c r="BU11" i="51"/>
  <c r="AP66" i="29"/>
  <c r="BB46" i="3"/>
  <c r="BC22" i="3"/>
  <c r="AJ66" i="29"/>
  <c r="L66" i="29"/>
  <c r="AE34" i="3"/>
  <c r="AE98" i="107"/>
  <c r="AE89" i="106"/>
  <c r="S34" i="3"/>
  <c r="S98" i="107"/>
  <c r="S89" i="106"/>
  <c r="BM120" i="3"/>
  <c r="BM121" i="3" s="1"/>
  <c r="BM33" i="3"/>
  <c r="BM198" i="51"/>
  <c r="AP74" i="118"/>
  <c r="AN74" i="118"/>
  <c r="BW32" i="51"/>
  <c r="BQ149" i="51"/>
  <c r="BQ159" i="3" s="1"/>
  <c r="AT49" i="118"/>
  <c r="BE182" i="51"/>
  <c r="AL49" i="118"/>
  <c r="V181" i="51"/>
  <c r="K149" i="51"/>
  <c r="L69" i="118"/>
  <c r="AL8" i="118"/>
  <c r="AL24" i="118" s="1"/>
  <c r="AS72" i="118"/>
  <c r="AS8" i="118"/>
  <c r="AW24" i="118" s="1"/>
  <c r="BC11" i="51"/>
  <c r="M8" i="51"/>
  <c r="BB74" i="118"/>
  <c r="BB89" i="118" s="1"/>
  <c r="AT17" i="118"/>
  <c r="AP16" i="118"/>
  <c r="AT32" i="118" s="1"/>
  <c r="CF41" i="107"/>
  <c r="CG41" i="107" s="1"/>
  <c r="AT72" i="107"/>
  <c r="AT71" i="107"/>
  <c r="Q82" i="3"/>
  <c r="R81" i="3" s="1"/>
  <c r="AQ11" i="3"/>
  <c r="AQ49" i="3" s="1"/>
  <c r="AM98" i="107"/>
  <c r="AM89" i="106"/>
  <c r="AS49" i="3"/>
  <c r="AE189" i="3"/>
  <c r="AE88" i="106"/>
  <c r="AE87" i="106"/>
  <c r="AE105" i="106"/>
  <c r="S32" i="3"/>
  <c r="S97" i="107"/>
  <c r="G128" i="3"/>
  <c r="G129" i="3" s="1"/>
  <c r="G98" i="107"/>
  <c r="G89" i="106"/>
  <c r="BL33" i="3"/>
  <c r="BE180" i="51"/>
  <c r="Z17" i="118"/>
  <c r="D187" i="51"/>
  <c r="D152" i="51"/>
  <c r="AS99" i="51"/>
  <c r="AO11" i="118"/>
  <c r="AO27" i="118" s="1"/>
  <c r="AY10" i="118"/>
  <c r="AY26" i="118" s="1"/>
  <c r="F5" i="118"/>
  <c r="AS49" i="118"/>
  <c r="AV181" i="51"/>
  <c r="AF69" i="118"/>
  <c r="AB49" i="118"/>
  <c r="AF59" i="118" s="1"/>
  <c r="U181" i="51"/>
  <c r="R69" i="118"/>
  <c r="J182" i="51"/>
  <c r="G49" i="118"/>
  <c r="K59" i="118" s="1"/>
  <c r="BB8" i="118"/>
  <c r="BU9" i="51"/>
  <c r="AY8" i="51"/>
  <c r="AY10" i="51" s="1"/>
  <c r="AD50" i="118"/>
  <c r="F69" i="118"/>
  <c r="K69" i="118"/>
  <c r="BK42" i="29"/>
  <c r="BM42" i="29"/>
  <c r="AM8" i="29"/>
  <c r="AN8" i="29" s="1"/>
  <c r="AO27" i="29" s="1"/>
  <c r="AP27" i="29" s="1"/>
  <c r="AL55" i="29"/>
  <c r="BM25" i="29"/>
  <c r="BN25" i="29" s="1"/>
  <c r="AU72" i="107"/>
  <c r="AU71" i="107"/>
  <c r="AU82" i="107" s="1"/>
  <c r="BI185" i="3"/>
  <c r="AU159" i="51"/>
  <c r="AU43" i="3"/>
  <c r="BI58" i="3"/>
  <c r="BE169" i="3"/>
  <c r="BE132" i="3" s="1"/>
  <c r="BM98" i="107"/>
  <c r="BM99" i="107" s="1"/>
  <c r="BM101" i="107" s="1"/>
  <c r="BM89" i="106"/>
  <c r="BM128" i="3"/>
  <c r="BM129" i="3" s="1"/>
  <c r="AT159" i="51"/>
  <c r="AT43" i="3"/>
  <c r="AQ16" i="118"/>
  <c r="AU32" i="118" s="1"/>
  <c r="AQ74" i="118"/>
  <c r="AU89" i="118" s="1"/>
  <c r="BF180" i="51"/>
  <c r="BF181" i="51"/>
  <c r="BF29" i="51"/>
  <c r="BF149" i="51"/>
  <c r="BF159" i="3" s="1"/>
  <c r="BF182" i="51"/>
  <c r="AM8" i="118"/>
  <c r="AM24" i="118" s="1"/>
  <c r="AM72" i="118"/>
  <c r="BR12" i="29"/>
  <c r="BC166" i="3"/>
  <c r="Q195" i="51"/>
  <c r="O195" i="51"/>
  <c r="P195" i="51"/>
  <c r="Y44" i="3"/>
  <c r="AG189" i="51"/>
  <c r="AG188" i="51"/>
  <c r="BB6" i="118"/>
  <c r="BB22" i="118" s="1"/>
  <c r="AN16" i="118"/>
  <c r="AN32" i="118" s="1"/>
  <c r="BI189" i="3"/>
  <c r="BL131" i="3"/>
  <c r="AZ76" i="3"/>
  <c r="BB76" i="3"/>
  <c r="AO76" i="3"/>
  <c r="AN76" i="3"/>
  <c r="AP76" i="3"/>
  <c r="C81" i="3"/>
  <c r="G81" i="3" s="1"/>
  <c r="G70" i="3"/>
  <c r="AS44" i="3"/>
  <c r="Y43" i="3"/>
  <c r="BQ15" i="3"/>
  <c r="BU18" i="3"/>
  <c r="AG187" i="51"/>
  <c r="AO159" i="51"/>
  <c r="U117" i="51"/>
  <c r="AU188" i="51"/>
  <c r="AC152" i="51"/>
  <c r="AC187" i="51"/>
  <c r="AC188" i="51"/>
  <c r="O113" i="51"/>
  <c r="AQ11" i="118"/>
  <c r="BI37" i="51"/>
  <c r="L5" i="118"/>
  <c r="L21" i="118" s="1"/>
  <c r="AJ182" i="51"/>
  <c r="Y49" i="118"/>
  <c r="AJ180" i="51"/>
  <c r="AJ149" i="51"/>
  <c r="BI18" i="51"/>
  <c r="AW14" i="51"/>
  <c r="AH71" i="118"/>
  <c r="AD51" i="118"/>
  <c r="BA6" i="118"/>
  <c r="AQ6" i="118"/>
  <c r="AQ70" i="118"/>
  <c r="AQ81" i="118" s="1"/>
  <c r="AP15" i="118"/>
  <c r="AP31" i="118" s="1"/>
  <c r="V9" i="118"/>
  <c r="V25" i="118" s="1"/>
  <c r="AW10" i="118"/>
  <c r="BA26" i="118" s="1"/>
  <c r="BJ50" i="29"/>
  <c r="BJ63" i="29" s="1"/>
  <c r="BL50" i="29"/>
  <c r="BD63" i="29"/>
  <c r="BE16" i="29"/>
  <c r="AO30" i="29"/>
  <c r="AP30" i="29" s="1"/>
  <c r="AL54" i="29"/>
  <c r="BA89" i="106"/>
  <c r="BA98" i="107"/>
  <c r="AW44" i="3"/>
  <c r="BE76" i="3"/>
  <c r="BG76" i="3"/>
  <c r="AZ70" i="3"/>
  <c r="AY82" i="3"/>
  <c r="AZ81" i="3" s="1"/>
  <c r="AD70" i="3"/>
  <c r="AC82" i="3"/>
  <c r="AD81" i="3" s="1"/>
  <c r="BN66" i="29"/>
  <c r="BF15" i="3"/>
  <c r="BE66" i="29"/>
  <c r="BI42" i="3"/>
  <c r="BI87" i="106"/>
  <c r="BI88" i="106"/>
  <c r="BI105" i="106"/>
  <c r="BI10" i="3"/>
  <c r="AO74" i="118"/>
  <c r="BA150" i="51"/>
  <c r="BA161" i="3" s="1"/>
  <c r="BA188" i="51"/>
  <c r="BA189" i="51"/>
  <c r="AJ53" i="118"/>
  <c r="BK188" i="51"/>
  <c r="AP53" i="118"/>
  <c r="BK189" i="51"/>
  <c r="BK150" i="51"/>
  <c r="BK161" i="3" s="1"/>
  <c r="T69" i="118"/>
  <c r="W182" i="51"/>
  <c r="P49" i="118"/>
  <c r="T59" i="118" s="1"/>
  <c r="BH166" i="3"/>
  <c r="BH131" i="3" s="1"/>
  <c r="BH159" i="3"/>
  <c r="AC43" i="3"/>
  <c r="V117" i="51"/>
  <c r="BU38" i="51"/>
  <c r="O69" i="118"/>
  <c r="O5" i="118"/>
  <c r="BC8" i="51"/>
  <c r="AV71" i="118"/>
  <c r="AN82" i="107"/>
  <c r="AN73" i="107"/>
  <c r="AP69" i="107" s="1"/>
  <c r="BI187" i="3"/>
  <c r="AW189" i="3"/>
  <c r="F82" i="3"/>
  <c r="G82" i="3" s="1"/>
  <c r="AV47" i="3"/>
  <c r="BQ32" i="3"/>
  <c r="BQ97" i="107"/>
  <c r="BQ76" i="106"/>
  <c r="BQ75" i="106"/>
  <c r="BQ47" i="3"/>
  <c r="BK74" i="106"/>
  <c r="BK75" i="106"/>
  <c r="BK76" i="106"/>
  <c r="AY76" i="106"/>
  <c r="AY75" i="106"/>
  <c r="AY74" i="106"/>
  <c r="BC7" i="3"/>
  <c r="BC74" i="106" s="1"/>
  <c r="BA187" i="51"/>
  <c r="AJ190" i="51"/>
  <c r="AG190" i="51"/>
  <c r="AA17" i="118"/>
  <c r="AV113" i="51"/>
  <c r="AV188" i="51"/>
  <c r="AV152" i="51"/>
  <c r="AT187" i="51"/>
  <c r="AT189" i="51"/>
  <c r="AB188" i="51"/>
  <c r="AB152" i="51"/>
  <c r="AB154" i="51" s="1"/>
  <c r="AB189" i="51"/>
  <c r="CF87" i="51"/>
  <c r="BB28" i="118"/>
  <c r="AL12" i="118"/>
  <c r="AL28" i="118" s="1"/>
  <c r="BD11" i="118"/>
  <c r="BD27" i="118" s="1"/>
  <c r="AV11" i="118"/>
  <c r="AZ27" i="118" s="1"/>
  <c r="Y22" i="51"/>
  <c r="AX71" i="118"/>
  <c r="AX7" i="118"/>
  <c r="AX23" i="118" s="1"/>
  <c r="AJ71" i="118"/>
  <c r="AJ7" i="118"/>
  <c r="AJ23" i="118" s="1"/>
  <c r="AZ6" i="118"/>
  <c r="AZ22" i="118" s="1"/>
  <c r="AM6" i="118"/>
  <c r="AK53" i="118"/>
  <c r="H49" i="118"/>
  <c r="L59" i="118" s="1"/>
  <c r="AL72" i="118"/>
  <c r="AP85" i="118" s="1"/>
  <c r="O49" i="118"/>
  <c r="S59" i="118" s="1"/>
  <c r="AS11" i="118"/>
  <c r="AW27" i="118" s="1"/>
  <c r="AO62" i="29"/>
  <c r="BG33" i="29"/>
  <c r="BH33" i="29" s="1"/>
  <c r="U48" i="3"/>
  <c r="J48" i="3"/>
  <c r="AO120" i="3"/>
  <c r="AO121" i="3" s="1"/>
  <c r="AA33" i="3"/>
  <c r="F75" i="106"/>
  <c r="F97" i="107"/>
  <c r="F99" i="107" s="1"/>
  <c r="F101" i="107" s="1"/>
  <c r="F76" i="106"/>
  <c r="BG76" i="106"/>
  <c r="BG75" i="106"/>
  <c r="BG74" i="106"/>
  <c r="AT53" i="118"/>
  <c r="AQ8" i="118"/>
  <c r="AU24" i="118" s="1"/>
  <c r="AQ72" i="118"/>
  <c r="AH7" i="118"/>
  <c r="AH23" i="118" s="1"/>
  <c r="L47" i="3"/>
  <c r="C13" i="3"/>
  <c r="C33" i="3"/>
  <c r="AD10" i="3"/>
  <c r="AD97" i="107"/>
  <c r="AD99" i="107" s="1"/>
  <c r="AD101" i="107" s="1"/>
  <c r="AD76" i="106"/>
  <c r="AD75" i="106"/>
  <c r="AQ159" i="51"/>
  <c r="AQ43" i="3"/>
  <c r="S17" i="118"/>
  <c r="AB44" i="3"/>
  <c r="AV74" i="118"/>
  <c r="AT181" i="51"/>
  <c r="AE49" i="118"/>
  <c r="AT182" i="51"/>
  <c r="AT149" i="51"/>
  <c r="AX54" i="118"/>
  <c r="BB11" i="118"/>
  <c r="BB27" i="118" s="1"/>
  <c r="BC185" i="3"/>
  <c r="AA48" i="3"/>
  <c r="L188" i="51"/>
  <c r="L189" i="51"/>
  <c r="P113" i="51"/>
  <c r="AX27" i="118"/>
  <c r="AM10" i="118"/>
  <c r="AM26" i="118" s="1"/>
  <c r="AP149" i="51"/>
  <c r="AP181" i="51"/>
  <c r="AT70" i="118"/>
  <c r="AT6" i="118"/>
  <c r="AT22" i="118" s="1"/>
  <c r="AX10" i="118"/>
  <c r="BB26" i="118" s="1"/>
  <c r="AW187" i="3"/>
  <c r="BL133" i="3"/>
  <c r="BA128" i="3"/>
  <c r="BA129" i="3" s="1"/>
  <c r="U120" i="3"/>
  <c r="U121" i="3" s="1"/>
  <c r="I75" i="3"/>
  <c r="J70" i="3"/>
  <c r="AS43" i="3"/>
  <c r="BI16" i="3"/>
  <c r="BH15" i="3"/>
  <c r="BG66" i="29"/>
  <c r="BB34" i="3"/>
  <c r="BB98" i="107"/>
  <c r="BB89" i="106"/>
  <c r="V120" i="3"/>
  <c r="V121" i="3" s="1"/>
  <c r="E120" i="3"/>
  <c r="E121" i="3" s="1"/>
  <c r="AZ32" i="3"/>
  <c r="AZ97" i="107"/>
  <c r="AZ76" i="106"/>
  <c r="AZ75" i="106"/>
  <c r="AT32" i="3"/>
  <c r="AT75" i="106"/>
  <c r="AT97" i="107"/>
  <c r="AT76" i="106"/>
  <c r="AG47" i="3"/>
  <c r="AG97" i="107"/>
  <c r="AG99" i="107" s="1"/>
  <c r="AG101" i="107" s="1"/>
  <c r="AG76" i="106"/>
  <c r="AG75" i="106"/>
  <c r="L97" i="107"/>
  <c r="L99" i="107" s="1"/>
  <c r="L101" i="107" s="1"/>
  <c r="L32" i="3"/>
  <c r="AW87" i="106"/>
  <c r="AW88" i="106"/>
  <c r="AW105" i="106"/>
  <c r="AW172" i="3"/>
  <c r="E74" i="106"/>
  <c r="E75" i="106"/>
  <c r="E76" i="106"/>
  <c r="AA7" i="3"/>
  <c r="AA74" i="106" s="1"/>
  <c r="R6" i="3"/>
  <c r="L6" i="3" s="1"/>
  <c r="AS185" i="51"/>
  <c r="O180" i="51"/>
  <c r="AG152" i="51"/>
  <c r="AI142" i="51"/>
  <c r="AI144" i="51" s="1"/>
  <c r="BY87" i="51"/>
  <c r="AY16" i="118"/>
  <c r="AY32" i="118" s="1"/>
  <c r="AQ15" i="118"/>
  <c r="BI65" i="51"/>
  <c r="AM14" i="118"/>
  <c r="AM30" i="118" s="1"/>
  <c r="AQ53" i="118"/>
  <c r="BA12" i="118"/>
  <c r="BA28" i="118" s="1"/>
  <c r="AR12" i="118"/>
  <c r="AV28" i="118" s="1"/>
  <c r="BC11" i="118"/>
  <c r="BC27" i="118" s="1"/>
  <c r="AU11" i="118"/>
  <c r="BI25" i="51"/>
  <c r="AW71" i="118"/>
  <c r="AW7" i="118"/>
  <c r="BA23" i="118" s="1"/>
  <c r="AI7" i="118"/>
  <c r="AI23" i="118" s="1"/>
  <c r="BB70" i="118"/>
  <c r="S69" i="118"/>
  <c r="AR30" i="118"/>
  <c r="AN12" i="118"/>
  <c r="AN28" i="118" s="1"/>
  <c r="AR11" i="118"/>
  <c r="BJ61" i="29"/>
  <c r="AN62" i="29"/>
  <c r="G88" i="106"/>
  <c r="G87" i="106"/>
  <c r="G105" i="106"/>
  <c r="AT49" i="3"/>
  <c r="AT98" i="107"/>
  <c r="AT89" i="106"/>
  <c r="I75" i="106"/>
  <c r="I76" i="106"/>
  <c r="I74" i="106"/>
  <c r="AA113" i="51"/>
  <c r="AZ189" i="51"/>
  <c r="BN71" i="51"/>
  <c r="AN149" i="51"/>
  <c r="U49" i="118"/>
  <c r="AW185" i="3"/>
  <c r="P33" i="3"/>
  <c r="AQ9" i="3"/>
  <c r="AQ10" i="3" s="1"/>
  <c r="AM97" i="107"/>
  <c r="AM75" i="106"/>
  <c r="AM76" i="106"/>
  <c r="BI97" i="107"/>
  <c r="AN10" i="3"/>
  <c r="AN97" i="107"/>
  <c r="AN99" i="107" s="1"/>
  <c r="AN101" i="107" s="1"/>
  <c r="AN76" i="106"/>
  <c r="AN75" i="106"/>
  <c r="AB75" i="106"/>
  <c r="AB76" i="106"/>
  <c r="AB97" i="107"/>
  <c r="AB99" i="107" s="1"/>
  <c r="AB101" i="107" s="1"/>
  <c r="BE75" i="106"/>
  <c r="BE76" i="106"/>
  <c r="BE74" i="106"/>
  <c r="BI205" i="51"/>
  <c r="AJ193" i="51"/>
  <c r="AP188" i="51"/>
  <c r="AU182" i="51"/>
  <c r="AN181" i="51"/>
  <c r="AC180" i="51"/>
  <c r="AK99" i="51"/>
  <c r="BT82" i="51"/>
  <c r="BG189" i="51"/>
  <c r="BK53" i="51"/>
  <c r="X181" i="51"/>
  <c r="BQ30" i="51"/>
  <c r="BA29" i="51"/>
  <c r="AQ22" i="51"/>
  <c r="BH10" i="51"/>
  <c r="AI53" i="118"/>
  <c r="AL74" i="118"/>
  <c r="AT72" i="118"/>
  <c r="AT85" i="118" s="1"/>
  <c r="AX50" i="118"/>
  <c r="AP49" i="118"/>
  <c r="AK71" i="118"/>
  <c r="AF49" i="118"/>
  <c r="R17" i="118"/>
  <c r="BB32" i="118"/>
  <c r="AL16" i="118"/>
  <c r="AL32" i="118" s="1"/>
  <c r="AP30" i="118"/>
  <c r="AH25" i="118"/>
  <c r="Z9" i="118"/>
  <c r="V5" i="118"/>
  <c r="Z21" i="118" s="1"/>
  <c r="F66" i="29"/>
  <c r="AL62" i="29"/>
  <c r="BQ46" i="29"/>
  <c r="BQ59" i="29" s="1"/>
  <c r="BJ44" i="29"/>
  <c r="BJ57" i="29" s="1"/>
  <c r="BL40" i="29"/>
  <c r="AX63" i="29"/>
  <c r="AR56" i="29"/>
  <c r="BK71" i="107"/>
  <c r="BK82" i="107" s="1"/>
  <c r="S88" i="106"/>
  <c r="S87" i="106"/>
  <c r="S105" i="106"/>
  <c r="BO9" i="3"/>
  <c r="BN75" i="106"/>
  <c r="BT75" i="106" s="1"/>
  <c r="BN97" i="107"/>
  <c r="BN76" i="106"/>
  <c r="AC75" i="106"/>
  <c r="AC97" i="107"/>
  <c r="AC99" i="107" s="1"/>
  <c r="AC101" i="107" s="1"/>
  <c r="AC76" i="106"/>
  <c r="I181" i="51"/>
  <c r="AR54" i="29"/>
  <c r="AT128" i="3"/>
  <c r="AT129" i="3" s="1"/>
  <c r="BC189" i="3"/>
  <c r="P120" i="3"/>
  <c r="P121" i="3" s="1"/>
  <c r="BQ82" i="3"/>
  <c r="BR81" i="3" s="1"/>
  <c r="AZ77" i="3"/>
  <c r="AH77" i="3"/>
  <c r="X77" i="3"/>
  <c r="BQ56" i="3"/>
  <c r="AS12" i="3"/>
  <c r="AS63" i="106"/>
  <c r="AK34" i="3"/>
  <c r="AK98" i="107"/>
  <c r="AK89" i="106"/>
  <c r="Y128" i="3"/>
  <c r="Y129" i="3" s="1"/>
  <c r="Y98" i="107"/>
  <c r="Y89" i="106"/>
  <c r="K13" i="3"/>
  <c r="BH97" i="107"/>
  <c r="BH76" i="106"/>
  <c r="BH75" i="106"/>
  <c r="AS97" i="107"/>
  <c r="AS99" i="107" s="1"/>
  <c r="AS101" i="107" s="1"/>
  <c r="AS75" i="106"/>
  <c r="AS76" i="106"/>
  <c r="AJ97" i="107"/>
  <c r="AJ99" i="107" s="1"/>
  <c r="AJ101" i="107" s="1"/>
  <c r="AJ75" i="106"/>
  <c r="AJ76" i="106"/>
  <c r="AA97" i="107"/>
  <c r="AA99" i="107" s="1"/>
  <c r="AA101" i="107" s="1"/>
  <c r="BC88" i="106"/>
  <c r="BC87" i="106"/>
  <c r="BC105" i="106"/>
  <c r="BL98" i="107"/>
  <c r="BL99" i="107" s="1"/>
  <c r="BL101" i="107" s="1"/>
  <c r="BL89" i="106"/>
  <c r="AH193" i="51"/>
  <c r="AA189" i="51"/>
  <c r="AU142" i="51"/>
  <c r="AU144" i="51" s="1"/>
  <c r="AM113" i="51"/>
  <c r="W188" i="51"/>
  <c r="I188" i="51"/>
  <c r="BH79" i="51"/>
  <c r="BO47" i="51"/>
  <c r="BI47" i="51"/>
  <c r="AI182" i="51"/>
  <c r="AA181" i="51"/>
  <c r="BN17" i="51"/>
  <c r="AE8" i="51"/>
  <c r="AH53" i="118"/>
  <c r="E49" i="118"/>
  <c r="AS74" i="118"/>
  <c r="AT71" i="118"/>
  <c r="AI72" i="118"/>
  <c r="AJ70" i="118"/>
  <c r="X49" i="118"/>
  <c r="AB59" i="118" s="1"/>
  <c r="T49" i="118"/>
  <c r="X59" i="118" s="1"/>
  <c r="AS15" i="118"/>
  <c r="AS13" i="118"/>
  <c r="AW29" i="118" s="1"/>
  <c r="AO13" i="118"/>
  <c r="AO29" i="118" s="1"/>
  <c r="BE11" i="118"/>
  <c r="BE27" i="118" s="1"/>
  <c r="AL58" i="29"/>
  <c r="BA34" i="29"/>
  <c r="BB34" i="29" s="1"/>
  <c r="BU69" i="107"/>
  <c r="BQ72" i="107"/>
  <c r="BQ71" i="107"/>
  <c r="AO73" i="107"/>
  <c r="P13" i="3"/>
  <c r="AP152" i="51"/>
  <c r="BL149" i="51"/>
  <c r="BL159" i="3" s="1"/>
  <c r="AU71" i="118"/>
  <c r="AU83" i="118" s="1"/>
  <c r="AM16" i="118"/>
  <c r="CI10" i="106"/>
  <c r="CI168" i="106" s="1"/>
  <c r="BO185" i="3"/>
  <c r="BC187" i="3"/>
  <c r="AE191" i="3"/>
  <c r="S191" i="3"/>
  <c r="AW140" i="3"/>
  <c r="AV140" i="3" s="1"/>
  <c r="AV139" i="3" s="1"/>
  <c r="AM82" i="3"/>
  <c r="AN81" i="3" s="1"/>
  <c r="AY77" i="3"/>
  <c r="AG77" i="3"/>
  <c r="W77" i="3"/>
  <c r="AJ70" i="3"/>
  <c r="BL56" i="3"/>
  <c r="BQ48" i="3"/>
  <c r="S44" i="3"/>
  <c r="AT34" i="3"/>
  <c r="AK87" i="106"/>
  <c r="AK88" i="106"/>
  <c r="AK105" i="106"/>
  <c r="Y87" i="106"/>
  <c r="Y88" i="106"/>
  <c r="Y105" i="106"/>
  <c r="M98" i="107"/>
  <c r="M89" i="106"/>
  <c r="BO88" i="106"/>
  <c r="BO87" i="106"/>
  <c r="BO105" i="106"/>
  <c r="BG98" i="107"/>
  <c r="BG99" i="107" s="1"/>
  <c r="BG101" i="107" s="1"/>
  <c r="BG89" i="106"/>
  <c r="BF33" i="3"/>
  <c r="BB97" i="107"/>
  <c r="BB75" i="106"/>
  <c r="BB76" i="106"/>
  <c r="AV97" i="107"/>
  <c r="AV75" i="106"/>
  <c r="AV76" i="106"/>
  <c r="AI32" i="3"/>
  <c r="AI97" i="107"/>
  <c r="AI99" i="107" s="1"/>
  <c r="AI101" i="107" s="1"/>
  <c r="AI75" i="106"/>
  <c r="AI76" i="106"/>
  <c r="X47" i="3"/>
  <c r="X97" i="107"/>
  <c r="X99" i="107" s="1"/>
  <c r="X101" i="107" s="1"/>
  <c r="BM76" i="106"/>
  <c r="BM74" i="106"/>
  <c r="BM75" i="106"/>
  <c r="AQ7" i="3"/>
  <c r="AQ74" i="106" s="1"/>
  <c r="AO74" i="106"/>
  <c r="BQ128" i="3"/>
  <c r="BQ129" i="3" s="1"/>
  <c r="CC129" i="3" s="1"/>
  <c r="BQ98" i="107"/>
  <c r="BQ89" i="106"/>
  <c r="AD182" i="51"/>
  <c r="X188" i="51"/>
  <c r="AI189" i="51"/>
  <c r="F188" i="51"/>
  <c r="AQ92" i="51"/>
  <c r="BU152" i="51"/>
  <c r="BI87" i="51"/>
  <c r="BU47" i="51"/>
  <c r="U33" i="51"/>
  <c r="N69" i="118" s="1"/>
  <c r="AY149" i="51"/>
  <c r="AY159" i="3" s="1"/>
  <c r="Q149" i="51"/>
  <c r="D149" i="51"/>
  <c r="D49" i="118"/>
  <c r="H59" i="118" s="1"/>
  <c r="AU54" i="118"/>
  <c r="AW72" i="118"/>
  <c r="AO49" i="118"/>
  <c r="AA49" i="118"/>
  <c r="AE59" i="118" s="1"/>
  <c r="AB69" i="118"/>
  <c r="L49" i="118"/>
  <c r="J69" i="118"/>
  <c r="X17" i="118"/>
  <c r="AR15" i="118"/>
  <c r="AR13" i="118"/>
  <c r="AF9" i="118"/>
  <c r="AF25" i="118" s="1"/>
  <c r="X9" i="118"/>
  <c r="X25" i="118" s="1"/>
  <c r="AR10" i="118"/>
  <c r="AV26" i="118" s="1"/>
  <c r="AR6" i="118"/>
  <c r="AV22" i="118" s="1"/>
  <c r="AB5" i="118"/>
  <c r="AB21" i="118" s="1"/>
  <c r="T5" i="118"/>
  <c r="X21" i="118" s="1"/>
  <c r="AT61" i="29"/>
  <c r="AL57" i="29"/>
  <c r="BK48" i="3"/>
  <c r="AY128" i="3"/>
  <c r="AY129" i="3" s="1"/>
  <c r="AY98" i="107"/>
  <c r="AY99" i="107" s="1"/>
  <c r="AY101" i="107" s="1"/>
  <c r="AY89" i="106"/>
  <c r="AO32" i="3"/>
  <c r="AO97" i="107"/>
  <c r="AO99" i="107" s="1"/>
  <c r="AO101" i="107" s="1"/>
  <c r="AO76" i="106"/>
  <c r="AO75" i="106"/>
  <c r="BF76" i="106"/>
  <c r="BF75" i="106"/>
  <c r="BF74" i="106"/>
  <c r="BN34" i="3"/>
  <c r="BN98" i="107"/>
  <c r="BN89" i="106"/>
  <c r="BH32" i="51"/>
  <c r="AC149" i="51"/>
  <c r="AA9" i="118"/>
  <c r="AM62" i="29"/>
  <c r="BI191" i="3"/>
  <c r="AM120" i="3"/>
  <c r="AM121" i="3" s="1"/>
  <c r="BK44" i="3"/>
  <c r="BK46" i="3" s="1"/>
  <c r="AY49" i="3"/>
  <c r="AS48" i="3"/>
  <c r="AQ88" i="106"/>
  <c r="AQ87" i="106"/>
  <c r="AQ105" i="106"/>
  <c r="M87" i="106"/>
  <c r="M88" i="106"/>
  <c r="M105" i="106"/>
  <c r="BF98" i="107"/>
  <c r="BF99" i="107" s="1"/>
  <c r="BF101" i="107" s="1"/>
  <c r="BF89" i="106"/>
  <c r="BE120" i="3"/>
  <c r="BE121" i="3" s="1"/>
  <c r="W120" i="3"/>
  <c r="W121" i="3" s="1"/>
  <c r="I13" i="3"/>
  <c r="BA10" i="3"/>
  <c r="BA120" i="3" s="1"/>
  <c r="BA121" i="3" s="1"/>
  <c r="BA97" i="107"/>
  <c r="BA76" i="106"/>
  <c r="BA75" i="106"/>
  <c r="AU47" i="3"/>
  <c r="AU75" i="106"/>
  <c r="AU97" i="107"/>
  <c r="AU76" i="106"/>
  <c r="AN47" i="3"/>
  <c r="AH97" i="107"/>
  <c r="AH99" i="107" s="1"/>
  <c r="AH101" i="107" s="1"/>
  <c r="AH75" i="106"/>
  <c r="AH76" i="106"/>
  <c r="R10" i="3"/>
  <c r="R97" i="107"/>
  <c r="R99" i="107" s="1"/>
  <c r="R101" i="107" s="1"/>
  <c r="BL76" i="106"/>
  <c r="BL74" i="106"/>
  <c r="BL75" i="106"/>
  <c r="AZ198" i="51"/>
  <c r="AZ188" i="51"/>
  <c r="AC182" i="51"/>
  <c r="AB142" i="51"/>
  <c r="AB144" i="51" s="1"/>
  <c r="AK121" i="51"/>
  <c r="AP113" i="51"/>
  <c r="R188" i="51"/>
  <c r="U188" i="51"/>
  <c r="E188" i="51"/>
  <c r="BO152" i="51"/>
  <c r="BK46" i="51"/>
  <c r="BG182" i="51"/>
  <c r="BA32" i="51"/>
  <c r="C181" i="51"/>
  <c r="BF24" i="51"/>
  <c r="M15" i="51"/>
  <c r="S28" i="51"/>
  <c r="C49" i="118"/>
  <c r="G59" i="118" s="1"/>
  <c r="AY74" i="118"/>
  <c r="AY89" i="118" s="1"/>
  <c r="AS53" i="118"/>
  <c r="AO53" i="118"/>
  <c r="AS71" i="118"/>
  <c r="AX70" i="118"/>
  <c r="AH72" i="118"/>
  <c r="AP70" i="118"/>
  <c r="AE69" i="118"/>
  <c r="W49" i="118"/>
  <c r="AA59" i="118" s="1"/>
  <c r="S49" i="118"/>
  <c r="W59" i="118" s="1"/>
  <c r="W17" i="118"/>
  <c r="AQ13" i="118"/>
  <c r="AE9" i="118"/>
  <c r="W9" i="118"/>
  <c r="W25" i="118" s="1"/>
  <c r="AQ12" i="118"/>
  <c r="AQ28" i="118" s="1"/>
  <c r="AQ10" i="118"/>
  <c r="AU7" i="118"/>
  <c r="AY23" i="118" s="1"/>
  <c r="AY6" i="118"/>
  <c r="AA5" i="118"/>
  <c r="AA21" i="118" s="1"/>
  <c r="S5" i="118"/>
  <c r="W21" i="118" s="1"/>
  <c r="K5" i="118"/>
  <c r="K21" i="118" s="1"/>
  <c r="BM66" i="29"/>
  <c r="AO34" i="29"/>
  <c r="AP34" i="29" s="1"/>
  <c r="BE82" i="107"/>
  <c r="BE73" i="107"/>
  <c r="R52" i="107"/>
  <c r="R53" i="107" s="1"/>
  <c r="R54" i="107" s="1"/>
  <c r="Q54" i="107"/>
  <c r="CD87" i="107"/>
  <c r="CC86" i="107"/>
  <c r="CC88" i="107"/>
  <c r="AA52" i="107"/>
  <c r="Y54" i="107"/>
  <c r="U54" i="107"/>
  <c r="V52" i="107"/>
  <c r="V53" i="107" s="1"/>
  <c r="CL105" i="106"/>
  <c r="CJ39" i="106"/>
  <c r="CG29" i="106"/>
  <c r="AG132" i="106"/>
  <c r="AK132" i="106" s="1"/>
  <c r="AK130" i="106"/>
  <c r="AA121" i="106"/>
  <c r="Y127" i="106"/>
  <c r="BR7" i="29"/>
  <c r="BS7" i="29" s="1"/>
  <c r="BT7" i="29" s="1"/>
  <c r="BV7" i="29" s="1"/>
  <c r="BW7" i="29" s="1"/>
  <c r="BX7" i="29" s="1"/>
  <c r="BY7" i="29" s="1"/>
  <c r="BZ7" i="29" s="1"/>
  <c r="CB7" i="29" s="1"/>
  <c r="CC7" i="29" s="1"/>
  <c r="CD7" i="29" s="1"/>
  <c r="CE7" i="29" s="1"/>
  <c r="CF7" i="29" s="1"/>
  <c r="CH7" i="29" s="1"/>
  <c r="CI7" i="29" s="1"/>
  <c r="CJ7" i="29" s="1"/>
  <c r="CK7" i="29" s="1"/>
  <c r="CL7" i="29" s="1"/>
  <c r="BD56" i="29"/>
  <c r="BE9" i="29"/>
  <c r="BF9" i="29" s="1"/>
  <c r="BD53" i="29"/>
  <c r="BE6" i="29"/>
  <c r="BE53" i="29" s="1"/>
  <c r="AO29" i="29"/>
  <c r="AP29" i="29" s="1"/>
  <c r="AR57" i="29"/>
  <c r="AP21" i="29"/>
  <c r="BK55" i="29"/>
  <c r="AL60" i="29"/>
  <c r="BJ42" i="29"/>
  <c r="BJ55" i="29" s="1"/>
  <c r="AO28" i="29"/>
  <c r="AP28" i="29" s="1"/>
  <c r="AS57" i="29"/>
  <c r="BA36" i="29"/>
  <c r="BB36" i="29" s="1"/>
  <c r="BA31" i="29"/>
  <c r="BB31" i="29" s="1"/>
  <c r="AO59" i="29"/>
  <c r="AP59" i="29" s="1"/>
  <c r="AN61" i="29"/>
  <c r="BL46" i="29"/>
  <c r="BL59" i="29" s="1"/>
  <c r="BM41" i="29"/>
  <c r="BM36" i="29"/>
  <c r="BN36" i="29" s="1"/>
  <c r="AL61" i="29"/>
  <c r="AM61" i="29"/>
  <c r="BK46" i="29"/>
  <c r="BT42" i="29"/>
  <c r="BS42" i="29" s="1"/>
  <c r="BK43" i="29"/>
  <c r="BL41" i="29"/>
  <c r="AT57" i="29"/>
  <c r="BA57" i="29"/>
  <c r="BM46" i="29"/>
  <c r="AY59" i="29"/>
  <c r="BQ41" i="29"/>
  <c r="BJ43" i="29"/>
  <c r="R37" i="29"/>
  <c r="AM81" i="118"/>
  <c r="P187" i="51"/>
  <c r="AG113" i="51"/>
  <c r="BG187" i="51"/>
  <c r="AM188" i="51"/>
  <c r="AA188" i="51"/>
  <c r="O187" i="51"/>
  <c r="AV182" i="51"/>
  <c r="AV180" i="51"/>
  <c r="AK92" i="51"/>
  <c r="BQ32" i="51"/>
  <c r="AG193" i="51"/>
  <c r="AT188" i="51"/>
  <c r="U189" i="51"/>
  <c r="P190" i="51"/>
  <c r="I187" i="51"/>
  <c r="AH185" i="51"/>
  <c r="BK182" i="51"/>
  <c r="BG180" i="51"/>
  <c r="AN180" i="51"/>
  <c r="AA182" i="51"/>
  <c r="AA180" i="51"/>
  <c r="V180" i="51"/>
  <c r="O153" i="51"/>
  <c r="AK128" i="51"/>
  <c r="Y92" i="51"/>
  <c r="BL53" i="51"/>
  <c r="BI44" i="51"/>
  <c r="AE28" i="51"/>
  <c r="BW26" i="51"/>
  <c r="AK22" i="51"/>
  <c r="AY15" i="51"/>
  <c r="AY17" i="51" s="1"/>
  <c r="BI11" i="51"/>
  <c r="Y121" i="51"/>
  <c r="BN79" i="51"/>
  <c r="BO45" i="51"/>
  <c r="BQ194" i="51"/>
  <c r="BM189" i="51"/>
  <c r="BG198" i="51"/>
  <c r="BH189" i="51"/>
  <c r="AM187" i="51"/>
  <c r="AA187" i="51"/>
  <c r="P189" i="51"/>
  <c r="M191" i="51"/>
  <c r="C188" i="51"/>
  <c r="BK180" i="51"/>
  <c r="AI180" i="51"/>
  <c r="AC181" i="51"/>
  <c r="I182" i="51"/>
  <c r="AV149" i="51"/>
  <c r="U152" i="51"/>
  <c r="P152" i="51"/>
  <c r="P154" i="51" s="1"/>
  <c r="CG152" i="51"/>
  <c r="BG150" i="51"/>
  <c r="BG161" i="3" s="1"/>
  <c r="BN46" i="51"/>
  <c r="BU40" i="51"/>
  <c r="AE22" i="51"/>
  <c r="U180" i="51"/>
  <c r="BF53" i="51"/>
  <c r="BB198" i="51"/>
  <c r="AP193" i="51"/>
  <c r="BF198" i="51"/>
  <c r="AI190" i="51"/>
  <c r="Y191" i="51"/>
  <c r="W191" i="51" s="1"/>
  <c r="K190" i="51"/>
  <c r="C187" i="51"/>
  <c r="AP185" i="51"/>
  <c r="X185" i="51"/>
  <c r="AN182" i="51"/>
  <c r="V182" i="51"/>
  <c r="J181" i="51"/>
  <c r="I152" i="51"/>
  <c r="BM46" i="51"/>
  <c r="BG46" i="51"/>
  <c r="BE39" i="51"/>
  <c r="AT29" i="51"/>
  <c r="BM17" i="51"/>
  <c r="BH198" i="51"/>
  <c r="BK181" i="51"/>
  <c r="AM193" i="51"/>
  <c r="BN188" i="51"/>
  <c r="AV189" i="51"/>
  <c r="AH190" i="51"/>
  <c r="J190" i="51"/>
  <c r="BT185" i="51"/>
  <c r="AY182" i="51"/>
  <c r="G141" i="51"/>
  <c r="L143" i="51" s="1"/>
  <c r="BI152" i="51"/>
  <c r="BG58" i="51"/>
  <c r="AZ32" i="51"/>
  <c r="AS28" i="51"/>
  <c r="AS182" i="51" s="1"/>
  <c r="CK26" i="51"/>
  <c r="BK24" i="51"/>
  <c r="AS15" i="51"/>
  <c r="I70" i="3"/>
  <c r="M70" i="3" s="1"/>
  <c r="I81" i="3"/>
  <c r="M81" i="3" s="1"/>
  <c r="BQ75" i="3"/>
  <c r="W33" i="3"/>
  <c r="BQ173" i="3"/>
  <c r="AM128" i="3"/>
  <c r="AM129" i="3" s="1"/>
  <c r="BH82" i="3"/>
  <c r="BI82" i="3" s="1"/>
  <c r="BB82" i="3"/>
  <c r="BC82" i="3" s="1"/>
  <c r="W82" i="3"/>
  <c r="X81" i="3" s="1"/>
  <c r="BN75" i="3"/>
  <c r="BG47" i="3"/>
  <c r="BE33" i="3"/>
  <c r="AH32" i="3"/>
  <c r="X32" i="3"/>
  <c r="G183" i="3"/>
  <c r="BL174" i="3"/>
  <c r="BL175" i="3" s="1"/>
  <c r="BI140" i="3"/>
  <c r="BF140" i="3" s="1"/>
  <c r="BF139" i="3" s="1"/>
  <c r="AK128" i="3"/>
  <c r="AK129" i="3" s="1"/>
  <c r="BA82" i="3"/>
  <c r="BB81" i="3" s="1"/>
  <c r="V82" i="3"/>
  <c r="W81" i="3" s="1"/>
  <c r="BM75" i="3"/>
  <c r="C75" i="3"/>
  <c r="C74" i="3" s="1"/>
  <c r="BG70" i="3"/>
  <c r="BF47" i="3"/>
  <c r="AD47" i="3"/>
  <c r="BN32" i="3"/>
  <c r="BA32" i="3"/>
  <c r="AD32" i="3"/>
  <c r="W13" i="3"/>
  <c r="G7" i="3"/>
  <c r="G74" i="106" s="1"/>
  <c r="CD7" i="3"/>
  <c r="I33" i="3"/>
  <c r="AE187" i="3"/>
  <c r="S128" i="3"/>
  <c r="S129" i="3" s="1"/>
  <c r="BK81" i="3"/>
  <c r="BO81" i="3" s="1"/>
  <c r="F76" i="3"/>
  <c r="S189" i="3"/>
  <c r="BQ132" i="3"/>
  <c r="BE166" i="3"/>
  <c r="BE131" i="3" s="1"/>
  <c r="I120" i="3"/>
  <c r="I121" i="3" s="1"/>
  <c r="AG81" i="3"/>
  <c r="AK81" i="3" s="1"/>
  <c r="CA75" i="3"/>
  <c r="BW75" i="3" s="1"/>
  <c r="W76" i="3"/>
  <c r="E77" i="3"/>
  <c r="BM56" i="3"/>
  <c r="BM48" i="3"/>
  <c r="AM49" i="3"/>
  <c r="AE49" i="3"/>
  <c r="AB46" i="3"/>
  <c r="AM34" i="3"/>
  <c r="S18" i="3"/>
  <c r="S15" i="3" s="1"/>
  <c r="Y189" i="3"/>
  <c r="BB13" i="3"/>
  <c r="BI32" i="3"/>
  <c r="BK173" i="3"/>
  <c r="BF174" i="3"/>
  <c r="BF175" i="3" s="1"/>
  <c r="BL75" i="3"/>
  <c r="S187" i="3"/>
  <c r="BN164" i="3"/>
  <c r="BN131" i="3"/>
  <c r="D82" i="3"/>
  <c r="E81" i="3" s="1"/>
  <c r="BT75" i="3"/>
  <c r="E76" i="3"/>
  <c r="R32" i="3"/>
  <c r="G34" i="3"/>
  <c r="G18" i="3"/>
  <c r="G15" i="3" s="1"/>
  <c r="AH10" i="3"/>
  <c r="CE7" i="3"/>
  <c r="BC56" i="3"/>
  <c r="G56" i="3"/>
  <c r="V48" i="3"/>
  <c r="G191" i="3"/>
  <c r="BM131" i="3"/>
  <c r="BK75" i="3"/>
  <c r="BK74" i="3" s="1"/>
  <c r="J76" i="3"/>
  <c r="BE70" i="3"/>
  <c r="BI70" i="3" s="1"/>
  <c r="P70" i="3"/>
  <c r="AM46" i="3"/>
  <c r="AG46" i="3"/>
  <c r="I48" i="3"/>
  <c r="M46" i="3"/>
  <c r="BG49" i="3"/>
  <c r="CI6" i="3"/>
  <c r="CI7" i="3" s="1"/>
  <c r="BL10" i="29"/>
  <c r="BE11" i="29"/>
  <c r="BE58" i="29" s="1"/>
  <c r="BR8" i="29"/>
  <c r="BS8" i="29" s="1"/>
  <c r="BT8" i="29" s="1"/>
  <c r="BV8" i="29" s="1"/>
  <c r="BW8" i="29" s="1"/>
  <c r="BX8" i="29" s="1"/>
  <c r="BY8" i="29" s="1"/>
  <c r="BZ8" i="29" s="1"/>
  <c r="CB8" i="29" s="1"/>
  <c r="CC8" i="29" s="1"/>
  <c r="CD8" i="29" s="1"/>
  <c r="CE8" i="29" s="1"/>
  <c r="CF8" i="29" s="1"/>
  <c r="CH8" i="29" s="1"/>
  <c r="CI8" i="29" s="1"/>
  <c r="CJ8" i="29" s="1"/>
  <c r="CK8" i="29" s="1"/>
  <c r="CL8" i="29" s="1"/>
  <c r="BE15" i="29"/>
  <c r="BE62" i="29" s="1"/>
  <c r="BD62" i="29"/>
  <c r="BE10" i="29"/>
  <c r="BE57" i="29" s="1"/>
  <c r="BD57" i="29"/>
  <c r="BK16" i="29"/>
  <c r="BL16" i="29" s="1"/>
  <c r="AT7" i="29"/>
  <c r="AU26" i="29" s="1"/>
  <c r="AV26" i="29" s="1"/>
  <c r="AS54" i="29"/>
  <c r="CB41" i="29"/>
  <c r="CB54" i="29" s="1"/>
  <c r="CE41" i="29"/>
  <c r="AZ11" i="29"/>
  <c r="BA30" i="29" s="1"/>
  <c r="BB30" i="29" s="1"/>
  <c r="AS8" i="29"/>
  <c r="AR55" i="29"/>
  <c r="AZ9" i="29"/>
  <c r="AZ56" i="29" s="1"/>
  <c r="BM59" i="29"/>
  <c r="BM31" i="29"/>
  <c r="BN31" i="29" s="1"/>
  <c r="BD55" i="29"/>
  <c r="BE8" i="29"/>
  <c r="BE13" i="29"/>
  <c r="BE60" i="29" s="1"/>
  <c r="BD60" i="29"/>
  <c r="BE7" i="29"/>
  <c r="BD18" i="29"/>
  <c r="BD19" i="29" s="1"/>
  <c r="BD21" i="29" s="1"/>
  <c r="BD22" i="29" s="1"/>
  <c r="BD54" i="29"/>
  <c r="AX56" i="29"/>
  <c r="AM56" i="29"/>
  <c r="BA26" i="29"/>
  <c r="BB26" i="29" s="1"/>
  <c r="AU36" i="29"/>
  <c r="AV36" i="29" s="1"/>
  <c r="BA54" i="29"/>
  <c r="BY41" i="29"/>
  <c r="BR57" i="29"/>
  <c r="AN56" i="29"/>
  <c r="AO61" i="29"/>
  <c r="BP41" i="29"/>
  <c r="BP54" i="29" s="1"/>
  <c r="BT43" i="29"/>
  <c r="BR43" i="29" s="1"/>
  <c r="AM58" i="29"/>
  <c r="BB21" i="29"/>
  <c r="BF6" i="29"/>
  <c r="AZ62" i="29"/>
  <c r="BG36" i="29"/>
  <c r="BH36" i="29" s="1"/>
  <c r="AR15" i="29"/>
  <c r="BJ59" i="29"/>
  <c r="BD59" i="29"/>
  <c r="BL48" i="29"/>
  <c r="BL61" i="29" s="1"/>
  <c r="BE61" i="29"/>
  <c r="AS61" i="29"/>
  <c r="AM63" i="29"/>
  <c r="BK59" i="29"/>
  <c r="BJ53" i="29"/>
  <c r="L37" i="29"/>
  <c r="CF37" i="29"/>
  <c r="BZ37" i="29"/>
  <c r="AO33" i="29"/>
  <c r="AP33" i="29" s="1"/>
  <c r="AL53" i="29"/>
  <c r="BE59" i="29"/>
  <c r="CF45" i="29"/>
  <c r="CB45" i="29" s="1"/>
  <c r="BK57" i="29"/>
  <c r="AY58" i="29"/>
  <c r="AU57" i="29"/>
  <c r="BK48" i="29"/>
  <c r="BK61" i="29" s="1"/>
  <c r="BD61" i="29"/>
  <c r="AR61" i="29"/>
  <c r="BS45" i="29"/>
  <c r="BS41" i="29"/>
  <c r="AV21" i="29"/>
  <c r="BA19" i="29"/>
  <c r="BA21" i="29" s="1"/>
  <c r="AY16" i="29"/>
  <c r="AZ16" i="29" s="1"/>
  <c r="BA35" i="29" s="1"/>
  <c r="BB35" i="29" s="1"/>
  <c r="AO25" i="29"/>
  <c r="AP25" i="29" s="1"/>
  <c r="BD58" i="29"/>
  <c r="AL56" i="29"/>
  <c r="BL53" i="29"/>
  <c r="BA29" i="29"/>
  <c r="BB29" i="29" s="1"/>
  <c r="AX58" i="29"/>
  <c r="BT47" i="29"/>
  <c r="BQ47" i="29" s="1"/>
  <c r="BQ60" i="29" s="1"/>
  <c r="BY45" i="29"/>
  <c r="BR45" i="29"/>
  <c r="BR41" i="29"/>
  <c r="BM43" i="29"/>
  <c r="AY56" i="29"/>
  <c r="AS55" i="29"/>
  <c r="AN59" i="29"/>
  <c r="BA27" i="118"/>
  <c r="AV32" i="118"/>
  <c r="BD26" i="118"/>
  <c r="CC50" i="51"/>
  <c r="BW78" i="51"/>
  <c r="CC81" i="51" s="1"/>
  <c r="BY26" i="51"/>
  <c r="BX26" i="51"/>
  <c r="BX7" i="51"/>
  <c r="BT10" i="51"/>
  <c r="BT8" i="51" s="1"/>
  <c r="BT7" i="51" s="1"/>
  <c r="AN210" i="51"/>
  <c r="AK210" i="51"/>
  <c r="AI210" i="51" s="1"/>
  <c r="AP210" i="51"/>
  <c r="AM210" i="51"/>
  <c r="AO210" i="51"/>
  <c r="BN29" i="51"/>
  <c r="BT30" i="51"/>
  <c r="BN180" i="51"/>
  <c r="BN182" i="51"/>
  <c r="AA29" i="51"/>
  <c r="AW205" i="51"/>
  <c r="AW208" i="51"/>
  <c r="AM190" i="51"/>
  <c r="AN190" i="51"/>
  <c r="AP190" i="51"/>
  <c r="AQ191" i="51"/>
  <c r="AO191" i="51" s="1"/>
  <c r="BN181" i="51"/>
  <c r="BE209" i="51"/>
  <c r="AV210" i="51"/>
  <c r="Q193" i="51"/>
  <c r="BH187" i="51"/>
  <c r="AY181" i="51"/>
  <c r="AU153" i="51"/>
  <c r="AV142" i="51"/>
  <c r="AV153" i="51"/>
  <c r="M121" i="51"/>
  <c r="R187" i="51"/>
  <c r="R189" i="51"/>
  <c r="U113" i="51"/>
  <c r="O152" i="51"/>
  <c r="CC86" i="51"/>
  <c r="BK82" i="51"/>
  <c r="BE150" i="51"/>
  <c r="BE161" i="3" s="1"/>
  <c r="BE187" i="51"/>
  <c r="BE189" i="51"/>
  <c r="R29" i="51"/>
  <c r="L181" i="51"/>
  <c r="L149" i="51"/>
  <c r="K181" i="51"/>
  <c r="K29" i="51"/>
  <c r="K180" i="51"/>
  <c r="K182" i="51"/>
  <c r="BK30" i="51"/>
  <c r="BK19" i="51"/>
  <c r="BI8" i="51"/>
  <c r="BO11" i="51"/>
  <c r="BO12" i="51" s="1"/>
  <c r="BI9" i="51"/>
  <c r="AK8" i="51"/>
  <c r="BN185" i="51"/>
  <c r="BM185" i="51"/>
  <c r="BC83" i="51"/>
  <c r="BW82" i="51"/>
  <c r="BQ187" i="51"/>
  <c r="BQ79" i="51"/>
  <c r="BQ188" i="51"/>
  <c r="BQ189" i="51"/>
  <c r="BW81" i="51"/>
  <c r="BQ150" i="51"/>
  <c r="BL187" i="51"/>
  <c r="BL189" i="51"/>
  <c r="BL150" i="51"/>
  <c r="BL161" i="3" s="1"/>
  <c r="BL188" i="51"/>
  <c r="BF46" i="51"/>
  <c r="BF48" i="51"/>
  <c r="BB149" i="51"/>
  <c r="BB159" i="3" s="1"/>
  <c r="BB180" i="51"/>
  <c r="BB182" i="51"/>
  <c r="AO29" i="51"/>
  <c r="AO180" i="51"/>
  <c r="AO182" i="51"/>
  <c r="J195" i="51"/>
  <c r="F187" i="51"/>
  <c r="AY180" i="51"/>
  <c r="AO181" i="51"/>
  <c r="AQ141" i="51"/>
  <c r="AV145" i="51" s="1"/>
  <c r="AU189" i="51"/>
  <c r="AU187" i="51"/>
  <c r="BH29" i="51"/>
  <c r="BN32" i="51"/>
  <c r="BH181" i="51"/>
  <c r="BA180" i="51"/>
  <c r="BA182" i="51"/>
  <c r="BG32" i="51"/>
  <c r="BW22" i="51"/>
  <c r="BW21" i="51" s="1"/>
  <c r="CC21" i="51" s="1"/>
  <c r="BW30" i="51"/>
  <c r="BI208" i="51"/>
  <c r="BI210" i="51"/>
  <c r="BF210" i="51" s="1"/>
  <c r="O188" i="51"/>
  <c r="AZ185" i="51"/>
  <c r="AY185" i="51"/>
  <c r="BA185" i="51"/>
  <c r="BB185" i="51"/>
  <c r="AI185" i="51"/>
  <c r="R185" i="51"/>
  <c r="Q185" i="51"/>
  <c r="U182" i="51"/>
  <c r="C182" i="51"/>
  <c r="C153" i="51"/>
  <c r="D153" i="51"/>
  <c r="J142" i="51"/>
  <c r="J144" i="51" s="1"/>
  <c r="S92" i="51"/>
  <c r="BI153" i="51"/>
  <c r="BQ82" i="51"/>
  <c r="BK79" i="51"/>
  <c r="BL39" i="51"/>
  <c r="AP180" i="51"/>
  <c r="AP182" i="51"/>
  <c r="AP29" i="51"/>
  <c r="BQ29" i="51"/>
  <c r="BQ181" i="51"/>
  <c r="BG29" i="51"/>
  <c r="BG181" i="51"/>
  <c r="Y8" i="51"/>
  <c r="BO209" i="51"/>
  <c r="BO208" i="51"/>
  <c r="U29" i="51"/>
  <c r="E180" i="51"/>
  <c r="E182" i="51"/>
  <c r="E149" i="51"/>
  <c r="E181" i="51"/>
  <c r="BE17" i="51"/>
  <c r="BE19" i="51"/>
  <c r="S8" i="51"/>
  <c r="BL79" i="51"/>
  <c r="BH188" i="51"/>
  <c r="BN82" i="51"/>
  <c r="BM180" i="51"/>
  <c r="BM182" i="51"/>
  <c r="BE29" i="51"/>
  <c r="BK32" i="51"/>
  <c r="AY195" i="51"/>
  <c r="BB195" i="51"/>
  <c r="AA193" i="51"/>
  <c r="AB193" i="51"/>
  <c r="AC193" i="51"/>
  <c r="BS194" i="51"/>
  <c r="BM181" i="51"/>
  <c r="BE181" i="51"/>
  <c r="BA181" i="51"/>
  <c r="L180" i="51"/>
  <c r="U149" i="51"/>
  <c r="AD113" i="51"/>
  <c r="AD187" i="51"/>
  <c r="AN113" i="51"/>
  <c r="AN188" i="51"/>
  <c r="AN187" i="51"/>
  <c r="AN189" i="51"/>
  <c r="Q187" i="51"/>
  <c r="Q189" i="51"/>
  <c r="D188" i="51"/>
  <c r="D189" i="51"/>
  <c r="AK106" i="51"/>
  <c r="AE99" i="51"/>
  <c r="BU153" i="51"/>
  <c r="BE149" i="51"/>
  <c r="BE159" i="3" s="1"/>
  <c r="BH82" i="51"/>
  <c r="BB187" i="51"/>
  <c r="BB189" i="51"/>
  <c r="BB150" i="51"/>
  <c r="BB161" i="3" s="1"/>
  <c r="BB188" i="51"/>
  <c r="BL29" i="51"/>
  <c r="BL180" i="51"/>
  <c r="BL182" i="51"/>
  <c r="BL181" i="51"/>
  <c r="AG180" i="51"/>
  <c r="AG29" i="51"/>
  <c r="AG182" i="51"/>
  <c r="P182" i="51"/>
  <c r="P181" i="51"/>
  <c r="AK15" i="51"/>
  <c r="AK28" i="51"/>
  <c r="AP32" i="51" s="1"/>
  <c r="BH12" i="51"/>
  <c r="BG10" i="51"/>
  <c r="BG12" i="51"/>
  <c r="BN210" i="51"/>
  <c r="BT210" i="51" s="1"/>
  <c r="BZ210" i="51" s="1"/>
  <c r="CF210" i="51" s="1"/>
  <c r="CL210" i="51" s="1"/>
  <c r="BM210" i="51"/>
  <c r="BS210" i="51" s="1"/>
  <c r="BY210" i="51" s="1"/>
  <c r="CE210" i="51" s="1"/>
  <c r="CK210" i="51" s="1"/>
  <c r="L195" i="51"/>
  <c r="K195" i="51"/>
  <c r="AA195" i="51"/>
  <c r="AD195" i="51"/>
  <c r="BB181" i="51"/>
  <c r="K142" i="51"/>
  <c r="K144" i="51" s="1"/>
  <c r="M128" i="51"/>
  <c r="S128" i="51"/>
  <c r="AO113" i="51"/>
  <c r="AO188" i="51"/>
  <c r="AO152" i="51"/>
  <c r="BN187" i="51"/>
  <c r="BN189" i="51"/>
  <c r="BN150" i="51"/>
  <c r="BL46" i="51"/>
  <c r="Q29" i="51"/>
  <c r="Q180" i="51"/>
  <c r="Q182" i="51"/>
  <c r="BO22" i="51"/>
  <c r="BO24" i="51" s="1"/>
  <c r="BO205" i="51"/>
  <c r="BG209" i="51"/>
  <c r="BC208" i="51"/>
  <c r="BB208" i="51" s="1"/>
  <c r="BC209" i="51"/>
  <c r="AZ209" i="51" s="1"/>
  <c r="BC205" i="51"/>
  <c r="AT195" i="51"/>
  <c r="AS195" i="51"/>
  <c r="AU195" i="51"/>
  <c r="AV195" i="51"/>
  <c r="BE188" i="51"/>
  <c r="AO189" i="51"/>
  <c r="AC189" i="51"/>
  <c r="O189" i="51"/>
  <c r="F189" i="51"/>
  <c r="BL185" i="51"/>
  <c r="BH180" i="51"/>
  <c r="D180" i="51"/>
  <c r="AO149" i="51"/>
  <c r="AD142" i="51"/>
  <c r="AD153" i="51"/>
  <c r="X113" i="51"/>
  <c r="X187" i="51"/>
  <c r="X189" i="51"/>
  <c r="X152" i="51"/>
  <c r="R149" i="51"/>
  <c r="R180" i="51"/>
  <c r="W29" i="51"/>
  <c r="W149" i="51"/>
  <c r="O29" i="51"/>
  <c r="O182" i="51"/>
  <c r="BO8" i="51"/>
  <c r="BO10" i="51" s="1"/>
  <c r="AI195" i="51"/>
  <c r="R195" i="51"/>
  <c r="AE135" i="51"/>
  <c r="AQ121" i="51"/>
  <c r="Y106" i="51"/>
  <c r="S99" i="51"/>
  <c r="BA31" i="51"/>
  <c r="AZ31" i="51"/>
  <c r="AO193" i="51"/>
  <c r="L193" i="51"/>
  <c r="BR185" i="51"/>
  <c r="V185" i="51"/>
  <c r="P142" i="51"/>
  <c r="P144" i="51" s="1"/>
  <c r="M99" i="51"/>
  <c r="CA152" i="51"/>
  <c r="BO153" i="51"/>
  <c r="BO87" i="51"/>
  <c r="BM79" i="51"/>
  <c r="AJ29" i="51"/>
  <c r="AK191" i="51"/>
  <c r="AJ191" i="51" s="1"/>
  <c r="AH142" i="51"/>
  <c r="AH144" i="51" s="1"/>
  <c r="I142" i="51"/>
  <c r="I144" i="51" s="1"/>
  <c r="AE121" i="51"/>
  <c r="BG53" i="51"/>
  <c r="BG48" i="51"/>
  <c r="BH46" i="51"/>
  <c r="BF39" i="51"/>
  <c r="I29" i="51"/>
  <c r="BM24" i="51"/>
  <c r="BM10" i="51"/>
  <c r="AK141" i="51"/>
  <c r="AP143" i="51" s="1"/>
  <c r="L142" i="51"/>
  <c r="AQ128" i="51"/>
  <c r="CM152" i="51"/>
  <c r="BE79" i="51"/>
  <c r="BE58" i="51"/>
  <c r="X29" i="51"/>
  <c r="L29" i="51"/>
  <c r="AQ74" i="3"/>
  <c r="AM75" i="3"/>
  <c r="AO75" i="3"/>
  <c r="AP75" i="3"/>
  <c r="AN75" i="3"/>
  <c r="M34" i="3"/>
  <c r="M49" i="3"/>
  <c r="S49" i="3"/>
  <c r="BH22" i="3"/>
  <c r="BH11" i="3"/>
  <c r="BQ131" i="3"/>
  <c r="BQ174" i="3"/>
  <c r="BQ175" i="3" s="1"/>
  <c r="BG133" i="3"/>
  <c r="BG173" i="3"/>
  <c r="AT75" i="3"/>
  <c r="AV75" i="3"/>
  <c r="AW74" i="3"/>
  <c r="AU75" i="3"/>
  <c r="BO42" i="3"/>
  <c r="BO191" i="3"/>
  <c r="BO140" i="3"/>
  <c r="BS140" i="3" s="1"/>
  <c r="BS139" i="3" s="1"/>
  <c r="BO189" i="3"/>
  <c r="AZ82" i="3"/>
  <c r="BA81" i="3" s="1"/>
  <c r="BA70" i="3"/>
  <c r="AQ71" i="3"/>
  <c r="AS70" i="3" s="1"/>
  <c r="AW70" i="3" s="1"/>
  <c r="AP82" i="3"/>
  <c r="AQ82" i="3" s="1"/>
  <c r="D70" i="3"/>
  <c r="C82" i="3"/>
  <c r="D81" i="3" s="1"/>
  <c r="BO187" i="3"/>
  <c r="BY186" i="3"/>
  <c r="AY133" i="3"/>
  <c r="AY173" i="3"/>
  <c r="AY174" i="3"/>
  <c r="AY175" i="3" s="1"/>
  <c r="M128" i="3"/>
  <c r="M129" i="3" s="1"/>
  <c r="S71" i="3"/>
  <c r="U70" i="3" s="1"/>
  <c r="Y70" i="3" s="1"/>
  <c r="R82" i="3"/>
  <c r="S82" i="3" s="1"/>
  <c r="AQ148" i="3"/>
  <c r="AQ154" i="3" s="1"/>
  <c r="AZ131" i="3"/>
  <c r="V70" i="3"/>
  <c r="U82" i="3"/>
  <c r="V81" i="3" s="1"/>
  <c r="AG75" i="3"/>
  <c r="AH75" i="3"/>
  <c r="AJ75" i="3"/>
  <c r="O76" i="3"/>
  <c r="P76" i="3"/>
  <c r="R76" i="3"/>
  <c r="AE42" i="3"/>
  <c r="Y185" i="3"/>
  <c r="AE9" i="3"/>
  <c r="AC10" i="3"/>
  <c r="AC32" i="3"/>
  <c r="AC47" i="3"/>
  <c r="AY33" i="3"/>
  <c r="AY48" i="3"/>
  <c r="BE48" i="3"/>
  <c r="AY120" i="3"/>
  <c r="AY121" i="3" s="1"/>
  <c r="AG82" i="3"/>
  <c r="AH81" i="3" s="1"/>
  <c r="AH70" i="3"/>
  <c r="Y191" i="3"/>
  <c r="BM82" i="3"/>
  <c r="BN81" i="3" s="1"/>
  <c r="BN70" i="3"/>
  <c r="BF170" i="3"/>
  <c r="AY131" i="3"/>
  <c r="M118" i="3"/>
  <c r="G118" i="3" s="1"/>
  <c r="U75" i="3"/>
  <c r="V75" i="3"/>
  <c r="BM70" i="3"/>
  <c r="BL82" i="3"/>
  <c r="BM81" i="3" s="1"/>
  <c r="AC70" i="3"/>
  <c r="AB82" i="3"/>
  <c r="AC81" i="3" s="1"/>
  <c r="Q70" i="3"/>
  <c r="P82" i="3"/>
  <c r="Q81" i="3" s="1"/>
  <c r="AO47" i="3"/>
  <c r="Y187" i="3"/>
  <c r="BB164" i="3"/>
  <c r="BB172" i="3"/>
  <c r="BC172" i="3" s="1"/>
  <c r="BL77" i="3"/>
  <c r="BM77" i="3"/>
  <c r="BN77" i="3"/>
  <c r="F77" i="3"/>
  <c r="D77" i="3"/>
  <c r="AK56" i="3"/>
  <c r="AK49" i="3"/>
  <c r="AT22" i="3"/>
  <c r="AW63" i="3"/>
  <c r="BA34" i="3"/>
  <c r="U33" i="3"/>
  <c r="U13" i="3"/>
  <c r="U150" i="106" s="1"/>
  <c r="D120" i="3"/>
  <c r="D121" i="3" s="1"/>
  <c r="D13" i="3"/>
  <c r="D33" i="3"/>
  <c r="AO33" i="3"/>
  <c r="AO13" i="3"/>
  <c r="AO12" i="3" s="1"/>
  <c r="AK9" i="3"/>
  <c r="AK10" i="3" s="1"/>
  <c r="AG10" i="3"/>
  <c r="AG32" i="3"/>
  <c r="AE128" i="3"/>
  <c r="AE129" i="3" s="1"/>
  <c r="AU70" i="3"/>
  <c r="AT82" i="3"/>
  <c r="AU81" i="3" s="1"/>
  <c r="X82" i="3"/>
  <c r="Y82" i="3" s="1"/>
  <c r="Y71" i="3"/>
  <c r="BE11" i="3"/>
  <c r="BI57" i="3"/>
  <c r="AZ49" i="3"/>
  <c r="AZ34" i="3"/>
  <c r="Q13" i="3"/>
  <c r="Q150" i="106" s="1"/>
  <c r="W48" i="3"/>
  <c r="Q48" i="3"/>
  <c r="Q120" i="3"/>
  <c r="Q121" i="3" s="1"/>
  <c r="Q33" i="3"/>
  <c r="AU11" i="3"/>
  <c r="AU22" i="3"/>
  <c r="AW154" i="3"/>
  <c r="BU77" i="3"/>
  <c r="AO77" i="3"/>
  <c r="AM77" i="3"/>
  <c r="AP77" i="3"/>
  <c r="AN77" i="3"/>
  <c r="O77" i="3"/>
  <c r="P77" i="3"/>
  <c r="G74" i="3"/>
  <c r="AT70" i="3"/>
  <c r="AS82" i="3"/>
  <c r="AT81" i="3" s="1"/>
  <c r="M71" i="3"/>
  <c r="L82" i="3"/>
  <c r="M82" i="3" s="1"/>
  <c r="BK11" i="3"/>
  <c r="BO57" i="3"/>
  <c r="BC11" i="3"/>
  <c r="AY34" i="3"/>
  <c r="BL128" i="3"/>
  <c r="BL129" i="3" s="1"/>
  <c r="BL13" i="3"/>
  <c r="BL34" i="3"/>
  <c r="BL49" i="3"/>
  <c r="BE75" i="3"/>
  <c r="BH75" i="3"/>
  <c r="BI74" i="3"/>
  <c r="BF75" i="3"/>
  <c r="U76" i="3"/>
  <c r="X76" i="3"/>
  <c r="Y56" i="3"/>
  <c r="M56" i="3"/>
  <c r="AZ47" i="3"/>
  <c r="BE63" i="3"/>
  <c r="BE56" i="3" s="1"/>
  <c r="BF22" i="3"/>
  <c r="BF56" i="3"/>
  <c r="BN48" i="3"/>
  <c r="BH33" i="3"/>
  <c r="BH48" i="3"/>
  <c r="O13" i="3"/>
  <c r="O150" i="106" s="1"/>
  <c r="O48" i="3"/>
  <c r="O120" i="3"/>
  <c r="O121" i="3" s="1"/>
  <c r="O33" i="3"/>
  <c r="AV33" i="3"/>
  <c r="BB48" i="3"/>
  <c r="BU7" i="3"/>
  <c r="BR56" i="106" s="1"/>
  <c r="CF7" i="3"/>
  <c r="CL6" i="3"/>
  <c r="CL7" i="3" s="1"/>
  <c r="X7" i="3"/>
  <c r="X74" i="106" s="1"/>
  <c r="AH47" i="3"/>
  <c r="AB10" i="3"/>
  <c r="AB13" i="3" s="1"/>
  <c r="AB150" i="106" s="1"/>
  <c r="AB32" i="3"/>
  <c r="AB47" i="3"/>
  <c r="CA7" i="3"/>
  <c r="BI7" i="3"/>
  <c r="BI76" i="106" s="1"/>
  <c r="AW7" i="3"/>
  <c r="AW74" i="106" s="1"/>
  <c r="BM34" i="3"/>
  <c r="BM49" i="3"/>
  <c r="BK82" i="3"/>
  <c r="BL81" i="3" s="1"/>
  <c r="BL70" i="3"/>
  <c r="AM13" i="3"/>
  <c r="AM150" i="106" s="1"/>
  <c r="AM33" i="3"/>
  <c r="BA47" i="3"/>
  <c r="AU10" i="3"/>
  <c r="AU32" i="3"/>
  <c r="AJ10" i="3"/>
  <c r="AJ32" i="3"/>
  <c r="AP47" i="3"/>
  <c r="AJ47" i="3"/>
  <c r="AQ56" i="3"/>
  <c r="AE56" i="3"/>
  <c r="S56" i="3"/>
  <c r="V33" i="3"/>
  <c r="V13" i="3"/>
  <c r="V150" i="106" s="1"/>
  <c r="AT10" i="3"/>
  <c r="AT47" i="3"/>
  <c r="AI10" i="3"/>
  <c r="AI33" i="3" s="1"/>
  <c r="AI47" i="3"/>
  <c r="Y9" i="3"/>
  <c r="X10" i="3"/>
  <c r="V77" i="3"/>
  <c r="K76" i="3"/>
  <c r="BC46" i="3"/>
  <c r="BM13" i="3"/>
  <c r="BF49" i="3"/>
  <c r="BO7" i="3"/>
  <c r="BO74" i="106" s="1"/>
  <c r="BG19" i="29"/>
  <c r="BG21" i="29" s="1"/>
  <c r="BG22" i="29" s="1"/>
  <c r="BJ7" i="29"/>
  <c r="AJ64" i="29"/>
  <c r="BP58" i="29"/>
  <c r="AO57" i="29"/>
  <c r="BJ49" i="29"/>
  <c r="BK49" i="29"/>
  <c r="BL49" i="29"/>
  <c r="BT49" i="29"/>
  <c r="BK11" i="29"/>
  <c r="BK58" i="29" s="1"/>
  <c r="BT16" i="29"/>
  <c r="CE13" i="29"/>
  <c r="CF13" i="29" s="1"/>
  <c r="CD10" i="29"/>
  <c r="BW6" i="29"/>
  <c r="X64" i="29"/>
  <c r="BJ58" i="29"/>
  <c r="AZ54" i="29"/>
  <c r="AN57" i="29"/>
  <c r="R64" i="29"/>
  <c r="BG61" i="29"/>
  <c r="BM35" i="29"/>
  <c r="BN35" i="29" s="1"/>
  <c r="CC15" i="29"/>
  <c r="BF61" i="29"/>
  <c r="AD64" i="29"/>
  <c r="L64" i="29"/>
  <c r="AX14" i="29"/>
  <c r="AU61" i="29"/>
  <c r="AU33" i="29"/>
  <c r="AV33" i="29" s="1"/>
  <c r="CH14" i="29"/>
  <c r="AD37" i="29"/>
  <c r="BE56" i="29"/>
  <c r="BA62" i="29"/>
  <c r="AY54" i="29"/>
  <c r="BB54" i="29" s="1"/>
  <c r="AM57" i="29"/>
  <c r="AO53" i="29"/>
  <c r="CL41" i="29"/>
  <c r="CC41" i="29"/>
  <c r="CC54" i="29" s="1"/>
  <c r="CD41" i="29"/>
  <c r="BK40" i="29"/>
  <c r="BK53" i="29" s="1"/>
  <c r="BM40" i="29"/>
  <c r="BM53" i="29" s="1"/>
  <c r="AR13" i="29"/>
  <c r="AM7" i="29"/>
  <c r="AL18" i="29"/>
  <c r="AL19" i="29" s="1"/>
  <c r="AL21" i="29" s="1"/>
  <c r="BR47" i="29"/>
  <c r="BR60" i="29" s="1"/>
  <c r="AS6" i="29"/>
  <c r="AR53" i="29"/>
  <c r="AM13" i="29"/>
  <c r="AM60" i="29" s="1"/>
  <c r="BS12" i="29"/>
  <c r="BT12" i="29" s="1"/>
  <c r="AY62" i="29"/>
  <c r="BX41" i="29"/>
  <c r="BV41" i="29"/>
  <c r="BW41" i="29"/>
  <c r="CL37" i="29"/>
  <c r="AU29" i="29"/>
  <c r="AV29" i="29" s="1"/>
  <c r="BL8" i="29"/>
  <c r="BL55" i="29" s="1"/>
  <c r="AZ13" i="29"/>
  <c r="AZ60" i="29" s="1"/>
  <c r="AY60" i="29"/>
  <c r="AN63" i="29"/>
  <c r="AO63" i="29"/>
  <c r="AO31" i="29"/>
  <c r="AP31" i="29" s="1"/>
  <c r="AR12" i="29"/>
  <c r="AO35" i="29"/>
  <c r="AP35" i="29" s="1"/>
  <c r="AR16" i="29"/>
  <c r="BA59" i="29"/>
  <c r="BR46" i="29"/>
  <c r="BR59" i="29" s="1"/>
  <c r="BZ46" i="29"/>
  <c r="BT40" i="29"/>
  <c r="AS9" i="29"/>
  <c r="BQ44" i="29"/>
  <c r="BQ57" i="29" s="1"/>
  <c r="BP44" i="29"/>
  <c r="BP57" i="29" s="1"/>
  <c r="BS44" i="29"/>
  <c r="BS57" i="29" s="1"/>
  <c r="BZ44" i="29"/>
  <c r="AX57" i="29"/>
  <c r="AY57" i="29"/>
  <c r="AO19" i="29"/>
  <c r="AO21" i="29" s="1"/>
  <c r="AZ59" i="29"/>
  <c r="AZ57" i="29"/>
  <c r="BZ43" i="29"/>
  <c r="AJ37" i="29"/>
  <c r="X37" i="29"/>
  <c r="BG31" i="29"/>
  <c r="BH31" i="29" s="1"/>
  <c r="BF59" i="29"/>
  <c r="BG59" i="29"/>
  <c r="AX8" i="29"/>
  <c r="BK50" i="29"/>
  <c r="BM50" i="29"/>
  <c r="BT50" i="29"/>
  <c r="BM48" i="29"/>
  <c r="BM61" i="29" s="1"/>
  <c r="BT48" i="29"/>
  <c r="BJ9" i="29"/>
  <c r="AO56" i="29"/>
  <c r="AN53" i="29"/>
  <c r="AX62" i="29"/>
  <c r="BJ13" i="29"/>
  <c r="AR11" i="29"/>
  <c r="AO58" i="29"/>
  <c r="AP58" i="29" s="1"/>
  <c r="BJ47" i="29"/>
  <c r="BL47" i="29"/>
  <c r="BJ15" i="29"/>
  <c r="BM19" i="29"/>
  <c r="BM21" i="29" s="1"/>
  <c r="BM22" i="29" s="1"/>
  <c r="BP6" i="29"/>
  <c r="BT37" i="29"/>
  <c r="AX6" i="29"/>
  <c r="AU19" i="29"/>
  <c r="AU21" i="29" s="1"/>
  <c r="AT28" i="118"/>
  <c r="AX28" i="118"/>
  <c r="AP28" i="118"/>
  <c r="AD21" i="118"/>
  <c r="AT27" i="118"/>
  <c r="AX32" i="118"/>
  <c r="AS32" i="118"/>
  <c r="BA195" i="51"/>
  <c r="AN195" i="51"/>
  <c r="U193" i="51"/>
  <c r="V193" i="51"/>
  <c r="W193" i="51"/>
  <c r="X193" i="51"/>
  <c r="AK135" i="51"/>
  <c r="AY210" i="51"/>
  <c r="AZ210" i="51"/>
  <c r="BA210" i="51"/>
  <c r="AZ195" i="51"/>
  <c r="AC195" i="51"/>
  <c r="AO195" i="51"/>
  <c r="AP195" i="51"/>
  <c r="BN198" i="51"/>
  <c r="BL198" i="51"/>
  <c r="BK198" i="51"/>
  <c r="BM26" i="51"/>
  <c r="BM30" i="51"/>
  <c r="AB185" i="51"/>
  <c r="AC185" i="51"/>
  <c r="AD185" i="51"/>
  <c r="AA185" i="51"/>
  <c r="CC7" i="51"/>
  <c r="BC151" i="51"/>
  <c r="BC153" i="3" s="1"/>
  <c r="BF209" i="51"/>
  <c r="AS210" i="51"/>
  <c r="AT210" i="51"/>
  <c r="AU210" i="51"/>
  <c r="AA190" i="51"/>
  <c r="AB190" i="51"/>
  <c r="AC190" i="51"/>
  <c r="AE191" i="51"/>
  <c r="AD190" i="51"/>
  <c r="Q190" i="51"/>
  <c r="R190" i="51"/>
  <c r="S191" i="51"/>
  <c r="I185" i="51"/>
  <c r="J185" i="51"/>
  <c r="K185" i="51"/>
  <c r="V195" i="51"/>
  <c r="W195" i="51"/>
  <c r="X195" i="51"/>
  <c r="BT198" i="51"/>
  <c r="BR198" i="51"/>
  <c r="BS198" i="51"/>
  <c r="BF58" i="51"/>
  <c r="BL71" i="51"/>
  <c r="BI71" i="51"/>
  <c r="BO73" i="51" s="1"/>
  <c r="AK146" i="51"/>
  <c r="V142" i="51"/>
  <c r="V144" i="51" s="1"/>
  <c r="AW120" i="51"/>
  <c r="AW121" i="51" s="1"/>
  <c r="AS121" i="51"/>
  <c r="AS141" i="51"/>
  <c r="CJ15" i="51"/>
  <c r="CJ19" i="51"/>
  <c r="BL210" i="51"/>
  <c r="BR210" i="51" s="1"/>
  <c r="BX210" i="51" s="1"/>
  <c r="CD210" i="51" s="1"/>
  <c r="CJ210" i="51" s="1"/>
  <c r="P193" i="51"/>
  <c r="R193" i="51"/>
  <c r="AJ185" i="51"/>
  <c r="AI152" i="51"/>
  <c r="AI188" i="51"/>
  <c r="AI113" i="51"/>
  <c r="Q113" i="51"/>
  <c r="K152" i="51"/>
  <c r="K113" i="51"/>
  <c r="K189" i="51"/>
  <c r="K188" i="51"/>
  <c r="AU185" i="51"/>
  <c r="AV185" i="51"/>
  <c r="AN142" i="51"/>
  <c r="AN144" i="51" s="1"/>
  <c r="AT142" i="51"/>
  <c r="AT144" i="51" s="1"/>
  <c r="AN153" i="51"/>
  <c r="M135" i="51"/>
  <c r="S135" i="51"/>
  <c r="AW105" i="51"/>
  <c r="AS106" i="51"/>
  <c r="AQ99" i="51"/>
  <c r="BI45" i="51"/>
  <c r="BE48" i="51"/>
  <c r="BE46" i="51"/>
  <c r="V153" i="51"/>
  <c r="Y141" i="51"/>
  <c r="BR163" i="3"/>
  <c r="BX86" i="51"/>
  <c r="I193" i="51"/>
  <c r="K193" i="51"/>
  <c r="V190" i="51"/>
  <c r="W190" i="51"/>
  <c r="X190" i="51"/>
  <c r="BE185" i="51"/>
  <c r="BF185" i="51"/>
  <c r="BG185" i="51"/>
  <c r="AD152" i="51"/>
  <c r="AJ113" i="51"/>
  <c r="AD188" i="51"/>
  <c r="AK159" i="51"/>
  <c r="E152" i="51"/>
  <c r="E187" i="51"/>
  <c r="E189" i="51"/>
  <c r="BO38" i="51"/>
  <c r="BO41" i="51" s="1"/>
  <c r="BK41" i="51"/>
  <c r="AO190" i="51"/>
  <c r="BS185" i="51"/>
  <c r="W185" i="51"/>
  <c r="AQ106" i="51"/>
  <c r="AW33" i="51"/>
  <c r="AC29" i="51"/>
  <c r="J29" i="51"/>
  <c r="J149" i="51"/>
  <c r="F154" i="51"/>
  <c r="BU54" i="51"/>
  <c r="BU52" i="51"/>
  <c r="BO51" i="51"/>
  <c r="AV29" i="51"/>
  <c r="BB29" i="51"/>
  <c r="BB32" i="51"/>
  <c r="AH29" i="51"/>
  <c r="AH149" i="51"/>
  <c r="AN29" i="51"/>
  <c r="AW134" i="51"/>
  <c r="AW135" i="51" s="1"/>
  <c r="AS135" i="51"/>
  <c r="AU113" i="51"/>
  <c r="AU152" i="51"/>
  <c r="G112" i="51"/>
  <c r="I113" i="51"/>
  <c r="C152" i="51"/>
  <c r="BF79" i="51"/>
  <c r="AZ150" i="51"/>
  <c r="AZ170" i="3" s="1"/>
  <c r="BG82" i="51"/>
  <c r="BI51" i="51"/>
  <c r="BO54" i="51"/>
  <c r="BI78" i="51"/>
  <c r="BO52" i="51"/>
  <c r="AI153" i="51"/>
  <c r="AO142" i="51"/>
  <c r="AO144" i="51" s="1"/>
  <c r="W142" i="51"/>
  <c r="W144" i="51" s="1"/>
  <c r="AC142" i="51"/>
  <c r="AC144" i="51" s="1"/>
  <c r="W153" i="51"/>
  <c r="AQ135" i="51"/>
  <c r="V113" i="51"/>
  <c r="Y112" i="51"/>
  <c r="CA153" i="51"/>
  <c r="BI61" i="51"/>
  <c r="M141" i="51"/>
  <c r="AG142" i="51"/>
  <c r="AG144" i="51" s="1"/>
  <c r="AG153" i="51"/>
  <c r="AM142" i="51"/>
  <c r="AM144" i="51" s="1"/>
  <c r="AA153" i="51"/>
  <c r="AA142" i="51"/>
  <c r="AA144" i="51" s="1"/>
  <c r="AE141" i="51"/>
  <c r="R113" i="51"/>
  <c r="R152" i="51"/>
  <c r="S112" i="51"/>
  <c r="J113" i="51"/>
  <c r="M112" i="51"/>
  <c r="J152" i="51"/>
  <c r="CM153" i="51"/>
  <c r="BN41" i="51"/>
  <c r="BN39" i="51"/>
  <c r="BK39" i="51"/>
  <c r="AD29" i="51"/>
  <c r="BH24" i="51"/>
  <c r="BH26" i="51"/>
  <c r="AJ142" i="51"/>
  <c r="L113" i="51"/>
  <c r="L152" i="51"/>
  <c r="AS112" i="51"/>
  <c r="AW91" i="51"/>
  <c r="AS92" i="51"/>
  <c r="BN53" i="51"/>
  <c r="BN55" i="51"/>
  <c r="BU45" i="51"/>
  <c r="BO78" i="51"/>
  <c r="BO44" i="51"/>
  <c r="AE33" i="51"/>
  <c r="BT32" i="51"/>
  <c r="BN149" i="51"/>
  <c r="BG24" i="51"/>
  <c r="BG26" i="51"/>
  <c r="BI23" i="51"/>
  <c r="S121" i="51"/>
  <c r="AQ112" i="51"/>
  <c r="AB113" i="51"/>
  <c r="BI59" i="51"/>
  <c r="BH39" i="51"/>
  <c r="BH41" i="51"/>
  <c r="BQ81" i="51"/>
  <c r="W33" i="51"/>
  <c r="BI28" i="51"/>
  <c r="BO18" i="51"/>
  <c r="BI15" i="51"/>
  <c r="BH19" i="51"/>
  <c r="BH17" i="51"/>
  <c r="BH30" i="51"/>
  <c r="BB31" i="51"/>
  <c r="U142" i="51"/>
  <c r="U144" i="51" s="1"/>
  <c r="U153" i="51"/>
  <c r="AT113" i="51"/>
  <c r="AT152" i="51"/>
  <c r="AE112" i="51"/>
  <c r="BM71" i="51"/>
  <c r="BS71" i="51" s="1"/>
  <c r="BS58" i="51" s="1"/>
  <c r="BM74" i="51"/>
  <c r="BF82" i="51"/>
  <c r="AY22" i="51"/>
  <c r="AY24" i="51" s="1"/>
  <c r="AS22" i="51"/>
  <c r="BN30" i="51"/>
  <c r="BN10" i="51"/>
  <c r="BN12" i="51"/>
  <c r="BE30" i="51"/>
  <c r="BE12" i="51"/>
  <c r="AP142" i="51"/>
  <c r="X142" i="51"/>
  <c r="R142" i="51"/>
  <c r="Q153" i="51"/>
  <c r="Q142" i="51"/>
  <c r="Q144" i="51" s="1"/>
  <c r="AH113" i="51"/>
  <c r="AK112" i="51"/>
  <c r="W152" i="51"/>
  <c r="AC113" i="51"/>
  <c r="AE106" i="51"/>
  <c r="BI52" i="51"/>
  <c r="BE53" i="51"/>
  <c r="V29" i="51"/>
  <c r="V149" i="51"/>
  <c r="CD15" i="51"/>
  <c r="CD19" i="51"/>
  <c r="Y15" i="51"/>
  <c r="Y28" i="51"/>
  <c r="S141" i="51"/>
  <c r="AE128" i="51"/>
  <c r="Y128" i="51"/>
  <c r="AE92" i="51"/>
  <c r="AU29" i="51"/>
  <c r="BO16" i="51"/>
  <c r="BE10" i="51"/>
  <c r="BQ74" i="51"/>
  <c r="BQ71" i="51"/>
  <c r="CC43" i="51"/>
  <c r="BM29" i="51"/>
  <c r="BM149" i="51"/>
  <c r="BM159" i="3" s="1"/>
  <c r="BM32" i="51"/>
  <c r="BG149" i="51"/>
  <c r="BG159" i="3" s="1"/>
  <c r="BF17" i="51"/>
  <c r="BF30" i="51"/>
  <c r="BF19" i="51"/>
  <c r="BI16" i="51"/>
  <c r="BO151" i="51"/>
  <c r="BM82" i="51"/>
  <c r="BG79" i="51"/>
  <c r="BL32" i="51"/>
  <c r="BL30" i="51"/>
  <c r="BF32" i="51"/>
  <c r="AZ29" i="51"/>
  <c r="P29" i="51"/>
  <c r="BU23" i="51"/>
  <c r="BO28" i="51"/>
  <c r="BU25" i="51"/>
  <c r="M22" i="51"/>
  <c r="BI151" i="51"/>
  <c r="BH58" i="51"/>
  <c r="BH150" i="51"/>
  <c r="BH161" i="3" s="1"/>
  <c r="BI38" i="51"/>
  <c r="BO25" i="51"/>
  <c r="BO26" i="51" s="1"/>
  <c r="BI22" i="51"/>
  <c r="AQ8" i="51"/>
  <c r="AQ28" i="51"/>
  <c r="BI40" i="51"/>
  <c r="BE41" i="51"/>
  <c r="BG41" i="51"/>
  <c r="CC36" i="51"/>
  <c r="BO37" i="51"/>
  <c r="BG19" i="51"/>
  <c r="BG17" i="51"/>
  <c r="BG30" i="51"/>
  <c r="AQ15" i="51"/>
  <c r="BC78" i="51"/>
  <c r="AI29" i="51"/>
  <c r="AB29" i="51"/>
  <c r="BX22" i="51"/>
  <c r="BX21" i="51" s="1"/>
  <c r="AW8" i="51"/>
  <c r="BM39" i="51"/>
  <c r="BK29" i="51"/>
  <c r="BE32" i="51"/>
  <c r="G28" i="51"/>
  <c r="AS8" i="51"/>
  <c r="BC9" i="51"/>
  <c r="BO15" i="51"/>
  <c r="BK17" i="51"/>
  <c r="CC14" i="51"/>
  <c r="S15" i="51"/>
  <c r="CE23" i="51"/>
  <c r="CD26" i="51"/>
  <c r="S22" i="51"/>
  <c r="BC28" i="51"/>
  <c r="M28" i="51"/>
  <c r="BO154" i="3"/>
  <c r="AZ133" i="3"/>
  <c r="AZ173" i="3"/>
  <c r="AZ174" i="3"/>
  <c r="AZ175" i="3" s="1"/>
  <c r="AQ172" i="3"/>
  <c r="AK173" i="3"/>
  <c r="AK116" i="3"/>
  <c r="BA133" i="3"/>
  <c r="BA173" i="3"/>
  <c r="BA174" i="3"/>
  <c r="BA175" i="3" s="1"/>
  <c r="BG174" i="3"/>
  <c r="P6" i="3"/>
  <c r="V7" i="3"/>
  <c r="W7" i="3"/>
  <c r="G116" i="3"/>
  <c r="AQ132" i="3"/>
  <c r="BH169" i="3"/>
  <c r="BB132" i="3"/>
  <c r="AB77" i="3"/>
  <c r="AC77" i="3"/>
  <c r="AD77" i="3"/>
  <c r="BN172" i="3"/>
  <c r="BO172" i="3" s="1"/>
  <c r="BN163" i="3"/>
  <c r="BC169" i="3"/>
  <c r="AZ132" i="3"/>
  <c r="BT58" i="3"/>
  <c r="BT56" i="3" s="1"/>
  <c r="BT63" i="3" s="1"/>
  <c r="BH172" i="3"/>
  <c r="BI172" i="3" s="1"/>
  <c r="BH164" i="3"/>
  <c r="BH163" i="3"/>
  <c r="BC154" i="3"/>
  <c r="AG76" i="3"/>
  <c r="AH76" i="3"/>
  <c r="AJ76" i="3"/>
  <c r="AK74" i="3"/>
  <c r="AI76" i="3"/>
  <c r="K77" i="3"/>
  <c r="I77" i="3"/>
  <c r="L77" i="3"/>
  <c r="J77" i="3"/>
  <c r="F70" i="3"/>
  <c r="E82" i="3"/>
  <c r="F81" i="3" s="1"/>
  <c r="BQ70" i="3"/>
  <c r="BU70" i="3" s="1"/>
  <c r="BQ81" i="3"/>
  <c r="BU81" i="3" s="1"/>
  <c r="AT56" i="3"/>
  <c r="AW56" i="3" s="1"/>
  <c r="AW59" i="3"/>
  <c r="AW169" i="3" s="1"/>
  <c r="BM133" i="3"/>
  <c r="BM173" i="3"/>
  <c r="AO82" i="3"/>
  <c r="AP81" i="3" s="1"/>
  <c r="AP70" i="3"/>
  <c r="BM174" i="3"/>
  <c r="BI154" i="3"/>
  <c r="K70" i="3"/>
  <c r="J82" i="3"/>
  <c r="K81" i="3" s="1"/>
  <c r="BB131" i="3"/>
  <c r="AQ118" i="3"/>
  <c r="AB76" i="3"/>
  <c r="AA76" i="3"/>
  <c r="AC76" i="3"/>
  <c r="AD76" i="3"/>
  <c r="P75" i="3"/>
  <c r="R75" i="3"/>
  <c r="O75" i="3"/>
  <c r="S74" i="3"/>
  <c r="Q75" i="3"/>
  <c r="BF133" i="3"/>
  <c r="BF173" i="3"/>
  <c r="BM76" i="3"/>
  <c r="BU76" i="3"/>
  <c r="BL76" i="3"/>
  <c r="BN76" i="3"/>
  <c r="BO74" i="3"/>
  <c r="AY75" i="3"/>
  <c r="BA75" i="3"/>
  <c r="BB75" i="3"/>
  <c r="AZ75" i="3"/>
  <c r="BC74" i="3"/>
  <c r="AS77" i="3"/>
  <c r="AV77" i="3"/>
  <c r="AT77" i="3"/>
  <c r="AI70" i="3"/>
  <c r="AH82" i="3"/>
  <c r="AI81" i="3" s="1"/>
  <c r="AD82" i="3"/>
  <c r="AE82" i="3" s="1"/>
  <c r="AT76" i="3"/>
  <c r="AV76" i="3"/>
  <c r="AS76" i="3"/>
  <c r="AU76" i="3"/>
  <c r="BH77" i="3"/>
  <c r="BE77" i="3"/>
  <c r="BA76" i="3"/>
  <c r="AY76" i="3"/>
  <c r="BG82" i="3"/>
  <c r="BH81" i="3" s="1"/>
  <c r="K82" i="3"/>
  <c r="L81" i="3" s="1"/>
  <c r="BF76" i="3"/>
  <c r="BH76" i="3"/>
  <c r="L76" i="3"/>
  <c r="BN56" i="3"/>
  <c r="AI75" i="3"/>
  <c r="AB75" i="3"/>
  <c r="AD75" i="3"/>
  <c r="AA75" i="3"/>
  <c r="AE74" i="3"/>
  <c r="Q76" i="3"/>
  <c r="W75" i="3"/>
  <c r="Y74" i="3"/>
  <c r="BC18" i="3"/>
  <c r="BC15" i="3" s="1"/>
  <c r="AY15" i="3"/>
  <c r="K75" i="3"/>
  <c r="M74" i="3"/>
  <c r="L75" i="3"/>
  <c r="D75" i="3"/>
  <c r="F75" i="3"/>
  <c r="BL15" i="3"/>
  <c r="BN18" i="3"/>
  <c r="BN15" i="3" s="1"/>
  <c r="BF34" i="3"/>
  <c r="Y18" i="3"/>
  <c r="Y15" i="3" s="1"/>
  <c r="U15" i="3"/>
  <c r="I15" i="3"/>
  <c r="M18" i="3"/>
  <c r="M15" i="3" s="1"/>
  <c r="S10" i="3"/>
  <c r="S42" i="3"/>
  <c r="Y42" i="3"/>
  <c r="M42" i="3"/>
  <c r="Y49" i="3"/>
  <c r="Y34" i="3"/>
  <c r="L10" i="3"/>
  <c r="M9" i="3"/>
  <c r="R47" i="3"/>
  <c r="BE15" i="3"/>
  <c r="BI18" i="3"/>
  <c r="AT15" i="3"/>
  <c r="AW18" i="3"/>
  <c r="AW15" i="3" s="1"/>
  <c r="E13" i="3"/>
  <c r="E150" i="106" s="1"/>
  <c r="K48" i="3"/>
  <c r="E33" i="3"/>
  <c r="BC9" i="3"/>
  <c r="AZ10" i="3"/>
  <c r="AW9" i="3"/>
  <c r="BN128" i="3"/>
  <c r="BN129" i="3" s="1"/>
  <c r="BN13" i="3"/>
  <c r="BN150" i="106" s="1"/>
  <c r="BK63" i="3"/>
  <c r="BF13" i="3"/>
  <c r="BF150" i="106" s="1"/>
  <c r="AV11" i="3"/>
  <c r="AV22" i="3"/>
  <c r="AY13" i="3"/>
  <c r="AY150" i="106" s="1"/>
  <c r="AG15" i="3"/>
  <c r="AK18" i="3"/>
  <c r="AK15" i="3" s="1"/>
  <c r="AQ18" i="3"/>
  <c r="AQ15" i="3" s="1"/>
  <c r="F10" i="3"/>
  <c r="G9" i="3"/>
  <c r="AE18" i="3"/>
  <c r="AE15" i="3" s="1"/>
  <c r="O15" i="3"/>
  <c r="AK7" i="3"/>
  <c r="AK74" i="106" s="1"/>
  <c r="BO48" i="51" l="1"/>
  <c r="BS33" i="51"/>
  <c r="BS56" i="106"/>
  <c r="BS57" i="106"/>
  <c r="BS77" i="106"/>
  <c r="AO55" i="29"/>
  <c r="AM55" i="29"/>
  <c r="BQ42" i="29"/>
  <c r="BQ55" i="29" s="1"/>
  <c r="CD54" i="29"/>
  <c r="CF54" i="29" s="1"/>
  <c r="CE54" i="29"/>
  <c r="BY54" i="29"/>
  <c r="AN55" i="29"/>
  <c r="AP55" i="29" s="1"/>
  <c r="BR54" i="29"/>
  <c r="BM63" i="29"/>
  <c r="J179" i="3"/>
  <c r="BA13" i="3"/>
  <c r="BA150" i="106" s="1"/>
  <c r="BR77" i="3"/>
  <c r="BS77" i="3"/>
  <c r="BR76" i="3"/>
  <c r="BR74" i="3" s="1"/>
  <c r="BS76" i="3"/>
  <c r="BS37" i="3"/>
  <c r="BS50" i="3"/>
  <c r="S46" i="3"/>
  <c r="AP62" i="29"/>
  <c r="AU209" i="51"/>
  <c r="AW15" i="51"/>
  <c r="AU22" i="118"/>
  <c r="AS209" i="51"/>
  <c r="AH46" i="3"/>
  <c r="AS46" i="3"/>
  <c r="K79" i="118"/>
  <c r="J36" i="3"/>
  <c r="Y46" i="3"/>
  <c r="AY170" i="3"/>
  <c r="AA154" i="51"/>
  <c r="J20" i="3"/>
  <c r="J21" i="3" s="1"/>
  <c r="J151" i="106" s="1"/>
  <c r="J152" i="106" s="1"/>
  <c r="J153" i="106" s="1"/>
  <c r="J173" i="106" s="1"/>
  <c r="J134" i="3"/>
  <c r="J135" i="3" s="1"/>
  <c r="J12" i="3"/>
  <c r="J35" i="3" s="1"/>
  <c r="J63" i="106"/>
  <c r="AA46" i="3"/>
  <c r="AT209" i="51"/>
  <c r="AW211" i="51"/>
  <c r="AQ85" i="118"/>
  <c r="AQ86" i="118" s="1"/>
  <c r="AQ42" i="118" s="1"/>
  <c r="AY167" i="3"/>
  <c r="AS89" i="118"/>
  <c r="BB167" i="3"/>
  <c r="X154" i="51"/>
  <c r="AI46" i="3"/>
  <c r="BA167" i="3"/>
  <c r="AY154" i="51"/>
  <c r="I74" i="3"/>
  <c r="BT76" i="106"/>
  <c r="BZ76" i="106" s="1"/>
  <c r="CF76" i="106" s="1"/>
  <c r="CL76" i="106" s="1"/>
  <c r="BY76" i="106"/>
  <c r="CE76" i="106" s="1"/>
  <c r="CK76" i="106" s="1"/>
  <c r="CD76" i="106"/>
  <c r="CJ76" i="106" s="1"/>
  <c r="BW76" i="106"/>
  <c r="CC76" i="106" s="1"/>
  <c r="CI76" i="106" s="1"/>
  <c r="AJ154" i="51"/>
  <c r="AG154" i="51"/>
  <c r="BQ58" i="51"/>
  <c r="BW71" i="51"/>
  <c r="BN58" i="51"/>
  <c r="BT71" i="51"/>
  <c r="BM58" i="51"/>
  <c r="BS59" i="51" s="1"/>
  <c r="BS61" i="51" s="1"/>
  <c r="AR29" i="118"/>
  <c r="AV29" i="118"/>
  <c r="AR31" i="118"/>
  <c r="AV31" i="118"/>
  <c r="BR71" i="51"/>
  <c r="AS31" i="118"/>
  <c r="AW31" i="118"/>
  <c r="BI24" i="51"/>
  <c r="AV143" i="51"/>
  <c r="AV144" i="51" s="1"/>
  <c r="AZ167" i="3"/>
  <c r="V33" i="118"/>
  <c r="AT33" i="118"/>
  <c r="BQ33" i="51"/>
  <c r="AT59" i="118" s="1"/>
  <c r="AN46" i="3"/>
  <c r="I154" i="51"/>
  <c r="BQ46" i="3"/>
  <c r="AC46" i="3"/>
  <c r="AN154" i="51"/>
  <c r="AW23" i="118"/>
  <c r="X33" i="118"/>
  <c r="Z33" i="118"/>
  <c r="BC18" i="51"/>
  <c r="BE210" i="51"/>
  <c r="Z25" i="118"/>
  <c r="BA154" i="51"/>
  <c r="BA165" i="51" s="1"/>
  <c r="G153" i="51"/>
  <c r="G163" i="3" s="1"/>
  <c r="AP154" i="51"/>
  <c r="AD154" i="51"/>
  <c r="BA170" i="3"/>
  <c r="BY129" i="3"/>
  <c r="CE129" i="3" s="1"/>
  <c r="AM99" i="107"/>
  <c r="AM101" i="107" s="1"/>
  <c r="BW75" i="106"/>
  <c r="CC75" i="106" s="1"/>
  <c r="CI75" i="106" s="1"/>
  <c r="BR57" i="106"/>
  <c r="BY75" i="106"/>
  <c r="CE75" i="106" s="1"/>
  <c r="CK75" i="106" s="1"/>
  <c r="BZ75" i="106"/>
  <c r="CF75" i="106" s="1"/>
  <c r="CL75" i="106" s="1"/>
  <c r="AZ23" i="118"/>
  <c r="AQ31" i="118"/>
  <c r="AU31" i="118"/>
  <c r="AY29" i="51"/>
  <c r="BQ167" i="3"/>
  <c r="BW167" i="3" s="1"/>
  <c r="BU12" i="51"/>
  <c r="BR33" i="51"/>
  <c r="AY32" i="51"/>
  <c r="BC149" i="51"/>
  <c r="BC149" i="3" s="1"/>
  <c r="S149" i="51"/>
  <c r="S159" i="3" s="1"/>
  <c r="AE46" i="3"/>
  <c r="BY86" i="51"/>
  <c r="BU19" i="51"/>
  <c r="AT29" i="118"/>
  <c r="AT31" i="118"/>
  <c r="BQ154" i="51"/>
  <c r="BQ160" i="51" s="1"/>
  <c r="BI48" i="51"/>
  <c r="AQ29" i="118"/>
  <c r="AU29" i="118"/>
  <c r="BR31" i="51"/>
  <c r="BR80" i="51"/>
  <c r="BR83" i="51" s="1"/>
  <c r="AV83" i="118"/>
  <c r="AV84" i="118" s="1"/>
  <c r="AV41" i="118" s="1"/>
  <c r="BO169" i="3"/>
  <c r="BR77" i="106"/>
  <c r="BB140" i="3"/>
  <c r="BB139" i="3" s="1"/>
  <c r="CD75" i="106"/>
  <c r="CJ75" i="106" s="1"/>
  <c r="AS38" i="3"/>
  <c r="AS23" i="3"/>
  <c r="AS39" i="3" s="1"/>
  <c r="AS180" i="3"/>
  <c r="BT70" i="3"/>
  <c r="BT71" i="3" s="1"/>
  <c r="BT27" i="3" s="1"/>
  <c r="D20" i="3"/>
  <c r="D150" i="106"/>
  <c r="BR50" i="3"/>
  <c r="BR37" i="3"/>
  <c r="BL150" i="106"/>
  <c r="AO20" i="3"/>
  <c r="AO38" i="3" s="1"/>
  <c r="AO150" i="106"/>
  <c r="BB20" i="3"/>
  <c r="BB38" i="3" s="1"/>
  <c r="BB150" i="106"/>
  <c r="I134" i="3"/>
  <c r="I135" i="3" s="1"/>
  <c r="I150" i="106"/>
  <c r="P50" i="3"/>
  <c r="P150" i="106"/>
  <c r="BG134" i="3"/>
  <c r="BG135" i="3" s="1"/>
  <c r="BG150" i="106"/>
  <c r="BM20" i="3"/>
  <c r="BM23" i="3" s="1"/>
  <c r="BM150" i="106"/>
  <c r="BN140" i="3"/>
  <c r="BN139" i="3" s="1"/>
  <c r="BR140" i="3"/>
  <c r="BR139" i="3" s="1"/>
  <c r="W36" i="3"/>
  <c r="W150" i="106"/>
  <c r="K12" i="3"/>
  <c r="K150" i="106"/>
  <c r="BQ63" i="106"/>
  <c r="BQ150" i="106"/>
  <c r="L145" i="51"/>
  <c r="L146" i="51" s="1"/>
  <c r="AQ153" i="51"/>
  <c r="AQ153" i="3" s="1"/>
  <c r="BU48" i="51"/>
  <c r="AC154" i="51"/>
  <c r="T55" i="118" s="1"/>
  <c r="X65" i="118" s="1"/>
  <c r="X30" i="51"/>
  <c r="F164" i="51"/>
  <c r="P59" i="118"/>
  <c r="X32" i="51"/>
  <c r="BC23" i="51"/>
  <c r="AS208" i="51"/>
  <c r="BB81" i="118"/>
  <c r="AV89" i="118"/>
  <c r="AV90" i="118" s="1"/>
  <c r="AV44" i="118" s="1"/>
  <c r="AV208" i="51"/>
  <c r="AV211" i="51" s="1"/>
  <c r="AW28" i="51"/>
  <c r="BI26" i="51"/>
  <c r="AU208" i="51"/>
  <c r="BF154" i="51"/>
  <c r="BF160" i="51" s="1"/>
  <c r="BU41" i="51"/>
  <c r="BI55" i="51"/>
  <c r="AT208" i="51"/>
  <c r="BK81" i="51"/>
  <c r="BK80" i="51" s="1"/>
  <c r="AQ142" i="51"/>
  <c r="AQ144" i="51" s="1"/>
  <c r="BC25" i="51"/>
  <c r="W79" i="118"/>
  <c r="AM31" i="51"/>
  <c r="BT151" i="106"/>
  <c r="CF158" i="106"/>
  <c r="CF16" i="107"/>
  <c r="CG16" i="107" s="1"/>
  <c r="CG34" i="106"/>
  <c r="X74" i="3"/>
  <c r="K20" i="3"/>
  <c r="BK174" i="3"/>
  <c r="BK175" i="3" s="1"/>
  <c r="BO132" i="3"/>
  <c r="C20" i="3"/>
  <c r="C21" i="3" s="1"/>
  <c r="C151" i="106" s="1"/>
  <c r="C150" i="106"/>
  <c r="CG35" i="106"/>
  <c r="CG159" i="106" s="1"/>
  <c r="AH63" i="118"/>
  <c r="AI63" i="118"/>
  <c r="N59" i="118"/>
  <c r="Z79" i="118"/>
  <c r="BM170" i="3"/>
  <c r="BC22" i="51"/>
  <c r="BK154" i="51"/>
  <c r="BK165" i="51" s="1"/>
  <c r="AK153" i="51"/>
  <c r="AK163" i="3" s="1"/>
  <c r="AP145" i="51"/>
  <c r="AP146" i="51" s="1"/>
  <c r="AP32" i="118"/>
  <c r="BK170" i="3"/>
  <c r="BF81" i="51"/>
  <c r="BC15" i="51"/>
  <c r="D154" i="51"/>
  <c r="D174" i="51" s="1"/>
  <c r="BC16" i="51"/>
  <c r="BD28" i="118"/>
  <c r="AE79" i="118"/>
  <c r="BC28" i="118"/>
  <c r="AK63" i="118"/>
  <c r="AJ63" i="118"/>
  <c r="AP89" i="118"/>
  <c r="AJ25" i="118"/>
  <c r="X79" i="118"/>
  <c r="L79" i="118"/>
  <c r="AA79" i="118"/>
  <c r="CL87" i="51"/>
  <c r="AA76" i="106"/>
  <c r="AS21" i="3"/>
  <c r="AS151" i="106" s="1"/>
  <c r="AS152" i="106" s="1"/>
  <c r="AS153" i="106" s="1"/>
  <c r="BL20" i="3"/>
  <c r="BL38" i="3" s="1"/>
  <c r="BQ134" i="3"/>
  <c r="BQ135" i="3" s="1"/>
  <c r="O20" i="3"/>
  <c r="O38" i="3" s="1"/>
  <c r="U7" i="3"/>
  <c r="U74" i="106" s="1"/>
  <c r="R7" i="3"/>
  <c r="R74" i="106" s="1"/>
  <c r="CD129" i="3"/>
  <c r="V79" i="118"/>
  <c r="BB23" i="118"/>
  <c r="S79" i="118"/>
  <c r="AM22" i="118"/>
  <c r="AU27" i="118"/>
  <c r="BE22" i="118"/>
  <c r="J79" i="118"/>
  <c r="AB79" i="118"/>
  <c r="AY22" i="118"/>
  <c r="AY27" i="118"/>
  <c r="AQ30" i="118"/>
  <c r="AU85" i="118"/>
  <c r="AU86" i="118" s="1"/>
  <c r="AU42" i="118" s="1"/>
  <c r="AT89" i="118"/>
  <c r="AU90" i="118" s="1"/>
  <c r="AU44" i="118" s="1"/>
  <c r="BC32" i="118"/>
  <c r="AR89" i="118"/>
  <c r="AX89" i="118"/>
  <c r="AY90" i="118" s="1"/>
  <c r="AY44" i="118" s="1"/>
  <c r="AL85" i="118"/>
  <c r="V21" i="118"/>
  <c r="O79" i="118"/>
  <c r="AQ24" i="118"/>
  <c r="BD22" i="118"/>
  <c r="AF21" i="118"/>
  <c r="AD33" i="118"/>
  <c r="AP24" i="118"/>
  <c r="AS27" i="118"/>
  <c r="AW85" i="118"/>
  <c r="AR28" i="118"/>
  <c r="BB83" i="118"/>
  <c r="AU81" i="118"/>
  <c r="AV82" i="118" s="1"/>
  <c r="AV40" i="118" s="1"/>
  <c r="W33" i="118"/>
  <c r="AD79" i="118"/>
  <c r="AX81" i="118"/>
  <c r="AX22" i="118"/>
  <c r="AZ70" i="118"/>
  <c r="AZ81" i="118" s="1"/>
  <c r="AU28" i="118"/>
  <c r="BL74" i="3"/>
  <c r="BM74" i="3"/>
  <c r="I12" i="3"/>
  <c r="I64" i="106" s="1"/>
  <c r="BQ94" i="3"/>
  <c r="BQ12" i="3"/>
  <c r="BQ62" i="106" s="1"/>
  <c r="P74" i="3"/>
  <c r="I179" i="3"/>
  <c r="BQ36" i="3"/>
  <c r="BQ179" i="3"/>
  <c r="BB36" i="3"/>
  <c r="BO19" i="51"/>
  <c r="AE21" i="118"/>
  <c r="AS29" i="118"/>
  <c r="AI13" i="3"/>
  <c r="AI20" i="3" s="1"/>
  <c r="BE140" i="3"/>
  <c r="BE139" i="3" s="1"/>
  <c r="BK140" i="3"/>
  <c r="BK139" i="3" s="1"/>
  <c r="BG12" i="3"/>
  <c r="BG35" i="3" s="1"/>
  <c r="P12" i="3"/>
  <c r="P62" i="106" s="1"/>
  <c r="BE174" i="3"/>
  <c r="BE175" i="3" s="1"/>
  <c r="CJ7" i="3"/>
  <c r="CM7" i="3" s="1"/>
  <c r="I50" i="3"/>
  <c r="I37" i="3"/>
  <c r="AY81" i="3"/>
  <c r="BC81" i="3" s="1"/>
  <c r="BG20" i="3"/>
  <c r="BG38" i="3" s="1"/>
  <c r="BH140" i="3"/>
  <c r="BH139" i="3" s="1"/>
  <c r="BQ20" i="3"/>
  <c r="BQ38" i="3" s="1"/>
  <c r="E74" i="3"/>
  <c r="BG170" i="3"/>
  <c r="BI17" i="51"/>
  <c r="BL154" i="51"/>
  <c r="BL164" i="51" s="1"/>
  <c r="BH210" i="51"/>
  <c r="S181" i="51"/>
  <c r="AU23" i="118"/>
  <c r="BL170" i="3"/>
  <c r="AA33" i="118"/>
  <c r="AF79" i="118"/>
  <c r="BC22" i="118"/>
  <c r="O154" i="51"/>
  <c r="O160" i="51" s="1"/>
  <c r="BL167" i="3"/>
  <c r="AQ13" i="3"/>
  <c r="AQ134" i="3" s="1"/>
  <c r="AQ135" i="3" s="1"/>
  <c r="BI15" i="3"/>
  <c r="I20" i="3"/>
  <c r="I38" i="3" s="1"/>
  <c r="W12" i="3"/>
  <c r="W64" i="106" s="1"/>
  <c r="AS81" i="3"/>
  <c r="AW81" i="3" s="1"/>
  <c r="AT140" i="3"/>
  <c r="AT139" i="3" s="1"/>
  <c r="AE7" i="3"/>
  <c r="AE74" i="106" s="1"/>
  <c r="AQ34" i="3"/>
  <c r="I36" i="3"/>
  <c r="C36" i="3"/>
  <c r="C180" i="3" s="1"/>
  <c r="BG179" i="3"/>
  <c r="BG36" i="3"/>
  <c r="AA75" i="106"/>
  <c r="BH77" i="106"/>
  <c r="AM77" i="106"/>
  <c r="BG63" i="106"/>
  <c r="AP77" i="106"/>
  <c r="BG74" i="3"/>
  <c r="BH74" i="3"/>
  <c r="BQ176" i="3"/>
  <c r="AJ74" i="3"/>
  <c r="BA77" i="106"/>
  <c r="BK73" i="107"/>
  <c r="BL69" i="107" s="1"/>
  <c r="BL71" i="107" s="1"/>
  <c r="BL82" i="107" s="1"/>
  <c r="AB77" i="106"/>
  <c r="AZ77" i="106"/>
  <c r="F77" i="106"/>
  <c r="AN77" i="106"/>
  <c r="BE28" i="118"/>
  <c r="AN140" i="3"/>
  <c r="AN139" i="3" s="1"/>
  <c r="BG140" i="3"/>
  <c r="BG139" i="3" s="1"/>
  <c r="BI131" i="3"/>
  <c r="BE167" i="3"/>
  <c r="BI166" i="3"/>
  <c r="BH167" i="3"/>
  <c r="AP140" i="3"/>
  <c r="AP139" i="3" s="1"/>
  <c r="AO140" i="3"/>
  <c r="AO139" i="3" s="1"/>
  <c r="W20" i="3"/>
  <c r="AY140" i="3"/>
  <c r="AY139" i="3" s="1"/>
  <c r="BO166" i="3"/>
  <c r="BB77" i="106"/>
  <c r="BI74" i="106"/>
  <c r="AM74" i="3"/>
  <c r="AZ140" i="3"/>
  <c r="AZ139" i="3" s="1"/>
  <c r="AI48" i="3"/>
  <c r="P37" i="3"/>
  <c r="BM77" i="106"/>
  <c r="X76" i="106"/>
  <c r="AS77" i="106"/>
  <c r="E77" i="106"/>
  <c r="F74" i="3"/>
  <c r="J74" i="3"/>
  <c r="U74" i="3"/>
  <c r="BK131" i="3"/>
  <c r="BO131" i="3" s="1"/>
  <c r="BA99" i="107"/>
  <c r="BA101" i="107" s="1"/>
  <c r="AO77" i="106"/>
  <c r="X75" i="106"/>
  <c r="AC77" i="106"/>
  <c r="BI75" i="106"/>
  <c r="AZ99" i="107"/>
  <c r="AZ101" i="107" s="1"/>
  <c r="CK96" i="106"/>
  <c r="CL41" i="106"/>
  <c r="AU73" i="107"/>
  <c r="N79" i="118"/>
  <c r="R79" i="118"/>
  <c r="L7" i="3"/>
  <c r="O7" i="3"/>
  <c r="BC70" i="118"/>
  <c r="AY50" i="118"/>
  <c r="P69" i="118"/>
  <c r="P79" i="118" s="1"/>
  <c r="P5" i="118"/>
  <c r="P21" i="118" s="1"/>
  <c r="BC98" i="107"/>
  <c r="BC89" i="106"/>
  <c r="AO70" i="118"/>
  <c r="AO81" i="118" s="1"/>
  <c r="AO6" i="118"/>
  <c r="AO22" i="118" s="1"/>
  <c r="BE16" i="118"/>
  <c r="S31" i="51"/>
  <c r="BU30" i="51"/>
  <c r="BA30" i="51"/>
  <c r="AM11" i="118"/>
  <c r="AM27" i="118" s="1"/>
  <c r="K31" i="51"/>
  <c r="AE25" i="118"/>
  <c r="AI25" i="118"/>
  <c r="AA134" i="3"/>
  <c r="AA135" i="3" s="1"/>
  <c r="AA63" i="106"/>
  <c r="AA12" i="3"/>
  <c r="BO17" i="51"/>
  <c r="BO146" i="3"/>
  <c r="BO163" i="3"/>
  <c r="BO153" i="3"/>
  <c r="BC74" i="118"/>
  <c r="BC89" i="118" s="1"/>
  <c r="BC90" i="118" s="1"/>
  <c r="AY54" i="118"/>
  <c r="AE210" i="51"/>
  <c r="AC210" i="51" s="1"/>
  <c r="AD48" i="3"/>
  <c r="BK98" i="107"/>
  <c r="BK99" i="107" s="1"/>
  <c r="BK101" i="107" s="1"/>
  <c r="BK89" i="106"/>
  <c r="BH98" i="107"/>
  <c r="BH99" i="107" s="1"/>
  <c r="BH101" i="107" s="1"/>
  <c r="BH89" i="106"/>
  <c r="AV52" i="118"/>
  <c r="AZ72" i="118"/>
  <c r="AZ85" i="118" s="1"/>
  <c r="O31" i="51"/>
  <c r="AO31" i="51"/>
  <c r="BI12" i="51"/>
  <c r="BB54" i="118"/>
  <c r="BB63" i="106"/>
  <c r="W63" i="106"/>
  <c r="BQ54" i="29"/>
  <c r="BG69" i="107"/>
  <c r="BF69" i="107"/>
  <c r="BL77" i="106"/>
  <c r="CJ10" i="106"/>
  <c r="AJ77" i="106"/>
  <c r="BO97" i="107"/>
  <c r="BO75" i="106"/>
  <c r="BO76" i="106"/>
  <c r="AW133" i="3"/>
  <c r="AW166" i="3"/>
  <c r="BI120" i="3"/>
  <c r="BI121" i="3" s="1"/>
  <c r="BI33" i="3"/>
  <c r="AO44" i="3"/>
  <c r="AB17" i="118"/>
  <c r="AB33" i="118" s="1"/>
  <c r="AQ128" i="3"/>
  <c r="AQ129" i="3" s="1"/>
  <c r="AQ98" i="107"/>
  <c r="AQ89" i="106"/>
  <c r="AO36" i="3"/>
  <c r="AS74" i="3"/>
  <c r="AG74" i="3"/>
  <c r="M106" i="3"/>
  <c r="BC12" i="51"/>
  <c r="BB52" i="118"/>
  <c r="AN10" i="118"/>
  <c r="P31" i="51"/>
  <c r="BI19" i="51"/>
  <c r="BC7" i="118"/>
  <c r="BC23" i="118" s="1"/>
  <c r="BN31" i="51"/>
  <c r="AM191" i="51"/>
  <c r="AY209" i="51"/>
  <c r="Y32" i="3"/>
  <c r="Y97" i="107"/>
  <c r="Y99" i="107" s="1"/>
  <c r="Y101" i="107" s="1"/>
  <c r="AA37" i="3"/>
  <c r="W50" i="3"/>
  <c r="Q63" i="106"/>
  <c r="U63" i="106"/>
  <c r="W154" i="51"/>
  <c r="AO115" i="51"/>
  <c r="E154" i="51"/>
  <c r="E170" i="51" s="1"/>
  <c r="BQ83" i="51"/>
  <c r="AX72" i="118"/>
  <c r="AX85" i="118" s="1"/>
  <c r="AX8" i="118"/>
  <c r="AX24" i="118" s="1"/>
  <c r="S21" i="118"/>
  <c r="AV57" i="29"/>
  <c r="BA33" i="3"/>
  <c r="BG48" i="3"/>
  <c r="BC26" i="118"/>
  <c r="CI30" i="107"/>
  <c r="AA115" i="51"/>
  <c r="BQ77" i="106"/>
  <c r="AP13" i="3"/>
  <c r="AP150" i="106" s="1"/>
  <c r="AP120" i="3"/>
  <c r="AP121" i="3" s="1"/>
  <c r="AP33" i="3"/>
  <c r="M10" i="3"/>
  <c r="M97" i="107"/>
  <c r="M99" i="107" s="1"/>
  <c r="M101" i="107" s="1"/>
  <c r="BB51" i="118"/>
  <c r="J115" i="51"/>
  <c r="V20" i="3"/>
  <c r="V21" i="3" s="1"/>
  <c r="V151" i="106" s="1"/>
  <c r="V152" i="106" s="1"/>
  <c r="V153" i="106" s="1"/>
  <c r="V63" i="106"/>
  <c r="AL71" i="118"/>
  <c r="AL83" i="118" s="1"/>
  <c r="AL7" i="118"/>
  <c r="AL23" i="118" s="1"/>
  <c r="AS62" i="106"/>
  <c r="AS64" i="106"/>
  <c r="AS35" i="3"/>
  <c r="W76" i="106"/>
  <c r="W74" i="106"/>
  <c r="W75" i="106"/>
  <c r="AU115" i="51"/>
  <c r="AK44" i="3"/>
  <c r="I31" i="51"/>
  <c r="AK181" i="51"/>
  <c r="AM171" i="51"/>
  <c r="AD75" i="118"/>
  <c r="Z55" i="118"/>
  <c r="AD65" i="118" s="1"/>
  <c r="AQ89" i="118"/>
  <c r="R13" i="3"/>
  <c r="R150" i="106" s="1"/>
  <c r="R120" i="3"/>
  <c r="R121" i="3" s="1"/>
  <c r="AB63" i="106"/>
  <c r="V76" i="106"/>
  <c r="V74" i="106"/>
  <c r="V75" i="106"/>
  <c r="AN72" i="118"/>
  <c r="AN85" i="118" s="1"/>
  <c r="AN8" i="118"/>
  <c r="AN24" i="118" s="1"/>
  <c r="E55" i="118"/>
  <c r="AN191" i="51"/>
  <c r="AM20" i="3"/>
  <c r="AM21" i="3" s="1"/>
  <c r="AM151" i="106" s="1"/>
  <c r="AM152" i="106" s="1"/>
  <c r="AM153" i="106" s="1"/>
  <c r="AM63" i="106"/>
  <c r="AL10" i="118"/>
  <c r="AL26" i="118" s="1"/>
  <c r="AZ30" i="51"/>
  <c r="AM7" i="118"/>
  <c r="AM71" i="118"/>
  <c r="BN159" i="3"/>
  <c r="BN167" i="3"/>
  <c r="BT167" i="3" s="1"/>
  <c r="AS10" i="118"/>
  <c r="AY70" i="118"/>
  <c r="AY81" i="118" s="1"/>
  <c r="AU50" i="118"/>
  <c r="AQ32" i="118"/>
  <c r="BQ73" i="107"/>
  <c r="BR69" i="107" s="1"/>
  <c r="BQ82" i="107"/>
  <c r="AT82" i="107"/>
  <c r="AT73" i="107"/>
  <c r="AV69" i="107" s="1"/>
  <c r="AR32" i="118"/>
  <c r="BF63" i="106"/>
  <c r="AU140" i="3"/>
  <c r="AU139" i="3" s="1"/>
  <c r="BB170" i="3"/>
  <c r="AY52" i="118"/>
  <c r="BC72" i="118"/>
  <c r="AN7" i="118"/>
  <c r="AN71" i="118"/>
  <c r="AC115" i="51"/>
  <c r="AT154" i="51"/>
  <c r="AT165" i="51" s="1"/>
  <c r="AB115" i="51"/>
  <c r="AN31" i="51"/>
  <c r="AC31" i="51"/>
  <c r="AI191" i="51"/>
  <c r="AI115" i="51"/>
  <c r="U191" i="51"/>
  <c r="BC146" i="3"/>
  <c r="BC163" i="3"/>
  <c r="AT81" i="118"/>
  <c r="AV27" i="118"/>
  <c r="AX83" i="118"/>
  <c r="BA22" i="118"/>
  <c r="BV54" i="29"/>
  <c r="AI120" i="3"/>
  <c r="AI121" i="3" s="1"/>
  <c r="BO47" i="3"/>
  <c r="BL63" i="106"/>
  <c r="AK97" i="107"/>
  <c r="AK99" i="107" s="1"/>
  <c r="AK101" i="107" s="1"/>
  <c r="AK75" i="106"/>
  <c r="AK76" i="106"/>
  <c r="BG167" i="3"/>
  <c r="AN115" i="51"/>
  <c r="AP7" i="118"/>
  <c r="AP71" i="118"/>
  <c r="AY8" i="118"/>
  <c r="AY24" i="118" s="1"/>
  <c r="AY72" i="118"/>
  <c r="AY85" i="118" s="1"/>
  <c r="AW46" i="3"/>
  <c r="AA179" i="3"/>
  <c r="AA20" i="3"/>
  <c r="AA21" i="3" s="1"/>
  <c r="AA151" i="106" s="1"/>
  <c r="AA152" i="106" s="1"/>
  <c r="AA153" i="106" s="1"/>
  <c r="AT31" i="51"/>
  <c r="K55" i="118"/>
  <c r="AE106" i="3"/>
  <c r="AM32" i="118"/>
  <c r="AH77" i="106"/>
  <c r="N5" i="118"/>
  <c r="AV77" i="106"/>
  <c r="AE17" i="118"/>
  <c r="AE33" i="118" s="1"/>
  <c r="AT44" i="3"/>
  <c r="Q55" i="118"/>
  <c r="P134" i="3"/>
  <c r="P135" i="3" s="1"/>
  <c r="P63" i="106"/>
  <c r="BA72" i="107"/>
  <c r="BA71" i="107"/>
  <c r="BA82" i="107" s="1"/>
  <c r="AY71" i="118"/>
  <c r="AY83" i="118" s="1"/>
  <c r="AU51" i="118"/>
  <c r="AS6" i="118"/>
  <c r="AS70" i="118"/>
  <c r="BB50" i="118"/>
  <c r="AB25" i="118"/>
  <c r="AD13" i="3"/>
  <c r="AD150" i="106" s="1"/>
  <c r="AD33" i="3"/>
  <c r="AD120" i="3"/>
  <c r="AD121" i="3" s="1"/>
  <c r="AO10" i="118"/>
  <c r="AO26" i="118" s="1"/>
  <c r="K115" i="51"/>
  <c r="AW97" i="107"/>
  <c r="AW76" i="106"/>
  <c r="AW75" i="106"/>
  <c r="E63" i="106"/>
  <c r="D74" i="3"/>
  <c r="BC8" i="118"/>
  <c r="AO7" i="118"/>
  <c r="AO71" i="118"/>
  <c r="AO83" i="118" s="1"/>
  <c r="AM160" i="51"/>
  <c r="J31" i="51"/>
  <c r="Q115" i="51"/>
  <c r="V191" i="51"/>
  <c r="AR8" i="118"/>
  <c r="AR72" i="118"/>
  <c r="AU98" i="107"/>
  <c r="AU99" i="107" s="1"/>
  <c r="AU101" i="107" s="1"/>
  <c r="AU89" i="106"/>
  <c r="AM48" i="3"/>
  <c r="AN11" i="118"/>
  <c r="BT86" i="51"/>
  <c r="AW74" i="118"/>
  <c r="AW89" i="118" s="1"/>
  <c r="AW16" i="118"/>
  <c r="AW32" i="118" s="1"/>
  <c r="U115" i="51"/>
  <c r="R33" i="3"/>
  <c r="AU77" i="106"/>
  <c r="BI146" i="3"/>
  <c r="BI153" i="3"/>
  <c r="BI163" i="3"/>
  <c r="Y55" i="118"/>
  <c r="I115" i="51"/>
  <c r="BN209" i="51"/>
  <c r="BT209" i="51" s="1"/>
  <c r="BA209" i="51"/>
  <c r="BG210" i="51"/>
  <c r="BX54" i="29"/>
  <c r="AO63" i="106"/>
  <c r="P179" i="3"/>
  <c r="BO150" i="51"/>
  <c r="BO196" i="51" s="1"/>
  <c r="BN161" i="3"/>
  <c r="AN70" i="118"/>
  <c r="AN6" i="118"/>
  <c r="U31" i="51"/>
  <c r="BW33" i="51"/>
  <c r="AX59" i="118" s="1"/>
  <c r="BX50" i="51"/>
  <c r="S217" i="51"/>
  <c r="BK33" i="51"/>
  <c r="AP59" i="118" s="1"/>
  <c r="AZ8" i="118"/>
  <c r="AZ24" i="118" s="1"/>
  <c r="BS54" i="29"/>
  <c r="AA36" i="3"/>
  <c r="AD49" i="118"/>
  <c r="BS20" i="29"/>
  <c r="AQ26" i="118"/>
  <c r="AU26" i="118"/>
  <c r="I63" i="106"/>
  <c r="AA25" i="118"/>
  <c r="BF77" i="106"/>
  <c r="BO10" i="3"/>
  <c r="AG77" i="106"/>
  <c r="AT77" i="106"/>
  <c r="BH66" i="29"/>
  <c r="AD77" i="106"/>
  <c r="AP72" i="107"/>
  <c r="AP71" i="107"/>
  <c r="AP82" i="107" s="1"/>
  <c r="BE63" i="29"/>
  <c r="BF16" i="29"/>
  <c r="AQ22" i="118"/>
  <c r="AF17" i="118"/>
  <c r="AU44" i="3"/>
  <c r="AU46" i="3" s="1"/>
  <c r="BM167" i="3"/>
  <c r="BN63" i="106"/>
  <c r="AH115" i="51"/>
  <c r="AL11" i="118"/>
  <c r="BE13" i="3"/>
  <c r="BE98" i="107"/>
  <c r="BE99" i="107" s="1"/>
  <c r="BE101" i="107" s="1"/>
  <c r="BE89" i="106"/>
  <c r="BW189" i="51"/>
  <c r="AX53" i="118"/>
  <c r="BC97" i="107"/>
  <c r="BC75" i="106"/>
  <c r="BC76" i="106"/>
  <c r="AU31" i="51"/>
  <c r="J50" i="3"/>
  <c r="D63" i="106"/>
  <c r="AA31" i="51"/>
  <c r="AQ32" i="3"/>
  <c r="AQ97" i="107"/>
  <c r="AQ75" i="106"/>
  <c r="AQ76" i="106"/>
  <c r="G32" i="3"/>
  <c r="G97" i="107"/>
  <c r="G99" i="107" s="1"/>
  <c r="G101" i="107" s="1"/>
  <c r="G75" i="106"/>
  <c r="G76" i="106"/>
  <c r="BM81" i="51"/>
  <c r="BM31" i="51"/>
  <c r="AV13" i="3"/>
  <c r="BB50" i="3" s="1"/>
  <c r="AV98" i="107"/>
  <c r="AV99" i="107" s="1"/>
  <c r="AV101" i="107" s="1"/>
  <c r="AV89" i="106"/>
  <c r="AO62" i="106"/>
  <c r="AO64" i="106"/>
  <c r="AP10" i="118"/>
  <c r="BA70" i="118"/>
  <c r="BA81" i="118" s="1"/>
  <c r="AW50" i="118"/>
  <c r="BW54" i="29"/>
  <c r="W31" i="51"/>
  <c r="Q31" i="51"/>
  <c r="BF167" i="3"/>
  <c r="AY63" i="106"/>
  <c r="AM12" i="3"/>
  <c r="AS51" i="3" s="1"/>
  <c r="BK13" i="3"/>
  <c r="BK150" i="106" s="1"/>
  <c r="W74" i="3"/>
  <c r="AZ74" i="3"/>
  <c r="AS140" i="3"/>
  <c r="AS139" i="3" s="1"/>
  <c r="Y31" i="51"/>
  <c r="AB31" i="51"/>
  <c r="AB168" i="51"/>
  <c r="W75" i="118"/>
  <c r="S55" i="118"/>
  <c r="W65" i="118" s="1"/>
  <c r="AY31" i="51"/>
  <c r="AT115" i="51"/>
  <c r="AS12" i="118"/>
  <c r="AZ154" i="51"/>
  <c r="AZ164" i="51" s="1"/>
  <c r="AZ161" i="3"/>
  <c r="AD25" i="118"/>
  <c r="AK13" i="3"/>
  <c r="BO32" i="3"/>
  <c r="P20" i="3"/>
  <c r="P21" i="3" s="1"/>
  <c r="P151" i="106" s="1"/>
  <c r="BB12" i="3"/>
  <c r="BB35" i="3" s="1"/>
  <c r="S47" i="3"/>
  <c r="S106" i="3"/>
  <c r="BB74" i="3"/>
  <c r="AI31" i="51"/>
  <c r="BQ31" i="51"/>
  <c r="AV30" i="51"/>
  <c r="Y106" i="3"/>
  <c r="V31" i="51"/>
  <c r="AL70" i="118"/>
  <c r="AL81" i="118" s="1"/>
  <c r="AM82" i="118" s="1"/>
  <c r="AM40" i="118" s="1"/>
  <c r="AL6" i="118"/>
  <c r="AO72" i="118"/>
  <c r="AO85" i="118" s="1"/>
  <c r="AP86" i="118" s="1"/>
  <c r="AP42" i="118" s="1"/>
  <c r="AO8" i="118"/>
  <c r="AO24" i="118" s="1"/>
  <c r="V115" i="51"/>
  <c r="AH31" i="51"/>
  <c r="CI50" i="51"/>
  <c r="BL209" i="51"/>
  <c r="BR209" i="51" s="1"/>
  <c r="BX209" i="51" s="1"/>
  <c r="CD209" i="51" s="1"/>
  <c r="CJ209" i="51" s="1"/>
  <c r="BI211" i="51"/>
  <c r="X191" i="51"/>
  <c r="AX26" i="118"/>
  <c r="BQ43" i="29"/>
  <c r="BS43" i="29"/>
  <c r="BP43" i="29"/>
  <c r="BP56" i="29" s="1"/>
  <c r="BM63" i="106"/>
  <c r="O63" i="106"/>
  <c r="AE97" i="107"/>
  <c r="AE99" i="107" s="1"/>
  <c r="AE101" i="107" s="1"/>
  <c r="P36" i="3"/>
  <c r="AG31" i="51"/>
  <c r="S180" i="51"/>
  <c r="BW28" i="51"/>
  <c r="BB72" i="118"/>
  <c r="AX52" i="118"/>
  <c r="S182" i="51"/>
  <c r="BQ161" i="3"/>
  <c r="BQ170" i="3"/>
  <c r="BW170" i="3" s="1"/>
  <c r="BG81" i="51"/>
  <c r="AG115" i="51"/>
  <c r="BN170" i="3"/>
  <c r="AI77" i="106"/>
  <c r="BG77" i="106"/>
  <c r="J21" i="118"/>
  <c r="F21" i="118"/>
  <c r="BN77" i="106"/>
  <c r="AW83" i="118"/>
  <c r="AT99" i="107"/>
  <c r="AT101" i="107" s="1"/>
  <c r="AY77" i="106"/>
  <c r="AZ71" i="107"/>
  <c r="AZ82" i="107" s="1"/>
  <c r="AZ72" i="107"/>
  <c r="D77" i="106"/>
  <c r="BZ87" i="51"/>
  <c r="AZ16" i="118"/>
  <c r="BB99" i="107"/>
  <c r="BB101" i="107" s="1"/>
  <c r="AQ44" i="3"/>
  <c r="O21" i="118"/>
  <c r="S99" i="107"/>
  <c r="S101" i="107" s="1"/>
  <c r="BN99" i="107"/>
  <c r="BN101" i="107" s="1"/>
  <c r="AN13" i="3"/>
  <c r="AN150" i="106" s="1"/>
  <c r="AN120" i="3"/>
  <c r="AN121" i="3" s="1"/>
  <c r="AN33" i="3"/>
  <c r="P115" i="51"/>
  <c r="C63" i="106"/>
  <c r="C179" i="3"/>
  <c r="C134" i="3"/>
  <c r="C135" i="3" s="1"/>
  <c r="C12" i="3"/>
  <c r="BQ99" i="107"/>
  <c r="BQ101" i="107" s="1"/>
  <c r="AM85" i="118"/>
  <c r="AM115" i="51"/>
  <c r="K63" i="106"/>
  <c r="K179" i="3"/>
  <c r="K134" i="3"/>
  <c r="K135" i="3" s="1"/>
  <c r="K36" i="3"/>
  <c r="BE77" i="106"/>
  <c r="I77" i="106"/>
  <c r="BS163" i="3"/>
  <c r="AZ74" i="118"/>
  <c r="AZ89" i="118" s="1"/>
  <c r="AZ90" i="118" s="1"/>
  <c r="AV54" i="118"/>
  <c r="BK77" i="106"/>
  <c r="O115" i="51"/>
  <c r="BE170" i="3"/>
  <c r="CD86" i="107"/>
  <c r="CD37" i="107" s="1"/>
  <c r="CE87" i="107"/>
  <c r="CD88" i="107"/>
  <c r="V54" i="107"/>
  <c r="W52" i="107"/>
  <c r="W53" i="107" s="1"/>
  <c r="AE52" i="107"/>
  <c r="AE53" i="107" s="1"/>
  <c r="AA53" i="107"/>
  <c r="CC37" i="107"/>
  <c r="AE121" i="106"/>
  <c r="AA124" i="106"/>
  <c r="AA125" i="106"/>
  <c r="AE125" i="106" s="1"/>
  <c r="CK39" i="106"/>
  <c r="CI29" i="106"/>
  <c r="CI41" i="107" s="1"/>
  <c r="AK133" i="106"/>
  <c r="BG56" i="29"/>
  <c r="BG28" i="29"/>
  <c r="BH28" i="29" s="1"/>
  <c r="AV61" i="29"/>
  <c r="BE18" i="29"/>
  <c r="BE19" i="29" s="1"/>
  <c r="BE21" i="29" s="1"/>
  <c r="BE22" i="29" s="1"/>
  <c r="BS55" i="29"/>
  <c r="AZ63" i="29"/>
  <c r="BK63" i="29"/>
  <c r="BH61" i="29"/>
  <c r="AP61" i="29"/>
  <c r="AY63" i="29"/>
  <c r="AP56" i="29"/>
  <c r="BL63" i="29"/>
  <c r="AL64" i="29"/>
  <c r="BD64" i="29"/>
  <c r="BZ42" i="29"/>
  <c r="BR42" i="29"/>
  <c r="BR55" i="29" s="1"/>
  <c r="BP42" i="29"/>
  <c r="BP55" i="29" s="1"/>
  <c r="BN59" i="29"/>
  <c r="AM167" i="51"/>
  <c r="BE154" i="51"/>
  <c r="AV154" i="51"/>
  <c r="AV160" i="51" s="1"/>
  <c r="I191" i="51"/>
  <c r="J191" i="51"/>
  <c r="L191" i="51"/>
  <c r="AE149" i="51"/>
  <c r="AE159" i="3" s="1"/>
  <c r="AE217" i="51"/>
  <c r="BI41" i="51"/>
  <c r="AM165" i="51"/>
  <c r="BI39" i="51"/>
  <c r="BI46" i="51"/>
  <c r="AS29" i="51"/>
  <c r="AS180" i="51"/>
  <c r="AS149" i="51"/>
  <c r="AS181" i="51"/>
  <c r="BZ22" i="51"/>
  <c r="BY22" i="51"/>
  <c r="BY21" i="51" s="1"/>
  <c r="BO46" i="51"/>
  <c r="AU154" i="51"/>
  <c r="BC211" i="51"/>
  <c r="AO154" i="51"/>
  <c r="AE180" i="51"/>
  <c r="BG31" i="51"/>
  <c r="BO30" i="51"/>
  <c r="BH81" i="51"/>
  <c r="AJ30" i="51"/>
  <c r="BB209" i="51"/>
  <c r="BB211" i="51" s="1"/>
  <c r="BC150" i="51"/>
  <c r="BI10" i="51"/>
  <c r="AE182" i="51"/>
  <c r="BK31" i="51"/>
  <c r="AJ32" i="51"/>
  <c r="K191" i="51"/>
  <c r="AE181" i="51"/>
  <c r="AK182" i="51"/>
  <c r="BB154" i="51"/>
  <c r="BB169" i="51" s="1"/>
  <c r="BZ75" i="3"/>
  <c r="D12" i="3"/>
  <c r="AQ48" i="3"/>
  <c r="Y47" i="3"/>
  <c r="BA74" i="3"/>
  <c r="BE74" i="3"/>
  <c r="BY75" i="3"/>
  <c r="AH13" i="3"/>
  <c r="AH150" i="106" s="1"/>
  <c r="AN48" i="3"/>
  <c r="AH33" i="3"/>
  <c r="AH120" i="3"/>
  <c r="AH121" i="3" s="1"/>
  <c r="BF74" i="3"/>
  <c r="BC132" i="3"/>
  <c r="BX75" i="3"/>
  <c r="AO74" i="3"/>
  <c r="U20" i="3"/>
  <c r="U38" i="3" s="1"/>
  <c r="AN74" i="3"/>
  <c r="CG75" i="3"/>
  <c r="CM75" i="3" s="1"/>
  <c r="U81" i="3"/>
  <c r="Y81" i="3" s="1"/>
  <c r="BN74" i="3"/>
  <c r="BB174" i="3"/>
  <c r="BB176" i="3" s="1"/>
  <c r="CG7" i="3"/>
  <c r="BB179" i="3"/>
  <c r="BB94" i="3"/>
  <c r="BB134" i="3"/>
  <c r="BB135" i="3" s="1"/>
  <c r="W179" i="3"/>
  <c r="W134" i="3"/>
  <c r="W135" i="3" s="1"/>
  <c r="Y10" i="3"/>
  <c r="Y120" i="3" s="1"/>
  <c r="Y121" i="3" s="1"/>
  <c r="G10" i="3"/>
  <c r="BI11" i="3"/>
  <c r="BF11" i="29"/>
  <c r="BF58" i="29" s="1"/>
  <c r="BF7" i="29"/>
  <c r="BF54" i="29"/>
  <c r="BA63" i="29"/>
  <c r="BN61" i="29"/>
  <c r="BB59" i="29"/>
  <c r="AP63" i="29"/>
  <c r="BQ56" i="29"/>
  <c r="BG25" i="29"/>
  <c r="BH25" i="29" s="1"/>
  <c r="BF53" i="29"/>
  <c r="BG53" i="29"/>
  <c r="BA28" i="29"/>
  <c r="BB28" i="29" s="1"/>
  <c r="BA56" i="29"/>
  <c r="BB56" i="29" s="1"/>
  <c r="BF10" i="29"/>
  <c r="BF57" i="29" s="1"/>
  <c r="BP47" i="29"/>
  <c r="BP60" i="29" s="1"/>
  <c r="BS47" i="29"/>
  <c r="BS60" i="29" s="1"/>
  <c r="BZ47" i="29"/>
  <c r="AS15" i="29"/>
  <c r="AS62" i="29" s="1"/>
  <c r="AR62" i="29"/>
  <c r="BE54" i="29"/>
  <c r="AU54" i="29"/>
  <c r="BB62" i="29"/>
  <c r="CL45" i="29"/>
  <c r="CE45" i="29"/>
  <c r="CC45" i="29"/>
  <c r="CD45" i="29"/>
  <c r="BF13" i="29"/>
  <c r="BF60" i="29" s="1"/>
  <c r="AT54" i="29"/>
  <c r="BA58" i="29"/>
  <c r="BH59" i="29"/>
  <c r="AR18" i="29"/>
  <c r="AR19" i="29" s="1"/>
  <c r="AR21" i="29" s="1"/>
  <c r="BF8" i="29"/>
  <c r="BF55" i="29" s="1"/>
  <c r="AT8" i="29"/>
  <c r="AT55" i="29" s="1"/>
  <c r="BM57" i="29"/>
  <c r="BM29" i="29"/>
  <c r="BN29" i="29" s="1"/>
  <c r="BE55" i="29"/>
  <c r="AZ58" i="29"/>
  <c r="BF15" i="29"/>
  <c r="BF62" i="29"/>
  <c r="BL57" i="29"/>
  <c r="BO39" i="51"/>
  <c r="BO82" i="51"/>
  <c r="BT24" i="51"/>
  <c r="BT22" i="51" s="1"/>
  <c r="BT21" i="51" s="1"/>
  <c r="BO55" i="51"/>
  <c r="CC151" i="51"/>
  <c r="CI86" i="51"/>
  <c r="BW187" i="51"/>
  <c r="BW188" i="51"/>
  <c r="AK180" i="51"/>
  <c r="AK149" i="51"/>
  <c r="AK159" i="3" s="1"/>
  <c r="AK217" i="51"/>
  <c r="AM166" i="51"/>
  <c r="AM174" i="51"/>
  <c r="AM169" i="51"/>
  <c r="AM176" i="51"/>
  <c r="AM168" i="51"/>
  <c r="AM175" i="51"/>
  <c r="AM204" i="51"/>
  <c r="AM170" i="51"/>
  <c r="BM208" i="51"/>
  <c r="BL208" i="51"/>
  <c r="BR208" i="51" s="1"/>
  <c r="BN208" i="51"/>
  <c r="BT208" i="51" s="1"/>
  <c r="BZ208" i="51" s="1"/>
  <c r="CF208" i="51" s="1"/>
  <c r="BK208" i="51"/>
  <c r="BO211" i="51"/>
  <c r="BG208" i="51"/>
  <c r="BE208" i="51"/>
  <c r="BF208" i="51"/>
  <c r="BF211" i="51" s="1"/>
  <c r="AP144" i="51"/>
  <c r="AH210" i="51"/>
  <c r="BK209" i="51"/>
  <c r="BQ209" i="51" s="1"/>
  <c r="BW209" i="51" s="1"/>
  <c r="BM209" i="51"/>
  <c r="BS209" i="51" s="1"/>
  <c r="BY209" i="51" s="1"/>
  <c r="CE209" i="51" s="1"/>
  <c r="CK209" i="51" s="1"/>
  <c r="AP30" i="51"/>
  <c r="BW150" i="51"/>
  <c r="BH208" i="51"/>
  <c r="AP191" i="51"/>
  <c r="AG210" i="51"/>
  <c r="CL22" i="51"/>
  <c r="CL26" i="51"/>
  <c r="AM164" i="51"/>
  <c r="BL81" i="51"/>
  <c r="BT53" i="51"/>
  <c r="BT51" i="51" s="1"/>
  <c r="BT50" i="51" s="1"/>
  <c r="AM172" i="51"/>
  <c r="CC82" i="51"/>
  <c r="AK29" i="51"/>
  <c r="AK31" i="51" s="1"/>
  <c r="BW79" i="51"/>
  <c r="BO74" i="51"/>
  <c r="AJ210" i="51"/>
  <c r="AH191" i="51"/>
  <c r="AG191" i="51"/>
  <c r="BA208" i="51"/>
  <c r="AY208" i="51"/>
  <c r="AZ208" i="51"/>
  <c r="AZ211" i="51" s="1"/>
  <c r="BQ49" i="3"/>
  <c r="BK49" i="3"/>
  <c r="BK128" i="3"/>
  <c r="BK129" i="3" s="1"/>
  <c r="AU74" i="3"/>
  <c r="AB120" i="3"/>
  <c r="AB121" i="3" s="1"/>
  <c r="AB48" i="3"/>
  <c r="AH48" i="3"/>
  <c r="AU34" i="3"/>
  <c r="AU128" i="3"/>
  <c r="AU129" i="3" s="1"/>
  <c r="AU49" i="3"/>
  <c r="V74" i="3"/>
  <c r="AC48" i="3"/>
  <c r="AC120" i="3"/>
  <c r="AC121" i="3" s="1"/>
  <c r="BZ186" i="3"/>
  <c r="Q12" i="3"/>
  <c r="AC33" i="3"/>
  <c r="W37" i="3"/>
  <c r="AV74" i="3"/>
  <c r="BF171" i="3"/>
  <c r="X120" i="3"/>
  <c r="X121" i="3" s="1"/>
  <c r="X48" i="3"/>
  <c r="X13" i="3"/>
  <c r="X150" i="106" s="1"/>
  <c r="X33" i="3"/>
  <c r="BL12" i="3"/>
  <c r="BR51" i="3" s="1"/>
  <c r="BL94" i="3"/>
  <c r="BL36" i="3"/>
  <c r="BL179" i="3"/>
  <c r="BL134" i="3"/>
  <c r="BL135" i="3" s="1"/>
  <c r="AG13" i="3"/>
  <c r="AG150" i="106" s="1"/>
  <c r="AG33" i="3"/>
  <c r="AG48" i="3"/>
  <c r="AG120" i="3"/>
  <c r="AG121" i="3" s="1"/>
  <c r="U12" i="3"/>
  <c r="U36" i="3"/>
  <c r="U37" i="3"/>
  <c r="U50" i="3"/>
  <c r="U179" i="3"/>
  <c r="U134" i="3"/>
  <c r="U135" i="3" s="1"/>
  <c r="AA50" i="3"/>
  <c r="BB173" i="3"/>
  <c r="BB133" i="3"/>
  <c r="BC133" i="3" s="1"/>
  <c r="AE32" i="3"/>
  <c r="AE47" i="3"/>
  <c r="AE10" i="3"/>
  <c r="BM140" i="3"/>
  <c r="BM139" i="3" s="1"/>
  <c r="BQ140" i="3"/>
  <c r="BQ139" i="3" s="1"/>
  <c r="AC13" i="3"/>
  <c r="AT74" i="3"/>
  <c r="Q74" i="3"/>
  <c r="AH74" i="3"/>
  <c r="BL140" i="3"/>
  <c r="BL139" i="3" s="1"/>
  <c r="AS37" i="3"/>
  <c r="AS50" i="3"/>
  <c r="AM134" i="3"/>
  <c r="AM135" i="3" s="1"/>
  <c r="AM179" i="3"/>
  <c r="AM36" i="3"/>
  <c r="O12" i="3"/>
  <c r="O50" i="3"/>
  <c r="O37" i="3"/>
  <c r="O36" i="3"/>
  <c r="O134" i="3"/>
  <c r="O135" i="3" s="1"/>
  <c r="O179" i="3"/>
  <c r="BE22" i="3"/>
  <c r="BI63" i="3"/>
  <c r="O81" i="3"/>
  <c r="S81" i="3" s="1"/>
  <c r="O70" i="3"/>
  <c r="S70" i="3" s="1"/>
  <c r="AK32" i="3"/>
  <c r="AK47" i="3"/>
  <c r="AQ47" i="3"/>
  <c r="AU13" i="3"/>
  <c r="AU150" i="106" s="1"/>
  <c r="AU33" i="3"/>
  <c r="AU48" i="3"/>
  <c r="AU120" i="3"/>
  <c r="AU121" i="3" s="1"/>
  <c r="BA48" i="3"/>
  <c r="Q36" i="3"/>
  <c r="Q50" i="3"/>
  <c r="Q37" i="3"/>
  <c r="Q179" i="3"/>
  <c r="Q134" i="3"/>
  <c r="Q135" i="3" s="1"/>
  <c r="AA70" i="3"/>
  <c r="AE70" i="3" s="1"/>
  <c r="AA81" i="3"/>
  <c r="AE81" i="3" s="1"/>
  <c r="AT13" i="3"/>
  <c r="AT150" i="106" s="1"/>
  <c r="AT48" i="3"/>
  <c r="AT33" i="3"/>
  <c r="AT120" i="3"/>
  <c r="AT121" i="3" s="1"/>
  <c r="BO11" i="3"/>
  <c r="D36" i="3"/>
  <c r="D180" i="3" s="1"/>
  <c r="D134" i="3"/>
  <c r="D135" i="3" s="1"/>
  <c r="D179" i="3"/>
  <c r="BC131" i="3"/>
  <c r="J37" i="3"/>
  <c r="AK120" i="3"/>
  <c r="AK121" i="3" s="1"/>
  <c r="AK33" i="3"/>
  <c r="AQ33" i="3"/>
  <c r="AQ120" i="3"/>
  <c r="AQ121" i="3" s="1"/>
  <c r="K74" i="3"/>
  <c r="O74" i="3"/>
  <c r="BU58" i="3"/>
  <c r="BM12" i="3"/>
  <c r="BM94" i="3"/>
  <c r="BM36" i="3"/>
  <c r="BM37" i="3"/>
  <c r="BM179" i="3"/>
  <c r="BM50" i="3"/>
  <c r="BM134" i="3"/>
  <c r="BM135" i="3" s="1"/>
  <c r="AJ13" i="3"/>
  <c r="AJ150" i="106" s="1"/>
  <c r="AJ33" i="3"/>
  <c r="AJ48" i="3"/>
  <c r="AP48" i="3"/>
  <c r="AJ120" i="3"/>
  <c r="AJ121" i="3" s="1"/>
  <c r="BC34" i="3"/>
  <c r="BC128" i="3"/>
  <c r="BC129" i="3" s="1"/>
  <c r="CA77" i="3"/>
  <c r="BQ77" i="3"/>
  <c r="BT77" i="3"/>
  <c r="BE34" i="3"/>
  <c r="BE49" i="3"/>
  <c r="BE128" i="3"/>
  <c r="BE129" i="3" s="1"/>
  <c r="AO48" i="3"/>
  <c r="BA49" i="3"/>
  <c r="BH13" i="3"/>
  <c r="BH34" i="3"/>
  <c r="BH49" i="3"/>
  <c r="BH128" i="3"/>
  <c r="BH129" i="3" s="1"/>
  <c r="BN49" i="3"/>
  <c r="V12" i="3"/>
  <c r="V36" i="3"/>
  <c r="V179" i="3"/>
  <c r="V37" i="3"/>
  <c r="V50" i="3"/>
  <c r="V134" i="3"/>
  <c r="V135" i="3" s="1"/>
  <c r="Q20" i="3"/>
  <c r="BI56" i="3"/>
  <c r="AO134" i="3"/>
  <c r="AO135" i="3" s="1"/>
  <c r="AO179" i="3"/>
  <c r="AB33" i="3"/>
  <c r="BK34" i="3"/>
  <c r="AI74" i="3"/>
  <c r="R74" i="3"/>
  <c r="BL176" i="3"/>
  <c r="AP74" i="3"/>
  <c r="BK7" i="29"/>
  <c r="BK54" i="29" s="1"/>
  <c r="BJ54" i="29"/>
  <c r="BJ18" i="29"/>
  <c r="BJ19" i="29" s="1"/>
  <c r="BJ21" i="29" s="1"/>
  <c r="BJ22" i="29" s="1"/>
  <c r="BK15" i="29"/>
  <c r="BJ62" i="29"/>
  <c r="BK62" i="29"/>
  <c r="BZ50" i="29"/>
  <c r="BQ50" i="29"/>
  <c r="BQ63" i="29" s="1"/>
  <c r="BR50" i="29"/>
  <c r="BR63" i="29" s="1"/>
  <c r="BP50" i="29"/>
  <c r="BP63" i="29" s="1"/>
  <c r="BS50" i="29"/>
  <c r="BS63" i="29" s="1"/>
  <c r="BT57" i="29"/>
  <c r="AN7" i="29"/>
  <c r="AN54" i="29" s="1"/>
  <c r="AM18" i="29"/>
  <c r="AM19" i="29" s="1"/>
  <c r="AM21" i="29" s="1"/>
  <c r="AT6" i="29"/>
  <c r="AT53" i="29" s="1"/>
  <c r="AS13" i="29"/>
  <c r="AR60" i="29"/>
  <c r="BX6" i="29"/>
  <c r="BV16" i="29"/>
  <c r="BA32" i="29"/>
  <c r="BB32" i="29" s="1"/>
  <c r="BA60" i="29"/>
  <c r="BB60" i="29" s="1"/>
  <c r="BS59" i="29"/>
  <c r="BT59" i="29" s="1"/>
  <c r="AP57" i="29"/>
  <c r="BF56" i="29"/>
  <c r="AY14" i="29"/>
  <c r="AX61" i="29"/>
  <c r="BK9" i="29"/>
  <c r="BK56" i="29" s="1"/>
  <c r="BJ56" i="29"/>
  <c r="AT9" i="29"/>
  <c r="AT56" i="29"/>
  <c r="AS56" i="29"/>
  <c r="BK13" i="29"/>
  <c r="BJ60" i="29"/>
  <c r="BQ40" i="29"/>
  <c r="BQ53" i="29" s="1"/>
  <c r="BS40" i="29"/>
  <c r="BR40" i="29"/>
  <c r="BP40" i="29"/>
  <c r="BP53" i="29" s="1"/>
  <c r="BZ40" i="29"/>
  <c r="AS12" i="29"/>
  <c r="AS59" i="29" s="1"/>
  <c r="AR59" i="29"/>
  <c r="AP53" i="29"/>
  <c r="BR49" i="29"/>
  <c r="BR62" i="29" s="1"/>
  <c r="BQ49" i="29"/>
  <c r="BQ62" i="29" s="1"/>
  <c r="BS49" i="29"/>
  <c r="BS62" i="29" s="1"/>
  <c r="BP49" i="29"/>
  <c r="BP62" i="29" s="1"/>
  <c r="BZ49" i="29"/>
  <c r="CH13" i="29"/>
  <c r="BX43" i="29"/>
  <c r="BW43" i="29"/>
  <c r="BY43" i="29"/>
  <c r="BV43" i="29"/>
  <c r="CF43" i="29"/>
  <c r="AY8" i="29"/>
  <c r="AY55" i="29" s="1"/>
  <c r="AX55" i="29"/>
  <c r="BB57" i="29"/>
  <c r="CF46" i="29"/>
  <c r="BX46" i="29"/>
  <c r="BW46" i="29"/>
  <c r="BY46" i="29"/>
  <c r="AN13" i="29"/>
  <c r="AN60" i="29"/>
  <c r="CE10" i="29"/>
  <c r="CF10" i="29" s="1"/>
  <c r="CJ41" i="29"/>
  <c r="CJ54" i="29" s="1"/>
  <c r="CK41" i="29"/>
  <c r="CK54" i="29" s="1"/>
  <c r="CI41" i="29"/>
  <c r="CI54" i="29" s="1"/>
  <c r="CH41" i="29"/>
  <c r="CH54" i="29" s="1"/>
  <c r="CI14" i="29"/>
  <c r="BP18" i="29"/>
  <c r="AS11" i="29"/>
  <c r="AS58" i="29" s="1"/>
  <c r="AR58" i="29"/>
  <c r="BM55" i="29"/>
  <c r="BN55" i="29" s="1"/>
  <c r="BM27" i="29"/>
  <c r="BN27" i="29" s="1"/>
  <c r="BV12" i="29"/>
  <c r="BV59" i="29" s="1"/>
  <c r="BL11" i="29"/>
  <c r="BL58" i="29" s="1"/>
  <c r="AY6" i="29"/>
  <c r="AX53" i="29"/>
  <c r="AX18" i="29"/>
  <c r="AX19" i="29" s="1"/>
  <c r="AX21" i="29" s="1"/>
  <c r="BQ48" i="29"/>
  <c r="BQ61" i="29" s="1"/>
  <c r="BZ48" i="29"/>
  <c r="BP48" i="29"/>
  <c r="BP61" i="29" s="1"/>
  <c r="BR48" i="29"/>
  <c r="BR61" i="29" s="1"/>
  <c r="BS48" i="29"/>
  <c r="BS61" i="29" s="1"/>
  <c r="CF44" i="29"/>
  <c r="BV44" i="29"/>
  <c r="BV57" i="29" s="1"/>
  <c r="BW44" i="29"/>
  <c r="BW57" i="29" s="1"/>
  <c r="BX44" i="29"/>
  <c r="BX57" i="29" s="1"/>
  <c r="BY44" i="29"/>
  <c r="BY57" i="29" s="1"/>
  <c r="AS16" i="29"/>
  <c r="AS63" i="29" s="1"/>
  <c r="AR63" i="29"/>
  <c r="AS53" i="29"/>
  <c r="AM54" i="29"/>
  <c r="BN53" i="29"/>
  <c r="CD15" i="29"/>
  <c r="BR11" i="29"/>
  <c r="BR9" i="29"/>
  <c r="BR56" i="29" s="1"/>
  <c r="AG171" i="51"/>
  <c r="AD32" i="51"/>
  <c r="Y149" i="51"/>
  <c r="Y159" i="3" s="1"/>
  <c r="AE29" i="51"/>
  <c r="AE31" i="51" s="1"/>
  <c r="Y180" i="51"/>
  <c r="Y29" i="51"/>
  <c r="Y182" i="51"/>
  <c r="Y217" i="51"/>
  <c r="Y181" i="51"/>
  <c r="BN154" i="51"/>
  <c r="AJ167" i="51"/>
  <c r="AJ175" i="51"/>
  <c r="CI36" i="51"/>
  <c r="CC78" i="51"/>
  <c r="CC188" i="51" s="1"/>
  <c r="BI149" i="51"/>
  <c r="BG154" i="51"/>
  <c r="BO79" i="51"/>
  <c r="BO187" i="51"/>
  <c r="BO189" i="51"/>
  <c r="BO188" i="51"/>
  <c r="P170" i="51"/>
  <c r="P160" i="51"/>
  <c r="P167" i="51"/>
  <c r="V158" i="51"/>
  <c r="P164" i="51"/>
  <c r="P172" i="51"/>
  <c r="P166" i="51"/>
  <c r="P176" i="51"/>
  <c r="P171" i="51"/>
  <c r="P175" i="51"/>
  <c r="P165" i="51"/>
  <c r="P204" i="51"/>
  <c r="P168" i="51"/>
  <c r="P174" i="51"/>
  <c r="P169" i="51"/>
  <c r="BX14" i="51"/>
  <c r="Q154" i="51"/>
  <c r="AD30" i="51"/>
  <c r="AW92" i="51"/>
  <c r="BI79" i="51"/>
  <c r="BI188" i="51"/>
  <c r="BI189" i="51"/>
  <c r="BI187" i="51"/>
  <c r="AH154" i="51"/>
  <c r="BO53" i="51"/>
  <c r="AW141" i="51"/>
  <c r="AS153" i="51"/>
  <c r="AS142" i="51"/>
  <c r="AS144" i="51" s="1"/>
  <c r="BM33" i="51"/>
  <c r="L32" i="51"/>
  <c r="L30" i="51"/>
  <c r="G149" i="51"/>
  <c r="G159" i="3" s="1"/>
  <c r="M31" i="51"/>
  <c r="G181" i="51"/>
  <c r="G217" i="51"/>
  <c r="G180" i="51"/>
  <c r="G182" i="51"/>
  <c r="CI21" i="51"/>
  <c r="BC187" i="51"/>
  <c r="BC188" i="51"/>
  <c r="BC189" i="51"/>
  <c r="BM154" i="51"/>
  <c r="X145" i="51"/>
  <c r="S153" i="51"/>
  <c r="S163" i="3" s="1"/>
  <c r="X143" i="51"/>
  <c r="X144" i="51" s="1"/>
  <c r="S142" i="51"/>
  <c r="S144" i="51" s="1"/>
  <c r="BT17" i="51"/>
  <c r="BT15" i="51" s="1"/>
  <c r="BT14" i="51" s="1"/>
  <c r="BE33" i="51"/>
  <c r="AL59" i="118" s="1"/>
  <c r="BE31" i="51"/>
  <c r="BI30" i="51"/>
  <c r="BI82" i="51"/>
  <c r="X171" i="51"/>
  <c r="X174" i="51"/>
  <c r="X172" i="51"/>
  <c r="X176" i="51"/>
  <c r="X166" i="51"/>
  <c r="X204" i="51"/>
  <c r="AS113" i="51"/>
  <c r="AS152" i="51"/>
  <c r="AS188" i="51"/>
  <c r="AW112" i="51"/>
  <c r="AW187" i="51" s="1"/>
  <c r="AS187" i="51"/>
  <c r="AS189" i="51"/>
  <c r="M113" i="51"/>
  <c r="M115" i="51" s="1"/>
  <c r="M152" i="51"/>
  <c r="R114" i="51"/>
  <c r="R116" i="51"/>
  <c r="M187" i="51"/>
  <c r="M189" i="51"/>
  <c r="M188" i="51"/>
  <c r="M236" i="51"/>
  <c r="BU55" i="51"/>
  <c r="F166" i="51"/>
  <c r="F168" i="51"/>
  <c r="F160" i="51"/>
  <c r="F172" i="51"/>
  <c r="F175" i="51"/>
  <c r="F165" i="51"/>
  <c r="F171" i="51"/>
  <c r="F169" i="51"/>
  <c r="F176" i="51"/>
  <c r="F204" i="51"/>
  <c r="F167" i="51"/>
  <c r="F174" i="51"/>
  <c r="F170" i="51"/>
  <c r="BI150" i="51"/>
  <c r="BT46" i="51"/>
  <c r="BT44" i="51" s="1"/>
  <c r="BT43" i="51" s="1"/>
  <c r="BX151" i="51"/>
  <c r="CD86" i="51"/>
  <c r="AV116" i="51"/>
  <c r="AV114" i="51"/>
  <c r="AQ113" i="51"/>
  <c r="AQ115" i="51" s="1"/>
  <c r="AQ189" i="51"/>
  <c r="AQ187" i="51"/>
  <c r="AQ236" i="51"/>
  <c r="AQ188" i="51"/>
  <c r="AQ152" i="51"/>
  <c r="P191" i="51"/>
  <c r="O191" i="51"/>
  <c r="Q191" i="51"/>
  <c r="R191" i="51"/>
  <c r="BI53" i="51"/>
  <c r="L114" i="51"/>
  <c r="L116" i="51"/>
  <c r="G152" i="51"/>
  <c r="G111" i="3" s="1"/>
  <c r="G112" i="3" s="1"/>
  <c r="G187" i="51"/>
  <c r="G189" i="51"/>
  <c r="G188" i="51"/>
  <c r="G236" i="51"/>
  <c r="AW106" i="51"/>
  <c r="M29" i="51"/>
  <c r="R30" i="51"/>
  <c r="R32" i="51"/>
  <c r="M149" i="51"/>
  <c r="M159" i="3" s="1"/>
  <c r="M181" i="51"/>
  <c r="M180" i="51"/>
  <c r="M217" i="51"/>
  <c r="M182" i="51"/>
  <c r="BI32" i="51"/>
  <c r="BG33" i="51"/>
  <c r="AN59" i="118" s="1"/>
  <c r="BO32" i="51"/>
  <c r="AI154" i="51"/>
  <c r="BX36" i="51"/>
  <c r="BN81" i="51"/>
  <c r="S113" i="51"/>
  <c r="S115" i="51" s="1"/>
  <c r="X116" i="51"/>
  <c r="X114" i="51"/>
  <c r="S152" i="51"/>
  <c r="S187" i="51"/>
  <c r="S189" i="51"/>
  <c r="S188" i="51"/>
  <c r="S236" i="51"/>
  <c r="BO149" i="51"/>
  <c r="BB30" i="51"/>
  <c r="J154" i="51"/>
  <c r="BE81" i="51"/>
  <c r="CK19" i="51"/>
  <c r="CK15" i="51"/>
  <c r="BO71" i="51"/>
  <c r="BU73" i="51" s="1"/>
  <c r="BL58" i="51"/>
  <c r="V154" i="51"/>
  <c r="CE86" i="51"/>
  <c r="BY151" i="51"/>
  <c r="CE22" i="51"/>
  <c r="CE26" i="51"/>
  <c r="CF23" i="51"/>
  <c r="CI43" i="51"/>
  <c r="BU32" i="51"/>
  <c r="BX43" i="51"/>
  <c r="BC181" i="51"/>
  <c r="BC217" i="51"/>
  <c r="BC180" i="51"/>
  <c r="BC182" i="51"/>
  <c r="CI14" i="51"/>
  <c r="CD21" i="51"/>
  <c r="S29" i="51"/>
  <c r="AV32" i="51"/>
  <c r="AQ29" i="51"/>
  <c r="AQ31" i="51" s="1"/>
  <c r="AQ149" i="51"/>
  <c r="AQ149" i="3" s="1"/>
  <c r="AQ182" i="51"/>
  <c r="AQ181" i="51"/>
  <c r="AQ180" i="51"/>
  <c r="AQ217" i="51"/>
  <c r="BC10" i="51"/>
  <c r="BL31" i="51"/>
  <c r="BL33" i="51"/>
  <c r="CE15" i="51"/>
  <c r="CE19" i="51"/>
  <c r="K154" i="51"/>
  <c r="BN33" i="51"/>
  <c r="AS59" i="118" s="1"/>
  <c r="BI29" i="51"/>
  <c r="BI181" i="51"/>
  <c r="BI180" i="51"/>
  <c r="BI217" i="51"/>
  <c r="BI182" i="51"/>
  <c r="AY172" i="51"/>
  <c r="L154" i="51"/>
  <c r="L144" i="51"/>
  <c r="BI58" i="51"/>
  <c r="BO62" i="51" s="1"/>
  <c r="BZ7" i="51"/>
  <c r="BH154" i="51"/>
  <c r="BZ26" i="51"/>
  <c r="AD169" i="51"/>
  <c r="BO29" i="51"/>
  <c r="BO181" i="51"/>
  <c r="BO180" i="51"/>
  <c r="BO182" i="51"/>
  <c r="BO217" i="51"/>
  <c r="BH33" i="51"/>
  <c r="AO59" i="118" s="1"/>
  <c r="BH31" i="51"/>
  <c r="AE142" i="51"/>
  <c r="AE144" i="51" s="1"/>
  <c r="AJ145" i="51"/>
  <c r="AE153" i="51"/>
  <c r="AE163" i="3" s="1"/>
  <c r="AK142" i="51"/>
  <c r="AK144" i="51" s="1"/>
  <c r="CD7" i="51"/>
  <c r="AJ143" i="51"/>
  <c r="BU26" i="51"/>
  <c r="AJ116" i="51"/>
  <c r="AE152" i="51"/>
  <c r="AJ114" i="51"/>
  <c r="AE188" i="51"/>
  <c r="AE187" i="51"/>
  <c r="AE113" i="51"/>
  <c r="AE115" i="51" s="1"/>
  <c r="AE189" i="51"/>
  <c r="AE236" i="51"/>
  <c r="C154" i="51"/>
  <c r="BT33" i="51"/>
  <c r="AW59" i="118" s="1"/>
  <c r="AD191" i="51"/>
  <c r="AA191" i="51"/>
  <c r="AB191" i="51"/>
  <c r="AC191" i="51"/>
  <c r="Y210" i="51"/>
  <c r="BF33" i="51"/>
  <c r="AM59" i="118" s="1"/>
  <c r="AP116" i="51"/>
  <c r="AK113" i="51"/>
  <c r="AK115" i="51" s="1"/>
  <c r="AP114" i="51"/>
  <c r="AK152" i="51"/>
  <c r="AK188" i="51"/>
  <c r="AK236" i="51"/>
  <c r="AK187" i="51"/>
  <c r="AK189" i="51"/>
  <c r="AB170" i="51"/>
  <c r="AB164" i="51"/>
  <c r="AB166" i="51"/>
  <c r="AB171" i="51"/>
  <c r="AB175" i="51"/>
  <c r="AB204" i="51"/>
  <c r="AB165" i="51"/>
  <c r="AB176" i="51"/>
  <c r="AB167" i="51"/>
  <c r="AB174" i="51"/>
  <c r="AB160" i="51"/>
  <c r="AB169" i="51"/>
  <c r="BT39" i="51"/>
  <c r="BU82" i="51"/>
  <c r="M142" i="51"/>
  <c r="M144" i="51" s="1"/>
  <c r="R143" i="51"/>
  <c r="R145" i="51"/>
  <c r="M153" i="51"/>
  <c r="M163" i="3" s="1"/>
  <c r="AD116" i="51"/>
  <c r="AD114" i="51"/>
  <c r="Y113" i="51"/>
  <c r="Y115" i="51" s="1"/>
  <c r="Y188" i="51"/>
  <c r="Y189" i="51"/>
  <c r="Y187" i="51"/>
  <c r="Y236" i="51"/>
  <c r="Y152" i="51"/>
  <c r="BF31" i="51"/>
  <c r="AB172" i="51"/>
  <c r="Y153" i="51"/>
  <c r="Y163" i="3" s="1"/>
  <c r="AD143" i="51"/>
  <c r="AD145" i="51"/>
  <c r="Y142" i="51"/>
  <c r="Y144" i="51" s="1"/>
  <c r="R154" i="51"/>
  <c r="CI7" i="51"/>
  <c r="CC28" i="51"/>
  <c r="U154" i="51"/>
  <c r="BT76" i="3"/>
  <c r="CA76" i="3"/>
  <c r="BU74" i="3"/>
  <c r="BQ76" i="3"/>
  <c r="BH170" i="3"/>
  <c r="BH132" i="3"/>
  <c r="BI132" i="3" s="1"/>
  <c r="AZ13" i="3"/>
  <c r="AZ150" i="106" s="1"/>
  <c r="AZ33" i="3"/>
  <c r="BF48" i="3"/>
  <c r="AZ48" i="3"/>
  <c r="AZ120" i="3"/>
  <c r="AZ121" i="3" s="1"/>
  <c r="BO173" i="3"/>
  <c r="F13" i="3"/>
  <c r="F150" i="106" s="1"/>
  <c r="F33" i="3"/>
  <c r="F120" i="3"/>
  <c r="F121" i="3" s="1"/>
  <c r="BN12" i="3"/>
  <c r="BN20" i="3"/>
  <c r="BN36" i="3"/>
  <c r="BN94" i="3"/>
  <c r="BN134" i="3"/>
  <c r="BN135" i="3" s="1"/>
  <c r="BN179" i="3"/>
  <c r="S13" i="3"/>
  <c r="S150" i="106" s="1"/>
  <c r="S33" i="3"/>
  <c r="S120" i="3"/>
  <c r="S121" i="3" s="1"/>
  <c r="AO35" i="3"/>
  <c r="AY74" i="3"/>
  <c r="BM176" i="3"/>
  <c r="BM175" i="3"/>
  <c r="BA12" i="3"/>
  <c r="BA36" i="3"/>
  <c r="BA176" i="3"/>
  <c r="BA134" i="3"/>
  <c r="BA135" i="3" s="1"/>
  <c r="BA179" i="3"/>
  <c r="BF12" i="3"/>
  <c r="BL37" i="3"/>
  <c r="BF36" i="3"/>
  <c r="BL50" i="3"/>
  <c r="BF20" i="3"/>
  <c r="BF94" i="3"/>
  <c r="BF134" i="3"/>
  <c r="BF135" i="3" s="1"/>
  <c r="BF176" i="3"/>
  <c r="BF179" i="3"/>
  <c r="G106" i="3"/>
  <c r="CI129" i="3"/>
  <c r="BZ129" i="3"/>
  <c r="M32" i="3"/>
  <c r="M47" i="3"/>
  <c r="BO18" i="3"/>
  <c r="BO15" i="3" s="1"/>
  <c r="AA74" i="3"/>
  <c r="BI173" i="3"/>
  <c r="BN133" i="3"/>
  <c r="BO133" i="3" s="1"/>
  <c r="BN173" i="3"/>
  <c r="BN174" i="3"/>
  <c r="BN175" i="3" s="1"/>
  <c r="J6" i="3"/>
  <c r="P7" i="3"/>
  <c r="Q7" i="3"/>
  <c r="AW10" i="3"/>
  <c r="AW32" i="3"/>
  <c r="AW47" i="3"/>
  <c r="AW132" i="3"/>
  <c r="BC10" i="3"/>
  <c r="BC32" i="3"/>
  <c r="BI47" i="3"/>
  <c r="BC47" i="3"/>
  <c r="AW11" i="3"/>
  <c r="AV34" i="3"/>
  <c r="AV49" i="3"/>
  <c r="AV128" i="3"/>
  <c r="AV129" i="3" s="1"/>
  <c r="BB49" i="3"/>
  <c r="E12" i="3"/>
  <c r="E20" i="3"/>
  <c r="K37" i="3"/>
  <c r="K50" i="3"/>
  <c r="E36" i="3"/>
  <c r="E180" i="3" s="1"/>
  <c r="E179" i="3"/>
  <c r="E134" i="3"/>
  <c r="E135" i="3" s="1"/>
  <c r="L13" i="3"/>
  <c r="L150" i="106" s="1"/>
  <c r="L33" i="3"/>
  <c r="R48" i="3"/>
  <c r="L120" i="3"/>
  <c r="L121" i="3" s="1"/>
  <c r="L48" i="3"/>
  <c r="AD74" i="3"/>
  <c r="AW118" i="3"/>
  <c r="BG176" i="3"/>
  <c r="BG175" i="3"/>
  <c r="AY12" i="3"/>
  <c r="AY50" i="3"/>
  <c r="AY20" i="3"/>
  <c r="AY37" i="3"/>
  <c r="AY36" i="3"/>
  <c r="AY94" i="3"/>
  <c r="AY134" i="3"/>
  <c r="AY135" i="3" s="1"/>
  <c r="AY179" i="3"/>
  <c r="AY176" i="3"/>
  <c r="BK22" i="3"/>
  <c r="BK56" i="3"/>
  <c r="BO56" i="3" s="1"/>
  <c r="BO63" i="3"/>
  <c r="AB74" i="3"/>
  <c r="AK106" i="3"/>
  <c r="AQ116" i="3"/>
  <c r="AE173" i="3"/>
  <c r="AK172" i="3"/>
  <c r="BC174" i="3"/>
  <c r="BC173" i="3"/>
  <c r="AW22" i="3"/>
  <c r="AB12" i="3"/>
  <c r="AB20" i="3"/>
  <c r="AB37" i="3"/>
  <c r="AB36" i="3"/>
  <c r="AB50" i="3"/>
  <c r="AB134" i="3"/>
  <c r="AB135" i="3" s="1"/>
  <c r="AB179" i="3"/>
  <c r="L74" i="3"/>
  <c r="AC74" i="3"/>
  <c r="BH133" i="3"/>
  <c r="BI133" i="3" s="1"/>
  <c r="BH174" i="3"/>
  <c r="BH173" i="3"/>
  <c r="BI169" i="3"/>
  <c r="AQ133" i="3"/>
  <c r="AQ166" i="3"/>
  <c r="AY167" i="51" l="1"/>
  <c r="AY165" i="51"/>
  <c r="AU211" i="51"/>
  <c r="BQ164" i="51"/>
  <c r="AY171" i="51"/>
  <c r="AY176" i="51" s="1"/>
  <c r="AA204" i="51"/>
  <c r="AY169" i="51"/>
  <c r="AY174" i="51" s="1"/>
  <c r="AA174" i="51"/>
  <c r="BB21" i="3"/>
  <c r="BB151" i="106" s="1"/>
  <c r="BG37" i="3"/>
  <c r="BS74" i="3"/>
  <c r="BA94" i="3"/>
  <c r="BG50" i="3"/>
  <c r="BA63" i="106"/>
  <c r="BA20" i="3"/>
  <c r="BA21" i="3" s="1"/>
  <c r="BA151" i="106" s="1"/>
  <c r="BA152" i="106" s="1"/>
  <c r="BA153" i="106" s="1"/>
  <c r="BN63" i="29"/>
  <c r="BS52" i="3"/>
  <c r="C38" i="3"/>
  <c r="AA166" i="51"/>
  <c r="AA165" i="51"/>
  <c r="AG204" i="51"/>
  <c r="AG205" i="51" s="1"/>
  <c r="AG175" i="51"/>
  <c r="BS158" i="51"/>
  <c r="BS159" i="51" s="1"/>
  <c r="BS155" i="51"/>
  <c r="BS157" i="51" s="1"/>
  <c r="AG166" i="51"/>
  <c r="X165" i="51"/>
  <c r="X169" i="51"/>
  <c r="X175" i="51"/>
  <c r="X164" i="51"/>
  <c r="BE211" i="51"/>
  <c r="BR146" i="3"/>
  <c r="BR145" i="3" s="1"/>
  <c r="BR152" i="3" s="1"/>
  <c r="BR153" i="3" s="1"/>
  <c r="BS146" i="3"/>
  <c r="BS145" i="3" s="1"/>
  <c r="BS152" i="3" s="1"/>
  <c r="AS211" i="51"/>
  <c r="X168" i="51"/>
  <c r="X160" i="51"/>
  <c r="X170" i="51"/>
  <c r="X167" i="51"/>
  <c r="AV146" i="51"/>
  <c r="BU71" i="3"/>
  <c r="BW81" i="3" s="1"/>
  <c r="CA81" i="3" s="1"/>
  <c r="K35" i="3"/>
  <c r="J38" i="3"/>
  <c r="BE171" i="3"/>
  <c r="J174" i="106"/>
  <c r="J154" i="106"/>
  <c r="AA168" i="51"/>
  <c r="AA170" i="51"/>
  <c r="AA171" i="51"/>
  <c r="AA167" i="51"/>
  <c r="AN174" i="51"/>
  <c r="V75" i="118"/>
  <c r="AA164" i="51"/>
  <c r="AN172" i="51"/>
  <c r="AA160" i="51"/>
  <c r="AA176" i="51"/>
  <c r="AA175" i="51"/>
  <c r="AA169" i="51"/>
  <c r="AA172" i="51"/>
  <c r="AN165" i="51"/>
  <c r="R55" i="118"/>
  <c r="V65" i="118" s="1"/>
  <c r="BT54" i="29"/>
  <c r="AR59" i="118"/>
  <c r="AV59" i="118"/>
  <c r="K23" i="3"/>
  <c r="AO50" i="3"/>
  <c r="J180" i="3"/>
  <c r="K21" i="3"/>
  <c r="K151" i="106" s="1"/>
  <c r="K152" i="106" s="1"/>
  <c r="K153" i="106" s="1"/>
  <c r="BM38" i="3"/>
  <c r="J62" i="106"/>
  <c r="BM29" i="3"/>
  <c r="BM65" i="107" s="1"/>
  <c r="BR72" i="107"/>
  <c r="BR71" i="107"/>
  <c r="BT55" i="29"/>
  <c r="BZ54" i="29"/>
  <c r="BT77" i="106"/>
  <c r="AJ171" i="51"/>
  <c r="AJ165" i="51"/>
  <c r="AG164" i="51"/>
  <c r="AG176" i="51"/>
  <c r="AM155" i="51"/>
  <c r="AG168" i="51"/>
  <c r="AT69" i="118"/>
  <c r="AT5" i="118"/>
  <c r="AC55" i="118"/>
  <c r="BH168" i="3"/>
  <c r="BC17" i="51"/>
  <c r="AT211" i="51"/>
  <c r="BT82" i="3"/>
  <c r="BU82" i="3" s="1"/>
  <c r="I35" i="3"/>
  <c r="J64" i="106"/>
  <c r="J23" i="3"/>
  <c r="J93" i="3" s="1"/>
  <c r="AP176" i="51"/>
  <c r="AY160" i="51"/>
  <c r="O204" i="51"/>
  <c r="O205" i="51" s="1"/>
  <c r="AY204" i="51"/>
  <c r="AY202" i="51" s="1"/>
  <c r="AY88" i="51"/>
  <c r="AW149" i="51"/>
  <c r="AW159" i="3" s="1"/>
  <c r="AP164" i="51"/>
  <c r="AJ172" i="51"/>
  <c r="O170" i="51"/>
  <c r="BA172" i="51"/>
  <c r="BE168" i="3"/>
  <c r="AP171" i="51"/>
  <c r="BE158" i="51"/>
  <c r="AP175" i="51"/>
  <c r="BG211" i="51"/>
  <c r="AY164" i="51"/>
  <c r="AP160" i="51"/>
  <c r="AJ204" i="51"/>
  <c r="AJ203" i="51" s="1"/>
  <c r="AJ164" i="51"/>
  <c r="BG168" i="3"/>
  <c r="AH55" i="118"/>
  <c r="AY165" i="3"/>
  <c r="BC29" i="51"/>
  <c r="AJ160" i="51"/>
  <c r="AW217" i="51"/>
  <c r="AJ170" i="51"/>
  <c r="AY166" i="51"/>
  <c r="AP172" i="51"/>
  <c r="AJ174" i="51"/>
  <c r="AJ176" i="51"/>
  <c r="AS90" i="118"/>
  <c r="AS44" i="118" s="1"/>
  <c r="AJ166" i="51"/>
  <c r="AY170" i="51"/>
  <c r="AY168" i="51"/>
  <c r="AJ168" i="51"/>
  <c r="AJ169" i="51"/>
  <c r="BF168" i="3"/>
  <c r="BC19" i="51"/>
  <c r="BU27" i="3"/>
  <c r="AQ36" i="3"/>
  <c r="AQ180" i="3" s="1"/>
  <c r="I180" i="3"/>
  <c r="BG21" i="3"/>
  <c r="BG151" i="106" s="1"/>
  <c r="BG152" i="106" s="1"/>
  <c r="BG153" i="106" s="1"/>
  <c r="BO174" i="3"/>
  <c r="BO175" i="3" s="1"/>
  <c r="CC30" i="51"/>
  <c r="K62" i="106"/>
  <c r="AV20" i="3"/>
  <c r="AV21" i="3" s="1"/>
  <c r="AV151" i="106" s="1"/>
  <c r="W180" i="3"/>
  <c r="BG171" i="3"/>
  <c r="K64" i="106"/>
  <c r="AA77" i="106"/>
  <c r="I170" i="51"/>
  <c r="I175" i="51"/>
  <c r="AN160" i="51"/>
  <c r="AG170" i="51"/>
  <c r="AG155" i="51"/>
  <c r="I169" i="51"/>
  <c r="I166" i="51"/>
  <c r="V55" i="118"/>
  <c r="Z65" i="118" s="1"/>
  <c r="I165" i="51"/>
  <c r="AN175" i="51"/>
  <c r="AG165" i="51"/>
  <c r="I167" i="51"/>
  <c r="I160" i="51"/>
  <c r="Z75" i="118"/>
  <c r="I172" i="51"/>
  <c r="AG174" i="51"/>
  <c r="AG167" i="51"/>
  <c r="I174" i="51"/>
  <c r="F55" i="118"/>
  <c r="I176" i="51"/>
  <c r="I204" i="51"/>
  <c r="I205" i="51" s="1"/>
  <c r="O158" i="51"/>
  <c r="I164" i="51"/>
  <c r="AG172" i="51"/>
  <c r="AG169" i="51"/>
  <c r="AG160" i="51"/>
  <c r="I171" i="51"/>
  <c r="I168" i="51"/>
  <c r="O172" i="51"/>
  <c r="O171" i="51"/>
  <c r="O176" i="51"/>
  <c r="O169" i="51"/>
  <c r="BQ165" i="51"/>
  <c r="W166" i="51"/>
  <c r="O155" i="51"/>
  <c r="O175" i="51"/>
  <c r="BU71" i="51"/>
  <c r="BU72" i="51" s="1"/>
  <c r="BU75" i="51" s="1"/>
  <c r="BU76" i="51" s="1"/>
  <c r="BY71" i="51"/>
  <c r="BZ71" i="51"/>
  <c r="CC71" i="51"/>
  <c r="BW58" i="51"/>
  <c r="BR58" i="51"/>
  <c r="BR59" i="51" s="1"/>
  <c r="BR61" i="51" s="1"/>
  <c r="BX71" i="51"/>
  <c r="BO58" i="51"/>
  <c r="BO59" i="51" s="1"/>
  <c r="BO72" i="51"/>
  <c r="BO75" i="51" s="1"/>
  <c r="BO76" i="51" s="1"/>
  <c r="BU74" i="51"/>
  <c r="AD164" i="51"/>
  <c r="AN166" i="51"/>
  <c r="BL160" i="51"/>
  <c r="AP204" i="51"/>
  <c r="AP205" i="51" s="1"/>
  <c r="AP165" i="51"/>
  <c r="AN167" i="51"/>
  <c r="D168" i="51"/>
  <c r="AA55" i="118"/>
  <c r="AE65" i="118" s="1"/>
  <c r="BD74" i="118"/>
  <c r="BD89" i="118" s="1"/>
  <c r="W80" i="118"/>
  <c r="W39" i="118" s="1"/>
  <c r="AP169" i="51"/>
  <c r="AP168" i="51"/>
  <c r="AN169" i="51"/>
  <c r="BH211" i="51"/>
  <c r="AZ54" i="118"/>
  <c r="AN176" i="51"/>
  <c r="U55" i="118"/>
  <c r="BL169" i="51"/>
  <c r="AN168" i="51"/>
  <c r="AW29" i="51"/>
  <c r="AW31" i="51" s="1"/>
  <c r="AP170" i="51"/>
  <c r="AN204" i="51"/>
  <c r="AN203" i="51" s="1"/>
  <c r="AE75" i="118"/>
  <c r="BC32" i="51"/>
  <c r="AD171" i="51"/>
  <c r="AW180" i="51"/>
  <c r="AP167" i="51"/>
  <c r="AP166" i="51"/>
  <c r="AN164" i="51"/>
  <c r="AD175" i="51"/>
  <c r="AW182" i="51"/>
  <c r="AD168" i="51"/>
  <c r="AN170" i="51"/>
  <c r="AD176" i="51"/>
  <c r="AD167" i="51"/>
  <c r="AW181" i="51"/>
  <c r="AP174" i="51"/>
  <c r="AP155" i="51"/>
  <c r="AN171" i="51"/>
  <c r="BK83" i="51"/>
  <c r="BA204" i="51"/>
  <c r="BA205" i="51" s="1"/>
  <c r="X80" i="118"/>
  <c r="X39" i="118" s="1"/>
  <c r="BA169" i="51"/>
  <c r="BA174" i="51" s="1"/>
  <c r="AD172" i="51"/>
  <c r="AD165" i="51"/>
  <c r="O174" i="51"/>
  <c r="O164" i="51"/>
  <c r="BA160" i="51"/>
  <c r="BA171" i="51"/>
  <c r="BA170" i="51"/>
  <c r="BA88" i="51"/>
  <c r="BA164" i="51"/>
  <c r="BK168" i="51"/>
  <c r="AD204" i="51"/>
  <c r="AD205" i="51" s="1"/>
  <c r="AD170" i="51"/>
  <c r="BL211" i="51"/>
  <c r="O166" i="51"/>
  <c r="U158" i="51"/>
  <c r="BQ172" i="51"/>
  <c r="AQ146" i="3"/>
  <c r="AP146" i="3" s="1"/>
  <c r="AP145" i="3" s="1"/>
  <c r="AR90" i="118"/>
  <c r="AR44" i="118" s="1"/>
  <c r="BC167" i="3"/>
  <c r="BA168" i="51"/>
  <c r="BA166" i="51"/>
  <c r="AD174" i="51"/>
  <c r="AD155" i="51"/>
  <c r="AT171" i="51"/>
  <c r="O165" i="51"/>
  <c r="O167" i="51"/>
  <c r="BC154" i="51"/>
  <c r="AM86" i="118"/>
  <c r="AM42" i="118" s="1"/>
  <c r="BC159" i="3"/>
  <c r="BA165" i="3"/>
  <c r="BG158" i="51"/>
  <c r="AQ163" i="3"/>
  <c r="BA167" i="51"/>
  <c r="BW158" i="51"/>
  <c r="AD160" i="51"/>
  <c r="AD166" i="51"/>
  <c r="BN211" i="51"/>
  <c r="AJ155" i="51"/>
  <c r="O168" i="51"/>
  <c r="BC142" i="3"/>
  <c r="AZ142" i="3" s="1"/>
  <c r="AZ141" i="3" s="1"/>
  <c r="AZ148" i="3" s="1"/>
  <c r="AZ149" i="3" s="1"/>
  <c r="AJ55" i="118"/>
  <c r="D23" i="3"/>
  <c r="D29" i="3" s="1"/>
  <c r="BQ168" i="3"/>
  <c r="BW77" i="106"/>
  <c r="D38" i="3"/>
  <c r="BK134" i="3"/>
  <c r="BO134" i="3" s="1"/>
  <c r="BO135" i="3" s="1"/>
  <c r="D21" i="3"/>
  <c r="D151" i="106" s="1"/>
  <c r="D152" i="106" s="1"/>
  <c r="D153" i="106" s="1"/>
  <c r="BM57" i="106"/>
  <c r="C23" i="3"/>
  <c r="AS24" i="3"/>
  <c r="BM93" i="3"/>
  <c r="BB23" i="3"/>
  <c r="BB24" i="3" s="1"/>
  <c r="AS64" i="3"/>
  <c r="AS94" i="106" s="1"/>
  <c r="AS97" i="106" s="1"/>
  <c r="BM56" i="106"/>
  <c r="AI36" i="3"/>
  <c r="BM64" i="3"/>
  <c r="AW84" i="118"/>
  <c r="AW41" i="118" s="1"/>
  <c r="BL204" i="51"/>
  <c r="BL202" i="51" s="1"/>
  <c r="BL170" i="51"/>
  <c r="BQ167" i="51"/>
  <c r="BQ168" i="51"/>
  <c r="AT55" i="118"/>
  <c r="BL172" i="51"/>
  <c r="AA80" i="118"/>
  <c r="AA39" i="118" s="1"/>
  <c r="BQ165" i="3"/>
  <c r="X33" i="51"/>
  <c r="Q59" i="118" s="1"/>
  <c r="BL167" i="51"/>
  <c r="BQ169" i="51"/>
  <c r="BQ204" i="51"/>
  <c r="BQ203" i="51" s="1"/>
  <c r="BQ166" i="51"/>
  <c r="AY30" i="51"/>
  <c r="BE166" i="51"/>
  <c r="S107" i="3"/>
  <c r="BQ171" i="51"/>
  <c r="BQ170" i="51"/>
  <c r="BQ88" i="51"/>
  <c r="BC24" i="51"/>
  <c r="BT81" i="3"/>
  <c r="AF80" i="118"/>
  <c r="AF39" i="118" s="1"/>
  <c r="AE80" i="118"/>
  <c r="AE39" i="118" s="1"/>
  <c r="AB80" i="118"/>
  <c r="AB39" i="118" s="1"/>
  <c r="BL21" i="3"/>
  <c r="BL151" i="106" s="1"/>
  <c r="BL152" i="106" s="1"/>
  <c r="BL153" i="106" s="1"/>
  <c r="J39" i="3"/>
  <c r="BM39" i="3"/>
  <c r="O21" i="3"/>
  <c r="O151" i="106" s="1"/>
  <c r="O152" i="106" s="1"/>
  <c r="O153" i="106" s="1"/>
  <c r="O154" i="106" s="1"/>
  <c r="AO21" i="3"/>
  <c r="AO151" i="106" s="1"/>
  <c r="AO152" i="106" s="1"/>
  <c r="AO153" i="106" s="1"/>
  <c r="AS56" i="106"/>
  <c r="BM21" i="3"/>
  <c r="BQ35" i="3"/>
  <c r="BL23" i="3"/>
  <c r="AO23" i="3"/>
  <c r="AS93" i="3"/>
  <c r="AS57" i="106"/>
  <c r="AS29" i="3"/>
  <c r="AS96" i="3" s="1"/>
  <c r="AV50" i="118"/>
  <c r="BL72" i="107"/>
  <c r="BL73" i="107" s="1"/>
  <c r="BM69" i="107" s="1"/>
  <c r="BQ64" i="106"/>
  <c r="AS154" i="106"/>
  <c r="AS173" i="106"/>
  <c r="AS174" i="106"/>
  <c r="AA154" i="106"/>
  <c r="AA173" i="106"/>
  <c r="AA174" i="106"/>
  <c r="V154" i="106"/>
  <c r="V174" i="106"/>
  <c r="V173" i="106"/>
  <c r="AK20" i="3"/>
  <c r="AK150" i="106"/>
  <c r="C152" i="106"/>
  <c r="C153" i="106" s="1"/>
  <c r="C173" i="106" s="1"/>
  <c r="P152" i="106"/>
  <c r="P153" i="106" s="1"/>
  <c r="BB152" i="106"/>
  <c r="BB153" i="106" s="1"/>
  <c r="J58" i="106"/>
  <c r="BN37" i="3"/>
  <c r="BH150" i="106"/>
  <c r="BB37" i="3"/>
  <c r="AV150" i="106"/>
  <c r="AO37" i="3"/>
  <c r="AI150" i="106"/>
  <c r="AC50" i="3"/>
  <c r="AC150" i="106"/>
  <c r="BE134" i="3"/>
  <c r="BE135" i="3" s="1"/>
  <c r="BE150" i="106"/>
  <c r="AM154" i="106"/>
  <c r="AM174" i="106"/>
  <c r="AM173" i="106"/>
  <c r="AQ179" i="3"/>
  <c r="AQ150" i="106"/>
  <c r="BM171" i="3"/>
  <c r="AC169" i="51"/>
  <c r="BF165" i="3"/>
  <c r="AZ169" i="51"/>
  <c r="W171" i="51"/>
  <c r="BF164" i="51"/>
  <c r="AZ165" i="51"/>
  <c r="AZ166" i="51"/>
  <c r="W174" i="51"/>
  <c r="BF172" i="51"/>
  <c r="AC168" i="51"/>
  <c r="BF170" i="51"/>
  <c r="X75" i="118"/>
  <c r="W168" i="51"/>
  <c r="W175" i="51"/>
  <c r="BF88" i="51"/>
  <c r="AC165" i="51"/>
  <c r="W164" i="51"/>
  <c r="AZ155" i="51"/>
  <c r="W170" i="51"/>
  <c r="W169" i="51"/>
  <c r="AC175" i="51"/>
  <c r="BF204" i="51"/>
  <c r="BF203" i="51" s="1"/>
  <c r="D169" i="51"/>
  <c r="BF171" i="51"/>
  <c r="BF167" i="51"/>
  <c r="AT170" i="51"/>
  <c r="BE171" i="51"/>
  <c r="BF166" i="51"/>
  <c r="D172" i="51"/>
  <c r="D166" i="51"/>
  <c r="BL158" i="51"/>
  <c r="BL159" i="51" s="1"/>
  <c r="BF165" i="51"/>
  <c r="BF155" i="51"/>
  <c r="AC176" i="51"/>
  <c r="C55" i="118"/>
  <c r="AC166" i="51"/>
  <c r="AT164" i="51"/>
  <c r="AT168" i="51"/>
  <c r="AC171" i="51"/>
  <c r="AC174" i="51"/>
  <c r="AC164" i="51"/>
  <c r="AU204" i="51"/>
  <c r="AU203" i="51" s="1"/>
  <c r="AC172" i="51"/>
  <c r="AC160" i="51"/>
  <c r="AM55" i="118"/>
  <c r="AU167" i="51"/>
  <c r="D164" i="51"/>
  <c r="AC204" i="51"/>
  <c r="AC205" i="51" s="1"/>
  <c r="BF168" i="51"/>
  <c r="E172" i="51"/>
  <c r="W204" i="51"/>
  <c r="W205" i="51" s="1"/>
  <c r="W160" i="51"/>
  <c r="W172" i="51"/>
  <c r="BE172" i="51"/>
  <c r="AU169" i="51"/>
  <c r="BG164" i="51"/>
  <c r="X31" i="51"/>
  <c r="S80" i="118"/>
  <c r="S39" i="118" s="1"/>
  <c r="AV171" i="51"/>
  <c r="AK107" i="3"/>
  <c r="BK167" i="51"/>
  <c r="AU168" i="51"/>
  <c r="AU175" i="51"/>
  <c r="BM164" i="51"/>
  <c r="BE155" i="51"/>
  <c r="BK204" i="51"/>
  <c r="BK205" i="51" s="1"/>
  <c r="AV31" i="51"/>
  <c r="W165" i="51"/>
  <c r="U157" i="51"/>
  <c r="BT158" i="51"/>
  <c r="D160" i="51"/>
  <c r="AC167" i="51"/>
  <c r="AC170" i="51"/>
  <c r="BQ155" i="51"/>
  <c r="BE169" i="51"/>
  <c r="BB165" i="3"/>
  <c r="AU164" i="51"/>
  <c r="BB204" i="51"/>
  <c r="BB203" i="51" s="1"/>
  <c r="AP55" i="118"/>
  <c r="AT65" i="118" s="1"/>
  <c r="BO31" i="51"/>
  <c r="AQ59" i="118"/>
  <c r="W167" i="51"/>
  <c r="AH164" i="51"/>
  <c r="BB166" i="51"/>
  <c r="D167" i="51"/>
  <c r="AY82" i="118"/>
  <c r="AY40" i="118" s="1"/>
  <c r="BL165" i="3"/>
  <c r="BU7" i="51"/>
  <c r="CA9" i="51" s="1"/>
  <c r="BF169" i="51"/>
  <c r="BC26" i="51"/>
  <c r="BK164" i="51"/>
  <c r="E164" i="51"/>
  <c r="K157" i="51"/>
  <c r="E174" i="51"/>
  <c r="BF158" i="51"/>
  <c r="AZ172" i="51"/>
  <c r="BK172" i="51"/>
  <c r="AV170" i="51"/>
  <c r="AZ170" i="51"/>
  <c r="W176" i="51"/>
  <c r="AU174" i="51"/>
  <c r="BB88" i="51"/>
  <c r="D165" i="51"/>
  <c r="AT155" i="51"/>
  <c r="BX21" i="3"/>
  <c r="BW151" i="106"/>
  <c r="CJ30" i="107"/>
  <c r="CJ168" i="106"/>
  <c r="CG158" i="106"/>
  <c r="CI34" i="106"/>
  <c r="AQ20" i="3"/>
  <c r="O23" i="3"/>
  <c r="O39" i="3" s="1"/>
  <c r="BG23" i="3"/>
  <c r="BM180" i="3"/>
  <c r="U75" i="106"/>
  <c r="I62" i="106"/>
  <c r="Y7" i="3"/>
  <c r="Y74" i="106" s="1"/>
  <c r="BN50" i="3"/>
  <c r="U76" i="106"/>
  <c r="AQ63" i="106"/>
  <c r="BC99" i="107"/>
  <c r="BC101" i="107" s="1"/>
  <c r="P64" i="106"/>
  <c r="AM38" i="3"/>
  <c r="BQ21" i="3"/>
  <c r="BQ151" i="106" s="1"/>
  <c r="BQ152" i="106" s="1"/>
  <c r="BQ153" i="106" s="1"/>
  <c r="BQ180" i="3"/>
  <c r="AQ12" i="3"/>
  <c r="AQ64" i="106" s="1"/>
  <c r="BN180" i="3"/>
  <c r="K38" i="3"/>
  <c r="BQ23" i="3"/>
  <c r="BQ29" i="3" s="1"/>
  <c r="BQ65" i="107" s="1"/>
  <c r="CI35" i="106"/>
  <c r="CI159" i="106" s="1"/>
  <c r="CI151" i="51"/>
  <c r="BK171" i="51"/>
  <c r="BK169" i="51"/>
  <c r="BK174" i="51" s="1"/>
  <c r="BK155" i="51"/>
  <c r="BK170" i="51"/>
  <c r="BK166" i="51"/>
  <c r="BK160" i="51"/>
  <c r="BK88" i="51"/>
  <c r="BL165" i="51"/>
  <c r="BL171" i="51"/>
  <c r="BL168" i="51"/>
  <c r="BL166" i="51"/>
  <c r="BL88" i="51"/>
  <c r="BL155" i="51"/>
  <c r="E204" i="51"/>
  <c r="E205" i="51" s="1"/>
  <c r="E165" i="51"/>
  <c r="BC191" i="51"/>
  <c r="AZ191" i="51" s="1"/>
  <c r="BR158" i="51"/>
  <c r="AV176" i="51"/>
  <c r="AV166" i="51"/>
  <c r="L115" i="51"/>
  <c r="BO33" i="51"/>
  <c r="AT160" i="51"/>
  <c r="AT176" i="51"/>
  <c r="AT167" i="51"/>
  <c r="BB171" i="51"/>
  <c r="BB165" i="51"/>
  <c r="BB174" i="51" s="1"/>
  <c r="BB172" i="51"/>
  <c r="BF80" i="51"/>
  <c r="BF83" i="51" s="1"/>
  <c r="D175" i="51"/>
  <c r="D171" i="51"/>
  <c r="J158" i="51"/>
  <c r="D170" i="51"/>
  <c r="D204" i="51"/>
  <c r="D205" i="51" s="1"/>
  <c r="D176" i="51"/>
  <c r="AU5" i="118"/>
  <c r="AU59" i="118"/>
  <c r="AQ55" i="118"/>
  <c r="AT75" i="118"/>
  <c r="BK165" i="3"/>
  <c r="AE75" i="106"/>
  <c r="AI63" i="106"/>
  <c r="P35" i="3"/>
  <c r="BI167" i="3"/>
  <c r="AE76" i="106"/>
  <c r="R75" i="106"/>
  <c r="AI12" i="3"/>
  <c r="AI64" i="106" s="1"/>
  <c r="AI179" i="3"/>
  <c r="AV37" i="3"/>
  <c r="M33" i="3"/>
  <c r="AI134" i="3"/>
  <c r="AI135" i="3" s="1"/>
  <c r="AM23" i="3"/>
  <c r="AM57" i="106" s="1"/>
  <c r="C192" i="3"/>
  <c r="AA23" i="3"/>
  <c r="AA24" i="3" s="1"/>
  <c r="BO167" i="3"/>
  <c r="R76" i="106"/>
  <c r="AQ27" i="118"/>
  <c r="AT90" i="118"/>
  <c r="AT44" i="118" s="1"/>
  <c r="AF33" i="118"/>
  <c r="O80" i="118"/>
  <c r="O39" i="118" s="1"/>
  <c r="BC44" i="118"/>
  <c r="AX90" i="118"/>
  <c r="AX44" i="118" s="1"/>
  <c r="P80" i="118"/>
  <c r="P39" i="118" s="1"/>
  <c r="AU82" i="118"/>
  <c r="AU40" i="118" s="1"/>
  <c r="AQ90" i="118"/>
  <c r="AQ44" i="118" s="1"/>
  <c r="BA82" i="118"/>
  <c r="BA40" i="118" s="1"/>
  <c r="BY7" i="51"/>
  <c r="P51" i="3"/>
  <c r="V51" i="3"/>
  <c r="I51" i="3"/>
  <c r="AZ168" i="51"/>
  <c r="AV168" i="51"/>
  <c r="AV169" i="51"/>
  <c r="AV155" i="51"/>
  <c r="AZ204" i="51"/>
  <c r="AZ205" i="51" s="1"/>
  <c r="AZ167" i="51"/>
  <c r="AZ171" i="51"/>
  <c r="AZ160" i="51"/>
  <c r="AZ88" i="51"/>
  <c r="AT172" i="51"/>
  <c r="AT204" i="51"/>
  <c r="AT202" i="51" s="1"/>
  <c r="AT175" i="51"/>
  <c r="AT166" i="51"/>
  <c r="AT174" i="51"/>
  <c r="AT169" i="51"/>
  <c r="BL171" i="3"/>
  <c r="CF75" i="3"/>
  <c r="AK36" i="3"/>
  <c r="AK180" i="3" s="1"/>
  <c r="W62" i="106"/>
  <c r="BK168" i="3"/>
  <c r="I23" i="3"/>
  <c r="I29" i="3" s="1"/>
  <c r="AK12" i="3"/>
  <c r="BG64" i="106"/>
  <c r="AQ50" i="3"/>
  <c r="I21" i="3"/>
  <c r="I151" i="106" s="1"/>
  <c r="I152" i="106" s="1"/>
  <c r="I153" i="106" s="1"/>
  <c r="BB180" i="3"/>
  <c r="I181" i="3"/>
  <c r="BZ21" i="51"/>
  <c r="BA52" i="118" s="1"/>
  <c r="AY84" i="118"/>
  <c r="AY41" i="118" s="1"/>
  <c r="W23" i="3"/>
  <c r="W64" i="3" s="1"/>
  <c r="V38" i="3"/>
  <c r="BG180" i="3"/>
  <c r="BG62" i="106"/>
  <c r="W38" i="3"/>
  <c r="W21" i="3"/>
  <c r="W151" i="106" s="1"/>
  <c r="W152" i="106" s="1"/>
  <c r="W153" i="106" s="1"/>
  <c r="BI128" i="3"/>
  <c r="BI129" i="3" s="1"/>
  <c r="BE37" i="3"/>
  <c r="Y13" i="3"/>
  <c r="Y36" i="3" s="1"/>
  <c r="Y180" i="3" s="1"/>
  <c r="V23" i="3"/>
  <c r="W35" i="3"/>
  <c r="W51" i="3"/>
  <c r="AZ73" i="107"/>
  <c r="BB69" i="107" s="1"/>
  <c r="G107" i="3"/>
  <c r="AJ33" i="51"/>
  <c r="AJ146" i="51"/>
  <c r="BC196" i="51"/>
  <c r="AZ196" i="51" s="1"/>
  <c r="BI31" i="51"/>
  <c r="AV204" i="51"/>
  <c r="AV202" i="51" s="1"/>
  <c r="AV174" i="51"/>
  <c r="AV175" i="51"/>
  <c r="AV164" i="51"/>
  <c r="AV167" i="51"/>
  <c r="AV165" i="51"/>
  <c r="AD31" i="51"/>
  <c r="AX84" i="118"/>
  <c r="AX41" i="118" s="1"/>
  <c r="AZ44" i="118"/>
  <c r="AJ31" i="51"/>
  <c r="BN165" i="3"/>
  <c r="J55" i="118"/>
  <c r="BC170" i="3"/>
  <c r="AY86" i="118"/>
  <c r="AY42" i="118" s="1"/>
  <c r="AS83" i="118"/>
  <c r="AQ46" i="3"/>
  <c r="BK37" i="3"/>
  <c r="AW77" i="106"/>
  <c r="X77" i="106"/>
  <c r="BI77" i="106"/>
  <c r="BO77" i="106"/>
  <c r="AK77" i="106"/>
  <c r="W77" i="106"/>
  <c r="AQ77" i="106"/>
  <c r="BM168" i="3"/>
  <c r="BB175" i="3"/>
  <c r="BQ171" i="3"/>
  <c r="BW182" i="51"/>
  <c r="BB85" i="118"/>
  <c r="AX86" i="118"/>
  <c r="AX42" i="118" s="1"/>
  <c r="BB24" i="118"/>
  <c r="BK94" i="3"/>
  <c r="BE50" i="3"/>
  <c r="J64" i="3"/>
  <c r="J94" i="106" s="1"/>
  <c r="J97" i="106" s="1"/>
  <c r="BK12" i="3"/>
  <c r="BK35" i="3" s="1"/>
  <c r="BE20" i="3"/>
  <c r="J29" i="3"/>
  <c r="J24" i="3"/>
  <c r="BC77" i="106"/>
  <c r="CL96" i="106"/>
  <c r="CM96" i="106" s="1"/>
  <c r="CM41" i="106"/>
  <c r="BD72" i="118"/>
  <c r="BD85" i="118" s="1"/>
  <c r="AZ52" i="118"/>
  <c r="AB62" i="106"/>
  <c r="AB64" i="106"/>
  <c r="E35" i="3"/>
  <c r="E64" i="106"/>
  <c r="E62" i="106"/>
  <c r="AN5" i="118"/>
  <c r="AN69" i="118"/>
  <c r="AK166" i="3"/>
  <c r="AY211" i="51"/>
  <c r="BF72" i="107"/>
  <c r="BF71" i="107"/>
  <c r="BF82" i="107" s="1"/>
  <c r="BK146" i="3"/>
  <c r="BK145" i="3" s="1"/>
  <c r="BK152" i="3" s="1"/>
  <c r="BM146" i="3"/>
  <c r="BM145" i="3" s="1"/>
  <c r="BM152" i="3" s="1"/>
  <c r="BN146" i="3"/>
  <c r="BN145" i="3" s="1"/>
  <c r="BN152" i="3" s="1"/>
  <c r="BQ146" i="3"/>
  <c r="BQ145" i="3" s="1"/>
  <c r="BQ152" i="3" s="1"/>
  <c r="BL146" i="3"/>
  <c r="BL145" i="3" s="1"/>
  <c r="BL152" i="3" s="1"/>
  <c r="P155" i="51"/>
  <c r="G55" i="118"/>
  <c r="BI13" i="3"/>
  <c r="BI98" i="107"/>
  <c r="BI99" i="107" s="1"/>
  <c r="BI101" i="107" s="1"/>
  <c r="BI89" i="106"/>
  <c r="D62" i="106"/>
  <c r="D64" i="106"/>
  <c r="AF75" i="118"/>
  <c r="AB55" i="118"/>
  <c r="AF65" i="118" s="1"/>
  <c r="CC32" i="51"/>
  <c r="AX49" i="118"/>
  <c r="AM62" i="106"/>
  <c r="AM64" i="106"/>
  <c r="AV63" i="106"/>
  <c r="BE63" i="106"/>
  <c r="AN83" i="118"/>
  <c r="AO84" i="118" s="1"/>
  <c r="AO41" i="118" s="1"/>
  <c r="AR83" i="118"/>
  <c r="BT89" i="106"/>
  <c r="AM83" i="118"/>
  <c r="AQ83" i="118"/>
  <c r="D55" i="118"/>
  <c r="AW131" i="3"/>
  <c r="BG72" i="107"/>
  <c r="BG71" i="107"/>
  <c r="BG82" i="107" s="1"/>
  <c r="BQ50" i="3"/>
  <c r="BI49" i="3"/>
  <c r="AV50" i="3"/>
  <c r="BE94" i="3"/>
  <c r="BE12" i="3"/>
  <c r="BE51" i="3" s="1"/>
  <c r="S48" i="3"/>
  <c r="D35" i="3"/>
  <c r="AM35" i="3"/>
  <c r="AZ63" i="106"/>
  <c r="X155" i="51"/>
  <c r="M55" i="118"/>
  <c r="R115" i="51"/>
  <c r="E169" i="51"/>
  <c r="E166" i="51"/>
  <c r="BH168" i="51"/>
  <c r="AO55" i="118"/>
  <c r="I55" i="118"/>
  <c r="V172" i="51"/>
  <c r="S75" i="118"/>
  <c r="W91" i="118" s="1"/>
  <c r="O55" i="118"/>
  <c r="S65" i="118" s="1"/>
  <c r="BB33" i="51"/>
  <c r="AK59" i="118" s="1"/>
  <c r="S161" i="3"/>
  <c r="S111" i="3"/>
  <c r="S112" i="3" s="1"/>
  <c r="S170" i="3"/>
  <c r="BR181" i="51"/>
  <c r="AU49" i="118"/>
  <c r="AR69" i="118"/>
  <c r="AR5" i="118"/>
  <c r="AT63" i="106"/>
  <c r="U180" i="3"/>
  <c r="BL180" i="3"/>
  <c r="BL80" i="51"/>
  <c r="AP33" i="51"/>
  <c r="AC59" i="118" s="1"/>
  <c r="BT60" i="29"/>
  <c r="V157" i="51"/>
  <c r="BB63" i="29"/>
  <c r="AN86" i="118"/>
  <c r="AN42" i="118" s="1"/>
  <c r="BA16" i="118"/>
  <c r="BA32" i="118" s="1"/>
  <c r="CC170" i="3"/>
  <c r="BW169" i="3"/>
  <c r="BW132" i="3" s="1"/>
  <c r="AI55" i="118"/>
  <c r="AZ165" i="3"/>
  <c r="AP73" i="107"/>
  <c r="AN22" i="118"/>
  <c r="AR22" i="118"/>
  <c r="BA74" i="118"/>
  <c r="AW54" i="118"/>
  <c r="BU86" i="51"/>
  <c r="BZ86" i="51"/>
  <c r="BT151" i="51"/>
  <c r="BU151" i="51" s="1"/>
  <c r="BC24" i="118"/>
  <c r="AE107" i="3"/>
  <c r="AT83" i="118"/>
  <c r="AU84" i="118" s="1"/>
  <c r="AU41" i="118" s="1"/>
  <c r="AP83" i="118"/>
  <c r="AN23" i="118"/>
  <c r="AR23" i="118"/>
  <c r="AM23" i="118"/>
  <c r="AQ23" i="118"/>
  <c r="V77" i="106"/>
  <c r="AO180" i="3"/>
  <c r="BA33" i="51"/>
  <c r="AJ59" i="118" s="1"/>
  <c r="BC81" i="118"/>
  <c r="AP81" i="118"/>
  <c r="AQ82" i="118" s="1"/>
  <c r="AQ40" i="118" s="1"/>
  <c r="BC175" i="3"/>
  <c r="AK161" i="3"/>
  <c r="AK111" i="3"/>
  <c r="AK112" i="3" s="1"/>
  <c r="AK170" i="3"/>
  <c r="BU21" i="51"/>
  <c r="BA72" i="118"/>
  <c r="BA85" i="118" s="1"/>
  <c r="AW52" i="118"/>
  <c r="C35" i="3"/>
  <c r="C62" i="106"/>
  <c r="C64" i="106"/>
  <c r="AN63" i="106"/>
  <c r="AN36" i="3"/>
  <c r="AN134" i="3"/>
  <c r="AN135" i="3" s="1"/>
  <c r="AN179" i="3"/>
  <c r="AN20" i="3"/>
  <c r="AN12" i="3"/>
  <c r="BO144" i="3"/>
  <c r="BO161" i="3"/>
  <c r="BO151" i="3"/>
  <c r="AT46" i="3"/>
  <c r="BA8" i="118"/>
  <c r="BA24" i="118" s="1"/>
  <c r="BX81" i="51"/>
  <c r="AU53" i="118"/>
  <c r="AQ161" i="3"/>
  <c r="AQ144" i="3"/>
  <c r="AQ170" i="3"/>
  <c r="AQ151" i="3"/>
  <c r="BZ50" i="51"/>
  <c r="J157" i="51"/>
  <c r="AH50" i="3"/>
  <c r="AH63" i="106"/>
  <c r="AR24" i="118"/>
  <c r="AV24" i="118"/>
  <c r="BF180" i="3"/>
  <c r="BC50" i="118"/>
  <c r="M161" i="3"/>
  <c r="M170" i="3"/>
  <c r="AN155" i="51"/>
  <c r="W55" i="118"/>
  <c r="AA65" i="118" s="1"/>
  <c r="AA75" i="118"/>
  <c r="AA91" i="118" s="1"/>
  <c r="BK36" i="3"/>
  <c r="AQ111" i="3"/>
  <c r="AQ112" i="3" s="1"/>
  <c r="BN62" i="106"/>
  <c r="BN64" i="106"/>
  <c r="AA210" i="51"/>
  <c r="AA203" i="51" s="1"/>
  <c r="BC54" i="118"/>
  <c r="U62" i="106"/>
  <c r="U64" i="106"/>
  <c r="BB62" i="106"/>
  <c r="BB64" i="106"/>
  <c r="AK63" i="106"/>
  <c r="AR81" i="118"/>
  <c r="AN81" i="118"/>
  <c r="BI170" i="3"/>
  <c r="BK50" i="3"/>
  <c r="AH37" i="3"/>
  <c r="AV36" i="3"/>
  <c r="BE179" i="3"/>
  <c r="U23" i="3"/>
  <c r="U29" i="3" s="1"/>
  <c r="M120" i="3"/>
  <c r="M121" i="3" s="1"/>
  <c r="P38" i="3"/>
  <c r="BA62" i="106"/>
  <c r="BA64" i="106"/>
  <c r="S63" i="106"/>
  <c r="G120" i="3"/>
  <c r="G121" i="3" s="1"/>
  <c r="AD210" i="51"/>
  <c r="AW5" i="118"/>
  <c r="AW69" i="118"/>
  <c r="E175" i="51"/>
  <c r="E171" i="51"/>
  <c r="AO5" i="118"/>
  <c r="AO69" i="118"/>
  <c r="BT28" i="51"/>
  <c r="AQ142" i="3"/>
  <c r="AQ159" i="3"/>
  <c r="BW180" i="51"/>
  <c r="BO159" i="3"/>
  <c r="BO142" i="3"/>
  <c r="BO149" i="3"/>
  <c r="BW181" i="51"/>
  <c r="AL69" i="118"/>
  <c r="AL5" i="118"/>
  <c r="AR55" i="118"/>
  <c r="BM165" i="3"/>
  <c r="L55" i="118"/>
  <c r="BI142" i="3"/>
  <c r="BI159" i="3"/>
  <c r="BI149" i="3"/>
  <c r="O62" i="106"/>
  <c r="O64" i="106"/>
  <c r="BL35" i="3"/>
  <c r="BL62" i="106"/>
  <c r="BL64" i="106"/>
  <c r="BB168" i="51"/>
  <c r="AK55" i="118"/>
  <c r="AS31" i="51"/>
  <c r="AV172" i="51"/>
  <c r="AK75" i="118"/>
  <c r="AG55" i="118"/>
  <c r="AK65" i="118" s="1"/>
  <c r="AV5" i="118"/>
  <c r="AV69" i="118"/>
  <c r="P180" i="3"/>
  <c r="AT26" i="118"/>
  <c r="AP26" i="118"/>
  <c r="AL27" i="118"/>
  <c r="AP27" i="118"/>
  <c r="BO120" i="3"/>
  <c r="BO121" i="3" s="1"/>
  <c r="BO33" i="3"/>
  <c r="BO48" i="3"/>
  <c r="AN27" i="118"/>
  <c r="AR27" i="118"/>
  <c r="AD63" i="106"/>
  <c r="AD20" i="3"/>
  <c r="AD179" i="3"/>
  <c r="AD12" i="3"/>
  <c r="AD134" i="3"/>
  <c r="AD135" i="3" s="1"/>
  <c r="AD36" i="3"/>
  <c r="AZ86" i="118"/>
  <c r="AZ42" i="118" s="1"/>
  <c r="AV72" i="107"/>
  <c r="AV71" i="107"/>
  <c r="AV82" i="107" s="1"/>
  <c r="AS26" i="118"/>
  <c r="AW26" i="118"/>
  <c r="AP12" i="3"/>
  <c r="AP63" i="106"/>
  <c r="AP179" i="3"/>
  <c r="AP36" i="3"/>
  <c r="AP134" i="3"/>
  <c r="AP135" i="3" s="1"/>
  <c r="AP20" i="3"/>
  <c r="AC155" i="51"/>
  <c r="P55" i="118"/>
  <c r="T65" i="118" s="1"/>
  <c r="T75" i="118"/>
  <c r="AN26" i="118"/>
  <c r="AR26" i="118"/>
  <c r="M107" i="3"/>
  <c r="AQ99" i="107"/>
  <c r="AQ101" i="107" s="1"/>
  <c r="AA35" i="3"/>
  <c r="AA62" i="106"/>
  <c r="AA64" i="106"/>
  <c r="O74" i="106"/>
  <c r="O75" i="106"/>
  <c r="O76" i="106"/>
  <c r="AY180" i="3"/>
  <c r="S7" i="3"/>
  <c r="P74" i="106"/>
  <c r="P75" i="106"/>
  <c r="P76" i="106"/>
  <c r="V35" i="3"/>
  <c r="V62" i="106"/>
  <c r="V64" i="106"/>
  <c r="BB71" i="107"/>
  <c r="BB82" i="107" s="1"/>
  <c r="BB72" i="107"/>
  <c r="AV85" i="118"/>
  <c r="AR85" i="118"/>
  <c r="BZ167" i="3"/>
  <c r="BI161" i="3"/>
  <c r="BI144" i="3"/>
  <c r="BI151" i="3"/>
  <c r="L158" i="51"/>
  <c r="AW98" i="107"/>
  <c r="AW99" i="107" s="1"/>
  <c r="AW101" i="107" s="1"/>
  <c r="AW89" i="106"/>
  <c r="BD7" i="118"/>
  <c r="BD23" i="118" s="1"/>
  <c r="BD54" i="118"/>
  <c r="AZ82" i="118"/>
  <c r="M111" i="3"/>
  <c r="M112" i="3" s="1"/>
  <c r="M113" i="3" s="1"/>
  <c r="BA211" i="51"/>
  <c r="AY64" i="106"/>
  <c r="AY62" i="106"/>
  <c r="BF62" i="106"/>
  <c r="BF64" i="106"/>
  <c r="J51" i="3"/>
  <c r="CA186" i="3"/>
  <c r="Q180" i="3"/>
  <c r="BN168" i="3"/>
  <c r="R21" i="118"/>
  <c r="N21" i="118"/>
  <c r="AP23" i="118"/>
  <c r="AT23" i="118"/>
  <c r="AO86" i="118"/>
  <c r="AO42" i="118" s="1"/>
  <c r="CK10" i="106"/>
  <c r="BK176" i="3"/>
  <c r="AV179" i="3"/>
  <c r="AV12" i="3"/>
  <c r="BE176" i="3"/>
  <c r="U21" i="3"/>
  <c r="U151" i="106" s="1"/>
  <c r="U152" i="106" s="1"/>
  <c r="U153" i="106" s="1"/>
  <c r="M48" i="3"/>
  <c r="BM66" i="3"/>
  <c r="BM8" i="107" s="1"/>
  <c r="BM25" i="107" s="1"/>
  <c r="BM94" i="106"/>
  <c r="BM97" i="106" s="1"/>
  <c r="AQ37" i="3"/>
  <c r="AK179" i="3"/>
  <c r="G33" i="3"/>
  <c r="N55" i="118"/>
  <c r="R65" i="118" s="1"/>
  <c r="R75" i="118"/>
  <c r="AB210" i="51"/>
  <c r="AB203" i="51" s="1"/>
  <c r="C168" i="51"/>
  <c r="B55" i="118"/>
  <c r="AE111" i="3"/>
  <c r="AE112" i="3" s="1"/>
  <c r="AE161" i="3"/>
  <c r="AE170" i="3"/>
  <c r="E167" i="51"/>
  <c r="E160" i="51"/>
  <c r="BE70" i="118"/>
  <c r="BE81" i="118" s="1"/>
  <c r="BA50" i="118"/>
  <c r="AQ5" i="118"/>
  <c r="AQ69" i="118"/>
  <c r="BR188" i="51"/>
  <c r="BU33" i="51"/>
  <c r="BE80" i="51"/>
  <c r="BW149" i="51"/>
  <c r="BW154" i="51" s="1"/>
  <c r="BA71" i="118"/>
  <c r="AW51" i="118"/>
  <c r="BC71" i="118"/>
  <c r="BC83" i="118" s="1"/>
  <c r="AY51" i="118"/>
  <c r="BB53" i="118"/>
  <c r="BN164" i="51"/>
  <c r="AS55" i="118"/>
  <c r="BH63" i="106"/>
  <c r="AM180" i="3"/>
  <c r="Q35" i="3"/>
  <c r="Q64" i="106"/>
  <c r="Q62" i="106"/>
  <c r="BG80" i="51"/>
  <c r="BG156" i="51" s="1"/>
  <c r="BH80" i="51"/>
  <c r="BH156" i="51" s="1"/>
  <c r="BA155" i="51"/>
  <c r="AF55" i="118"/>
  <c r="AU69" i="118"/>
  <c r="BE167" i="51"/>
  <c r="AP75" i="118"/>
  <c r="AL55" i="118"/>
  <c r="AP65" i="118" s="1"/>
  <c r="BE165" i="3"/>
  <c r="BB82" i="118"/>
  <c r="BB40" i="118" s="1"/>
  <c r="K180" i="3"/>
  <c r="AS85" i="118"/>
  <c r="AT86" i="118" s="1"/>
  <c r="AT42" i="118" s="1"/>
  <c r="Y107" i="3"/>
  <c r="BG63" i="29"/>
  <c r="BG35" i="29"/>
  <c r="BH35" i="29" s="1"/>
  <c r="BF63" i="29"/>
  <c r="AP5" i="118"/>
  <c r="AP69" i="118"/>
  <c r="AX5" i="118"/>
  <c r="AX69" i="118"/>
  <c r="AO23" i="118"/>
  <c r="AS23" i="118"/>
  <c r="BA73" i="107"/>
  <c r="AA38" i="3"/>
  <c r="AZ146" i="3"/>
  <c r="AZ145" i="3" s="1"/>
  <c r="AZ152" i="3" s="1"/>
  <c r="BA146" i="3"/>
  <c r="BA145" i="3" s="1"/>
  <c r="BA152" i="3" s="1"/>
  <c r="BB146" i="3"/>
  <c r="BB145" i="3" s="1"/>
  <c r="BB152" i="3" s="1"/>
  <c r="AY146" i="3"/>
  <c r="AY145" i="3" s="1"/>
  <c r="AY152" i="3" s="1"/>
  <c r="AE55" i="118"/>
  <c r="BC85" i="118"/>
  <c r="BO170" i="3"/>
  <c r="T79" i="118"/>
  <c r="BH165" i="3"/>
  <c r="L74" i="106"/>
  <c r="L76" i="106"/>
  <c r="L75" i="106"/>
  <c r="T21" i="118"/>
  <c r="H55" i="118"/>
  <c r="AJ63" i="106"/>
  <c r="AC179" i="3"/>
  <c r="AC63" i="106"/>
  <c r="AM50" i="3"/>
  <c r="AG63" i="106"/>
  <c r="AZ32" i="118"/>
  <c r="BD32" i="118"/>
  <c r="AW28" i="118"/>
  <c r="AS28" i="118"/>
  <c r="AS22" i="118"/>
  <c r="AW22" i="118"/>
  <c r="AT9" i="118"/>
  <c r="AT63" i="118" s="1"/>
  <c r="AT73" i="118"/>
  <c r="AC37" i="3"/>
  <c r="BC52" i="118"/>
  <c r="BW80" i="51"/>
  <c r="BC144" i="3"/>
  <c r="BC161" i="3"/>
  <c r="BC151" i="3"/>
  <c r="BK63" i="106"/>
  <c r="BQ37" i="3"/>
  <c r="F63" i="106"/>
  <c r="AM5" i="118"/>
  <c r="AM69" i="118"/>
  <c r="BX82" i="51"/>
  <c r="G161" i="3"/>
  <c r="G170" i="3"/>
  <c r="AS115" i="51"/>
  <c r="Q21" i="3"/>
  <c r="Q151" i="106" s="1"/>
  <c r="Q152" i="106" s="1"/>
  <c r="Q153" i="106" s="1"/>
  <c r="O180" i="3"/>
  <c r="AB180" i="3"/>
  <c r="BI34" i="3"/>
  <c r="P23" i="3"/>
  <c r="P39" i="3" s="1"/>
  <c r="BA180" i="3"/>
  <c r="BD8" i="118"/>
  <c r="BD24" i="118" s="1"/>
  <c r="AI168" i="51"/>
  <c r="AB75" i="118"/>
  <c r="X55" i="118"/>
  <c r="AB65" i="118" s="1"/>
  <c r="BM158" i="51"/>
  <c r="AN55" i="118"/>
  <c r="BG165" i="3"/>
  <c r="BM52" i="3"/>
  <c r="AU37" i="3"/>
  <c r="AU63" i="106"/>
  <c r="BZ77" i="106"/>
  <c r="BY77" i="106"/>
  <c r="BK179" i="3"/>
  <c r="BK20" i="3"/>
  <c r="BK38" i="3" s="1"/>
  <c r="AV134" i="3"/>
  <c r="AV135" i="3" s="1"/>
  <c r="BE36" i="3"/>
  <c r="M13" i="3"/>
  <c r="M36" i="3" s="1"/>
  <c r="M180" i="3" s="1"/>
  <c r="L63" i="106"/>
  <c r="AW174" i="3"/>
  <c r="Q75" i="106"/>
  <c r="Q74" i="106"/>
  <c r="Q76" i="106"/>
  <c r="AK134" i="3"/>
  <c r="AK135" i="3" s="1"/>
  <c r="G13" i="3"/>
  <c r="G179" i="3" s="1"/>
  <c r="CC181" i="51"/>
  <c r="BB49" i="118"/>
  <c r="Y111" i="3"/>
  <c r="Y112" i="3" s="1"/>
  <c r="Y161" i="3"/>
  <c r="Y170" i="3"/>
  <c r="E176" i="51"/>
  <c r="K158" i="51"/>
  <c r="BO60" i="51"/>
  <c r="BO63" i="51" s="1"/>
  <c r="E168" i="51"/>
  <c r="AS5" i="118"/>
  <c r="AS69" i="118"/>
  <c r="AV33" i="51"/>
  <c r="AG59" i="118" s="1"/>
  <c r="BO270" i="51"/>
  <c r="BN80" i="51"/>
  <c r="BN156" i="51" s="1"/>
  <c r="Q69" i="118"/>
  <c r="BW29" i="51"/>
  <c r="AV51" i="118"/>
  <c r="AZ71" i="118"/>
  <c r="AZ83" i="118" s="1"/>
  <c r="AZ84" i="118" s="1"/>
  <c r="CD50" i="51"/>
  <c r="CJ50" i="51" s="1"/>
  <c r="V180" i="3"/>
  <c r="BM62" i="106"/>
  <c r="BM64" i="106"/>
  <c r="BO13" i="3"/>
  <c r="BO98" i="107"/>
  <c r="BO99" i="107" s="1"/>
  <c r="BO101" i="107" s="1"/>
  <c r="BO89" i="106"/>
  <c r="BI22" i="3"/>
  <c r="X63" i="106"/>
  <c r="BN57" i="29"/>
  <c r="Y48" i="3"/>
  <c r="BL168" i="3"/>
  <c r="AL22" i="118"/>
  <c r="AP22" i="118"/>
  <c r="BM80" i="51"/>
  <c r="G77" i="106"/>
  <c r="BT20" i="29"/>
  <c r="BV20" i="29" s="1"/>
  <c r="BT28" i="106"/>
  <c r="AA180" i="3"/>
  <c r="BG146" i="3"/>
  <c r="BG145" i="3" s="1"/>
  <c r="BG152" i="3" s="1"/>
  <c r="BE146" i="3"/>
  <c r="BE145" i="3" s="1"/>
  <c r="BE152" i="3" s="1"/>
  <c r="BH146" i="3"/>
  <c r="BH145" i="3" s="1"/>
  <c r="BH152" i="3" s="1"/>
  <c r="BF146" i="3"/>
  <c r="BF145" i="3" s="1"/>
  <c r="BF152" i="3" s="1"/>
  <c r="AW81" i="118"/>
  <c r="AS81" i="118"/>
  <c r="AT82" i="118" s="1"/>
  <c r="AT40" i="118" s="1"/>
  <c r="AS24" i="118"/>
  <c r="AZ33" i="51"/>
  <c r="AI59" i="118" s="1"/>
  <c r="R63" i="106"/>
  <c r="R36" i="3"/>
  <c r="R12" i="3"/>
  <c r="R134" i="3"/>
  <c r="R135" i="3" s="1"/>
  <c r="R179" i="3"/>
  <c r="R20" i="3"/>
  <c r="AK46" i="3"/>
  <c r="BK171" i="3"/>
  <c r="AO46" i="3"/>
  <c r="O157" i="51"/>
  <c r="BX77" i="106"/>
  <c r="AW90" i="118"/>
  <c r="AW44" i="118" s="1"/>
  <c r="AG52" i="107"/>
  <c r="AE54" i="107"/>
  <c r="X52" i="107"/>
  <c r="X53" i="107" s="1"/>
  <c r="X54" i="107" s="1"/>
  <c r="W54" i="107"/>
  <c r="CF87" i="107"/>
  <c r="CE86" i="107"/>
  <c r="CE88" i="107"/>
  <c r="AA54" i="107"/>
  <c r="AB52" i="107"/>
  <c r="AB53" i="107" s="1"/>
  <c r="AM130" i="106"/>
  <c r="AK134" i="106"/>
  <c r="AE124" i="106"/>
  <c r="AE126" i="106"/>
  <c r="CJ29" i="106"/>
  <c r="CJ41" i="107" s="1"/>
  <c r="CL39" i="106"/>
  <c r="BF64" i="29"/>
  <c r="AN64" i="29"/>
  <c r="CF42" i="29"/>
  <c r="BX42" i="29"/>
  <c r="BX55" i="29" s="1"/>
  <c r="BY42" i="29"/>
  <c r="BY55" i="29" s="1"/>
  <c r="BV42" i="29"/>
  <c r="BV55" i="29" s="1"/>
  <c r="BW42" i="29"/>
  <c r="BW55" i="29" s="1"/>
  <c r="AW189" i="51"/>
  <c r="BE170" i="51"/>
  <c r="BE164" i="51"/>
  <c r="AU176" i="51"/>
  <c r="AU172" i="51"/>
  <c r="BH158" i="51"/>
  <c r="BB170" i="51"/>
  <c r="BE168" i="51"/>
  <c r="CI30" i="51"/>
  <c r="BR187" i="51"/>
  <c r="BE165" i="51"/>
  <c r="BE160" i="51"/>
  <c r="AU171" i="51"/>
  <c r="AU170" i="51"/>
  <c r="BB167" i="51"/>
  <c r="BB155" i="51"/>
  <c r="AO176" i="51"/>
  <c r="AO165" i="51"/>
  <c r="AO204" i="51"/>
  <c r="AO164" i="51"/>
  <c r="AO175" i="51"/>
  <c r="AO172" i="51"/>
  <c r="AO174" i="51"/>
  <c r="AO166" i="51"/>
  <c r="AO171" i="51"/>
  <c r="AO170" i="51"/>
  <c r="AO160" i="51"/>
  <c r="AO167" i="51"/>
  <c r="AO169" i="51"/>
  <c r="V164" i="51"/>
  <c r="BE204" i="51"/>
  <c r="BE203" i="51" s="1"/>
  <c r="BE88" i="51"/>
  <c r="AU166" i="51"/>
  <c r="AU160" i="51"/>
  <c r="BB160" i="51"/>
  <c r="BB164" i="51"/>
  <c r="R168" i="51"/>
  <c r="AU165" i="51"/>
  <c r="AU155" i="51"/>
  <c r="AO168" i="51"/>
  <c r="CE75" i="3"/>
  <c r="AC36" i="3"/>
  <c r="CC75" i="3"/>
  <c r="AC20" i="3"/>
  <c r="AC38" i="3" s="1"/>
  <c r="AI37" i="3"/>
  <c r="BA37" i="3"/>
  <c r="CD75" i="3"/>
  <c r="AC12" i="3"/>
  <c r="Y33" i="3"/>
  <c r="AI50" i="3"/>
  <c r="BA50" i="3"/>
  <c r="AH179" i="3"/>
  <c r="AN50" i="3"/>
  <c r="AN37" i="3"/>
  <c r="AH36" i="3"/>
  <c r="AH134" i="3"/>
  <c r="AH135" i="3" s="1"/>
  <c r="AH20" i="3"/>
  <c r="AH12" i="3"/>
  <c r="AC134" i="3"/>
  <c r="AC135" i="3" s="1"/>
  <c r="AE48" i="3"/>
  <c r="BT74" i="3"/>
  <c r="BE64" i="29"/>
  <c r="AT15" i="29"/>
  <c r="AT62" i="29" s="1"/>
  <c r="BG58" i="29"/>
  <c r="BH58" i="29" s="1"/>
  <c r="BG30" i="29"/>
  <c r="BH30" i="29" s="1"/>
  <c r="BB58" i="29"/>
  <c r="CJ45" i="29"/>
  <c r="CH45" i="29"/>
  <c r="CK45" i="29"/>
  <c r="CI45" i="29"/>
  <c r="BP19" i="29"/>
  <c r="BP21" i="29" s="1"/>
  <c r="BP22" i="29" s="1"/>
  <c r="BW47" i="29"/>
  <c r="BW60" i="29" s="1"/>
  <c r="BY47" i="29"/>
  <c r="BY60" i="29" s="1"/>
  <c r="BX47" i="29"/>
  <c r="BX60" i="29" s="1"/>
  <c r="CF47" i="29"/>
  <c r="BV47" i="29"/>
  <c r="BV60" i="29" s="1"/>
  <c r="BG57" i="29"/>
  <c r="BH57" i="29" s="1"/>
  <c r="BG29" i="29"/>
  <c r="BH29" i="29" s="1"/>
  <c r="AU55" i="29"/>
  <c r="AV55" i="29" s="1"/>
  <c r="AU27" i="29"/>
  <c r="AV27" i="29" s="1"/>
  <c r="BG62" i="29"/>
  <c r="BH62" i="29" s="1"/>
  <c r="BG34" i="29"/>
  <c r="BH34" i="29" s="1"/>
  <c r="BG55" i="29"/>
  <c r="BH55" i="29" s="1"/>
  <c r="BG27" i="29"/>
  <c r="BH27" i="29" s="1"/>
  <c r="BG60" i="29"/>
  <c r="BH60" i="29" s="1"/>
  <c r="BG32" i="29"/>
  <c r="BH32" i="29" s="1"/>
  <c r="AV54" i="29"/>
  <c r="BH53" i="29"/>
  <c r="BG26" i="29"/>
  <c r="BH26" i="29" s="1"/>
  <c r="BG54" i="29"/>
  <c r="BH54" i="29" s="1"/>
  <c r="BF18" i="29"/>
  <c r="BF19" i="29" s="1"/>
  <c r="BF21" i="29" s="1"/>
  <c r="BF22" i="29" s="1"/>
  <c r="BQ208" i="51"/>
  <c r="BK211" i="51"/>
  <c r="X158" i="51"/>
  <c r="BX28" i="51"/>
  <c r="BU43" i="51"/>
  <c r="BS208" i="51"/>
  <c r="BM211" i="51"/>
  <c r="BU50" i="51"/>
  <c r="CA54" i="51" s="1"/>
  <c r="BY50" i="51"/>
  <c r="BR211" i="51"/>
  <c r="BX208" i="51"/>
  <c r="BX32" i="51"/>
  <c r="CE21" i="51"/>
  <c r="AP31" i="51"/>
  <c r="AM205" i="51"/>
  <c r="AM203" i="51"/>
  <c r="O35" i="3"/>
  <c r="O51" i="3"/>
  <c r="BO49" i="3"/>
  <c r="X12" i="3"/>
  <c r="X50" i="3"/>
  <c r="X20" i="3"/>
  <c r="X36" i="3"/>
  <c r="X134" i="3"/>
  <c r="X135" i="3" s="1"/>
  <c r="X179" i="3"/>
  <c r="AD50" i="3"/>
  <c r="X37" i="3"/>
  <c r="AD37" i="3"/>
  <c r="BO128" i="3"/>
  <c r="BO129" i="3" s="1"/>
  <c r="Q51" i="3"/>
  <c r="BO34" i="3"/>
  <c r="AG20" i="3"/>
  <c r="D192" i="3"/>
  <c r="AE13" i="3"/>
  <c r="AE150" i="106" s="1"/>
  <c r="AE120" i="3"/>
  <c r="AE121" i="3" s="1"/>
  <c r="AE33" i="3"/>
  <c r="AK48" i="3"/>
  <c r="CC167" i="3"/>
  <c r="BW166" i="3"/>
  <c r="BW131" i="3" s="1"/>
  <c r="AG12" i="3"/>
  <c r="AG36" i="3"/>
  <c r="AG50" i="3"/>
  <c r="AG37" i="3"/>
  <c r="AG179" i="3"/>
  <c r="AG134" i="3"/>
  <c r="AG135" i="3" s="1"/>
  <c r="BQ74" i="3"/>
  <c r="J181" i="3"/>
  <c r="BH50" i="3"/>
  <c r="BH36" i="3"/>
  <c r="BH134" i="3"/>
  <c r="BH135" i="3" s="1"/>
  <c r="BH37" i="3"/>
  <c r="BH179" i="3"/>
  <c r="BH12" i="3"/>
  <c r="BH20" i="3"/>
  <c r="BW77" i="3"/>
  <c r="BX77" i="3"/>
  <c r="BY77" i="3"/>
  <c r="BZ77" i="3"/>
  <c r="CG77" i="3"/>
  <c r="AT12" i="3"/>
  <c r="AT37" i="3"/>
  <c r="AT36" i="3"/>
  <c r="AT134" i="3"/>
  <c r="AT135" i="3" s="1"/>
  <c r="AT179" i="3"/>
  <c r="AT50" i="3"/>
  <c r="AT20" i="3"/>
  <c r="AM37" i="3"/>
  <c r="CK75" i="3"/>
  <c r="CI75" i="3"/>
  <c r="CL75" i="3"/>
  <c r="CJ75" i="3"/>
  <c r="Q38" i="3"/>
  <c r="Q23" i="3"/>
  <c r="Q24" i="3" s="1"/>
  <c r="BM35" i="3"/>
  <c r="BM51" i="3"/>
  <c r="AU36" i="3"/>
  <c r="AU50" i="3"/>
  <c r="AU134" i="3"/>
  <c r="AU135" i="3" s="1"/>
  <c r="AU179" i="3"/>
  <c r="AU20" i="3"/>
  <c r="AU12" i="3"/>
  <c r="U35" i="3"/>
  <c r="U51" i="3"/>
  <c r="AA51" i="3"/>
  <c r="BI174" i="3"/>
  <c r="AJ37" i="3"/>
  <c r="AP37" i="3"/>
  <c r="AJ12" i="3"/>
  <c r="AP50" i="3"/>
  <c r="AJ36" i="3"/>
  <c r="AJ50" i="3"/>
  <c r="AJ134" i="3"/>
  <c r="AJ135" i="3" s="1"/>
  <c r="AJ179" i="3"/>
  <c r="AJ20" i="3"/>
  <c r="BP64" i="29"/>
  <c r="BS11" i="29"/>
  <c r="BT11" i="29" s="1"/>
  <c r="AZ14" i="29"/>
  <c r="AZ61" i="29" s="1"/>
  <c r="BW16" i="29"/>
  <c r="AT13" i="29"/>
  <c r="CJ14" i="29"/>
  <c r="CD46" i="29"/>
  <c r="CE46" i="29"/>
  <c r="CL46" i="29"/>
  <c r="CC46" i="29"/>
  <c r="AU28" i="29"/>
  <c r="AV28" i="29" s="1"/>
  <c r="AU56" i="29"/>
  <c r="AV56" i="29" s="1"/>
  <c r="BJ64" i="29"/>
  <c r="AT16" i="29"/>
  <c r="BT61" i="29"/>
  <c r="AT11" i="29"/>
  <c r="AT58" i="29" s="1"/>
  <c r="CL54" i="29"/>
  <c r="CH10" i="29"/>
  <c r="AT12" i="29"/>
  <c r="AT59" i="29" s="1"/>
  <c r="BL13" i="29"/>
  <c r="BL60" i="29" s="1"/>
  <c r="BW50" i="29"/>
  <c r="BY50" i="29"/>
  <c r="CF50" i="29"/>
  <c r="BX50" i="29"/>
  <c r="BV50" i="29"/>
  <c r="BV63" i="29" s="1"/>
  <c r="CE15" i="29"/>
  <c r="CF15" i="29" s="1"/>
  <c r="BY48" i="29"/>
  <c r="BY61" i="29" s="1"/>
  <c r="CF48" i="29"/>
  <c r="BW48" i="29"/>
  <c r="BW61" i="29" s="1"/>
  <c r="BX48" i="29"/>
  <c r="BX61" i="29" s="1"/>
  <c r="BV48" i="29"/>
  <c r="BV61" i="29" s="1"/>
  <c r="BM30" i="29"/>
  <c r="BN30" i="29" s="1"/>
  <c r="BM58" i="29"/>
  <c r="BN58" i="29" s="1"/>
  <c r="CF40" i="29"/>
  <c r="BV40" i="29"/>
  <c r="BV53" i="29" s="1"/>
  <c r="BW40" i="29"/>
  <c r="BW53" i="29" s="1"/>
  <c r="BX40" i="29"/>
  <c r="BX53" i="29" s="1"/>
  <c r="BY40" i="29"/>
  <c r="BK60" i="29"/>
  <c r="BY6" i="29"/>
  <c r="AS18" i="29"/>
  <c r="AS19" i="29" s="1"/>
  <c r="AS21" i="29" s="1"/>
  <c r="AO54" i="29"/>
  <c r="AO26" i="29"/>
  <c r="AN18" i="29"/>
  <c r="AN19" i="29" s="1"/>
  <c r="AN21" i="29" s="1"/>
  <c r="BL7" i="29"/>
  <c r="BL54" i="29" s="1"/>
  <c r="BK18" i="29"/>
  <c r="BK19" i="29" s="1"/>
  <c r="BK21" i="29" s="1"/>
  <c r="BK22" i="29" s="1"/>
  <c r="AZ6" i="29"/>
  <c r="AY18" i="29"/>
  <c r="AY19" i="29" s="1"/>
  <c r="AY21" i="29" s="1"/>
  <c r="BQ64" i="29"/>
  <c r="BL9" i="29"/>
  <c r="BL56" i="29" s="1"/>
  <c r="AU25" i="29"/>
  <c r="AU53" i="29"/>
  <c r="BS9" i="29"/>
  <c r="BS56" i="29" s="1"/>
  <c r="BT56" i="29" s="1"/>
  <c r="BW12" i="29"/>
  <c r="BW59" i="29" s="1"/>
  <c r="AO60" i="29"/>
  <c r="AP60" i="29" s="1"/>
  <c r="AO32" i="29"/>
  <c r="AP32" i="29" s="1"/>
  <c r="AZ8" i="29"/>
  <c r="AZ55" i="29" s="1"/>
  <c r="CI13" i="29"/>
  <c r="BH56" i="29"/>
  <c r="AM64" i="29"/>
  <c r="BZ57" i="29"/>
  <c r="AY53" i="29"/>
  <c r="AR64" i="29"/>
  <c r="BV49" i="29"/>
  <c r="BV62" i="29" s="1"/>
  <c r="BY49" i="29"/>
  <c r="BY62" i="29" s="1"/>
  <c r="BW49" i="29"/>
  <c r="BW62" i="29" s="1"/>
  <c r="CF49" i="29"/>
  <c r="BX49" i="29"/>
  <c r="BX62" i="29" s="1"/>
  <c r="AY61" i="29"/>
  <c r="AS60" i="29"/>
  <c r="AS64" i="29" s="1"/>
  <c r="BL15" i="29"/>
  <c r="BL62" i="29" s="1"/>
  <c r="BR58" i="29"/>
  <c r="CD44" i="29"/>
  <c r="CD57" i="29" s="1"/>
  <c r="CC44" i="29"/>
  <c r="CC57" i="29" s="1"/>
  <c r="CE44" i="29"/>
  <c r="CE57" i="29" s="1"/>
  <c r="CB44" i="29"/>
  <c r="CB57" i="29" s="1"/>
  <c r="CL44" i="29"/>
  <c r="AX64" i="29"/>
  <c r="BQ21" i="29"/>
  <c r="BR6" i="29"/>
  <c r="CL43" i="29"/>
  <c r="CE43" i="29"/>
  <c r="CC43" i="29"/>
  <c r="CD43" i="29"/>
  <c r="CB43" i="29"/>
  <c r="BT62" i="29"/>
  <c r="BT63" i="29"/>
  <c r="K155" i="51"/>
  <c r="Q158" i="51"/>
  <c r="K166" i="51"/>
  <c r="K171" i="51"/>
  <c r="K165" i="51"/>
  <c r="K170" i="51"/>
  <c r="Q157" i="51"/>
  <c r="K160" i="51"/>
  <c r="K172" i="51"/>
  <c r="K174" i="51"/>
  <c r="K169" i="51"/>
  <c r="K167" i="51"/>
  <c r="K204" i="51"/>
  <c r="K175" i="51"/>
  <c r="K164" i="51"/>
  <c r="K176" i="51"/>
  <c r="CD43" i="51"/>
  <c r="G154" i="51"/>
  <c r="Q160" i="51"/>
  <c r="Q165" i="51"/>
  <c r="Q155" i="51"/>
  <c r="Q170" i="51"/>
  <c r="Q167" i="51"/>
  <c r="Q169" i="51"/>
  <c r="Q166" i="51"/>
  <c r="Q174" i="51"/>
  <c r="Q176" i="51"/>
  <c r="W158" i="51"/>
  <c r="Q171" i="51"/>
  <c r="Q175" i="51"/>
  <c r="Q204" i="51"/>
  <c r="Q168" i="51"/>
  <c r="Q164" i="51"/>
  <c r="R146" i="51"/>
  <c r="CJ86" i="51"/>
  <c r="CD151" i="51"/>
  <c r="BY14" i="51"/>
  <c r="L33" i="51"/>
  <c r="I59" i="118" s="1"/>
  <c r="L31" i="51"/>
  <c r="Q172" i="51"/>
  <c r="BG88" i="51"/>
  <c r="BG155" i="51"/>
  <c r="BG160" i="51"/>
  <c r="BG166" i="51"/>
  <c r="BG170" i="51"/>
  <c r="BG171" i="51"/>
  <c r="BG165" i="51"/>
  <c r="BG172" i="51"/>
  <c r="BG204" i="51"/>
  <c r="BG168" i="51"/>
  <c r="BG169" i="51"/>
  <c r="BG167" i="51"/>
  <c r="CC150" i="51"/>
  <c r="CC79" i="51"/>
  <c r="CC189" i="51"/>
  <c r="U160" i="51"/>
  <c r="U166" i="51"/>
  <c r="U155" i="51"/>
  <c r="U170" i="51"/>
  <c r="U167" i="51"/>
  <c r="U175" i="51"/>
  <c r="U169" i="51"/>
  <c r="U176" i="51"/>
  <c r="U204" i="51"/>
  <c r="U171" i="51"/>
  <c r="U174" i="51"/>
  <c r="U165" i="51"/>
  <c r="U168" i="51"/>
  <c r="U164" i="51"/>
  <c r="CI28" i="51"/>
  <c r="AA205" i="51"/>
  <c r="AK154" i="51"/>
  <c r="U210" i="51"/>
  <c r="S210" i="51"/>
  <c r="V210" i="51"/>
  <c r="W210" i="51"/>
  <c r="X210" i="51"/>
  <c r="X203" i="51" s="1"/>
  <c r="AJ117" i="51"/>
  <c r="CF7" i="51"/>
  <c r="CD36" i="51"/>
  <c r="BX78" i="51"/>
  <c r="K168" i="51"/>
  <c r="F205" i="51"/>
  <c r="X205" i="51"/>
  <c r="AW153" i="51"/>
  <c r="AW142" i="51"/>
  <c r="AW144" i="51" s="1"/>
  <c r="J168" i="51"/>
  <c r="BI154" i="51"/>
  <c r="R155" i="51"/>
  <c r="R165" i="51"/>
  <c r="R160" i="51"/>
  <c r="R170" i="51"/>
  <c r="R164" i="51"/>
  <c r="R169" i="51"/>
  <c r="R166" i="51"/>
  <c r="R174" i="51"/>
  <c r="R171" i="51"/>
  <c r="R175" i="51"/>
  <c r="R176" i="51"/>
  <c r="R167" i="51"/>
  <c r="R204" i="51"/>
  <c r="R172" i="51"/>
  <c r="AP117" i="51"/>
  <c r="AP115" i="51"/>
  <c r="I157" i="51"/>
  <c r="C165" i="51"/>
  <c r="C170" i="51"/>
  <c r="C172" i="51"/>
  <c r="C160" i="51"/>
  <c r="I158" i="51"/>
  <c r="C169" i="51"/>
  <c r="C174" i="51"/>
  <c r="C176" i="51"/>
  <c r="C167" i="51"/>
  <c r="C166" i="51"/>
  <c r="C171" i="51"/>
  <c r="C175" i="51"/>
  <c r="C164" i="51"/>
  <c r="C204" i="51"/>
  <c r="I155" i="51"/>
  <c r="AE154" i="51"/>
  <c r="BH160" i="51"/>
  <c r="BH169" i="51"/>
  <c r="BH88" i="51"/>
  <c r="BN158" i="51"/>
  <c r="BH165" i="51"/>
  <c r="BH166" i="51"/>
  <c r="BH155" i="51"/>
  <c r="BH167" i="51"/>
  <c r="BH172" i="51"/>
  <c r="BH171" i="51"/>
  <c r="BH170" i="51"/>
  <c r="BH204" i="51"/>
  <c r="BH164" i="51"/>
  <c r="BZ209" i="51"/>
  <c r="BT211" i="51"/>
  <c r="AJ144" i="51"/>
  <c r="CF15" i="51"/>
  <c r="CF19" i="51"/>
  <c r="BO154" i="51"/>
  <c r="S154" i="51"/>
  <c r="U172" i="51"/>
  <c r="BI33" i="51"/>
  <c r="X146" i="51"/>
  <c r="BX30" i="51"/>
  <c r="CI78" i="51"/>
  <c r="Y154" i="51"/>
  <c r="BY36" i="51"/>
  <c r="CL19" i="51"/>
  <c r="CL15" i="51"/>
  <c r="J155" i="51"/>
  <c r="J171" i="51"/>
  <c r="J160" i="51"/>
  <c r="J167" i="51"/>
  <c r="J172" i="51"/>
  <c r="J174" i="51"/>
  <c r="J169" i="51"/>
  <c r="J166" i="51"/>
  <c r="J176" i="51"/>
  <c r="J175" i="51"/>
  <c r="P158" i="51"/>
  <c r="J204" i="51"/>
  <c r="J170" i="51"/>
  <c r="J165" i="51"/>
  <c r="BZ14" i="51"/>
  <c r="P157" i="51"/>
  <c r="CC29" i="51"/>
  <c r="CC149" i="51"/>
  <c r="AD117" i="51"/>
  <c r="AD115" i="51"/>
  <c r="AB155" i="51"/>
  <c r="R158" i="51"/>
  <c r="L117" i="51"/>
  <c r="W155" i="51"/>
  <c r="BY43" i="51"/>
  <c r="AW152" i="51"/>
  <c r="AW111" i="3" s="1"/>
  <c r="AW112" i="3" s="1"/>
  <c r="AW113" i="51"/>
  <c r="AW115" i="51" s="1"/>
  <c r="AW188" i="51"/>
  <c r="AW191" i="51"/>
  <c r="CI82" i="51"/>
  <c r="CJ7" i="51"/>
  <c r="CJ21" i="51"/>
  <c r="AI155" i="51"/>
  <c r="AI170" i="51"/>
  <c r="AI164" i="51"/>
  <c r="AI166" i="51"/>
  <c r="AI169" i="51"/>
  <c r="AI167" i="51"/>
  <c r="AI175" i="51"/>
  <c r="AI165" i="51"/>
  <c r="AI160" i="51"/>
  <c r="AI204" i="51"/>
  <c r="AI171" i="51"/>
  <c r="AI176" i="51"/>
  <c r="AI174" i="51"/>
  <c r="AO155" i="51"/>
  <c r="BU14" i="51"/>
  <c r="AG203" i="51"/>
  <c r="CC180" i="51"/>
  <c r="AI172" i="51"/>
  <c r="AV117" i="51"/>
  <c r="AV115" i="51"/>
  <c r="BI270" i="51"/>
  <c r="BI196" i="51"/>
  <c r="CC182" i="51"/>
  <c r="CL208" i="51"/>
  <c r="CI81" i="51"/>
  <c r="BN155" i="51"/>
  <c r="BN168" i="51"/>
  <c r="BN88" i="51"/>
  <c r="BN160" i="51"/>
  <c r="BN171" i="51"/>
  <c r="BN166" i="51"/>
  <c r="BN172" i="51"/>
  <c r="BN167" i="51"/>
  <c r="BN204" i="51"/>
  <c r="BN165" i="51"/>
  <c r="BN170" i="51"/>
  <c r="BN169" i="51"/>
  <c r="L160" i="51"/>
  <c r="L165" i="51"/>
  <c r="L164" i="51"/>
  <c r="L169" i="51"/>
  <c r="L166" i="51"/>
  <c r="L155" i="51"/>
  <c r="L171" i="51"/>
  <c r="L172" i="51"/>
  <c r="L174" i="51"/>
  <c r="L170" i="51"/>
  <c r="L176" i="51"/>
  <c r="L167" i="51"/>
  <c r="L175" i="51"/>
  <c r="L204" i="51"/>
  <c r="V155" i="51"/>
  <c r="V169" i="51"/>
  <c r="V166" i="51"/>
  <c r="V171" i="51"/>
  <c r="V165" i="51"/>
  <c r="V160" i="51"/>
  <c r="V176" i="51"/>
  <c r="V167" i="51"/>
  <c r="V170" i="51"/>
  <c r="V168" i="51"/>
  <c r="V204" i="51"/>
  <c r="V175" i="51"/>
  <c r="V174" i="51"/>
  <c r="X117" i="51"/>
  <c r="X115" i="51"/>
  <c r="M154" i="51"/>
  <c r="BZ43" i="51"/>
  <c r="CC187" i="51"/>
  <c r="AQ154" i="51"/>
  <c r="R33" i="51"/>
  <c r="M59" i="118" s="1"/>
  <c r="R31" i="51"/>
  <c r="CI32" i="51"/>
  <c r="AD146" i="51"/>
  <c r="AD144" i="51"/>
  <c r="BT37" i="51"/>
  <c r="BT36" i="51" s="1"/>
  <c r="BT81" i="51"/>
  <c r="AA155" i="51"/>
  <c r="AB205" i="51"/>
  <c r="AJ115" i="51"/>
  <c r="BN196" i="51"/>
  <c r="BK196" i="51"/>
  <c r="BM196" i="51"/>
  <c r="BL196" i="51"/>
  <c r="BO193" i="51"/>
  <c r="CF26" i="51"/>
  <c r="CF22" i="51"/>
  <c r="CK86" i="51"/>
  <c r="CE151" i="51"/>
  <c r="J164" i="51"/>
  <c r="BR189" i="51"/>
  <c r="L168" i="51"/>
  <c r="CC209" i="51"/>
  <c r="BR182" i="51"/>
  <c r="BR180" i="51"/>
  <c r="R117" i="51"/>
  <c r="AS154" i="51"/>
  <c r="R144" i="51"/>
  <c r="BM88" i="51"/>
  <c r="BM165" i="51"/>
  <c r="BM155" i="51"/>
  <c r="BM160" i="51"/>
  <c r="BM166" i="51"/>
  <c r="BM170" i="51"/>
  <c r="BM171" i="51"/>
  <c r="BM172" i="51"/>
  <c r="BM169" i="51"/>
  <c r="BM204" i="51"/>
  <c r="BM167" i="51"/>
  <c r="BM168" i="51"/>
  <c r="AH167" i="51"/>
  <c r="AH169" i="51"/>
  <c r="AH171" i="51"/>
  <c r="AH172" i="51"/>
  <c r="AH175" i="51"/>
  <c r="AH160" i="51"/>
  <c r="AH168" i="51"/>
  <c r="AH174" i="51"/>
  <c r="AH166" i="51"/>
  <c r="AH176" i="51"/>
  <c r="AH155" i="51"/>
  <c r="AH165" i="51"/>
  <c r="AH204" i="51"/>
  <c r="AH170" i="51"/>
  <c r="AD33" i="51"/>
  <c r="U59" i="118" s="1"/>
  <c r="CD14" i="51"/>
  <c r="P205" i="51"/>
  <c r="W157" i="51"/>
  <c r="AQ167" i="3"/>
  <c r="AQ131" i="3"/>
  <c r="AQ174" i="3"/>
  <c r="E192" i="3"/>
  <c r="BH176" i="3"/>
  <c r="BH175" i="3"/>
  <c r="AB21" i="3"/>
  <c r="AB151" i="106" s="1"/>
  <c r="AB152" i="106" s="1"/>
  <c r="AB153" i="106" s="1"/>
  <c r="AB23" i="3"/>
  <c r="AB38" i="3"/>
  <c r="BO22" i="3"/>
  <c r="AW13" i="3"/>
  <c r="AW150" i="106" s="1"/>
  <c r="AW48" i="3"/>
  <c r="AW120" i="3"/>
  <c r="AW121" i="3" s="1"/>
  <c r="AW33" i="3"/>
  <c r="J7" i="3"/>
  <c r="K7" i="3"/>
  <c r="BG51" i="3"/>
  <c r="BA35" i="3"/>
  <c r="K51" i="3"/>
  <c r="BY76" i="3"/>
  <c r="BY74" i="3" s="1"/>
  <c r="BX76" i="3"/>
  <c r="CA74" i="3"/>
  <c r="BW76" i="3"/>
  <c r="BZ76" i="3"/>
  <c r="CG76" i="3"/>
  <c r="AI38" i="3"/>
  <c r="AI21" i="3"/>
  <c r="AI151" i="106" s="1"/>
  <c r="AI23" i="3"/>
  <c r="BF35" i="3"/>
  <c r="BL51" i="3"/>
  <c r="AZ12" i="3"/>
  <c r="AZ37" i="3"/>
  <c r="AZ50" i="3"/>
  <c r="AZ20" i="3"/>
  <c r="AZ36" i="3"/>
  <c r="AZ94" i="3"/>
  <c r="AZ176" i="3"/>
  <c r="AZ179" i="3"/>
  <c r="AZ134" i="3"/>
  <c r="AZ135" i="3" s="1"/>
  <c r="K29" i="3"/>
  <c r="K39" i="3"/>
  <c r="K93" i="3"/>
  <c r="CF129" i="3"/>
  <c r="AW34" i="3"/>
  <c r="AW49" i="3"/>
  <c r="BC49" i="3"/>
  <c r="AW128" i="3"/>
  <c r="AW129" i="3" s="1"/>
  <c r="CJ129" i="3"/>
  <c r="AB35" i="3"/>
  <c r="AB51" i="3"/>
  <c r="AY35" i="3"/>
  <c r="AY51" i="3"/>
  <c r="CK129" i="3"/>
  <c r="BF50" i="3"/>
  <c r="BN23" i="3"/>
  <c r="BN38" i="3"/>
  <c r="BN21" i="3"/>
  <c r="BN151" i="106" s="1"/>
  <c r="BN152" i="106" s="1"/>
  <c r="BN153" i="106" s="1"/>
  <c r="F12" i="3"/>
  <c r="F20" i="3"/>
  <c r="F36" i="3"/>
  <c r="F180" i="3" s="1"/>
  <c r="F179" i="3"/>
  <c r="F134" i="3"/>
  <c r="F135" i="3" s="1"/>
  <c r="AY23" i="3"/>
  <c r="AY38" i="3"/>
  <c r="AY21" i="3"/>
  <c r="AY151" i="106" s="1"/>
  <c r="AY152" i="106" s="1"/>
  <c r="AY153" i="106" s="1"/>
  <c r="BF23" i="3"/>
  <c r="BF38" i="3"/>
  <c r="BF21" i="3"/>
  <c r="BF151" i="106" s="1"/>
  <c r="BF152" i="106" s="1"/>
  <c r="BF153" i="106" s="1"/>
  <c r="S12" i="3"/>
  <c r="S20" i="3"/>
  <c r="S36" i="3"/>
  <c r="S180" i="3" s="1"/>
  <c r="S134" i="3"/>
  <c r="S135" i="3" s="1"/>
  <c r="S179" i="3"/>
  <c r="Y173" i="3"/>
  <c r="AE172" i="3"/>
  <c r="BC13" i="3"/>
  <c r="BC150" i="106" s="1"/>
  <c r="BC48" i="3"/>
  <c r="BC33" i="3"/>
  <c r="BI48" i="3"/>
  <c r="BC120" i="3"/>
  <c r="BC121" i="3" s="1"/>
  <c r="BN176" i="3"/>
  <c r="BN35" i="3"/>
  <c r="BC118" i="3"/>
  <c r="L20" i="3"/>
  <c r="L36" i="3"/>
  <c r="L12" i="3"/>
  <c r="L37" i="3"/>
  <c r="L50" i="3"/>
  <c r="L134" i="3"/>
  <c r="L135" i="3" s="1"/>
  <c r="L179" i="3"/>
  <c r="R50" i="3"/>
  <c r="R37" i="3"/>
  <c r="E21" i="3"/>
  <c r="E151" i="106" s="1"/>
  <c r="E152" i="106" s="1"/>
  <c r="E153" i="106" s="1"/>
  <c r="E38" i="3"/>
  <c r="E23" i="3"/>
  <c r="BH171" i="3"/>
  <c r="BN171" i="3"/>
  <c r="AW116" i="3"/>
  <c r="AQ106" i="3"/>
  <c r="AQ107" i="3" s="1"/>
  <c r="BF37" i="3"/>
  <c r="BA38" i="3"/>
  <c r="BA23" i="3"/>
  <c r="AX21" i="118" l="1"/>
  <c r="AY196" i="51"/>
  <c r="K24" i="3"/>
  <c r="W29" i="3"/>
  <c r="K64" i="3"/>
  <c r="BM96" i="3"/>
  <c r="BW70" i="3"/>
  <c r="BW71" i="3" s="1"/>
  <c r="BW27" i="3" s="1"/>
  <c r="AS66" i="3"/>
  <c r="AS67" i="3" s="1"/>
  <c r="BR53" i="29"/>
  <c r="BR64" i="29" s="1"/>
  <c r="BR18" i="29"/>
  <c r="BB29" i="3"/>
  <c r="AQ21" i="3"/>
  <c r="AQ151" i="106" s="1"/>
  <c r="AQ152" i="106" s="1"/>
  <c r="AQ153" i="106" s="1"/>
  <c r="BQ39" i="3"/>
  <c r="P29" i="3"/>
  <c r="AQ38" i="3"/>
  <c r="AV23" i="3"/>
  <c r="BQ93" i="3"/>
  <c r="D39" i="3"/>
  <c r="AQ23" i="3"/>
  <c r="AQ24" i="3" s="1"/>
  <c r="D24" i="3"/>
  <c r="BS53" i="3"/>
  <c r="AZ201" i="51"/>
  <c r="AJ205" i="51"/>
  <c r="AZ202" i="51"/>
  <c r="BS153" i="3"/>
  <c r="BR142" i="3"/>
  <c r="BR141" i="3" s="1"/>
  <c r="BR148" i="3" s="1"/>
  <c r="BR149" i="3" s="1"/>
  <c r="BS142" i="3"/>
  <c r="AN205" i="51"/>
  <c r="AP9" i="118"/>
  <c r="AP63" i="118" s="1"/>
  <c r="BA202" i="51"/>
  <c r="BR144" i="3"/>
  <c r="BR143" i="3" s="1"/>
  <c r="BR150" i="3" s="1"/>
  <c r="BS144" i="3"/>
  <c r="Z91" i="118"/>
  <c r="AA92" i="118" s="1"/>
  <c r="AA45" i="118" s="1"/>
  <c r="BA201" i="51"/>
  <c r="AM157" i="51"/>
  <c r="AM45" i="3" s="1"/>
  <c r="AM182" i="3" s="1"/>
  <c r="BT28" i="3"/>
  <c r="BU28" i="3" s="1"/>
  <c r="O64" i="3"/>
  <c r="O94" i="106" s="1"/>
  <c r="O97" i="106" s="1"/>
  <c r="AV38" i="3"/>
  <c r="D57" i="106"/>
  <c r="BG29" i="3"/>
  <c r="BG65" i="107" s="1"/>
  <c r="AK23" i="3"/>
  <c r="AK64" i="3" s="1"/>
  <c r="AS65" i="107"/>
  <c r="AI180" i="3"/>
  <c r="BW63" i="29"/>
  <c r="AY205" i="51"/>
  <c r="AT79" i="118"/>
  <c r="AG157" i="51"/>
  <c r="BS187" i="51"/>
  <c r="O173" i="106"/>
  <c r="BM151" i="106"/>
  <c r="BM152" i="106" s="1"/>
  <c r="BM153" i="106" s="1"/>
  <c r="BM174" i="106" s="1"/>
  <c r="BR73" i="107"/>
  <c r="BS69" i="107" s="1"/>
  <c r="BR82" i="107"/>
  <c r="BQ205" i="51"/>
  <c r="BA203" i="51"/>
  <c r="AD91" i="118"/>
  <c r="BA175" i="51"/>
  <c r="BR157" i="106"/>
  <c r="BQ22" i="29"/>
  <c r="AY201" i="51"/>
  <c r="AY203" i="51"/>
  <c r="BL203" i="51"/>
  <c r="BF156" i="51"/>
  <c r="Q5" i="118"/>
  <c r="AX79" i="118"/>
  <c r="AW149" i="3"/>
  <c r="AW167" i="3"/>
  <c r="BC168" i="3" s="1"/>
  <c r="AP73" i="118"/>
  <c r="AT87" i="118" s="1"/>
  <c r="BK175" i="51"/>
  <c r="CA73" i="51"/>
  <c r="CA74" i="51"/>
  <c r="AY175" i="51"/>
  <c r="AW142" i="3"/>
  <c r="AV142" i="3" s="1"/>
  <c r="AV141" i="3" s="1"/>
  <c r="BB175" i="51"/>
  <c r="AD203" i="51"/>
  <c r="BL175" i="51"/>
  <c r="BI168" i="3"/>
  <c r="Y69" i="118"/>
  <c r="BQ202" i="51"/>
  <c r="AY142" i="3"/>
  <c r="AY141" i="3" s="1"/>
  <c r="AY148" i="3" s="1"/>
  <c r="AY149" i="3" s="1"/>
  <c r="BL176" i="51"/>
  <c r="BQ175" i="51"/>
  <c r="BB39" i="3"/>
  <c r="Y76" i="106"/>
  <c r="BQ96" i="3"/>
  <c r="CP129" i="3"/>
  <c r="CO129" i="3"/>
  <c r="M179" i="3"/>
  <c r="S37" i="3"/>
  <c r="P24" i="3"/>
  <c r="M12" i="3"/>
  <c r="S51" i="3" s="1"/>
  <c r="V93" i="3"/>
  <c r="BQ56" i="106"/>
  <c r="Y75" i="106"/>
  <c r="BQ57" i="106"/>
  <c r="BY30" i="51"/>
  <c r="BT182" i="51"/>
  <c r="BX149" i="51"/>
  <c r="CP170" i="3"/>
  <c r="CO170" i="3"/>
  <c r="C39" i="3"/>
  <c r="BL57" i="106"/>
  <c r="C64" i="3"/>
  <c r="C66" i="3" s="1"/>
  <c r="C92" i="3" s="1"/>
  <c r="C24" i="3"/>
  <c r="D93" i="3"/>
  <c r="D56" i="106"/>
  <c r="D64" i="3"/>
  <c r="D94" i="106" s="1"/>
  <c r="D97" i="106" s="1"/>
  <c r="J52" i="3"/>
  <c r="BK135" i="3"/>
  <c r="O57" i="106"/>
  <c r="BA142" i="3"/>
  <c r="BA141" i="3" s="1"/>
  <c r="BA148" i="3" s="1"/>
  <c r="BA149" i="3" s="1"/>
  <c r="C93" i="3"/>
  <c r="C29" i="3"/>
  <c r="I53" i="3" s="1"/>
  <c r="BB142" i="3"/>
  <c r="BB141" i="3" s="1"/>
  <c r="BB148" i="3" s="1"/>
  <c r="BB149" i="3" s="1"/>
  <c r="R77" i="106"/>
  <c r="BL205" i="51"/>
  <c r="AM146" i="3"/>
  <c r="AM145" i="3" s="1"/>
  <c r="AN146" i="3"/>
  <c r="AN145" i="3" s="1"/>
  <c r="AO146" i="3"/>
  <c r="AO145" i="3" s="1"/>
  <c r="BE175" i="51"/>
  <c r="BL201" i="51"/>
  <c r="BQ174" i="51"/>
  <c r="BK202" i="51"/>
  <c r="AZ176" i="51"/>
  <c r="BU62" i="51"/>
  <c r="BW59" i="51"/>
  <c r="BW61" i="51" s="1"/>
  <c r="BU60" i="51"/>
  <c r="CC58" i="51"/>
  <c r="CI71" i="51"/>
  <c r="CE71" i="51"/>
  <c r="CF71" i="51"/>
  <c r="CD71" i="51"/>
  <c r="BX58" i="51"/>
  <c r="BX59" i="51" s="1"/>
  <c r="BX61" i="51" s="1"/>
  <c r="CA71" i="51"/>
  <c r="BC164" i="51"/>
  <c r="AY33" i="51"/>
  <c r="AH59" i="118" s="1"/>
  <c r="BC171" i="51"/>
  <c r="BF176" i="51"/>
  <c r="BC166" i="51"/>
  <c r="AP203" i="51"/>
  <c r="AC203" i="51"/>
  <c r="BC88" i="51"/>
  <c r="BL174" i="51"/>
  <c r="AZ175" i="51"/>
  <c r="BB191" i="51"/>
  <c r="BC172" i="51"/>
  <c r="BA176" i="51"/>
  <c r="BC169" i="51"/>
  <c r="AZ40" i="118"/>
  <c r="CA21" i="51"/>
  <c r="BQ176" i="51"/>
  <c r="BC160" i="51"/>
  <c r="X91" i="118"/>
  <c r="X92" i="118" s="1"/>
  <c r="X45" i="118" s="1"/>
  <c r="BC155" i="3"/>
  <c r="BC167" i="51"/>
  <c r="X157" i="51"/>
  <c r="BQ201" i="51"/>
  <c r="BB176" i="51"/>
  <c r="BC165" i="3"/>
  <c r="AU21" i="118"/>
  <c r="BC170" i="51"/>
  <c r="AB91" i="118"/>
  <c r="AB92" i="118" s="1"/>
  <c r="AB45" i="118" s="1"/>
  <c r="BB205" i="51"/>
  <c r="BC168" i="51"/>
  <c r="BC30" i="51"/>
  <c r="BC33" i="51" s="1"/>
  <c r="BC165" i="51"/>
  <c r="BG174" i="51"/>
  <c r="O24" i="3"/>
  <c r="BB93" i="3"/>
  <c r="W56" i="106"/>
  <c r="O174" i="106"/>
  <c r="BB64" i="3"/>
  <c r="BB66" i="3" s="1"/>
  <c r="BB92" i="3" s="1"/>
  <c r="BB57" i="106"/>
  <c r="BL56" i="106"/>
  <c r="AA57" i="106"/>
  <c r="BB56" i="106"/>
  <c r="W57" i="106"/>
  <c r="BY32" i="51"/>
  <c r="BS180" i="51"/>
  <c r="BS181" i="51"/>
  <c r="AV49" i="118"/>
  <c r="BS182" i="51"/>
  <c r="AQ17" i="118"/>
  <c r="BL44" i="3"/>
  <c r="BF175" i="51"/>
  <c r="AZ174" i="51"/>
  <c r="BK176" i="51"/>
  <c r="AO39" i="3"/>
  <c r="AO93" i="3"/>
  <c r="AV152" i="106"/>
  <c r="AV153" i="106" s="1"/>
  <c r="AM39" i="3"/>
  <c r="BL29" i="3"/>
  <c r="BL96" i="3" s="1"/>
  <c r="AO24" i="3"/>
  <c r="AK108" i="3"/>
  <c r="BR52" i="3"/>
  <c r="AO57" i="106"/>
  <c r="AM64" i="3"/>
  <c r="AM66" i="3" s="1"/>
  <c r="AM67" i="3" s="1"/>
  <c r="AM24" i="3"/>
  <c r="AQ35" i="3"/>
  <c r="BL39" i="3"/>
  <c r="AK21" i="3"/>
  <c r="AK151" i="106" s="1"/>
  <c r="AK152" i="106" s="1"/>
  <c r="AK153" i="106" s="1"/>
  <c r="AO64" i="3"/>
  <c r="AO66" i="3" s="1"/>
  <c r="AO92" i="3" s="1"/>
  <c r="AO56" i="106"/>
  <c r="BL64" i="3"/>
  <c r="BL66" i="3" s="1"/>
  <c r="AO29" i="3"/>
  <c r="AO96" i="3" s="1"/>
  <c r="BL93" i="3"/>
  <c r="AK38" i="3"/>
  <c r="AQ62" i="106"/>
  <c r="BU8" i="51"/>
  <c r="BU10" i="51" s="1"/>
  <c r="CA11" i="51"/>
  <c r="CA12" i="51" s="1"/>
  <c r="C154" i="106"/>
  <c r="C174" i="106"/>
  <c r="AI51" i="3"/>
  <c r="BQ154" i="106"/>
  <c r="BQ173" i="106"/>
  <c r="BQ174" i="106"/>
  <c r="I154" i="106"/>
  <c r="I173" i="106"/>
  <c r="I174" i="106"/>
  <c r="BL154" i="106"/>
  <c r="BL173" i="106"/>
  <c r="BL174" i="106"/>
  <c r="W154" i="106"/>
  <c r="W174" i="106"/>
  <c r="W173" i="106"/>
  <c r="BF154" i="106"/>
  <c r="BF174" i="106"/>
  <c r="BF173" i="106"/>
  <c r="AB154" i="106"/>
  <c r="AB173" i="106"/>
  <c r="AB174" i="106"/>
  <c r="Q154" i="106"/>
  <c r="Q173" i="106"/>
  <c r="Q174" i="106"/>
  <c r="BI150" i="106"/>
  <c r="AA39" i="3"/>
  <c r="BQ64" i="3"/>
  <c r="BQ66" i="3" s="1"/>
  <c r="BQ8" i="107" s="1"/>
  <c r="BQ25" i="107" s="1"/>
  <c r="AO154" i="106"/>
  <c r="AO174" i="106"/>
  <c r="AO173" i="106"/>
  <c r="AM58" i="106"/>
  <c r="K154" i="106"/>
  <c r="K173" i="106"/>
  <c r="K174" i="106"/>
  <c r="BN154" i="106"/>
  <c r="BN174" i="106"/>
  <c r="BN173" i="106"/>
  <c r="BO150" i="106"/>
  <c r="S50" i="3"/>
  <c r="M150" i="106"/>
  <c r="Y63" i="106"/>
  <c r="Y150" i="106"/>
  <c r="BG154" i="106"/>
  <c r="BG174" i="106"/>
  <c r="BG173" i="106"/>
  <c r="V58" i="106"/>
  <c r="BA154" i="106"/>
  <c r="BA173" i="106"/>
  <c r="BA174" i="106"/>
  <c r="E154" i="106"/>
  <c r="E173" i="106"/>
  <c r="E174" i="106"/>
  <c r="M50" i="3"/>
  <c r="G150" i="106"/>
  <c r="BM173" i="106"/>
  <c r="BB154" i="106"/>
  <c r="BB173" i="106"/>
  <c r="BB174" i="106"/>
  <c r="AS58" i="106"/>
  <c r="AY154" i="106"/>
  <c r="AY174" i="106"/>
  <c r="AY173" i="106"/>
  <c r="U154" i="106"/>
  <c r="U174" i="106"/>
  <c r="U173" i="106"/>
  <c r="D154" i="106"/>
  <c r="D173" i="106"/>
  <c r="D174" i="106"/>
  <c r="AI152" i="106"/>
  <c r="AI153" i="106" s="1"/>
  <c r="P154" i="106"/>
  <c r="P174" i="106"/>
  <c r="P173" i="106"/>
  <c r="AA58" i="106"/>
  <c r="BF202" i="51"/>
  <c r="BB201" i="51"/>
  <c r="BF205" i="51"/>
  <c r="BB202" i="51"/>
  <c r="BF201" i="51"/>
  <c r="AQ65" i="118"/>
  <c r="AQ75" i="118"/>
  <c r="AU201" i="51"/>
  <c r="AU202" i="51"/>
  <c r="AU205" i="51"/>
  <c r="BE176" i="51"/>
  <c r="BF174" i="51"/>
  <c r="AT157" i="51"/>
  <c r="W45" i="3"/>
  <c r="W182" i="3" s="1"/>
  <c r="AS168" i="51"/>
  <c r="BA191" i="51"/>
  <c r="BK201" i="51"/>
  <c r="AT201" i="51"/>
  <c r="BC253" i="51"/>
  <c r="AN157" i="51"/>
  <c r="J45" i="3"/>
  <c r="J182" i="3" s="1"/>
  <c r="BQ157" i="51"/>
  <c r="AO157" i="51"/>
  <c r="AH157" i="51"/>
  <c r="BI158" i="51"/>
  <c r="BE174" i="51"/>
  <c r="AA157" i="51"/>
  <c r="AI157" i="51"/>
  <c r="AV201" i="51"/>
  <c r="AB157" i="51"/>
  <c r="AY191" i="51"/>
  <c r="BK203" i="51"/>
  <c r="BE201" i="51"/>
  <c r="K156" i="51"/>
  <c r="BN43" i="3"/>
  <c r="AC157" i="51"/>
  <c r="BL157" i="51"/>
  <c r="BR159" i="3"/>
  <c r="BR167" i="3"/>
  <c r="I45" i="3"/>
  <c r="I182" i="3" s="1"/>
  <c r="AT203" i="51"/>
  <c r="AV203" i="51"/>
  <c r="V45" i="3"/>
  <c r="V182" i="3" s="1"/>
  <c r="AQ168" i="51"/>
  <c r="BB196" i="51"/>
  <c r="P45" i="3"/>
  <c r="P182" i="3" s="1"/>
  <c r="P183" i="3" s="1"/>
  <c r="BC190" i="51"/>
  <c r="AY190" i="51" s="1"/>
  <c r="AU157" i="51"/>
  <c r="O45" i="3"/>
  <c r="O182" i="3" s="1"/>
  <c r="AZ50" i="118"/>
  <c r="AG45" i="3"/>
  <c r="AG182" i="3" s="1"/>
  <c r="AG192" i="3" s="1"/>
  <c r="U156" i="51"/>
  <c r="BR161" i="3"/>
  <c r="BR170" i="3"/>
  <c r="BW164" i="51"/>
  <c r="AV79" i="118"/>
  <c r="BA196" i="51"/>
  <c r="BI168" i="51"/>
  <c r="CE7" i="51"/>
  <c r="W203" i="51"/>
  <c r="Q45" i="3"/>
  <c r="Q182" i="3" s="1"/>
  <c r="BB157" i="51"/>
  <c r="BK157" i="51"/>
  <c r="K45" i="3"/>
  <c r="K182" i="3" s="1"/>
  <c r="U45" i="3"/>
  <c r="U182" i="3" s="1"/>
  <c r="BY21" i="3"/>
  <c r="BX151" i="106"/>
  <c r="U77" i="106"/>
  <c r="CI16" i="107"/>
  <c r="CI158" i="106"/>
  <c r="CJ34" i="106"/>
  <c r="CK30" i="107"/>
  <c r="CK168" i="106"/>
  <c r="V29" i="3"/>
  <c r="BG56" i="106"/>
  <c r="V57" i="106"/>
  <c r="AO51" i="3"/>
  <c r="U93" i="3"/>
  <c r="V24" i="3"/>
  <c r="AI35" i="3"/>
  <c r="BG39" i="3"/>
  <c r="BG57" i="106"/>
  <c r="V56" i="106"/>
  <c r="AS52" i="3"/>
  <c r="O93" i="3"/>
  <c r="BG24" i="3"/>
  <c r="BG64" i="3"/>
  <c r="BG66" i="3" s="1"/>
  <c r="BG92" i="3" s="1"/>
  <c r="AM29" i="3"/>
  <c r="O29" i="3"/>
  <c r="O53" i="3" s="1"/>
  <c r="BG93" i="3"/>
  <c r="AI62" i="106"/>
  <c r="AM56" i="106"/>
  <c r="BO168" i="3"/>
  <c r="AM93" i="3"/>
  <c r="CJ35" i="106"/>
  <c r="CJ159" i="106" s="1"/>
  <c r="AE77" i="106"/>
  <c r="CI180" i="51"/>
  <c r="BM157" i="51"/>
  <c r="BE72" i="118"/>
  <c r="BE85" i="118" s="1"/>
  <c r="BE86" i="118" s="1"/>
  <c r="BE42" i="118" s="1"/>
  <c r="AV205" i="51"/>
  <c r="BC193" i="51"/>
  <c r="BC110" i="3" s="1"/>
  <c r="AZ203" i="51"/>
  <c r="CA7" i="51"/>
  <c r="AT205" i="51"/>
  <c r="BD70" i="118"/>
  <c r="BD81" i="118" s="1"/>
  <c r="BD82" i="118" s="1"/>
  <c r="BM159" i="51"/>
  <c r="AT91" i="118"/>
  <c r="M108" i="3"/>
  <c r="Y59" i="118"/>
  <c r="O181" i="3"/>
  <c r="AA56" i="106"/>
  <c r="AA29" i="3"/>
  <c r="BE21" i="3"/>
  <c r="BE151" i="106" s="1"/>
  <c r="BE152" i="106" s="1"/>
  <c r="BE153" i="106" s="1"/>
  <c r="AQ181" i="3"/>
  <c r="D193" i="3"/>
  <c r="AY181" i="3"/>
  <c r="AA64" i="3"/>
  <c r="C193" i="3"/>
  <c r="W181" i="3"/>
  <c r="BG181" i="3"/>
  <c r="P181" i="3"/>
  <c r="BE35" i="3"/>
  <c r="K181" i="3"/>
  <c r="J65" i="107"/>
  <c r="AA93" i="3"/>
  <c r="F192" i="3"/>
  <c r="G192" i="3" s="1"/>
  <c r="AS181" i="3"/>
  <c r="AK64" i="106"/>
  <c r="AR21" i="118"/>
  <c r="AN84" i="118"/>
  <c r="AN41" i="118" s="1"/>
  <c r="AM84" i="118"/>
  <c r="AM41" i="118" s="1"/>
  <c r="AS84" i="118"/>
  <c r="AS41" i="118" s="1"/>
  <c r="AR84" i="118"/>
  <c r="AR41" i="118" s="1"/>
  <c r="BT29" i="51"/>
  <c r="CA23" i="51"/>
  <c r="BZ32" i="51"/>
  <c r="BZ30" i="51"/>
  <c r="BT181" i="51"/>
  <c r="BU22" i="51"/>
  <c r="BU24" i="51" s="1"/>
  <c r="BT166" i="3"/>
  <c r="BT131" i="3" s="1"/>
  <c r="CF21" i="51"/>
  <c r="BT180" i="51"/>
  <c r="BT149" i="51"/>
  <c r="BH175" i="51"/>
  <c r="BB86" i="118"/>
  <c r="BB42" i="118" s="1"/>
  <c r="AQ84" i="118"/>
  <c r="AQ41" i="118" s="1"/>
  <c r="AA181" i="3"/>
  <c r="AK62" i="106"/>
  <c r="I39" i="3"/>
  <c r="W93" i="3"/>
  <c r="J96" i="3"/>
  <c r="I64" i="3"/>
  <c r="I66" i="3" s="1"/>
  <c r="I92" i="3" s="1"/>
  <c r="I24" i="3"/>
  <c r="W24" i="3"/>
  <c r="V39" i="3"/>
  <c r="P64" i="3"/>
  <c r="P66" i="3" s="1"/>
  <c r="P79" i="3" s="1"/>
  <c r="BM181" i="3"/>
  <c r="AQ51" i="3"/>
  <c r="O52" i="3"/>
  <c r="I52" i="3"/>
  <c r="W52" i="3"/>
  <c r="V64" i="3"/>
  <c r="V66" i="3" s="1"/>
  <c r="V67" i="3" s="1"/>
  <c r="P52" i="3"/>
  <c r="I93" i="3"/>
  <c r="P93" i="3"/>
  <c r="AK35" i="3"/>
  <c r="W39" i="3"/>
  <c r="V52" i="3"/>
  <c r="Y77" i="106"/>
  <c r="AQ79" i="118"/>
  <c r="BE32" i="118"/>
  <c r="P156" i="51"/>
  <c r="M134" i="3"/>
  <c r="M135" i="3" s="1"/>
  <c r="M20" i="3"/>
  <c r="G12" i="3"/>
  <c r="G35" i="3" s="1"/>
  <c r="BE23" i="3"/>
  <c r="BE56" i="106" s="1"/>
  <c r="BW74" i="3"/>
  <c r="Y179" i="3"/>
  <c r="Y37" i="3"/>
  <c r="V181" i="3"/>
  <c r="J66" i="3"/>
  <c r="J67" i="3" s="1"/>
  <c r="U181" i="3"/>
  <c r="BM79" i="3"/>
  <c r="BE38" i="3"/>
  <c r="Y134" i="3"/>
  <c r="Y135" i="3" s="1"/>
  <c r="Y50" i="3"/>
  <c r="Y20" i="3"/>
  <c r="Y12" i="3"/>
  <c r="Y62" i="106" s="1"/>
  <c r="AW21" i="118"/>
  <c r="V156" i="51"/>
  <c r="BO61" i="51"/>
  <c r="BE205" i="51"/>
  <c r="BE202" i="51"/>
  <c r="CA25" i="51"/>
  <c r="AZ41" i="118"/>
  <c r="AS79" i="118"/>
  <c r="AP82" i="118"/>
  <c r="AP40" i="118" s="1"/>
  <c r="AP21" i="118"/>
  <c r="AT84" i="118"/>
  <c r="AT41" i="118" s="1"/>
  <c r="AE91" i="118"/>
  <c r="AV21" i="118"/>
  <c r="AW79" i="118"/>
  <c r="Y5" i="118"/>
  <c r="BO80" i="51"/>
  <c r="BO83" i="51" s="1"/>
  <c r="AC51" i="3"/>
  <c r="AV73" i="107"/>
  <c r="BF73" i="107"/>
  <c r="BH69" i="107" s="1"/>
  <c r="BH72" i="107" s="1"/>
  <c r="BB73" i="107"/>
  <c r="BK64" i="106"/>
  <c r="BQ51" i="3"/>
  <c r="BK62" i="106"/>
  <c r="BK51" i="3"/>
  <c r="AV51" i="3"/>
  <c r="AK167" i="3"/>
  <c r="AK174" i="3"/>
  <c r="BO171" i="3"/>
  <c r="BX29" i="51"/>
  <c r="CI33" i="51"/>
  <c r="BX181" i="51"/>
  <c r="CD30" i="51"/>
  <c r="BA86" i="118"/>
  <c r="BA42" i="118" s="1"/>
  <c r="BB51" i="3"/>
  <c r="BL181" i="3"/>
  <c r="U24" i="3"/>
  <c r="AV35" i="3"/>
  <c r="BO176" i="3"/>
  <c r="BM92" i="3"/>
  <c r="U64" i="3"/>
  <c r="U66" i="3" s="1"/>
  <c r="AB181" i="3"/>
  <c r="BM67" i="3"/>
  <c r="BM95" i="3" s="1"/>
  <c r="U52" i="3"/>
  <c r="U65" i="107"/>
  <c r="AZ180" i="3"/>
  <c r="BG159" i="51"/>
  <c r="BG43" i="3"/>
  <c r="R21" i="3"/>
  <c r="R151" i="106" s="1"/>
  <c r="R152" i="106" s="1"/>
  <c r="R153" i="106" s="1"/>
  <c r="R23" i="3"/>
  <c r="R38" i="3"/>
  <c r="BW156" i="51"/>
  <c r="BW83" i="51"/>
  <c r="AY153" i="3"/>
  <c r="AU62" i="106"/>
  <c r="AU64" i="106"/>
  <c r="BH159" i="51"/>
  <c r="BH43" i="3"/>
  <c r="BH153" i="3"/>
  <c r="BB153" i="3"/>
  <c r="BE156" i="51"/>
  <c r="S126" i="3"/>
  <c r="D96" i="3"/>
  <c r="D65" i="107"/>
  <c r="AC180" i="3"/>
  <c r="BE153" i="3"/>
  <c r="BO94" i="3"/>
  <c r="BO63" i="106"/>
  <c r="BO37" i="3"/>
  <c r="CE77" i="106"/>
  <c r="T80" i="118"/>
  <c r="T39" i="118" s="1"/>
  <c r="BC86" i="118"/>
  <c r="BC42" i="118" s="1"/>
  <c r="BD86" i="118"/>
  <c r="BD42" i="118" s="1"/>
  <c r="BA153" i="3"/>
  <c r="P77" i="106"/>
  <c r="AP38" i="3"/>
  <c r="AP21" i="3"/>
  <c r="AP151" i="106" s="1"/>
  <c r="AP152" i="106" s="1"/>
  <c r="AP153" i="106" s="1"/>
  <c r="AP23" i="3"/>
  <c r="AP62" i="106"/>
  <c r="AP64" i="106"/>
  <c r="AP35" i="3"/>
  <c r="AD180" i="3"/>
  <c r="Y113" i="3"/>
  <c r="BW89" i="106"/>
  <c r="BF56" i="106"/>
  <c r="BF57" i="106"/>
  <c r="BK23" i="3"/>
  <c r="BQ52" i="3" s="1"/>
  <c r="AQ57" i="106"/>
  <c r="BK21" i="3"/>
  <c r="BK151" i="106" s="1"/>
  <c r="BK152" i="106" s="1"/>
  <c r="BK153" i="106" s="1"/>
  <c r="CI181" i="51"/>
  <c r="M5" i="118"/>
  <c r="M69" i="118"/>
  <c r="Q79" i="118" s="1"/>
  <c r="M168" i="51"/>
  <c r="M165" i="3"/>
  <c r="BN157" i="51"/>
  <c r="AG9" i="118"/>
  <c r="J156" i="51"/>
  <c r="Y168" i="51"/>
  <c r="Y165" i="3"/>
  <c r="AY53" i="118"/>
  <c r="U43" i="3"/>
  <c r="BG157" i="51"/>
  <c r="BS58" i="29"/>
  <c r="BT58" i="29" s="1"/>
  <c r="BH180" i="3"/>
  <c r="X62" i="106"/>
  <c r="X64" i="106"/>
  <c r="BU51" i="51"/>
  <c r="BU53" i="51" s="1"/>
  <c r="AH180" i="3"/>
  <c r="R62" i="106"/>
  <c r="R64" i="106"/>
  <c r="R35" i="3"/>
  <c r="AX82" i="118"/>
  <c r="AX40" i="118" s="1"/>
  <c r="AW82" i="118"/>
  <c r="AW40" i="118" s="1"/>
  <c r="BG153" i="3"/>
  <c r="BN83" i="51"/>
  <c r="AZ153" i="3"/>
  <c r="AU79" i="118"/>
  <c r="AQ21" i="118"/>
  <c r="AV62" i="106"/>
  <c r="AV64" i="106"/>
  <c r="S113" i="3"/>
  <c r="S74" i="106"/>
  <c r="S76" i="106"/>
  <c r="S75" i="106"/>
  <c r="S108" i="3"/>
  <c r="O56" i="106"/>
  <c r="AQ113" i="3"/>
  <c r="AQ171" i="3"/>
  <c r="AQ126" i="3"/>
  <c r="CC169" i="3"/>
  <c r="CC132" i="3" s="1"/>
  <c r="CI170" i="3"/>
  <c r="CI169" i="3" s="1"/>
  <c r="CI132" i="3" s="1"/>
  <c r="AR79" i="118"/>
  <c r="BI63" i="106"/>
  <c r="BI179" i="3"/>
  <c r="BI36" i="3"/>
  <c r="BI180" i="3" s="1"/>
  <c r="BI20" i="3"/>
  <c r="BI21" i="3" s="1"/>
  <c r="BI151" i="106" s="1"/>
  <c r="BI12" i="3"/>
  <c r="BI134" i="3"/>
  <c r="BI135" i="3" s="1"/>
  <c r="BO165" i="3"/>
  <c r="BO155" i="3"/>
  <c r="AK113" i="3"/>
  <c r="L64" i="106"/>
  <c r="L62" i="106"/>
  <c r="AW63" i="106"/>
  <c r="AQ124" i="3"/>
  <c r="AE168" i="51"/>
  <c r="AE165" i="3"/>
  <c r="BE50" i="118"/>
  <c r="BY28" i="51"/>
  <c r="AZ51" i="118"/>
  <c r="BD71" i="118"/>
  <c r="BD83" i="118" s="1"/>
  <c r="BD84" i="118" s="1"/>
  <c r="BF144" i="3"/>
  <c r="BF143" i="3" s="1"/>
  <c r="BF150" i="3" s="1"/>
  <c r="BF151" i="3" s="1"/>
  <c r="BE144" i="3"/>
  <c r="BE143" i="3" s="1"/>
  <c r="BE150" i="3" s="1"/>
  <c r="BE151" i="3" s="1"/>
  <c r="BG144" i="3"/>
  <c r="BG143" i="3" s="1"/>
  <c r="BG150" i="3" s="1"/>
  <c r="BG151" i="3" s="1"/>
  <c r="BH144" i="3"/>
  <c r="BH143" i="3" s="1"/>
  <c r="BH150" i="3" s="1"/>
  <c r="BH151" i="3" s="1"/>
  <c r="BE142" i="3"/>
  <c r="BE141" i="3" s="1"/>
  <c r="BE148" i="3" s="1"/>
  <c r="BE149" i="3" s="1"/>
  <c r="BG142" i="3"/>
  <c r="BG141" i="3" s="1"/>
  <c r="BG148" i="3" s="1"/>
  <c r="BG149" i="3" s="1"/>
  <c r="BF142" i="3"/>
  <c r="BF141" i="3" s="1"/>
  <c r="BF148" i="3" s="1"/>
  <c r="BF149" i="3" s="1"/>
  <c r="BH142" i="3"/>
  <c r="BH141" i="3" s="1"/>
  <c r="BH148" i="3" s="1"/>
  <c r="BH149" i="3" s="1"/>
  <c r="L180" i="3"/>
  <c r="U5" i="118"/>
  <c r="U69" i="118"/>
  <c r="U79" i="118" s="1"/>
  <c r="V80" i="118" s="1"/>
  <c r="V39" i="118" s="1"/>
  <c r="CA18" i="51"/>
  <c r="AZ62" i="106"/>
  <c r="AZ64" i="106"/>
  <c r="K76" i="106"/>
  <c r="K75" i="106"/>
  <c r="K74" i="106"/>
  <c r="CC31" i="51"/>
  <c r="BM72" i="107"/>
  <c r="BM71" i="107"/>
  <c r="BM82" i="107" s="1"/>
  <c r="BW31" i="51"/>
  <c r="AG5" i="118"/>
  <c r="AG69" i="118"/>
  <c r="G63" i="106"/>
  <c r="G126" i="3"/>
  <c r="M37" i="3"/>
  <c r="G134" i="3"/>
  <c r="G135" i="3" s="1"/>
  <c r="BI171" i="3"/>
  <c r="BN57" i="106"/>
  <c r="BN56" i="106"/>
  <c r="J76" i="106"/>
  <c r="J74" i="106"/>
  <c r="J75" i="106"/>
  <c r="BU158" i="51"/>
  <c r="BE8" i="118"/>
  <c r="BE24" i="118" s="1"/>
  <c r="AQ164" i="51"/>
  <c r="AQ165" i="3"/>
  <c r="AQ155" i="3"/>
  <c r="AW154" i="51"/>
  <c r="AW161" i="3"/>
  <c r="AW144" i="3"/>
  <c r="AW151" i="3"/>
  <c r="AW170" i="3"/>
  <c r="BZ28" i="51"/>
  <c r="BZ181" i="51" s="1"/>
  <c r="BE71" i="118"/>
  <c r="BE83" i="118" s="1"/>
  <c r="BA51" i="118"/>
  <c r="BN159" i="51"/>
  <c r="BO156" i="51"/>
  <c r="BI80" i="51"/>
  <c r="BI83" i="51" s="1"/>
  <c r="BO12" i="3"/>
  <c r="AY49" i="118"/>
  <c r="AC21" i="3"/>
  <c r="AC151" i="106" s="1"/>
  <c r="AC152" i="106" s="1"/>
  <c r="AC153" i="106" s="1"/>
  <c r="CD77" i="106"/>
  <c r="Q77" i="106"/>
  <c r="M63" i="106"/>
  <c r="P57" i="106"/>
  <c r="P56" i="106"/>
  <c r="AP79" i="118"/>
  <c r="Y108" i="3"/>
  <c r="AE126" i="3"/>
  <c r="Q181" i="3"/>
  <c r="CF167" i="3"/>
  <c r="AM142" i="3"/>
  <c r="AM141" i="3" s="1"/>
  <c r="AP142" i="3"/>
  <c r="AP141" i="3" s="1"/>
  <c r="AN142" i="3"/>
  <c r="AN141" i="3" s="1"/>
  <c r="AO142" i="3"/>
  <c r="AO141" i="3" s="1"/>
  <c r="AN21" i="3"/>
  <c r="AN151" i="106" s="1"/>
  <c r="AN152" i="106" s="1"/>
  <c r="AN153" i="106" s="1"/>
  <c r="AN38" i="3"/>
  <c r="AN23" i="3"/>
  <c r="AE108" i="3"/>
  <c r="BU87" i="51"/>
  <c r="AK5" i="118"/>
  <c r="AK69" i="118"/>
  <c r="BE62" i="106"/>
  <c r="BE64" i="106"/>
  <c r="AT21" i="118"/>
  <c r="BQ153" i="3"/>
  <c r="CI77" i="106"/>
  <c r="AC9" i="118"/>
  <c r="X180" i="3"/>
  <c r="AH62" i="106"/>
  <c r="AH64" i="106"/>
  <c r="BF153" i="3"/>
  <c r="BC82" i="118"/>
  <c r="BC40" i="118" s="1"/>
  <c r="BL83" i="51"/>
  <c r="BK153" i="3"/>
  <c r="BC63" i="106"/>
  <c r="CD28" i="51"/>
  <c r="CD149" i="51" s="1"/>
  <c r="BC51" i="118"/>
  <c r="W65" i="107"/>
  <c r="F35" i="3"/>
  <c r="F62" i="106"/>
  <c r="F64" i="106"/>
  <c r="AB56" i="106"/>
  <c r="AB57" i="106"/>
  <c r="R157" i="51"/>
  <c r="BY81" i="51"/>
  <c r="AV53" i="118"/>
  <c r="AW163" i="3"/>
  <c r="AW146" i="3"/>
  <c r="AW153" i="3"/>
  <c r="AZ156" i="51"/>
  <c r="AI5" i="118"/>
  <c r="AI21" i="118" s="1"/>
  <c r="AI69" i="118"/>
  <c r="AI79" i="118" s="1"/>
  <c r="BZ74" i="3"/>
  <c r="AK168" i="51"/>
  <c r="AK165" i="3"/>
  <c r="BO179" i="3"/>
  <c r="R180" i="3"/>
  <c r="BA83" i="118"/>
  <c r="BB84" i="118" s="1"/>
  <c r="BB41" i="118" s="1"/>
  <c r="AD62" i="106"/>
  <c r="AD64" i="106"/>
  <c r="AD35" i="3"/>
  <c r="U57" i="106"/>
  <c r="U56" i="106"/>
  <c r="AA52" i="3"/>
  <c r="M126" i="3"/>
  <c r="AN144" i="3"/>
  <c r="AN143" i="3" s="1"/>
  <c r="AP144" i="3"/>
  <c r="AP143" i="3" s="1"/>
  <c r="AO144" i="3"/>
  <c r="AO143" i="3" s="1"/>
  <c r="AM144" i="3"/>
  <c r="AM143" i="3" s="1"/>
  <c r="BA54" i="118"/>
  <c r="BE74" i="118"/>
  <c r="BE89" i="118" s="1"/>
  <c r="BE90" i="118" s="1"/>
  <c r="CA86" i="51"/>
  <c r="CF86" i="51"/>
  <c r="BZ151" i="51"/>
  <c r="CA151" i="51" s="1"/>
  <c r="BD90" i="118"/>
  <c r="BD44" i="118" s="1"/>
  <c r="BL153" i="3"/>
  <c r="W66" i="3"/>
  <c r="W67" i="3" s="1"/>
  <c r="W94" i="106"/>
  <c r="W97" i="106" s="1"/>
  <c r="G36" i="3"/>
  <c r="G180" i="3" s="1"/>
  <c r="AW113" i="3"/>
  <c r="AY56" i="106"/>
  <c r="AY57" i="106"/>
  <c r="P65" i="107"/>
  <c r="BU36" i="51"/>
  <c r="CC33" i="51"/>
  <c r="S168" i="51"/>
  <c r="S165" i="3"/>
  <c r="BE7" i="118"/>
  <c r="BE23" i="118" s="1"/>
  <c r="BE83" i="51"/>
  <c r="L157" i="51"/>
  <c r="L156" i="51" s="1"/>
  <c r="AJ62" i="106"/>
  <c r="AJ64" i="106"/>
  <c r="AU180" i="3"/>
  <c r="BO50" i="3"/>
  <c r="AT180" i="3"/>
  <c r="AG180" i="3"/>
  <c r="CK21" i="51"/>
  <c r="BD52" i="118"/>
  <c r="AH51" i="3"/>
  <c r="BM83" i="51"/>
  <c r="AW175" i="3"/>
  <c r="BE180" i="3"/>
  <c r="AY144" i="3"/>
  <c r="AY143" i="3" s="1"/>
  <c r="AY150" i="3" s="1"/>
  <c r="AY151" i="3" s="1"/>
  <c r="BB144" i="3"/>
  <c r="BB143" i="3" s="1"/>
  <c r="BB150" i="3" s="1"/>
  <c r="BB151" i="3" s="1"/>
  <c r="BA144" i="3"/>
  <c r="BA143" i="3" s="1"/>
  <c r="BA150" i="3" s="1"/>
  <c r="BA151" i="3" s="1"/>
  <c r="AZ144" i="3"/>
  <c r="AZ143" i="3" s="1"/>
  <c r="AZ150" i="3" s="1"/>
  <c r="AZ151" i="3" s="1"/>
  <c r="L77" i="106"/>
  <c r="BH83" i="51"/>
  <c r="AR86" i="118"/>
  <c r="AR42" i="118" s="1"/>
  <c r="AS86" i="118"/>
  <c r="AS42" i="118" s="1"/>
  <c r="AD38" i="3"/>
  <c r="AD23" i="3"/>
  <c r="AD21" i="3"/>
  <c r="AD151" i="106" s="1"/>
  <c r="AD152" i="106" s="1"/>
  <c r="AD153" i="106" s="1"/>
  <c r="AP84" i="118"/>
  <c r="AP41" i="118" s="1"/>
  <c r="O156" i="51"/>
  <c r="BM142" i="3"/>
  <c r="BM141" i="3" s="1"/>
  <c r="BM148" i="3" s="1"/>
  <c r="BM149" i="3" s="1"/>
  <c r="BQ142" i="3"/>
  <c r="BQ141" i="3" s="1"/>
  <c r="BQ148" i="3" s="1"/>
  <c r="BQ149" i="3" s="1"/>
  <c r="BN142" i="3"/>
  <c r="BN141" i="3" s="1"/>
  <c r="BN148" i="3" s="1"/>
  <c r="BN149" i="3" s="1"/>
  <c r="BL142" i="3"/>
  <c r="BL141" i="3" s="1"/>
  <c r="BL148" i="3" s="1"/>
  <c r="BL149" i="3" s="1"/>
  <c r="BK142" i="3"/>
  <c r="BK141" i="3" s="1"/>
  <c r="BK148" i="3" s="1"/>
  <c r="BK149" i="3" s="1"/>
  <c r="AW49" i="118"/>
  <c r="AV180" i="3"/>
  <c r="AO82" i="118"/>
  <c r="AO40" i="118" s="1"/>
  <c r="AN82" i="118"/>
  <c r="AN40" i="118" s="1"/>
  <c r="BK180" i="3"/>
  <c r="AC5" i="118"/>
  <c r="AC69" i="118"/>
  <c r="BG73" i="107"/>
  <c r="BN153" i="3"/>
  <c r="CC77" i="106"/>
  <c r="E57" i="106"/>
  <c r="E56" i="106"/>
  <c r="S62" i="106"/>
  <c r="S64" i="106"/>
  <c r="AI56" i="106"/>
  <c r="AI57" i="106"/>
  <c r="AS172" i="51"/>
  <c r="AD55" i="118"/>
  <c r="G165" i="3"/>
  <c r="AT62" i="106"/>
  <c r="AT64" i="106"/>
  <c r="BW20" i="29"/>
  <c r="BW28" i="106"/>
  <c r="BC84" i="118"/>
  <c r="BC41" i="118" s="1"/>
  <c r="AN180" i="3"/>
  <c r="Q29" i="3"/>
  <c r="W53" i="3" s="1"/>
  <c r="Q56" i="106"/>
  <c r="Q57" i="106"/>
  <c r="K65" i="107"/>
  <c r="Y9" i="118"/>
  <c r="Y25" i="118" s="1"/>
  <c r="BW8" i="3"/>
  <c r="BW149" i="106" s="1"/>
  <c r="AX55" i="118"/>
  <c r="AJ180" i="3"/>
  <c r="Y126" i="3"/>
  <c r="CF77" i="106"/>
  <c r="AP180" i="3"/>
  <c r="AN62" i="106"/>
  <c r="AN64" i="106"/>
  <c r="AN35" i="3"/>
  <c r="BA156" i="51"/>
  <c r="AJ5" i="118"/>
  <c r="AJ21" i="118" s="1"/>
  <c r="AJ69" i="118"/>
  <c r="AJ79" i="118" s="1"/>
  <c r="BA57" i="106"/>
  <c r="BA56" i="106"/>
  <c r="I65" i="107"/>
  <c r="BT26" i="3"/>
  <c r="BU26" i="3" s="1"/>
  <c r="AQ108" i="3"/>
  <c r="G20" i="3"/>
  <c r="U39" i="3"/>
  <c r="AE166" i="3"/>
  <c r="K66" i="3"/>
  <c r="K67" i="3" s="1"/>
  <c r="K94" i="106"/>
  <c r="K97" i="106" s="1"/>
  <c r="BO164" i="51"/>
  <c r="BH174" i="51"/>
  <c r="BI164" i="51"/>
  <c r="BI165" i="3"/>
  <c r="BI155" i="3"/>
  <c r="CC80" i="51"/>
  <c r="CC83" i="51" s="1"/>
  <c r="I5" i="118"/>
  <c r="I21" i="118" s="1"/>
  <c r="I69" i="118"/>
  <c r="G164" i="51"/>
  <c r="BH62" i="106"/>
  <c r="BH64" i="106"/>
  <c r="AG62" i="106"/>
  <c r="AG64" i="106"/>
  <c r="BO20" i="3"/>
  <c r="BO38" i="3" s="1"/>
  <c r="AE37" i="3"/>
  <c r="AE63" i="106"/>
  <c r="BO36" i="3"/>
  <c r="BO180" i="3" s="1"/>
  <c r="BU44" i="51"/>
  <c r="BU46" i="51" s="1"/>
  <c r="AC35" i="3"/>
  <c r="AC64" i="106"/>
  <c r="AC62" i="106"/>
  <c r="BU28" i="106"/>
  <c r="AS21" i="118"/>
  <c r="BH63" i="29"/>
  <c r="BH64" i="29" s="1"/>
  <c r="BG83" i="51"/>
  <c r="AE113" i="3"/>
  <c r="BM57" i="107"/>
  <c r="BM81" i="106"/>
  <c r="BM50" i="107"/>
  <c r="BM24" i="3"/>
  <c r="CL10" i="106"/>
  <c r="AW86" i="118"/>
  <c r="AW42" i="118" s="1"/>
  <c r="AV86" i="118"/>
  <c r="AV42" i="118" s="1"/>
  <c r="O77" i="106"/>
  <c r="V91" i="118"/>
  <c r="AR82" i="118"/>
  <c r="AR40" i="118" s="1"/>
  <c r="AS82" i="118"/>
  <c r="AS40" i="118" s="1"/>
  <c r="CF50" i="51"/>
  <c r="BL144" i="3"/>
  <c r="BL143" i="3" s="1"/>
  <c r="BL150" i="3" s="1"/>
  <c r="BL151" i="3" s="1"/>
  <c r="BK144" i="3"/>
  <c r="BK143" i="3" s="1"/>
  <c r="BK150" i="3" s="1"/>
  <c r="BK151" i="3" s="1"/>
  <c r="BM144" i="3"/>
  <c r="BM143" i="3" s="1"/>
  <c r="BM150" i="3" s="1"/>
  <c r="BM151" i="3" s="1"/>
  <c r="BN144" i="3"/>
  <c r="BN143" i="3" s="1"/>
  <c r="BN150" i="3" s="1"/>
  <c r="BN151" i="3" s="1"/>
  <c r="BQ144" i="3"/>
  <c r="BQ143" i="3" s="1"/>
  <c r="BQ150" i="3" s="1"/>
  <c r="BQ151" i="3" s="1"/>
  <c r="AM9" i="118"/>
  <c r="AM73" i="118"/>
  <c r="AK126" i="3"/>
  <c r="AK171" i="3"/>
  <c r="BA89" i="118"/>
  <c r="AF91" i="118"/>
  <c r="BM153" i="3"/>
  <c r="AB54" i="107"/>
  <c r="AC52" i="107"/>
  <c r="AC53" i="107" s="1"/>
  <c r="CE37" i="107"/>
  <c r="CF86" i="107"/>
  <c r="CF37" i="107" s="1"/>
  <c r="CF88" i="107"/>
  <c r="AK52" i="107"/>
  <c r="AK53" i="107" s="1"/>
  <c r="AG53" i="107"/>
  <c r="CK29" i="106"/>
  <c r="CK41" i="107" s="1"/>
  <c r="AG121" i="106"/>
  <c r="AE127" i="106"/>
  <c r="CM39" i="106"/>
  <c r="AM132" i="106"/>
  <c r="AQ132" i="106" s="1"/>
  <c r="AQ130" i="106"/>
  <c r="BZ55" i="29"/>
  <c r="AO64" i="29"/>
  <c r="BH37" i="29"/>
  <c r="CD42" i="29"/>
  <c r="CD55" i="29" s="1"/>
  <c r="CB42" i="29"/>
  <c r="CB55" i="29" s="1"/>
  <c r="CC42" i="29"/>
  <c r="CC55" i="29" s="1"/>
  <c r="CL42" i="29"/>
  <c r="CE42" i="29"/>
  <c r="CE55" i="29" s="1"/>
  <c r="BY53" i="29"/>
  <c r="BZ53" i="29" s="1"/>
  <c r="BH176" i="51"/>
  <c r="CA16" i="51"/>
  <c r="BY82" i="51"/>
  <c r="CA47" i="51"/>
  <c r="CA52" i="51"/>
  <c r="CA55" i="51" s="1"/>
  <c r="AO205" i="51"/>
  <c r="AO203" i="51"/>
  <c r="BH157" i="51"/>
  <c r="I156" i="51"/>
  <c r="BM176" i="51"/>
  <c r="BS188" i="51"/>
  <c r="CI182" i="51"/>
  <c r="AC23" i="3"/>
  <c r="AC29" i="3" s="1"/>
  <c r="AE50" i="3"/>
  <c r="AH35" i="3"/>
  <c r="AN51" i="3"/>
  <c r="AH21" i="3"/>
  <c r="AH151" i="106" s="1"/>
  <c r="AH152" i="106" s="1"/>
  <c r="AH153" i="106" s="1"/>
  <c r="AH23" i="3"/>
  <c r="AH38" i="3"/>
  <c r="AT18" i="29"/>
  <c r="AT19" i="29" s="1"/>
  <c r="AT21" i="29" s="1"/>
  <c r="BG37" i="29"/>
  <c r="BG64" i="29"/>
  <c r="AY64" i="29"/>
  <c r="BZ60" i="29"/>
  <c r="AU34" i="29"/>
  <c r="AV34" i="29" s="1"/>
  <c r="AU62" i="29"/>
  <c r="AV62" i="29" s="1"/>
  <c r="CC47" i="29"/>
  <c r="CC60" i="29" s="1"/>
  <c r="CL47" i="29"/>
  <c r="CB47" i="29"/>
  <c r="CB60" i="29" s="1"/>
  <c r="CE47" i="29"/>
  <c r="CE60" i="29" s="1"/>
  <c r="CD47" i="29"/>
  <c r="CD60" i="29" s="1"/>
  <c r="BW208" i="51"/>
  <c r="BQ211" i="51"/>
  <c r="BO158" i="51"/>
  <c r="CA43" i="51"/>
  <c r="CG45" i="51" s="1"/>
  <c r="BM174" i="51"/>
  <c r="CA14" i="51"/>
  <c r="S172" i="51"/>
  <c r="CD208" i="51"/>
  <c r="BX211" i="51"/>
  <c r="CE50" i="51"/>
  <c r="CA50" i="51"/>
  <c r="BN174" i="51"/>
  <c r="CA45" i="51"/>
  <c r="BY208" i="51"/>
  <c r="BS211" i="51"/>
  <c r="BG175" i="51"/>
  <c r="BX180" i="51"/>
  <c r="BX182" i="51"/>
  <c r="CD32" i="51"/>
  <c r="AU51" i="3"/>
  <c r="AU35" i="3"/>
  <c r="AT35" i="3"/>
  <c r="AT51" i="3"/>
  <c r="AG51" i="3"/>
  <c r="AG35" i="3"/>
  <c r="AM51" i="3"/>
  <c r="Q93" i="3"/>
  <c r="S181" i="3"/>
  <c r="AT21" i="3"/>
  <c r="AT151" i="106" s="1"/>
  <c r="AT152" i="106" s="1"/>
  <c r="AT153" i="106" s="1"/>
  <c r="AT38" i="3"/>
  <c r="AT23" i="3"/>
  <c r="BH51" i="3"/>
  <c r="BH35" i="3"/>
  <c r="AU23" i="3"/>
  <c r="AU21" i="3"/>
  <c r="AU151" i="106" s="1"/>
  <c r="AU152" i="106" s="1"/>
  <c r="AU153" i="106" s="1"/>
  <c r="AU38" i="3"/>
  <c r="CC77" i="3"/>
  <c r="CD77" i="3"/>
  <c r="CE77" i="3"/>
  <c r="CM77" i="3"/>
  <c r="CF77" i="3"/>
  <c r="AE134" i="3"/>
  <c r="AE135" i="3" s="1"/>
  <c r="AE179" i="3"/>
  <c r="AE12" i="3"/>
  <c r="AE36" i="3"/>
  <c r="AE180" i="3" s="1"/>
  <c r="AE20" i="3"/>
  <c r="AK37" i="3"/>
  <c r="AK50" i="3"/>
  <c r="Q39" i="3"/>
  <c r="BX74" i="3"/>
  <c r="BA51" i="3"/>
  <c r="BI175" i="3"/>
  <c r="BI176" i="3"/>
  <c r="X21" i="3"/>
  <c r="X151" i="106" s="1"/>
  <c r="X152" i="106" s="1"/>
  <c r="X153" i="106" s="1"/>
  <c r="X23" i="3"/>
  <c r="X38" i="3"/>
  <c r="Q64" i="3"/>
  <c r="Q52" i="3"/>
  <c r="CI167" i="3"/>
  <c r="CI166" i="3" s="1"/>
  <c r="CI131" i="3" s="1"/>
  <c r="CC166" i="3"/>
  <c r="CC131" i="3" s="1"/>
  <c r="X35" i="3"/>
  <c r="AD51" i="3"/>
  <c r="X51" i="3"/>
  <c r="AJ51" i="3"/>
  <c r="AJ35" i="3"/>
  <c r="AP51" i="3"/>
  <c r="BN51" i="3"/>
  <c r="AJ21" i="3"/>
  <c r="AJ151" i="106" s="1"/>
  <c r="AJ152" i="106" s="1"/>
  <c r="AJ153" i="106" s="1"/>
  <c r="AJ38" i="3"/>
  <c r="AJ23" i="3"/>
  <c r="BH21" i="3"/>
  <c r="BH151" i="106" s="1"/>
  <c r="BH152" i="106" s="1"/>
  <c r="BH153" i="106" s="1"/>
  <c r="BH38" i="3"/>
  <c r="BH23" i="3"/>
  <c r="BN52" i="3" s="1"/>
  <c r="AG21" i="3"/>
  <c r="AG151" i="106" s="1"/>
  <c r="AG152" i="106" s="1"/>
  <c r="AG153" i="106" s="1"/>
  <c r="AG23" i="3"/>
  <c r="AG38" i="3"/>
  <c r="BL64" i="29"/>
  <c r="BS157" i="106"/>
  <c r="BS53" i="29"/>
  <c r="BA55" i="29"/>
  <c r="BB55" i="29" s="1"/>
  <c r="BA27" i="29"/>
  <c r="BB27" i="29" s="1"/>
  <c r="AV25" i="29"/>
  <c r="AZ18" i="29"/>
  <c r="AZ19" i="29" s="1"/>
  <c r="AZ21" i="29" s="1"/>
  <c r="BA25" i="29"/>
  <c r="BA53" i="29"/>
  <c r="CC48" i="29"/>
  <c r="CC61" i="29" s="1"/>
  <c r="CB48" i="29"/>
  <c r="CB61" i="29" s="1"/>
  <c r="CE48" i="29"/>
  <c r="CE61" i="29" s="1"/>
  <c r="CD48" i="29"/>
  <c r="CD61" i="29" s="1"/>
  <c r="CL48" i="29"/>
  <c r="AP54" i="29"/>
  <c r="AP64" i="29" s="1"/>
  <c r="CI10" i="29"/>
  <c r="BX16" i="29"/>
  <c r="BX63" i="29" s="1"/>
  <c r="CD49" i="29"/>
  <c r="CD62" i="29" s="1"/>
  <c r="CL49" i="29"/>
  <c r="CB49" i="29"/>
  <c r="CB62" i="29" s="1"/>
  <c r="CC49" i="29"/>
  <c r="CC62" i="29" s="1"/>
  <c r="CE49" i="29"/>
  <c r="CE62" i="29" s="1"/>
  <c r="CB40" i="29"/>
  <c r="CD40" i="29"/>
  <c r="CL40" i="29"/>
  <c r="CE40" i="29"/>
  <c r="CC40" i="29"/>
  <c r="BV11" i="29"/>
  <c r="BV58" i="29" s="1"/>
  <c r="AU35" i="29"/>
  <c r="AV35" i="29" s="1"/>
  <c r="AU63" i="29"/>
  <c r="CH44" i="29"/>
  <c r="CH57" i="29" s="1"/>
  <c r="CK44" i="29"/>
  <c r="CI44" i="29"/>
  <c r="CJ44" i="29"/>
  <c r="BX12" i="29"/>
  <c r="BX59" i="29" s="1"/>
  <c r="BM26" i="29"/>
  <c r="BM54" i="29"/>
  <c r="BN54" i="29" s="1"/>
  <c r="BL18" i="29"/>
  <c r="BL19" i="29" s="1"/>
  <c r="BL21" i="29" s="1"/>
  <c r="BL22" i="29" s="1"/>
  <c r="BZ6" i="29"/>
  <c r="BM32" i="29"/>
  <c r="BN32" i="29" s="1"/>
  <c r="BM60" i="29"/>
  <c r="BN60" i="29" s="1"/>
  <c r="AU30" i="29"/>
  <c r="AV30" i="29" s="1"/>
  <c r="AU58" i="29"/>
  <c r="AV58" i="29" s="1"/>
  <c r="BK64" i="29"/>
  <c r="CI46" i="29"/>
  <c r="CJ46" i="29"/>
  <c r="CK46" i="29"/>
  <c r="BA33" i="29"/>
  <c r="BB33" i="29" s="1"/>
  <c r="BA61" i="29"/>
  <c r="BB61" i="29" s="1"/>
  <c r="CJ43" i="29"/>
  <c r="CI43" i="29"/>
  <c r="CH43" i="29"/>
  <c r="CK43" i="29"/>
  <c r="CF57" i="29"/>
  <c r="BM34" i="29"/>
  <c r="BN34" i="29" s="1"/>
  <c r="BM62" i="29"/>
  <c r="BN62" i="29" s="1"/>
  <c r="BZ62" i="29"/>
  <c r="AZ53" i="29"/>
  <c r="AZ64" i="29" s="1"/>
  <c r="BZ61" i="29"/>
  <c r="AU32" i="29"/>
  <c r="AV32" i="29" s="1"/>
  <c r="AU60" i="29"/>
  <c r="BM28" i="29"/>
  <c r="BN28" i="29" s="1"/>
  <c r="BM56" i="29"/>
  <c r="BN56" i="29" s="1"/>
  <c r="CH15" i="29"/>
  <c r="CK14" i="29"/>
  <c r="CL14" i="29" s="1"/>
  <c r="AV53" i="29"/>
  <c r="CJ13" i="29"/>
  <c r="BT9" i="29"/>
  <c r="AP26" i="29"/>
  <c r="AP37" i="29" s="1"/>
  <c r="AO37" i="29"/>
  <c r="CB50" i="29"/>
  <c r="CC50" i="29"/>
  <c r="CE50" i="29"/>
  <c r="CL50" i="29"/>
  <c r="CD50" i="29"/>
  <c r="AU59" i="29"/>
  <c r="AV59" i="29" s="1"/>
  <c r="AU31" i="29"/>
  <c r="AV31" i="29" s="1"/>
  <c r="AT63" i="29"/>
  <c r="AT60" i="29"/>
  <c r="CK151" i="51"/>
  <c r="CI150" i="51"/>
  <c r="CI79" i="51"/>
  <c r="CI189" i="51"/>
  <c r="BX79" i="51"/>
  <c r="BX150" i="51"/>
  <c r="BX189" i="51"/>
  <c r="CL7" i="51"/>
  <c r="Q205" i="51"/>
  <c r="BX188" i="51"/>
  <c r="Y172" i="51"/>
  <c r="CI188" i="51"/>
  <c r="J205" i="51"/>
  <c r="BO155" i="51"/>
  <c r="BO160" i="51"/>
  <c r="BO88" i="51"/>
  <c r="BO169" i="51"/>
  <c r="BO170" i="51"/>
  <c r="BO167" i="51"/>
  <c r="BO165" i="51"/>
  <c r="BO166" i="51"/>
  <c r="BO171" i="51"/>
  <c r="BO168" i="51"/>
  <c r="BO172" i="51"/>
  <c r="BZ36" i="51"/>
  <c r="BT78" i="51"/>
  <c r="V205" i="51"/>
  <c r="V203" i="51"/>
  <c r="CD82" i="51"/>
  <c r="Q156" i="51"/>
  <c r="G169" i="51"/>
  <c r="G171" i="51"/>
  <c r="G166" i="51"/>
  <c r="G170" i="51"/>
  <c r="G167" i="51"/>
  <c r="G175" i="51"/>
  <c r="G165" i="51"/>
  <c r="G174" i="51"/>
  <c r="G160" i="51"/>
  <c r="G176" i="51"/>
  <c r="G172" i="51"/>
  <c r="K205" i="51"/>
  <c r="CJ14" i="51"/>
  <c r="BM175" i="51"/>
  <c r="AS160" i="51"/>
  <c r="AS170" i="51"/>
  <c r="AS164" i="51"/>
  <c r="AS166" i="51"/>
  <c r="AS167" i="51"/>
  <c r="AS176" i="51"/>
  <c r="AS204" i="51"/>
  <c r="AS155" i="51"/>
  <c r="AS171" i="51"/>
  <c r="AS175" i="51"/>
  <c r="AS165" i="51"/>
  <c r="AS169" i="51"/>
  <c r="AS174" i="51"/>
  <c r="AY155" i="51"/>
  <c r="M172" i="51"/>
  <c r="CF43" i="51"/>
  <c r="BN176" i="51"/>
  <c r="AS191" i="51"/>
  <c r="AT191" i="51"/>
  <c r="AW190" i="51"/>
  <c r="AV191" i="51"/>
  <c r="AU191" i="51"/>
  <c r="CE43" i="51"/>
  <c r="BX33" i="51"/>
  <c r="AY59" i="118" s="1"/>
  <c r="BW88" i="51"/>
  <c r="BW155" i="51"/>
  <c r="BW167" i="51"/>
  <c r="BW172" i="51"/>
  <c r="BW169" i="51"/>
  <c r="BW171" i="51"/>
  <c r="BW170" i="51"/>
  <c r="BW204" i="51"/>
  <c r="BW166" i="51"/>
  <c r="BW165" i="51"/>
  <c r="BW168" i="51"/>
  <c r="CC158" i="51"/>
  <c r="BI88" i="51"/>
  <c r="BI155" i="51"/>
  <c r="BI160" i="51"/>
  <c r="BI170" i="51"/>
  <c r="BI166" i="51"/>
  <c r="BI169" i="51"/>
  <c r="BI171" i="51"/>
  <c r="BI165" i="51"/>
  <c r="BI167" i="51"/>
  <c r="BI172" i="51"/>
  <c r="CJ36" i="51"/>
  <c r="CD78" i="51"/>
  <c r="CJ151" i="51"/>
  <c r="CJ43" i="51"/>
  <c r="BR154" i="51"/>
  <c r="BM193" i="51"/>
  <c r="BL193" i="51"/>
  <c r="BK193" i="51"/>
  <c r="BN193" i="51"/>
  <c r="BO195" i="51"/>
  <c r="M164" i="51"/>
  <c r="W156" i="51"/>
  <c r="BY78" i="51"/>
  <c r="BY58" i="51" s="1"/>
  <c r="CE36" i="51"/>
  <c r="G168" i="51"/>
  <c r="AJ158" i="51"/>
  <c r="AE160" i="51"/>
  <c r="AE169" i="51"/>
  <c r="AE171" i="51"/>
  <c r="AE165" i="51"/>
  <c r="AE170" i="51"/>
  <c r="AE174" i="51"/>
  <c r="AE176" i="51"/>
  <c r="AE166" i="51"/>
  <c r="AE175" i="51"/>
  <c r="AE164" i="51"/>
  <c r="AE155" i="51"/>
  <c r="AE203" i="51"/>
  <c r="AE202" i="51" s="1"/>
  <c r="AE167" i="51"/>
  <c r="AJ156" i="51"/>
  <c r="R210" i="51"/>
  <c r="R203" i="51" s="1"/>
  <c r="O210" i="51"/>
  <c r="O203" i="51" s="1"/>
  <c r="P210" i="51"/>
  <c r="P203" i="51" s="1"/>
  <c r="M210" i="51"/>
  <c r="M203" i="51" s="1"/>
  <c r="M202" i="51" s="1"/>
  <c r="Q210" i="51"/>
  <c r="Q203" i="51" s="1"/>
  <c r="BG205" i="51"/>
  <c r="BG201" i="51"/>
  <c r="BG202" i="51"/>
  <c r="BG203" i="51"/>
  <c r="CE14" i="51"/>
  <c r="AD156" i="51"/>
  <c r="Y160" i="51"/>
  <c r="Y155" i="51"/>
  <c r="Y170" i="51"/>
  <c r="Y166" i="51"/>
  <c r="AD158" i="51"/>
  <c r="Y169" i="51"/>
  <c r="Y174" i="51"/>
  <c r="Y175" i="51"/>
  <c r="Y203" i="51"/>
  <c r="Y202" i="51" s="1"/>
  <c r="Y171" i="51"/>
  <c r="Y165" i="51"/>
  <c r="Y176" i="51"/>
  <c r="Y167" i="51"/>
  <c r="M160" i="51"/>
  <c r="M169" i="51"/>
  <c r="M166" i="51"/>
  <c r="M165" i="51"/>
  <c r="M175" i="51"/>
  <c r="M167" i="51"/>
  <c r="M155" i="51"/>
  <c r="M170" i="51"/>
  <c r="M176" i="51"/>
  <c r="M171" i="51"/>
  <c r="M174" i="51"/>
  <c r="L205" i="51"/>
  <c r="BN175" i="51"/>
  <c r="CF209" i="51"/>
  <c r="BZ211" i="51"/>
  <c r="R205" i="51"/>
  <c r="U205" i="51"/>
  <c r="U203" i="51"/>
  <c r="AH203" i="51"/>
  <c r="AH205" i="51"/>
  <c r="AQ155" i="51"/>
  <c r="AV156" i="51"/>
  <c r="AQ167" i="51"/>
  <c r="AQ160" i="51"/>
  <c r="AQ169" i="51"/>
  <c r="AQ176" i="51"/>
  <c r="AQ165" i="51"/>
  <c r="AQ166" i="51"/>
  <c r="AQ175" i="51"/>
  <c r="AV158" i="51"/>
  <c r="AQ174" i="51"/>
  <c r="AQ203" i="51"/>
  <c r="AQ202" i="51" s="1"/>
  <c r="AQ171" i="51"/>
  <c r="AQ170" i="51"/>
  <c r="AQ172" i="51"/>
  <c r="BF196" i="51"/>
  <c r="BE196" i="51"/>
  <c r="BH196" i="51"/>
  <c r="BG196" i="51"/>
  <c r="BI193" i="51"/>
  <c r="BU15" i="51"/>
  <c r="BU17" i="51" s="1"/>
  <c r="BU28" i="51"/>
  <c r="CF14" i="51"/>
  <c r="BS189" i="51"/>
  <c r="CI187" i="51"/>
  <c r="C205" i="51"/>
  <c r="BX187" i="51"/>
  <c r="AK155" i="51"/>
  <c r="AK160" i="51"/>
  <c r="AK170" i="51"/>
  <c r="AK164" i="51"/>
  <c r="AK166" i="51"/>
  <c r="AK171" i="51"/>
  <c r="AK169" i="51"/>
  <c r="AP158" i="51"/>
  <c r="AK175" i="51"/>
  <c r="AK165" i="51"/>
  <c r="AK203" i="51"/>
  <c r="AK202" i="51" s="1"/>
  <c r="AK167" i="51"/>
  <c r="AK174" i="51"/>
  <c r="AP156" i="51"/>
  <c r="AK176" i="51"/>
  <c r="AK172" i="51"/>
  <c r="CI29" i="51"/>
  <c r="CI149" i="51"/>
  <c r="BM201" i="51"/>
  <c r="BM203" i="51"/>
  <c r="BM202" i="51"/>
  <c r="BM205" i="51"/>
  <c r="CI209" i="51"/>
  <c r="BN202" i="51"/>
  <c r="BN203" i="51"/>
  <c r="BN201" i="51"/>
  <c r="BN205" i="51"/>
  <c r="AE172" i="51"/>
  <c r="AI205" i="51"/>
  <c r="AI203" i="51"/>
  <c r="AW196" i="51"/>
  <c r="CC154" i="51"/>
  <c r="Y164" i="51"/>
  <c r="S155" i="51"/>
  <c r="S160" i="51"/>
  <c r="S171" i="51"/>
  <c r="S165" i="51"/>
  <c r="S167" i="51"/>
  <c r="S169" i="51"/>
  <c r="S166" i="51"/>
  <c r="S174" i="51"/>
  <c r="S164" i="51"/>
  <c r="S176" i="51"/>
  <c r="S175" i="51"/>
  <c r="S170" i="51"/>
  <c r="S203" i="51"/>
  <c r="S202" i="51" s="1"/>
  <c r="BH205" i="51"/>
  <c r="BH201" i="51"/>
  <c r="BH203" i="51"/>
  <c r="BH202" i="51"/>
  <c r="CD81" i="51"/>
  <c r="BG176" i="51"/>
  <c r="E29" i="3"/>
  <c r="E24" i="3"/>
  <c r="E39" i="3"/>
  <c r="E93" i="3"/>
  <c r="E64" i="3"/>
  <c r="BF24" i="3"/>
  <c r="BF39" i="3"/>
  <c r="BF29" i="3"/>
  <c r="BF64" i="3"/>
  <c r="BF93" i="3"/>
  <c r="L35" i="3"/>
  <c r="L51" i="3"/>
  <c r="R51" i="3"/>
  <c r="BC12" i="3"/>
  <c r="BC20" i="3"/>
  <c r="BC36" i="3"/>
  <c r="BC180" i="3" s="1"/>
  <c r="BC50" i="3"/>
  <c r="BC37" i="3"/>
  <c r="BC134" i="3"/>
  <c r="BC135" i="3" s="1"/>
  <c r="BC94" i="3"/>
  <c r="BC179" i="3"/>
  <c r="BC176" i="3"/>
  <c r="BI50" i="3"/>
  <c r="BI37" i="3"/>
  <c r="BA24" i="3"/>
  <c r="BA39" i="3"/>
  <c r="BA29" i="3"/>
  <c r="BA93" i="3"/>
  <c r="BA64" i="3"/>
  <c r="BG52" i="3"/>
  <c r="I96" i="3"/>
  <c r="AZ35" i="3"/>
  <c r="AZ51" i="3"/>
  <c r="AI24" i="3"/>
  <c r="AI29" i="3"/>
  <c r="AI39" i="3"/>
  <c r="AI64" i="3"/>
  <c r="AI93" i="3"/>
  <c r="BL52" i="3"/>
  <c r="AO52" i="3"/>
  <c r="AZ23" i="3"/>
  <c r="AZ38" i="3"/>
  <c r="AZ21" i="3"/>
  <c r="AZ151" i="106" s="1"/>
  <c r="AZ152" i="106" s="1"/>
  <c r="AZ153" i="106" s="1"/>
  <c r="W96" i="3"/>
  <c r="AW12" i="3"/>
  <c r="AW20" i="3"/>
  <c r="AW36" i="3"/>
  <c r="AW180" i="3" s="1"/>
  <c r="AW50" i="3"/>
  <c r="AW37" i="3"/>
  <c r="AW176" i="3"/>
  <c r="AW134" i="3"/>
  <c r="AW135" i="3" s="1"/>
  <c r="AW179" i="3"/>
  <c r="AQ175" i="3"/>
  <c r="AQ176" i="3"/>
  <c r="BN29" i="3"/>
  <c r="BN39" i="3"/>
  <c r="BN64" i="3"/>
  <c r="BN93" i="3"/>
  <c r="L21" i="3"/>
  <c r="L151" i="106" s="1"/>
  <c r="L152" i="106" s="1"/>
  <c r="L153" i="106" s="1"/>
  <c r="L38" i="3"/>
  <c r="L23" i="3"/>
  <c r="J53" i="3"/>
  <c r="AQ29" i="3"/>
  <c r="AQ39" i="3"/>
  <c r="AQ93" i="3"/>
  <c r="K96" i="3"/>
  <c r="AB29" i="3"/>
  <c r="AB52" i="3"/>
  <c r="AB24" i="3"/>
  <c r="AB39" i="3"/>
  <c r="AB64" i="3"/>
  <c r="AB93" i="3"/>
  <c r="BC126" i="3"/>
  <c r="BC111" i="3"/>
  <c r="BC112" i="3" s="1"/>
  <c r="BI118" i="3"/>
  <c r="S173" i="3"/>
  <c r="Y172" i="3"/>
  <c r="S21" i="3"/>
  <c r="S151" i="106" s="1"/>
  <c r="S152" i="106" s="1"/>
  <c r="S153" i="106" s="1"/>
  <c r="S23" i="3"/>
  <c r="S38" i="3"/>
  <c r="AY24" i="3"/>
  <c r="AY39" i="3"/>
  <c r="AY29" i="3"/>
  <c r="AY52" i="3"/>
  <c r="AY64" i="3"/>
  <c r="AY93" i="3"/>
  <c r="BF51" i="3"/>
  <c r="M7" i="3"/>
  <c r="CD76" i="3"/>
  <c r="CF76" i="3"/>
  <c r="CC76" i="3"/>
  <c r="CE76" i="3"/>
  <c r="CM76" i="3"/>
  <c r="CG74" i="3"/>
  <c r="S35" i="3"/>
  <c r="F21" i="3"/>
  <c r="F151" i="106" s="1"/>
  <c r="F152" i="106" s="1"/>
  <c r="F153" i="106" s="1"/>
  <c r="F23" i="3"/>
  <c r="F38" i="3"/>
  <c r="P53" i="3"/>
  <c r="P96" i="3"/>
  <c r="AV24" i="3"/>
  <c r="E193" i="3"/>
  <c r="AK39" i="3"/>
  <c r="AK29" i="3"/>
  <c r="AK93" i="3"/>
  <c r="BC116" i="3"/>
  <c r="AW106" i="3"/>
  <c r="AW107" i="3" s="1"/>
  <c r="U96" i="3"/>
  <c r="CL129" i="3"/>
  <c r="K52" i="3"/>
  <c r="Y181" i="3"/>
  <c r="AT25" i="118" l="1"/>
  <c r="CA70" i="3"/>
  <c r="BG94" i="106"/>
  <c r="BG97" i="106" s="1"/>
  <c r="C79" i="3"/>
  <c r="BB65" i="107"/>
  <c r="BB96" i="3"/>
  <c r="BM154" i="106"/>
  <c r="AS92" i="3"/>
  <c r="BM53" i="3"/>
  <c r="AS79" i="3"/>
  <c r="BS64" i="29"/>
  <c r="BT16" i="3" s="1"/>
  <c r="AT64" i="29"/>
  <c r="BR19" i="29"/>
  <c r="BR21" i="29" s="1"/>
  <c r="BS18" i="29"/>
  <c r="BS72" i="107"/>
  <c r="BS71" i="107"/>
  <c r="BS82" i="107" s="1"/>
  <c r="AK24" i="3"/>
  <c r="AV56" i="106"/>
  <c r="AV57" i="106"/>
  <c r="AV93" i="3"/>
  <c r="AQ64" i="3"/>
  <c r="AQ66" i="3" s="1"/>
  <c r="AQ67" i="3" s="1"/>
  <c r="AK57" i="106"/>
  <c r="AQ56" i="106"/>
  <c r="M62" i="106"/>
  <c r="BB52" i="3"/>
  <c r="AQ52" i="3"/>
  <c r="AK56" i="106"/>
  <c r="AV64" i="3"/>
  <c r="AV66" i="3" s="1"/>
  <c r="AV79" i="3" s="1"/>
  <c r="O66" i="3"/>
  <c r="O79" i="3" s="1"/>
  <c r="AV39" i="3"/>
  <c r="C67" i="3"/>
  <c r="C95" i="3" s="1"/>
  <c r="AV29" i="3"/>
  <c r="M35" i="3"/>
  <c r="M64" i="106"/>
  <c r="AO94" i="106"/>
  <c r="AO97" i="106" s="1"/>
  <c r="BF43" i="3"/>
  <c r="BF159" i="51"/>
  <c r="U159" i="51"/>
  <c r="N65" i="118" s="1"/>
  <c r="BS141" i="3"/>
  <c r="BS148" i="3" s="1"/>
  <c r="BS149" i="3" s="1"/>
  <c r="BL46" i="3"/>
  <c r="BS159" i="3"/>
  <c r="BS167" i="3"/>
  <c r="BS161" i="3"/>
  <c r="BS170" i="3"/>
  <c r="BS171" i="3" s="1"/>
  <c r="BS143" i="3"/>
  <c r="BS150" i="3" s="1"/>
  <c r="AS53" i="3"/>
  <c r="D66" i="3"/>
  <c r="D67" i="3" s="1"/>
  <c r="AM65" i="107"/>
  <c r="BG96" i="3"/>
  <c r="AO181" i="3"/>
  <c r="BQ92" i="3"/>
  <c r="AW168" i="3"/>
  <c r="AT80" i="118"/>
  <c r="AT39" i="118" s="1"/>
  <c r="U21" i="118"/>
  <c r="AU142" i="3"/>
  <c r="AU141" i="3" s="1"/>
  <c r="AT142" i="3"/>
  <c r="AT141" i="3" s="1"/>
  <c r="AS142" i="3"/>
  <c r="AS141" i="3" s="1"/>
  <c r="AW124" i="3"/>
  <c r="AW125" i="3" s="1"/>
  <c r="BY59" i="51"/>
  <c r="BY61" i="51" s="1"/>
  <c r="AC79" i="118"/>
  <c r="AD80" i="118" s="1"/>
  <c r="AD39" i="118" s="1"/>
  <c r="AH69" i="118"/>
  <c r="AH79" i="118" s="1"/>
  <c r="AI80" i="118" s="1"/>
  <c r="AI39" i="118" s="1"/>
  <c r="X156" i="51"/>
  <c r="Q21" i="118"/>
  <c r="AE92" i="118"/>
  <c r="AE93" i="118" s="1"/>
  <c r="BC176" i="51"/>
  <c r="BF157" i="51"/>
  <c r="BF45" i="3" s="1"/>
  <c r="BF182" i="3" s="1"/>
  <c r="AY156" i="51"/>
  <c r="CG23" i="51"/>
  <c r="BC174" i="51"/>
  <c r="AH5" i="118"/>
  <c r="AH21" i="118" s="1"/>
  <c r="BT187" i="51"/>
  <c r="BT58" i="51"/>
  <c r="BC175" i="51"/>
  <c r="O65" i="107"/>
  <c r="BX154" i="51"/>
  <c r="CO165" i="3"/>
  <c r="CP165" i="3"/>
  <c r="CP167" i="3"/>
  <c r="BQ94" i="106"/>
  <c r="BQ97" i="106" s="1"/>
  <c r="V65" i="107"/>
  <c r="AA53" i="3"/>
  <c r="BQ79" i="3"/>
  <c r="BQ67" i="3"/>
  <c r="BQ95" i="3" s="1"/>
  <c r="AA65" i="107"/>
  <c r="AA96" i="3"/>
  <c r="C65" i="107"/>
  <c r="C96" i="3"/>
  <c r="BH71" i="107"/>
  <c r="BH82" i="107" s="1"/>
  <c r="V192" i="3"/>
  <c r="V193" i="3" s="1"/>
  <c r="X45" i="3"/>
  <c r="X182" i="3" s="1"/>
  <c r="CJ71" i="51"/>
  <c r="CD58" i="51"/>
  <c r="CD59" i="51" s="1"/>
  <c r="CD61" i="51" s="1"/>
  <c r="CC59" i="51"/>
  <c r="CC61" i="51" s="1"/>
  <c r="CL71" i="51"/>
  <c r="BU63" i="51"/>
  <c r="CK71" i="51"/>
  <c r="CA72" i="51"/>
  <c r="CA75" i="51" s="1"/>
  <c r="CA76" i="51" s="1"/>
  <c r="CG74" i="51"/>
  <c r="CG73" i="51"/>
  <c r="CG71" i="51"/>
  <c r="CI58" i="51"/>
  <c r="BC109" i="3"/>
  <c r="BO81" i="51"/>
  <c r="BC31" i="51"/>
  <c r="BY33" i="51"/>
  <c r="AR17" i="118"/>
  <c r="AY193" i="51"/>
  <c r="BA193" i="51"/>
  <c r="CA22" i="51"/>
  <c r="CA24" i="51" s="1"/>
  <c r="BT31" i="51"/>
  <c r="K43" i="3"/>
  <c r="V183" i="3"/>
  <c r="AK21" i="118"/>
  <c r="BE52" i="118"/>
  <c r="CG25" i="51"/>
  <c r="AM96" i="3"/>
  <c r="V94" i="106"/>
  <c r="V97" i="106" s="1"/>
  <c r="BB94" i="106"/>
  <c r="BB97" i="106" s="1"/>
  <c r="BL94" i="106"/>
  <c r="BL97" i="106" s="1"/>
  <c r="O58" i="106"/>
  <c r="P94" i="106"/>
  <c r="P97" i="106" s="1"/>
  <c r="BS88" i="51"/>
  <c r="BU149" i="51"/>
  <c r="CG21" i="51"/>
  <c r="CM23" i="51" s="1"/>
  <c r="AO65" i="118"/>
  <c r="CA26" i="51"/>
  <c r="CL21" i="51"/>
  <c r="O192" i="3"/>
  <c r="AV80" i="118"/>
  <c r="AV39" i="118" s="1"/>
  <c r="AW80" i="118"/>
  <c r="AW39" i="118" s="1"/>
  <c r="BL8" i="107"/>
  <c r="BL25" i="107" s="1"/>
  <c r="BL92" i="3"/>
  <c r="J92" i="3"/>
  <c r="C58" i="106"/>
  <c r="V53" i="3"/>
  <c r="AO65" i="107"/>
  <c r="G64" i="106"/>
  <c r="J95" i="3"/>
  <c r="W183" i="3"/>
  <c r="BL65" i="107"/>
  <c r="Y38" i="3"/>
  <c r="O183" i="3"/>
  <c r="AM94" i="106"/>
  <c r="AM97" i="106" s="1"/>
  <c r="W192" i="3"/>
  <c r="BR53" i="3"/>
  <c r="BE39" i="3"/>
  <c r="V96" i="3"/>
  <c r="BD40" i="118"/>
  <c r="CG9" i="51"/>
  <c r="CG7" i="51"/>
  <c r="CM9" i="51" s="1"/>
  <c r="CG11" i="51"/>
  <c r="BE82" i="118"/>
  <c r="BE40" i="118" s="1"/>
  <c r="BH154" i="106"/>
  <c r="BH173" i="106"/>
  <c r="BH174" i="106"/>
  <c r="AC154" i="106"/>
  <c r="AC174" i="106"/>
  <c r="AC173" i="106"/>
  <c r="BE154" i="106"/>
  <c r="BE174" i="106"/>
  <c r="BE173" i="106"/>
  <c r="L154" i="106"/>
  <c r="L174" i="106"/>
  <c r="L173" i="106"/>
  <c r="AZ154" i="106"/>
  <c r="AZ173" i="106"/>
  <c r="AZ174" i="106"/>
  <c r="AJ154" i="106"/>
  <c r="AJ174" i="106"/>
  <c r="AJ173" i="106"/>
  <c r="AD154" i="106"/>
  <c r="AD174" i="106"/>
  <c r="AD173" i="106"/>
  <c r="AN154" i="106"/>
  <c r="AN173" i="106"/>
  <c r="AN174" i="106"/>
  <c r="BB58" i="106"/>
  <c r="BG58" i="106"/>
  <c r="K58" i="106"/>
  <c r="Q58" i="106"/>
  <c r="F154" i="106"/>
  <c r="F173" i="106"/>
  <c r="F174" i="106"/>
  <c r="AU154" i="106"/>
  <c r="AU173" i="106"/>
  <c r="AU174" i="106"/>
  <c r="AH154" i="106"/>
  <c r="AH174" i="106"/>
  <c r="AH173" i="106"/>
  <c r="BK154" i="106"/>
  <c r="BK174" i="106"/>
  <c r="BK173" i="106"/>
  <c r="R154" i="106"/>
  <c r="R174" i="106"/>
  <c r="R173" i="106"/>
  <c r="AI154" i="106"/>
  <c r="AI173" i="106"/>
  <c r="AI174" i="106"/>
  <c r="D58" i="106"/>
  <c r="U58" i="106"/>
  <c r="AY58" i="106"/>
  <c r="BA58" i="106"/>
  <c r="BF58" i="106"/>
  <c r="W58" i="106"/>
  <c r="BQ58" i="106"/>
  <c r="AG154" i="106"/>
  <c r="AG173" i="106"/>
  <c r="AG174" i="106"/>
  <c r="X154" i="106"/>
  <c r="X174" i="106"/>
  <c r="X173" i="106"/>
  <c r="BM58" i="106"/>
  <c r="E58" i="106"/>
  <c r="AV154" i="106"/>
  <c r="AV173" i="106"/>
  <c r="AV174" i="106"/>
  <c r="BN58" i="106"/>
  <c r="AO58" i="106"/>
  <c r="BI152" i="106"/>
  <c r="BI153" i="106" s="1"/>
  <c r="I58" i="106"/>
  <c r="S154" i="106"/>
  <c r="S174" i="106"/>
  <c r="S173" i="106"/>
  <c r="AT154" i="106"/>
  <c r="AT173" i="106"/>
  <c r="AT174" i="106"/>
  <c r="AP154" i="106"/>
  <c r="AP173" i="106"/>
  <c r="AP174" i="106"/>
  <c r="P58" i="106"/>
  <c r="AQ154" i="106"/>
  <c r="AQ173" i="106"/>
  <c r="AQ174" i="106"/>
  <c r="AK154" i="106"/>
  <c r="AK173" i="106"/>
  <c r="AK174" i="106"/>
  <c r="AB58" i="106"/>
  <c r="BL58" i="106"/>
  <c r="K159" i="51"/>
  <c r="I183" i="3"/>
  <c r="I192" i="3"/>
  <c r="BO159" i="51"/>
  <c r="BR88" i="51"/>
  <c r="BR160" i="51"/>
  <c r="Q192" i="3"/>
  <c r="Q193" i="3" s="1"/>
  <c r="Q183" i="3"/>
  <c r="CD29" i="51"/>
  <c r="CA8" i="51"/>
  <c r="CA10" i="51" s="1"/>
  <c r="CC164" i="51"/>
  <c r="AQ157" i="51"/>
  <c r="P43" i="3"/>
  <c r="BL45" i="3"/>
  <c r="BL182" i="3" s="1"/>
  <c r="AG183" i="3"/>
  <c r="L45" i="3"/>
  <c r="L182" i="3" s="1"/>
  <c r="L192" i="3" s="1"/>
  <c r="L193" i="3" s="1"/>
  <c r="V43" i="3"/>
  <c r="AW160" i="51"/>
  <c r="AN65" i="118"/>
  <c r="AC45" i="3"/>
  <c r="AC182" i="3" s="1"/>
  <c r="AA45" i="3"/>
  <c r="AA182" i="3" s="1"/>
  <c r="AM183" i="3"/>
  <c r="AM192" i="3"/>
  <c r="BB190" i="51"/>
  <c r="AD43" i="3"/>
  <c r="CK7" i="51"/>
  <c r="BI156" i="51"/>
  <c r="BH45" i="3"/>
  <c r="BH182" i="3" s="1"/>
  <c r="V159" i="51"/>
  <c r="AB45" i="3"/>
  <c r="AB182" i="3" s="1"/>
  <c r="AN45" i="3"/>
  <c r="AN182" i="3" s="1"/>
  <c r="U183" i="3"/>
  <c r="U192" i="3"/>
  <c r="BA190" i="51"/>
  <c r="BR168" i="3"/>
  <c r="BX167" i="3"/>
  <c r="AQ168" i="3"/>
  <c r="AP43" i="3"/>
  <c r="AZ190" i="51"/>
  <c r="BO157" i="51"/>
  <c r="BM44" i="3"/>
  <c r="BN45" i="3"/>
  <c r="BN182" i="3" s="1"/>
  <c r="P192" i="3"/>
  <c r="K183" i="3"/>
  <c r="K192" i="3"/>
  <c r="BB45" i="3"/>
  <c r="BB182" i="3" s="1"/>
  <c r="BR165" i="3"/>
  <c r="AH45" i="3"/>
  <c r="AH182" i="3" s="1"/>
  <c r="Y157" i="51"/>
  <c r="AE157" i="51"/>
  <c r="BR171" i="3"/>
  <c r="BX170" i="3"/>
  <c r="AK157" i="51"/>
  <c r="S157" i="51"/>
  <c r="AJ43" i="3"/>
  <c r="AW175" i="51"/>
  <c r="BD50" i="118"/>
  <c r="J192" i="3"/>
  <c r="BG45" i="3"/>
  <c r="BG182" i="3" s="1"/>
  <c r="AI45" i="3"/>
  <c r="AI182" i="3" s="1"/>
  <c r="BQ45" i="3"/>
  <c r="BQ182" i="3" s="1"/>
  <c r="BA157" i="51"/>
  <c r="AS65" i="118"/>
  <c r="AS157" i="51"/>
  <c r="AO45" i="3"/>
  <c r="AO182" i="3" s="1"/>
  <c r="AV43" i="3"/>
  <c r="M157" i="51"/>
  <c r="AM65" i="118"/>
  <c r="J183" i="3"/>
  <c r="R45" i="3"/>
  <c r="R182" i="3" s="1"/>
  <c r="S182" i="3" s="1"/>
  <c r="BO43" i="3"/>
  <c r="BK45" i="3"/>
  <c r="BK182" i="3" s="1"/>
  <c r="AU45" i="3"/>
  <c r="AU182" i="3" s="1"/>
  <c r="BR151" i="3"/>
  <c r="BR154" i="3"/>
  <c r="BR155" i="3" s="1"/>
  <c r="AT45" i="3"/>
  <c r="AT182" i="3" s="1"/>
  <c r="BZ21" i="3"/>
  <c r="BY151" i="106"/>
  <c r="CJ16" i="107"/>
  <c r="CJ158" i="106"/>
  <c r="CK34" i="106"/>
  <c r="CM10" i="106"/>
  <c r="CM168" i="106" s="1"/>
  <c r="CL168" i="106"/>
  <c r="I94" i="106"/>
  <c r="I97" i="106" s="1"/>
  <c r="O96" i="3"/>
  <c r="U53" i="3"/>
  <c r="CK35" i="106"/>
  <c r="CK159" i="106" s="1"/>
  <c r="CI31" i="51"/>
  <c r="CI80" i="51"/>
  <c r="BM45" i="3"/>
  <c r="BM182" i="3" s="1"/>
  <c r="P159" i="51"/>
  <c r="P44" i="3" s="1"/>
  <c r="BC236" i="51"/>
  <c r="BB193" i="51"/>
  <c r="AZ193" i="51"/>
  <c r="BC155" i="51"/>
  <c r="AM25" i="118"/>
  <c r="AM63" i="118"/>
  <c r="AR75" i="118"/>
  <c r="AR65" i="118"/>
  <c r="Y21" i="3"/>
  <c r="Y151" i="106" s="1"/>
  <c r="Y152" i="106" s="1"/>
  <c r="Y153" i="106" s="1"/>
  <c r="BF181" i="3"/>
  <c r="M181" i="3"/>
  <c r="AG181" i="3"/>
  <c r="AU181" i="3"/>
  <c r="G62" i="106"/>
  <c r="F193" i="3"/>
  <c r="AA66" i="3"/>
  <c r="AA94" i="106"/>
  <c r="AA97" i="106" s="1"/>
  <c r="G193" i="3"/>
  <c r="M51" i="3"/>
  <c r="AK181" i="3"/>
  <c r="Q53" i="3"/>
  <c r="L181" i="3"/>
  <c r="AK124" i="3"/>
  <c r="AQ125" i="3" s="1"/>
  <c r="BG79" i="3"/>
  <c r="AC181" i="3"/>
  <c r="AC21" i="118"/>
  <c r="AK79" i="118"/>
  <c r="AK80" i="118" s="1"/>
  <c r="AK39" i="118" s="1"/>
  <c r="BD41" i="118"/>
  <c r="AR80" i="118"/>
  <c r="AR39" i="118" s="1"/>
  <c r="CA19" i="51"/>
  <c r="BU166" i="3"/>
  <c r="BU131" i="3"/>
  <c r="BU78" i="51"/>
  <c r="BU187" i="51" s="1"/>
  <c r="BZ180" i="51"/>
  <c r="BZ33" i="51"/>
  <c r="BA69" i="118" s="1"/>
  <c r="BA79" i="118" s="1"/>
  <c r="BY149" i="51"/>
  <c r="CD181" i="51"/>
  <c r="BX31" i="51"/>
  <c r="CJ32" i="51"/>
  <c r="CA38" i="51"/>
  <c r="BU16" i="3"/>
  <c r="Y51" i="3"/>
  <c r="Y64" i="106"/>
  <c r="AQ80" i="118"/>
  <c r="AQ39" i="118" s="1"/>
  <c r="AW171" i="51"/>
  <c r="AW155" i="51"/>
  <c r="AF92" i="118"/>
  <c r="AF45" i="118" s="1"/>
  <c r="AX80" i="118"/>
  <c r="AX39" i="118" s="1"/>
  <c r="CA40" i="51"/>
  <c r="BW157" i="51"/>
  <c r="BU37" i="51"/>
  <c r="BU39" i="51" s="1"/>
  <c r="BE93" i="3"/>
  <c r="J79" i="3"/>
  <c r="BE24" i="3"/>
  <c r="AC93" i="3"/>
  <c r="AK176" i="3"/>
  <c r="BK64" i="3"/>
  <c r="BK94" i="106" s="1"/>
  <c r="BK97" i="106" s="1"/>
  <c r="W92" i="3"/>
  <c r="AI52" i="3"/>
  <c r="AC52" i="3"/>
  <c r="AD181" i="3"/>
  <c r="I79" i="3"/>
  <c r="BK29" i="3"/>
  <c r="BK65" i="107" s="1"/>
  <c r="M23" i="3"/>
  <c r="M24" i="3" s="1"/>
  <c r="AO67" i="3"/>
  <c r="AO95" i="3" s="1"/>
  <c r="AC24" i="3"/>
  <c r="BE57" i="106"/>
  <c r="AN21" i="118"/>
  <c r="BE64" i="3"/>
  <c r="BE52" i="3"/>
  <c r="BE29" i="3"/>
  <c r="BE65" i="107" s="1"/>
  <c r="BK52" i="3"/>
  <c r="M38" i="3"/>
  <c r="M21" i="3"/>
  <c r="M151" i="106" s="1"/>
  <c r="M152" i="106" s="1"/>
  <c r="M153" i="106" s="1"/>
  <c r="Y35" i="3"/>
  <c r="P92" i="3"/>
  <c r="BK93" i="3"/>
  <c r="BK39" i="3"/>
  <c r="AO79" i="3"/>
  <c r="Y23" i="3"/>
  <c r="Y56" i="106" s="1"/>
  <c r="AM79" i="3"/>
  <c r="BG67" i="3"/>
  <c r="U94" i="106"/>
  <c r="U97" i="106" s="1"/>
  <c r="AJ80" i="118"/>
  <c r="AJ39" i="118" s="1"/>
  <c r="AW168" i="51"/>
  <c r="BI81" i="51"/>
  <c r="CD180" i="51"/>
  <c r="CD182" i="51"/>
  <c r="CJ30" i="51"/>
  <c r="R156" i="51"/>
  <c r="AW164" i="51"/>
  <c r="AW167" i="51"/>
  <c r="AW170" i="51"/>
  <c r="CA48" i="51"/>
  <c r="BE44" i="118"/>
  <c r="BA84" i="118"/>
  <c r="BA41" i="118" s="1"/>
  <c r="Y21" i="118"/>
  <c r="AN79" i="118"/>
  <c r="U92" i="3"/>
  <c r="U67" i="3"/>
  <c r="U79" i="3"/>
  <c r="BL79" i="3"/>
  <c r="BL67" i="3"/>
  <c r="BL95" i="3" s="1"/>
  <c r="AK175" i="3"/>
  <c r="I67" i="3"/>
  <c r="P67" i="3"/>
  <c r="P95" i="3" s="1"/>
  <c r="AC39" i="3"/>
  <c r="AM92" i="3"/>
  <c r="BO21" i="3"/>
  <c r="BO151" i="106" s="1"/>
  <c r="BO152" i="106" s="1"/>
  <c r="BO153" i="106" s="1"/>
  <c r="V79" i="3"/>
  <c r="CF74" i="3"/>
  <c r="Y127" i="3"/>
  <c r="AE167" i="3"/>
  <c r="AE174" i="3"/>
  <c r="BF154" i="3"/>
  <c r="BF155" i="3" s="1"/>
  <c r="BZ166" i="3"/>
  <c r="BZ131" i="3" s="1"/>
  <c r="BY180" i="51"/>
  <c r="CE32" i="51"/>
  <c r="CE30" i="51"/>
  <c r="BY29" i="51"/>
  <c r="BZ182" i="51"/>
  <c r="CF30" i="51"/>
  <c r="BZ149" i="51"/>
  <c r="BY181" i="51"/>
  <c r="BY182" i="51"/>
  <c r="BB79" i="3"/>
  <c r="BM154" i="3"/>
  <c r="BM155" i="3" s="1"/>
  <c r="K56" i="106"/>
  <c r="S77" i="106"/>
  <c r="K57" i="106"/>
  <c r="BE154" i="3"/>
  <c r="BE155" i="3" s="1"/>
  <c r="BB67" i="3"/>
  <c r="X181" i="3"/>
  <c r="AP181" i="3"/>
  <c r="BK154" i="3"/>
  <c r="BK155" i="3" s="1"/>
  <c r="AQ133" i="106"/>
  <c r="AQ134" i="106" s="1"/>
  <c r="BM73" i="107"/>
  <c r="BN69" i="107" s="1"/>
  <c r="BN72" i="107" s="1"/>
  <c r="K95" i="3"/>
  <c r="W95" i="3"/>
  <c r="V95" i="3"/>
  <c r="AV65" i="107"/>
  <c r="BA66" i="3"/>
  <c r="BA79" i="3" s="1"/>
  <c r="BA94" i="106"/>
  <c r="BA97" i="106" s="1"/>
  <c r="BB181" i="3"/>
  <c r="AV181" i="3"/>
  <c r="BB9" i="118"/>
  <c r="BB73" i="118"/>
  <c r="AJ57" i="106"/>
  <c r="AJ56" i="106"/>
  <c r="I159" i="51"/>
  <c r="I43" i="3"/>
  <c r="BM58" i="107"/>
  <c r="BM82" i="106"/>
  <c r="AE127" i="3"/>
  <c r="J77" i="106"/>
  <c r="BC113" i="3"/>
  <c r="BA65" i="107"/>
  <c r="BF66" i="3"/>
  <c r="BF67" i="3" s="1"/>
  <c r="BF94" i="106"/>
  <c r="BF97" i="106" s="1"/>
  <c r="W159" i="51"/>
  <c r="W43" i="3"/>
  <c r="AT57" i="106"/>
  <c r="AT56" i="106"/>
  <c r="CD33" i="51"/>
  <c r="W92" i="118"/>
  <c r="W45" i="118" s="1"/>
  <c r="AM79" i="118"/>
  <c r="AO9" i="118"/>
  <c r="AO73" i="118"/>
  <c r="AR9" i="118"/>
  <c r="AR63" i="118" s="1"/>
  <c r="AR73" i="118"/>
  <c r="AN56" i="106"/>
  <c r="AN57" i="106"/>
  <c r="AN93" i="3"/>
  <c r="AN24" i="3"/>
  <c r="AN64" i="3"/>
  <c r="AN29" i="3"/>
  <c r="AN39" i="3"/>
  <c r="AP57" i="106"/>
  <c r="AP56" i="106"/>
  <c r="AP24" i="3"/>
  <c r="AP29" i="3"/>
  <c r="AV53" i="3" s="1"/>
  <c r="AP64" i="3"/>
  <c r="AP39" i="3"/>
  <c r="AP93" i="3"/>
  <c r="AN17" i="118"/>
  <c r="BG44" i="3"/>
  <c r="BG46" i="3" s="1"/>
  <c r="AN75" i="118"/>
  <c r="AK66" i="3"/>
  <c r="AK79" i="3" s="1"/>
  <c r="AK94" i="106"/>
  <c r="AB65" i="107"/>
  <c r="L56" i="106"/>
  <c r="L57" i="106"/>
  <c r="BF65" i="107"/>
  <c r="Q159" i="51"/>
  <c r="Q43" i="3"/>
  <c r="AW176" i="51"/>
  <c r="Q66" i="3"/>
  <c r="Q67" i="3" s="1"/>
  <c r="Q94" i="106"/>
  <c r="Q97" i="106" s="1"/>
  <c r="AE51" i="3"/>
  <c r="AE62" i="106"/>
  <c r="AE64" i="106"/>
  <c r="AJ181" i="3"/>
  <c r="AH57" i="106"/>
  <c r="AH56" i="106"/>
  <c r="CL50" i="51"/>
  <c r="CL30" i="107"/>
  <c r="CM30" i="107" s="1"/>
  <c r="AM17" i="118"/>
  <c r="BF44" i="3"/>
  <c r="BF46" i="3" s="1"/>
  <c r="AM75" i="118"/>
  <c r="BO23" i="3"/>
  <c r="CC156" i="51"/>
  <c r="BQ181" i="3"/>
  <c r="BK181" i="3"/>
  <c r="AD24" i="3"/>
  <c r="AD57" i="106"/>
  <c r="AD56" i="106"/>
  <c r="AD29" i="3"/>
  <c r="AD39" i="3"/>
  <c r="AD93" i="3"/>
  <c r="AD64" i="3"/>
  <c r="BE54" i="118"/>
  <c r="CL86" i="51"/>
  <c r="CF151" i="51"/>
  <c r="CG151" i="51" s="1"/>
  <c r="CG86" i="51"/>
  <c r="S127" i="3"/>
  <c r="M127" i="3"/>
  <c r="AU146" i="3"/>
  <c r="AU145" i="3" s="1"/>
  <c r="AV146" i="3"/>
  <c r="AV145" i="3" s="1"/>
  <c r="AS146" i="3"/>
  <c r="AS145" i="3" s="1"/>
  <c r="AT146" i="3"/>
  <c r="AT145" i="3" s="1"/>
  <c r="BC49" i="118"/>
  <c r="AO21" i="118"/>
  <c r="AM21" i="118"/>
  <c r="BS73" i="107"/>
  <c r="BT69" i="107" s="1"/>
  <c r="CL167" i="3"/>
  <c r="AS95" i="3"/>
  <c r="AG79" i="118"/>
  <c r="BE84" i="118"/>
  <c r="BE41" i="118" s="1"/>
  <c r="AQ127" i="3"/>
  <c r="BK57" i="106"/>
  <c r="BK56" i="106"/>
  <c r="BQ57" i="107"/>
  <c r="BQ81" i="106"/>
  <c r="BQ50" i="107"/>
  <c r="BQ24" i="3"/>
  <c r="BY188" i="51"/>
  <c r="AZ53" i="118"/>
  <c r="BN44" i="3"/>
  <c r="AS17" i="118"/>
  <c r="AS75" i="118"/>
  <c r="AE45" i="118"/>
  <c r="BX20" i="29"/>
  <c r="BX28" i="106"/>
  <c r="AS9" i="118"/>
  <c r="AS63" i="118" s="1"/>
  <c r="AS73" i="118"/>
  <c r="AN181" i="3"/>
  <c r="AH181" i="3"/>
  <c r="S56" i="106"/>
  <c r="S57" i="106"/>
  <c r="AQ65" i="107"/>
  <c r="AW181" i="3"/>
  <c r="E96" i="3"/>
  <c r="E65" i="107"/>
  <c r="AU55" i="118"/>
  <c r="BT36" i="107"/>
  <c r="BE181" i="3"/>
  <c r="R80" i="118"/>
  <c r="R39" i="118" s="1"/>
  <c r="Q80" i="118"/>
  <c r="Q39" i="118" s="1"/>
  <c r="AW165" i="3"/>
  <c r="AW155" i="3"/>
  <c r="BI23" i="3"/>
  <c r="BI38" i="3"/>
  <c r="BE43" i="3"/>
  <c r="BE157" i="51"/>
  <c r="BE159" i="51"/>
  <c r="V92" i="3"/>
  <c r="K79" i="3"/>
  <c r="AY66" i="3"/>
  <c r="AY67" i="3" s="1"/>
  <c r="AY94" i="106"/>
  <c r="AY97" i="106" s="1"/>
  <c r="Y166" i="3"/>
  <c r="G21" i="3"/>
  <c r="G151" i="106" s="1"/>
  <c r="G152" i="106" s="1"/>
  <c r="G153" i="106" s="1"/>
  <c r="AW62" i="106"/>
  <c r="AW64" i="106"/>
  <c r="AI65" i="107"/>
  <c r="AW172" i="51"/>
  <c r="BO191" i="51"/>
  <c r="AW174" i="51"/>
  <c r="AW166" i="51"/>
  <c r="AG57" i="106"/>
  <c r="AG56" i="106"/>
  <c r="CA51" i="51"/>
  <c r="CA53" i="51" s="1"/>
  <c r="CA28" i="51"/>
  <c r="CA181" i="51" s="1"/>
  <c r="AC64" i="3"/>
  <c r="AC57" i="106"/>
  <c r="AC56" i="106"/>
  <c r="AK127" i="3"/>
  <c r="AO79" i="118"/>
  <c r="AP80" i="118" s="1"/>
  <c r="AP39" i="118" s="1"/>
  <c r="CL77" i="106"/>
  <c r="BW18" i="106"/>
  <c r="BW13" i="106"/>
  <c r="BW104" i="106"/>
  <c r="BW191" i="3"/>
  <c r="BW42" i="3"/>
  <c r="BW187" i="3"/>
  <c r="BW128" i="3"/>
  <c r="BW185" i="3"/>
  <c r="BW189" i="3"/>
  <c r="BW11" i="106"/>
  <c r="O159" i="51"/>
  <c r="O43" i="3"/>
  <c r="BL154" i="3"/>
  <c r="BL155" i="3" s="1"/>
  <c r="CA87" i="51"/>
  <c r="BQ154" i="3"/>
  <c r="BQ155" i="3" s="1"/>
  <c r="AG21" i="118"/>
  <c r="AZ154" i="3"/>
  <c r="AZ155" i="3" s="1"/>
  <c r="N17" i="118"/>
  <c r="U80" i="118"/>
  <c r="U39" i="118" s="1"/>
  <c r="BH154" i="3"/>
  <c r="BH155" i="3" s="1"/>
  <c r="AY154" i="3"/>
  <c r="AY155" i="3" s="1"/>
  <c r="AV144" i="3"/>
  <c r="AV143" i="3" s="1"/>
  <c r="AS144" i="3"/>
  <c r="AS143" i="3" s="1"/>
  <c r="AU144" i="3"/>
  <c r="AU143" i="3" s="1"/>
  <c r="AT144" i="3"/>
  <c r="AT143" i="3" s="1"/>
  <c r="CK77" i="106"/>
  <c r="CE74" i="3"/>
  <c r="BN65" i="107"/>
  <c r="AI66" i="3"/>
  <c r="AI92" i="3" s="1"/>
  <c r="AI94" i="106"/>
  <c r="AI97" i="106" s="1"/>
  <c r="BI64" i="106"/>
  <c r="BI62" i="106"/>
  <c r="BI35" i="3"/>
  <c r="AO17" i="118"/>
  <c r="AO33" i="118" s="1"/>
  <c r="BH44" i="3"/>
  <c r="BH46" i="3" s="1"/>
  <c r="AO75" i="118"/>
  <c r="AO91" i="118" s="1"/>
  <c r="AK65" i="107"/>
  <c r="K92" i="3"/>
  <c r="R181" i="3"/>
  <c r="Q65" i="107"/>
  <c r="BA49" i="118"/>
  <c r="AX9" i="118"/>
  <c r="AX73" i="118"/>
  <c r="AX87" i="118" s="1"/>
  <c r="R56" i="106"/>
  <c r="R57" i="106"/>
  <c r="R29" i="3"/>
  <c r="R93" i="3"/>
  <c r="R39" i="3"/>
  <c r="R64" i="3"/>
  <c r="R24" i="3"/>
  <c r="AE181" i="3"/>
  <c r="AY65" i="107"/>
  <c r="W79" i="3"/>
  <c r="G38" i="3"/>
  <c r="E66" i="3"/>
  <c r="E92" i="3" s="1"/>
  <c r="E94" i="106"/>
  <c r="E97" i="106" s="1"/>
  <c r="AY157" i="51"/>
  <c r="BZ29" i="51"/>
  <c r="AW53" i="118"/>
  <c r="AW169" i="51"/>
  <c r="BH56" i="106"/>
  <c r="BH57" i="106"/>
  <c r="AZ181" i="3"/>
  <c r="BB90" i="118"/>
  <c r="BB44" i="118" s="1"/>
  <c r="BA90" i="118"/>
  <c r="BA44" i="118" s="1"/>
  <c r="AN9" i="118"/>
  <c r="AN73" i="118"/>
  <c r="BO181" i="3"/>
  <c r="Y79" i="118"/>
  <c r="AS80" i="118"/>
  <c r="AS39" i="118" s="1"/>
  <c r="AI181" i="3"/>
  <c r="AQ73" i="118"/>
  <c r="AQ87" i="118" s="1"/>
  <c r="AQ9" i="118"/>
  <c r="AW171" i="3"/>
  <c r="BC171" i="3"/>
  <c r="AW126" i="3"/>
  <c r="AW127" i="3" s="1"/>
  <c r="BL81" i="106"/>
  <c r="BH73" i="107"/>
  <c r="BG154" i="3"/>
  <c r="BG155" i="3" s="1"/>
  <c r="J159" i="51"/>
  <c r="J43" i="3"/>
  <c r="M79" i="118"/>
  <c r="N80" i="118" s="1"/>
  <c r="N39" i="118" s="1"/>
  <c r="BB5" i="118"/>
  <c r="BB21" i="118" s="1"/>
  <c r="BB69" i="118"/>
  <c r="BB79" i="118" s="1"/>
  <c r="BX80" i="51"/>
  <c r="F57" i="106"/>
  <c r="F56" i="106"/>
  <c r="G23" i="3"/>
  <c r="AZ57" i="106"/>
  <c r="AZ56" i="106"/>
  <c r="AM95" i="3"/>
  <c r="CF28" i="51"/>
  <c r="BE51" i="118"/>
  <c r="L159" i="51"/>
  <c r="L43" i="3"/>
  <c r="CE28" i="51"/>
  <c r="BD51" i="118"/>
  <c r="X57" i="106"/>
  <c r="X56" i="106"/>
  <c r="BA52" i="3"/>
  <c r="AU56" i="106"/>
  <c r="AU57" i="106"/>
  <c r="BA181" i="3"/>
  <c r="BN154" i="3"/>
  <c r="BN155" i="3" s="1"/>
  <c r="AT181" i="3"/>
  <c r="AZ159" i="51"/>
  <c r="AZ43" i="3"/>
  <c r="AZ157" i="51"/>
  <c r="BO51" i="3"/>
  <c r="BO62" i="106"/>
  <c r="BO64" i="106"/>
  <c r="BH181" i="3"/>
  <c r="BN181" i="3"/>
  <c r="BX89" i="106"/>
  <c r="AW108" i="3"/>
  <c r="AV52" i="3"/>
  <c r="M74" i="106"/>
  <c r="M75" i="106"/>
  <c r="M76" i="106"/>
  <c r="I56" i="106"/>
  <c r="J56" i="106"/>
  <c r="I57" i="106"/>
  <c r="J57" i="106"/>
  <c r="AB66" i="3"/>
  <c r="AB92" i="3" s="1"/>
  <c r="AB94" i="106"/>
  <c r="AB97" i="106" s="1"/>
  <c r="Q96" i="3"/>
  <c r="BN66" i="3"/>
  <c r="BN8" i="107" s="1"/>
  <c r="BN25" i="107" s="1"/>
  <c r="BN94" i="106"/>
  <c r="BN97" i="106" s="1"/>
  <c r="BC62" i="106"/>
  <c r="BC64" i="106"/>
  <c r="AC65" i="107"/>
  <c r="CI158" i="51"/>
  <c r="BB55" i="118"/>
  <c r="CC8" i="3"/>
  <c r="CJ82" i="51"/>
  <c r="BC53" i="118"/>
  <c r="AY5" i="118"/>
  <c r="AY21" i="118" s="1"/>
  <c r="AY69" i="118"/>
  <c r="AY79" i="118" s="1"/>
  <c r="AW165" i="51"/>
  <c r="BO35" i="3"/>
  <c r="AM181" i="3"/>
  <c r="CF32" i="51"/>
  <c r="BM80" i="106"/>
  <c r="BA159" i="51"/>
  <c r="BA43" i="3"/>
  <c r="AL9" i="118"/>
  <c r="AL63" i="118" s="1"/>
  <c r="AL73" i="118"/>
  <c r="AP87" i="118" s="1"/>
  <c r="AC25" i="118"/>
  <c r="CJ77" i="106"/>
  <c r="K77" i="106"/>
  <c r="AZ49" i="118"/>
  <c r="AG25" i="118"/>
  <c r="AK25" i="118"/>
  <c r="M21" i="118"/>
  <c r="BA154" i="3"/>
  <c r="BA155" i="3" s="1"/>
  <c r="BB154" i="3"/>
  <c r="BB155" i="3" s="1"/>
  <c r="BW43" i="3"/>
  <c r="BW159" i="51"/>
  <c r="AU80" i="118"/>
  <c r="AU39" i="118" s="1"/>
  <c r="AG54" i="107"/>
  <c r="AH52" i="107"/>
  <c r="AH53" i="107" s="1"/>
  <c r="CG86" i="107"/>
  <c r="CG87" i="107" s="1"/>
  <c r="AM52" i="107"/>
  <c r="AK54" i="107"/>
  <c r="CG37" i="107"/>
  <c r="AD52" i="107"/>
  <c r="AD53" i="107" s="1"/>
  <c r="AD54" i="107" s="1"/>
  <c r="AC54" i="107"/>
  <c r="AK121" i="106"/>
  <c r="AG124" i="106"/>
  <c r="AG125" i="106"/>
  <c r="AK125" i="106" s="1"/>
  <c r="CL29" i="106"/>
  <c r="CL41" i="107" s="1"/>
  <c r="CM41" i="107" s="1"/>
  <c r="CF55" i="29"/>
  <c r="CH42" i="29"/>
  <c r="CH55" i="29" s="1"/>
  <c r="CI42" i="29"/>
  <c r="CI55" i="29" s="1"/>
  <c r="CJ42" i="29"/>
  <c r="CJ55" i="29" s="1"/>
  <c r="CK42" i="29"/>
  <c r="CK55" i="29" s="1"/>
  <c r="CC168" i="51"/>
  <c r="CG54" i="51"/>
  <c r="CC74" i="3"/>
  <c r="CD74" i="3"/>
  <c r="AH29" i="3"/>
  <c r="AH53" i="3" s="1"/>
  <c r="AN52" i="3"/>
  <c r="AH64" i="3"/>
  <c r="AH39" i="3"/>
  <c r="AH93" i="3"/>
  <c r="AH24" i="3"/>
  <c r="AH52" i="3"/>
  <c r="CI47" i="29"/>
  <c r="CI60" i="29" s="1"/>
  <c r="CK47" i="29"/>
  <c r="CH47" i="29"/>
  <c r="CH60" i="29" s="1"/>
  <c r="CJ47" i="29"/>
  <c r="CJ60" i="29" s="1"/>
  <c r="CF61" i="29"/>
  <c r="CF60" i="29"/>
  <c r="CI57" i="29"/>
  <c r="CA44" i="51"/>
  <c r="CA46" i="51" s="1"/>
  <c r="CJ81" i="51"/>
  <c r="CG50" i="51"/>
  <c r="CM52" i="51" s="1"/>
  <c r="CK50" i="51"/>
  <c r="CG18" i="51"/>
  <c r="CE208" i="51"/>
  <c r="BY211" i="51"/>
  <c r="CG16" i="51"/>
  <c r="CE81" i="51"/>
  <c r="BW175" i="51"/>
  <c r="CJ208" i="51"/>
  <c r="CJ211" i="51" s="1"/>
  <c r="CD211" i="51"/>
  <c r="CC208" i="51"/>
  <c r="BW211" i="51"/>
  <c r="CE82" i="51"/>
  <c r="BW176" i="51"/>
  <c r="CG47" i="51"/>
  <c r="CA15" i="51"/>
  <c r="CA17" i="51" s="1"/>
  <c r="CD187" i="51"/>
  <c r="CG52" i="51"/>
  <c r="BI174" i="51"/>
  <c r="AT39" i="3"/>
  <c r="AT24" i="3"/>
  <c r="AT52" i="3"/>
  <c r="AT29" i="3"/>
  <c r="AT93" i="3"/>
  <c r="AT64" i="3"/>
  <c r="AG29" i="3"/>
  <c r="AG39" i="3"/>
  <c r="AM52" i="3"/>
  <c r="AG24" i="3"/>
  <c r="AG64" i="3"/>
  <c r="AG52" i="3"/>
  <c r="AG93" i="3"/>
  <c r="X93" i="3"/>
  <c r="X29" i="3"/>
  <c r="X24" i="3"/>
  <c r="X39" i="3"/>
  <c r="X64" i="3"/>
  <c r="AD52" i="3"/>
  <c r="X52" i="3"/>
  <c r="AU24" i="3"/>
  <c r="AU64" i="3"/>
  <c r="AU93" i="3"/>
  <c r="AU52" i="3"/>
  <c r="AU29" i="3"/>
  <c r="AU39" i="3"/>
  <c r="K53" i="3"/>
  <c r="BH24" i="3"/>
  <c r="BH64" i="3"/>
  <c r="BH93" i="3"/>
  <c r="BH52" i="3"/>
  <c r="BH39" i="3"/>
  <c r="BH29" i="3"/>
  <c r="BN53" i="3" s="1"/>
  <c r="AE35" i="3"/>
  <c r="AK51" i="3"/>
  <c r="AG193" i="3"/>
  <c r="AG196" i="3"/>
  <c r="CI77" i="3"/>
  <c r="CL77" i="3"/>
  <c r="CJ77" i="3"/>
  <c r="CK77" i="3"/>
  <c r="AJ29" i="3"/>
  <c r="AJ93" i="3"/>
  <c r="AJ39" i="3"/>
  <c r="AJ24" i="3"/>
  <c r="AJ64" i="3"/>
  <c r="AJ52" i="3"/>
  <c r="AP52" i="3"/>
  <c r="AE38" i="3"/>
  <c r="AE23" i="3"/>
  <c r="AE21" i="3"/>
  <c r="AE151" i="106" s="1"/>
  <c r="AE152" i="106" s="1"/>
  <c r="AE153" i="106" s="1"/>
  <c r="CH40" i="29"/>
  <c r="CJ40" i="29"/>
  <c r="CI40" i="29"/>
  <c r="CK40" i="29"/>
  <c r="CI15" i="29"/>
  <c r="BY12" i="29"/>
  <c r="BZ12" i="29" s="1"/>
  <c r="BV9" i="29"/>
  <c r="BV56" i="29" s="1"/>
  <c r="CB6" i="29"/>
  <c r="BY16" i="29"/>
  <c r="BZ16" i="29" s="1"/>
  <c r="CI50" i="29"/>
  <c r="CK50" i="29"/>
  <c r="CH50" i="29"/>
  <c r="CJ50" i="29"/>
  <c r="BW11" i="29"/>
  <c r="BW58" i="29" s="1"/>
  <c r="AU64" i="29"/>
  <c r="CK48" i="29"/>
  <c r="CK61" i="29" s="1"/>
  <c r="CH48" i="29"/>
  <c r="CH61" i="29" s="1"/>
  <c r="CI48" i="29"/>
  <c r="CI61" i="29" s="1"/>
  <c r="CJ48" i="29"/>
  <c r="CJ61" i="29" s="1"/>
  <c r="BN64" i="29"/>
  <c r="BT53" i="29"/>
  <c r="BT64" i="29" s="1"/>
  <c r="CF62" i="29"/>
  <c r="AV37" i="29"/>
  <c r="CJ10" i="29"/>
  <c r="CJ57" i="29" s="1"/>
  <c r="AV60" i="29"/>
  <c r="BM64" i="29"/>
  <c r="CH49" i="29"/>
  <c r="CH62" i="29" s="1"/>
  <c r="CI49" i="29"/>
  <c r="CJ49" i="29"/>
  <c r="CK49" i="29"/>
  <c r="BB25" i="29"/>
  <c r="BB37" i="29" s="1"/>
  <c r="BA37" i="29"/>
  <c r="CK13" i="29"/>
  <c r="CL13" i="29" s="1"/>
  <c r="AU37" i="29"/>
  <c r="AV63" i="29"/>
  <c r="BN26" i="29"/>
  <c r="BN37" i="29" s="1"/>
  <c r="BM37" i="29"/>
  <c r="BB53" i="29"/>
  <c r="BB64" i="29" s="1"/>
  <c r="BA64" i="29"/>
  <c r="S204" i="51"/>
  <c r="S209" i="51" s="1"/>
  <c r="AW193" i="51"/>
  <c r="AT196" i="51"/>
  <c r="AU196" i="51"/>
  <c r="AV196" i="51"/>
  <c r="AS196" i="51"/>
  <c r="BU29" i="51"/>
  <c r="BU182" i="51"/>
  <c r="BU180" i="51"/>
  <c r="Y204" i="51"/>
  <c r="Y209" i="51" s="1"/>
  <c r="BR155" i="51"/>
  <c r="BR204" i="51"/>
  <c r="BR167" i="51"/>
  <c r="BR165" i="51"/>
  <c r="BR171" i="51"/>
  <c r="BR170" i="51"/>
  <c r="BR172" i="51"/>
  <c r="BR166" i="51"/>
  <c r="BR169" i="51"/>
  <c r="BX158" i="51"/>
  <c r="CK43" i="51"/>
  <c r="CL43" i="51"/>
  <c r="BU181" i="51"/>
  <c r="AD159" i="51"/>
  <c r="AD157" i="51"/>
  <c r="J210" i="51"/>
  <c r="J203" i="51" s="1"/>
  <c r="K210" i="51"/>
  <c r="K203" i="51" s="1"/>
  <c r="G210" i="51"/>
  <c r="L210" i="51"/>
  <c r="L203" i="51" s="1"/>
  <c r="I210" i="51"/>
  <c r="I203" i="51" s="1"/>
  <c r="BT79" i="51"/>
  <c r="BT150" i="51"/>
  <c r="BU150" i="51" s="1"/>
  <c r="BT189" i="51"/>
  <c r="BT188" i="51"/>
  <c r="BY150" i="51"/>
  <c r="BY79" i="51"/>
  <c r="BY189" i="51"/>
  <c r="CD79" i="51"/>
  <c r="CD150" i="51"/>
  <c r="CD154" i="51" s="1"/>
  <c r="CD189" i="51"/>
  <c r="BI175" i="51"/>
  <c r="BW202" i="51"/>
  <c r="BW203" i="51"/>
  <c r="BW205" i="51"/>
  <c r="BW201" i="51"/>
  <c r="CF36" i="51"/>
  <c r="BZ78" i="51"/>
  <c r="BZ58" i="51" s="1"/>
  <c r="CA36" i="51"/>
  <c r="AS202" i="51"/>
  <c r="AS203" i="51"/>
  <c r="AS205" i="51"/>
  <c r="AS201" i="51"/>
  <c r="BZ81" i="51"/>
  <c r="BO174" i="51"/>
  <c r="CJ28" i="51"/>
  <c r="AP159" i="51"/>
  <c r="AP157" i="51"/>
  <c r="CL209" i="51"/>
  <c r="CL211" i="51" s="1"/>
  <c r="CF211" i="51"/>
  <c r="M204" i="51"/>
  <c r="CK14" i="51"/>
  <c r="CG43" i="51"/>
  <c r="CM45" i="51" s="1"/>
  <c r="CJ78" i="51"/>
  <c r="CA30" i="51"/>
  <c r="AV190" i="51"/>
  <c r="AU190" i="51"/>
  <c r="AS190" i="51"/>
  <c r="AT190" i="51"/>
  <c r="BO175" i="51"/>
  <c r="CC88" i="51"/>
  <c r="CC171" i="51"/>
  <c r="CC155" i="51"/>
  <c r="CC172" i="51"/>
  <c r="CC204" i="51"/>
  <c r="CC166" i="51"/>
  <c r="CC170" i="51"/>
  <c r="CC165" i="51"/>
  <c r="CC167" i="51"/>
  <c r="CC169" i="51"/>
  <c r="BE193" i="51"/>
  <c r="BH193" i="51"/>
  <c r="BG193" i="51"/>
  <c r="BF193" i="51"/>
  <c r="BI195" i="51"/>
  <c r="BI191" i="51" s="1"/>
  <c r="AQ204" i="51"/>
  <c r="AJ159" i="51"/>
  <c r="AJ157" i="51"/>
  <c r="BY187" i="51"/>
  <c r="BW174" i="51"/>
  <c r="CG14" i="51"/>
  <c r="CM16" i="51" s="1"/>
  <c r="BZ82" i="51"/>
  <c r="AK204" i="51"/>
  <c r="AK209" i="51" s="1"/>
  <c r="CL14" i="51"/>
  <c r="BR168" i="51"/>
  <c r="AW253" i="51"/>
  <c r="CI154" i="51"/>
  <c r="AV159" i="51"/>
  <c r="AV157" i="51"/>
  <c r="AE204" i="51"/>
  <c r="AE209" i="51" s="1"/>
  <c r="CE78" i="51"/>
  <c r="CE58" i="51" s="1"/>
  <c r="CE59" i="51" s="1"/>
  <c r="CE61" i="51" s="1"/>
  <c r="CK36" i="51"/>
  <c r="BO194" i="51"/>
  <c r="BL195" i="51"/>
  <c r="BL191" i="51" s="1"/>
  <c r="BM195" i="51"/>
  <c r="BM191" i="51" s="1"/>
  <c r="BN195" i="51"/>
  <c r="BN191" i="51" s="1"/>
  <c r="BK195" i="51"/>
  <c r="BK191" i="51" s="1"/>
  <c r="BR164" i="51"/>
  <c r="CD188" i="51"/>
  <c r="BI176" i="51"/>
  <c r="BO176" i="51"/>
  <c r="CA32" i="51"/>
  <c r="F24" i="3"/>
  <c r="F29" i="3"/>
  <c r="F39" i="3"/>
  <c r="F64" i="3"/>
  <c r="F93" i="3"/>
  <c r="AW51" i="3"/>
  <c r="AW35" i="3"/>
  <c r="CK76" i="3"/>
  <c r="CI76" i="3"/>
  <c r="CL76" i="3"/>
  <c r="CJ76" i="3"/>
  <c r="CM74" i="3"/>
  <c r="AZ24" i="3"/>
  <c r="AZ29" i="3"/>
  <c r="AZ39" i="3"/>
  <c r="AZ52" i="3"/>
  <c r="AZ64" i="3"/>
  <c r="AZ93" i="3"/>
  <c r="AI53" i="3"/>
  <c r="AI96" i="3"/>
  <c r="AY53" i="3"/>
  <c r="AY96" i="3"/>
  <c r="AQ53" i="3"/>
  <c r="AQ96" i="3"/>
  <c r="AW23" i="3"/>
  <c r="AW38" i="3"/>
  <c r="AW21" i="3"/>
  <c r="AW151" i="106" s="1"/>
  <c r="AW152" i="106" s="1"/>
  <c r="AW153" i="106" s="1"/>
  <c r="AC53" i="3"/>
  <c r="AC96" i="3"/>
  <c r="BC51" i="3"/>
  <c r="BC35" i="3"/>
  <c r="BI51" i="3"/>
  <c r="AK96" i="3"/>
  <c r="AO53" i="3"/>
  <c r="S39" i="3"/>
  <c r="S24" i="3"/>
  <c r="S29" i="3"/>
  <c r="S64" i="3"/>
  <c r="S93" i="3"/>
  <c r="BW26" i="3"/>
  <c r="BF96" i="3"/>
  <c r="BC23" i="3"/>
  <c r="BC38" i="3"/>
  <c r="BC21" i="3"/>
  <c r="BC151" i="106" s="1"/>
  <c r="BC152" i="106" s="1"/>
  <c r="BC153" i="106" s="1"/>
  <c r="BI111" i="3"/>
  <c r="BI112" i="3" s="1"/>
  <c r="BO118" i="3"/>
  <c r="BI126" i="3"/>
  <c r="BI127" i="3" s="1"/>
  <c r="BA96" i="3"/>
  <c r="BG53" i="3"/>
  <c r="L24" i="3"/>
  <c r="L39" i="3"/>
  <c r="L52" i="3"/>
  <c r="L64" i="3"/>
  <c r="L93" i="3"/>
  <c r="L29" i="3"/>
  <c r="R52" i="3"/>
  <c r="BN96" i="3"/>
  <c r="BF52" i="3"/>
  <c r="BL53" i="3"/>
  <c r="BC181" i="3"/>
  <c r="BI181" i="3"/>
  <c r="BX70" i="3"/>
  <c r="BW82" i="3"/>
  <c r="AB96" i="3"/>
  <c r="AB53" i="3"/>
  <c r="BC106" i="3"/>
  <c r="BC107" i="3" s="1"/>
  <c r="BC124" i="3"/>
  <c r="BI116" i="3"/>
  <c r="M173" i="3"/>
  <c r="S172" i="3"/>
  <c r="AC80" i="118" l="1"/>
  <c r="AC39" i="118" s="1"/>
  <c r="AY159" i="51"/>
  <c r="BB53" i="3"/>
  <c r="AV96" i="3"/>
  <c r="BK66" i="3"/>
  <c r="BK8" i="107" s="1"/>
  <c r="O92" i="3"/>
  <c r="O67" i="3"/>
  <c r="CG26" i="51"/>
  <c r="BT18" i="29"/>
  <c r="BS19" i="29"/>
  <c r="BS21" i="29" s="1"/>
  <c r="BT33" i="106" s="1"/>
  <c r="BL50" i="107"/>
  <c r="BL80" i="106" s="1"/>
  <c r="BL57" i="107"/>
  <c r="BL58" i="107" s="1"/>
  <c r="AV94" i="106"/>
  <c r="AV97" i="106" s="1"/>
  <c r="AQ94" i="106"/>
  <c r="D95" i="3"/>
  <c r="D79" i="3"/>
  <c r="D92" i="3"/>
  <c r="BF183" i="3"/>
  <c r="N75" i="118"/>
  <c r="R91" i="118" s="1"/>
  <c r="U44" i="3"/>
  <c r="U196" i="3"/>
  <c r="H65" i="118"/>
  <c r="BS168" i="3"/>
  <c r="BY167" i="3"/>
  <c r="X159" i="51"/>
  <c r="X43" i="3"/>
  <c r="BS165" i="3"/>
  <c r="AL79" i="118"/>
  <c r="AM80" i="118" s="1"/>
  <c r="AM39" i="118" s="1"/>
  <c r="BS165" i="51"/>
  <c r="BS151" i="3"/>
  <c r="BS154" i="3"/>
  <c r="BS155" i="3" s="1"/>
  <c r="BZ59" i="51"/>
  <c r="BZ61" i="51" s="1"/>
  <c r="X183" i="3"/>
  <c r="BC125" i="3"/>
  <c r="BS170" i="51"/>
  <c r="BF192" i="3"/>
  <c r="AY43" i="3"/>
  <c r="Y182" i="3"/>
  <c r="Y183" i="3" s="1"/>
  <c r="X192" i="3"/>
  <c r="K196" i="3"/>
  <c r="BT59" i="51"/>
  <c r="BT61" i="51" s="1"/>
  <c r="BU58" i="51"/>
  <c r="AL21" i="118"/>
  <c r="CP118" i="3"/>
  <c r="CO118" i="3"/>
  <c r="Y39" i="3"/>
  <c r="BG183" i="3"/>
  <c r="BH192" i="3"/>
  <c r="BU154" i="51"/>
  <c r="BU88" i="51" s="1"/>
  <c r="CM11" i="51"/>
  <c r="CM12" i="51" s="1"/>
  <c r="BX171" i="51"/>
  <c r="BX8" i="3"/>
  <c r="BX149" i="106" s="1"/>
  <c r="BX172" i="51"/>
  <c r="BX167" i="51"/>
  <c r="CG12" i="51"/>
  <c r="CA58" i="51"/>
  <c r="CG60" i="51" s="1"/>
  <c r="BX166" i="51"/>
  <c r="BX88" i="51"/>
  <c r="BX165" i="51"/>
  <c r="BX168" i="51"/>
  <c r="BX164" i="51"/>
  <c r="BX170" i="51"/>
  <c r="BX204" i="51"/>
  <c r="BX202" i="51" s="1"/>
  <c r="CD158" i="51"/>
  <c r="BX169" i="51"/>
  <c r="BX155" i="51"/>
  <c r="AY55" i="118"/>
  <c r="CJ58" i="51"/>
  <c r="CJ59" i="51" s="1"/>
  <c r="CJ61" i="51" s="1"/>
  <c r="CI83" i="51"/>
  <c r="CM25" i="51"/>
  <c r="CM26" i="51" s="1"/>
  <c r="CG22" i="51"/>
  <c r="CG24" i="51" s="1"/>
  <c r="CP175" i="3"/>
  <c r="BE96" i="3"/>
  <c r="BS171" i="51"/>
  <c r="AV55" i="118"/>
  <c r="BY158" i="51"/>
  <c r="BS172" i="51"/>
  <c r="BN192" i="3"/>
  <c r="BS164" i="51"/>
  <c r="BS168" i="51"/>
  <c r="BS169" i="51"/>
  <c r="BS204" i="51"/>
  <c r="BS203" i="51" s="1"/>
  <c r="BS167" i="51"/>
  <c r="BS166" i="51"/>
  <c r="CI59" i="51"/>
  <c r="CI61" i="51" s="1"/>
  <c r="CM73" i="51"/>
  <c r="CM74" i="51"/>
  <c r="CG72" i="51"/>
  <c r="CG75" i="51" s="1"/>
  <c r="CG76" i="51" s="1"/>
  <c r="CM71" i="51"/>
  <c r="CM72" i="51" s="1"/>
  <c r="BI43" i="3"/>
  <c r="BH183" i="3"/>
  <c r="BO44" i="3"/>
  <c r="BN183" i="3"/>
  <c r="AZ69" i="118"/>
  <c r="AZ79" i="118" s="1"/>
  <c r="BA80" i="118" s="1"/>
  <c r="BA39" i="118" s="1"/>
  <c r="AZ59" i="118"/>
  <c r="AZ5" i="118"/>
  <c r="AZ21" i="118" s="1"/>
  <c r="K44" i="3"/>
  <c r="CG8" i="51"/>
  <c r="CG10" i="51" s="1"/>
  <c r="H17" i="118"/>
  <c r="H33" i="118" s="1"/>
  <c r="H75" i="118"/>
  <c r="W193" i="3"/>
  <c r="W194" i="3" s="1"/>
  <c r="O193" i="3"/>
  <c r="O194" i="3" s="1"/>
  <c r="Y64" i="3"/>
  <c r="Y94" i="106" s="1"/>
  <c r="BL24" i="3"/>
  <c r="Y29" i="3"/>
  <c r="Y53" i="3" s="1"/>
  <c r="BA92" i="3"/>
  <c r="CC175" i="51"/>
  <c r="CD31" i="51"/>
  <c r="CM21" i="51"/>
  <c r="BE66" i="3"/>
  <c r="BE92" i="3" s="1"/>
  <c r="Y174" i="3"/>
  <c r="M57" i="106"/>
  <c r="CE182" i="51"/>
  <c r="BA59" i="118"/>
  <c r="G154" i="106"/>
  <c r="G174" i="106"/>
  <c r="G173" i="106"/>
  <c r="M154" i="106"/>
  <c r="M173" i="106"/>
  <c r="M174" i="106"/>
  <c r="Y154" i="106"/>
  <c r="Y173" i="106"/>
  <c r="Y174" i="106"/>
  <c r="AE154" i="106"/>
  <c r="AE174" i="106"/>
  <c r="AE173" i="106"/>
  <c r="BO154" i="106"/>
  <c r="BO174" i="106"/>
  <c r="BO173" i="106"/>
  <c r="AI58" i="106"/>
  <c r="R58" i="106"/>
  <c r="AU58" i="106"/>
  <c r="AZ58" i="106"/>
  <c r="L58" i="106"/>
  <c r="BE58" i="106"/>
  <c r="BC154" i="106"/>
  <c r="BC174" i="106"/>
  <c r="BC173" i="106"/>
  <c r="AG58" i="106"/>
  <c r="BH58" i="106"/>
  <c r="AQ58" i="106"/>
  <c r="AT58" i="106"/>
  <c r="S58" i="106"/>
  <c r="BI154" i="106"/>
  <c r="BI174" i="106"/>
  <c r="BI173" i="106"/>
  <c r="AH58" i="106"/>
  <c r="AJ58" i="106"/>
  <c r="AW154" i="106"/>
  <c r="AW174" i="106"/>
  <c r="AW173" i="106"/>
  <c r="AK58" i="106"/>
  <c r="AP58" i="106"/>
  <c r="AV58" i="106"/>
  <c r="X58" i="106"/>
  <c r="BK58" i="106"/>
  <c r="F58" i="106"/>
  <c r="AN58" i="106"/>
  <c r="AD58" i="106"/>
  <c r="AC58" i="106"/>
  <c r="O75" i="118"/>
  <c r="S91" i="118" s="1"/>
  <c r="AR91" i="118"/>
  <c r="V196" i="3"/>
  <c r="V44" i="3"/>
  <c r="R192" i="3"/>
  <c r="BO182" i="3"/>
  <c r="R183" i="3"/>
  <c r="O17" i="118"/>
  <c r="S33" i="118" s="1"/>
  <c r="P193" i="3"/>
  <c r="P194" i="3" s="1"/>
  <c r="L183" i="3"/>
  <c r="J193" i="3"/>
  <c r="J194" i="3" s="1"/>
  <c r="I193" i="3"/>
  <c r="I194" i="3" s="1"/>
  <c r="BM46" i="3"/>
  <c r="BG192" i="3"/>
  <c r="R159" i="51"/>
  <c r="M17" i="118" s="1"/>
  <c r="BU188" i="51"/>
  <c r="CC43" i="3"/>
  <c r="K65" i="118"/>
  <c r="AA183" i="3"/>
  <c r="AA192" i="3"/>
  <c r="AL65" i="118"/>
  <c r="CD170" i="3"/>
  <c r="BX169" i="3"/>
  <c r="BX132" i="3" s="1"/>
  <c r="CD167" i="3"/>
  <c r="BX166" i="3"/>
  <c r="BX131" i="3" s="1"/>
  <c r="U65" i="118"/>
  <c r="Q75" i="118"/>
  <c r="BE45" i="3"/>
  <c r="BE182" i="3" s="1"/>
  <c r="BY31" i="51"/>
  <c r="L65" i="118"/>
  <c r="CM7" i="51"/>
  <c r="BR43" i="3"/>
  <c r="CA149" i="51"/>
  <c r="BC157" i="51"/>
  <c r="BT170" i="3"/>
  <c r="AB192" i="3"/>
  <c r="AB183" i="3"/>
  <c r="AC192" i="3"/>
  <c r="AC183" i="3"/>
  <c r="AX65" i="118"/>
  <c r="BI159" i="51"/>
  <c r="M45" i="3"/>
  <c r="AH192" i="3"/>
  <c r="AH183" i="3"/>
  <c r="AN192" i="3"/>
  <c r="AN183" i="3"/>
  <c r="CC42" i="3"/>
  <c r="CC149" i="106"/>
  <c r="AJ45" i="3"/>
  <c r="AJ182" i="3" s="1"/>
  <c r="AY45" i="3"/>
  <c r="AY182" i="3" s="1"/>
  <c r="AW157" i="51"/>
  <c r="AO183" i="3"/>
  <c r="AO192" i="3"/>
  <c r="BA45" i="3"/>
  <c r="BA182" i="3" s="1"/>
  <c r="AE45" i="3"/>
  <c r="BO45" i="3"/>
  <c r="U193" i="3"/>
  <c r="O65" i="118"/>
  <c r="AM196" i="3"/>
  <c r="AM193" i="3"/>
  <c r="AQ45" i="3"/>
  <c r="I65" i="118"/>
  <c r="AS45" i="3"/>
  <c r="AS182" i="3" s="1"/>
  <c r="AK45" i="3"/>
  <c r="AD45" i="3"/>
  <c r="AD182" i="3" s="1"/>
  <c r="S45" i="3"/>
  <c r="AV45" i="3"/>
  <c r="AV182" i="3" s="1"/>
  <c r="Y65" i="118"/>
  <c r="AP45" i="3"/>
  <c r="AP182" i="3" s="1"/>
  <c r="AJ65" i="118"/>
  <c r="AH65" i="118"/>
  <c r="AL80" i="118"/>
  <c r="AL39" i="118" s="1"/>
  <c r="BB192" i="3"/>
  <c r="BB183" i="3"/>
  <c r="AI65" i="118"/>
  <c r="AI183" i="3"/>
  <c r="AI192" i="3"/>
  <c r="K193" i="3"/>
  <c r="BL183" i="3"/>
  <c r="BL192" i="3"/>
  <c r="BW45" i="3"/>
  <c r="BW182" i="3" s="1"/>
  <c r="Q65" i="118"/>
  <c r="AU192" i="3"/>
  <c r="AU183" i="3"/>
  <c r="AG65" i="118"/>
  <c r="CI156" i="51"/>
  <c r="CI159" i="51" s="1"/>
  <c r="AC65" i="118"/>
  <c r="BI157" i="51"/>
  <c r="AZ45" i="3"/>
  <c r="AZ182" i="3" s="1"/>
  <c r="R43" i="3"/>
  <c r="F65" i="118"/>
  <c r="M182" i="3"/>
  <c r="AT183" i="3"/>
  <c r="AT192" i="3"/>
  <c r="BK183" i="3"/>
  <c r="BK192" i="3"/>
  <c r="BQ192" i="3"/>
  <c r="BQ183" i="3"/>
  <c r="Y45" i="3"/>
  <c r="CC21" i="3"/>
  <c r="BZ151" i="106"/>
  <c r="CK16" i="107"/>
  <c r="CK158" i="106"/>
  <c r="CL34" i="106"/>
  <c r="M56" i="106"/>
  <c r="S52" i="3"/>
  <c r="BA67" i="3"/>
  <c r="M64" i="3"/>
  <c r="M66" i="3" s="1"/>
  <c r="M79" i="3" s="1"/>
  <c r="M29" i="3"/>
  <c r="M96" i="3" s="1"/>
  <c r="M93" i="3"/>
  <c r="AI79" i="3"/>
  <c r="M39" i="3"/>
  <c r="AB67" i="3"/>
  <c r="AB95" i="3" s="1"/>
  <c r="AI67" i="3"/>
  <c r="CL35" i="106"/>
  <c r="CL159" i="106" s="1"/>
  <c r="W196" i="3"/>
  <c r="P65" i="118"/>
  <c r="BM183" i="3"/>
  <c r="BM192" i="3"/>
  <c r="K75" i="118"/>
  <c r="K17" i="118"/>
  <c r="J196" i="3"/>
  <c r="G65" i="118"/>
  <c r="AQ25" i="118"/>
  <c r="AQ63" i="118"/>
  <c r="AN25" i="118"/>
  <c r="AN63" i="118"/>
  <c r="AX25" i="118"/>
  <c r="AX63" i="118"/>
  <c r="O196" i="3"/>
  <c r="J65" i="118"/>
  <c r="AO25" i="118"/>
  <c r="AO63" i="118"/>
  <c r="P196" i="3"/>
  <c r="CA41" i="51"/>
  <c r="BB95" i="3"/>
  <c r="E67" i="3"/>
  <c r="AK168" i="3"/>
  <c r="Q194" i="3"/>
  <c r="L194" i="3"/>
  <c r="G29" i="3"/>
  <c r="AA92" i="3"/>
  <c r="AA67" i="3"/>
  <c r="AA79" i="3"/>
  <c r="M192" i="3"/>
  <c r="AG194" i="3"/>
  <c r="AE124" i="3"/>
  <c r="AK125" i="3" s="1"/>
  <c r="S183" i="3"/>
  <c r="V194" i="3"/>
  <c r="AF93" i="118"/>
  <c r="BU167" i="3"/>
  <c r="CE149" i="51"/>
  <c r="CE29" i="51"/>
  <c r="CE31" i="51" s="1"/>
  <c r="CK30" i="51"/>
  <c r="BY154" i="51"/>
  <c r="BY171" i="51" s="1"/>
  <c r="BA5" i="118"/>
  <c r="BA21" i="118" s="1"/>
  <c r="BU189" i="51"/>
  <c r="CG48" i="51"/>
  <c r="BU79" i="51"/>
  <c r="CE33" i="51"/>
  <c r="BD69" i="118" s="1"/>
  <c r="CJ33" i="51"/>
  <c r="CK28" i="51"/>
  <c r="CL28" i="51"/>
  <c r="CF181" i="51"/>
  <c r="CK32" i="51"/>
  <c r="CE180" i="51"/>
  <c r="CF33" i="51"/>
  <c r="BE69" i="118" s="1"/>
  <c r="BE79" i="118" s="1"/>
  <c r="CE181" i="51"/>
  <c r="CM50" i="51"/>
  <c r="BR157" i="51"/>
  <c r="AU73" i="118"/>
  <c r="AU87" i="118" s="1"/>
  <c r="AU88" i="118" s="1"/>
  <c r="AU43" i="118" s="1"/>
  <c r="AU9" i="118"/>
  <c r="BR159" i="51"/>
  <c r="BN71" i="107"/>
  <c r="BN82" i="107" s="1"/>
  <c r="BO82" i="107" s="1"/>
  <c r="AN80" i="118"/>
  <c r="AN39" i="118" s="1"/>
  <c r="AQ92" i="3"/>
  <c r="BE53" i="3"/>
  <c r="AV92" i="3"/>
  <c r="BQ53" i="3"/>
  <c r="Y57" i="106"/>
  <c r="BE94" i="106"/>
  <c r="BE97" i="106" s="1"/>
  <c r="BG95" i="3"/>
  <c r="I95" i="3"/>
  <c r="BF92" i="3"/>
  <c r="BK53" i="3"/>
  <c r="BK96" i="3"/>
  <c r="U95" i="3"/>
  <c r="AO80" i="118"/>
  <c r="AO39" i="118" s="1"/>
  <c r="L196" i="3"/>
  <c r="BK92" i="3"/>
  <c r="Y167" i="3"/>
  <c r="Y93" i="3"/>
  <c r="Y52" i="3"/>
  <c r="Y24" i="3"/>
  <c r="AV67" i="3"/>
  <c r="AV95" i="3" s="1"/>
  <c r="BF79" i="3"/>
  <c r="M52" i="3"/>
  <c r="G93" i="3"/>
  <c r="AY79" i="3"/>
  <c r="AE52" i="3"/>
  <c r="AQ88" i="118"/>
  <c r="AQ43" i="118" s="1"/>
  <c r="AR25" i="118"/>
  <c r="AB79" i="3"/>
  <c r="AK67" i="3"/>
  <c r="E79" i="3"/>
  <c r="G64" i="3"/>
  <c r="G94" i="106" s="1"/>
  <c r="BN79" i="3"/>
  <c r="CI74" i="3"/>
  <c r="AS130" i="106"/>
  <c r="AW130" i="106" s="1"/>
  <c r="CG55" i="51"/>
  <c r="BB25" i="118"/>
  <c r="AE176" i="3"/>
  <c r="AE175" i="3"/>
  <c r="CL32" i="51"/>
  <c r="CF182" i="51"/>
  <c r="CL30" i="51"/>
  <c r="CF180" i="51"/>
  <c r="CC157" i="51"/>
  <c r="CF149" i="51"/>
  <c r="CF166" i="3"/>
  <c r="CF131" i="3" s="1"/>
  <c r="CF29" i="51"/>
  <c r="CC159" i="51"/>
  <c r="AK92" i="3"/>
  <c r="M77" i="106"/>
  <c r="BC127" i="3"/>
  <c r="AQ95" i="3"/>
  <c r="AY95" i="3"/>
  <c r="BH66" i="3"/>
  <c r="BH67" i="3" s="1"/>
  <c r="BH94" i="106"/>
  <c r="BH97" i="106" s="1"/>
  <c r="AG65" i="107"/>
  <c r="BT95" i="106"/>
  <c r="BU36" i="107"/>
  <c r="BU95" i="106" s="1"/>
  <c r="AQ91" i="118"/>
  <c r="AQ79" i="3"/>
  <c r="BY80" i="51"/>
  <c r="AD44" i="3"/>
  <c r="U17" i="118"/>
  <c r="U75" i="118"/>
  <c r="P46" i="3"/>
  <c r="AH17" i="118"/>
  <c r="AH33" i="118" s="1"/>
  <c r="AY44" i="3"/>
  <c r="AH75" i="118"/>
  <c r="AH91" i="118" s="1"/>
  <c r="Y80" i="118"/>
  <c r="Y39" i="118" s="1"/>
  <c r="Z80" i="118"/>
  <c r="Z39" i="118" s="1"/>
  <c r="BR185" i="3"/>
  <c r="BR191" i="3"/>
  <c r="BR189" i="3"/>
  <c r="BR187" i="3"/>
  <c r="BY20" i="29"/>
  <c r="BY28" i="106"/>
  <c r="I44" i="3"/>
  <c r="I46" i="3" s="1"/>
  <c r="F17" i="118"/>
  <c r="F33" i="118" s="1"/>
  <c r="F75" i="118"/>
  <c r="S166" i="3"/>
  <c r="L66" i="3"/>
  <c r="L67" i="3" s="1"/>
  <c r="L94" i="106"/>
  <c r="L97" i="106" s="1"/>
  <c r="M97" i="106" s="1"/>
  <c r="BN67" i="3"/>
  <c r="F66" i="3"/>
  <c r="F79" i="3" s="1"/>
  <c r="F94" i="106"/>
  <c r="F97" i="106" s="1"/>
  <c r="G97" i="106" s="1"/>
  <c r="CJ181" i="51"/>
  <c r="CG32" i="51"/>
  <c r="AT66" i="3"/>
  <c r="AT79" i="3" s="1"/>
  <c r="AT94" i="106"/>
  <c r="AT97" i="106" s="1"/>
  <c r="AL25" i="118"/>
  <c r="AP25" i="118"/>
  <c r="AC66" i="3"/>
  <c r="AC94" i="106"/>
  <c r="AC97" i="106" s="1"/>
  <c r="BQ58" i="107"/>
  <c r="BQ82" i="106"/>
  <c r="CL151" i="51"/>
  <c r="CM151" i="51" s="1"/>
  <c r="CM86" i="51"/>
  <c r="AQ33" i="118"/>
  <c r="AN65" i="107"/>
  <c r="AN96" i="3"/>
  <c r="M65" i="107"/>
  <c r="AW56" i="106"/>
  <c r="AW57" i="106"/>
  <c r="G24" i="3"/>
  <c r="CL74" i="3"/>
  <c r="AG17" i="118"/>
  <c r="AV44" i="3"/>
  <c r="AG75" i="118"/>
  <c r="BX83" i="51"/>
  <c r="CM43" i="51"/>
  <c r="AW109" i="3"/>
  <c r="AW110" i="3"/>
  <c r="AX17" i="118"/>
  <c r="AX33" i="118" s="1"/>
  <c r="BW44" i="3"/>
  <c r="BW46" i="3" s="1"/>
  <c r="AX75" i="118"/>
  <c r="AX91" i="118" s="1"/>
  <c r="CC18" i="106"/>
  <c r="CC13" i="106"/>
  <c r="CC104" i="106"/>
  <c r="CC191" i="3"/>
  <c r="CC187" i="3"/>
  <c r="CC185" i="3"/>
  <c r="CC189" i="3"/>
  <c r="CC128" i="3"/>
  <c r="CC11" i="106"/>
  <c r="AI17" i="118"/>
  <c r="AI33" i="118" s="1"/>
  <c r="AZ44" i="3"/>
  <c r="AI75" i="118"/>
  <c r="AI91" i="118" s="1"/>
  <c r="BE49" i="118"/>
  <c r="G17" i="118"/>
  <c r="G33" i="118" s="1"/>
  <c r="J44" i="3"/>
  <c r="J46" i="3" s="1"/>
  <c r="G75" i="118"/>
  <c r="BZ31" i="51"/>
  <c r="AS87" i="118"/>
  <c r="AT88" i="118" s="1"/>
  <c r="AT43" i="118" s="1"/>
  <c r="I196" i="3"/>
  <c r="U46" i="3"/>
  <c r="Q79" i="3"/>
  <c r="Q92" i="3"/>
  <c r="Q44" i="3"/>
  <c r="Q46" i="3" s="1"/>
  <c r="L17" i="118"/>
  <c r="L75" i="118"/>
  <c r="Q196" i="3"/>
  <c r="BS185" i="3"/>
  <c r="AN66" i="3"/>
  <c r="AN94" i="106"/>
  <c r="AN97" i="106" s="1"/>
  <c r="AR87" i="118"/>
  <c r="AR88" i="118" s="1"/>
  <c r="AR43" i="118" s="1"/>
  <c r="BC5" i="118"/>
  <c r="BC21" i="118" s="1"/>
  <c r="BC69" i="118"/>
  <c r="BC79" i="118" s="1"/>
  <c r="BB87" i="118"/>
  <c r="AC17" i="118"/>
  <c r="AP44" i="3"/>
  <c r="AC75" i="118"/>
  <c r="X65" i="107"/>
  <c r="AY80" i="118"/>
  <c r="AY39" i="118" s="1"/>
  <c r="L44" i="3"/>
  <c r="I17" i="118"/>
  <c r="I33" i="118" s="1"/>
  <c r="I75" i="118"/>
  <c r="R65" i="107"/>
  <c r="R96" i="3"/>
  <c r="R33" i="118"/>
  <c r="BI56" i="106"/>
  <c r="BI57" i="106"/>
  <c r="BI29" i="3"/>
  <c r="BI64" i="3"/>
  <c r="BI39" i="3"/>
  <c r="BI24" i="3"/>
  <c r="BI93" i="3"/>
  <c r="BQ80" i="106"/>
  <c r="CG87" i="51"/>
  <c r="BN92" i="3"/>
  <c r="AZ66" i="3"/>
  <c r="AZ92" i="3" s="1"/>
  <c r="AZ94" i="106"/>
  <c r="AZ97" i="106" s="1"/>
  <c r="BC97" i="106" s="1"/>
  <c r="AU66" i="3"/>
  <c r="AU92" i="3" s="1"/>
  <c r="AU94" i="106"/>
  <c r="AU97" i="106" s="1"/>
  <c r="Q95" i="3"/>
  <c r="BC108" i="3"/>
  <c r="BI113" i="3"/>
  <c r="S66" i="3"/>
  <c r="S79" i="3" s="1"/>
  <c r="S94" i="106"/>
  <c r="CI168" i="51"/>
  <c r="CI8" i="3"/>
  <c r="AH66" i="3"/>
  <c r="AH92" i="3" s="1"/>
  <c r="AH94" i="106"/>
  <c r="AH97" i="106" s="1"/>
  <c r="CA180" i="51"/>
  <c r="BM59" i="107"/>
  <c r="BM83" i="106"/>
  <c r="S65" i="107"/>
  <c r="CG30" i="51"/>
  <c r="AJ65" i="107"/>
  <c r="BX156" i="51"/>
  <c r="AR33" i="118"/>
  <c r="R66" i="3"/>
  <c r="R94" i="106"/>
  <c r="R97" i="106" s="1"/>
  <c r="S97" i="106" s="1"/>
  <c r="AS91" i="118"/>
  <c r="AP66" i="3"/>
  <c r="AP94" i="106"/>
  <c r="AP97" i="106" s="1"/>
  <c r="G39" i="3"/>
  <c r="AY92" i="3"/>
  <c r="CJ187" i="51"/>
  <c r="BC55" i="118"/>
  <c r="CD8" i="3"/>
  <c r="CD149" i="106" s="1"/>
  <c r="CA182" i="51"/>
  <c r="BU31" i="51"/>
  <c r="BA53" i="3"/>
  <c r="AU65" i="107"/>
  <c r="AH65" i="107"/>
  <c r="AJ17" i="118"/>
  <c r="AJ33" i="118" s="1"/>
  <c r="BA44" i="3"/>
  <c r="AJ75" i="118"/>
  <c r="BD49" i="118"/>
  <c r="BO97" i="106"/>
  <c r="BN73" i="107"/>
  <c r="J17" i="118"/>
  <c r="O44" i="3"/>
  <c r="O46" i="3" s="1"/>
  <c r="J75" i="118"/>
  <c r="BW11" i="3"/>
  <c r="BW28" i="107"/>
  <c r="AS33" i="118"/>
  <c r="AH80" i="118"/>
  <c r="AH39" i="118" s="1"/>
  <c r="AG80" i="118"/>
  <c r="AG39" i="118" s="1"/>
  <c r="BT72" i="107"/>
  <c r="BU72" i="107" s="1"/>
  <c r="BT71" i="107"/>
  <c r="AP65" i="107"/>
  <c r="AP96" i="3"/>
  <c r="L65" i="107"/>
  <c r="CE188" i="51"/>
  <c r="BD53" i="118"/>
  <c r="Y17" i="118"/>
  <c r="AJ44" i="3"/>
  <c r="Y75" i="118"/>
  <c r="BN81" i="106"/>
  <c r="BN57" i="107"/>
  <c r="BN50" i="107"/>
  <c r="BN24" i="3"/>
  <c r="BY89" i="106"/>
  <c r="P17" i="118"/>
  <c r="W44" i="3"/>
  <c r="W46" i="3" s="1"/>
  <c r="P75" i="118"/>
  <c r="AJ66" i="3"/>
  <c r="AJ92" i="3" s="1"/>
  <c r="AJ94" i="106"/>
  <c r="AJ97" i="106" s="1"/>
  <c r="BF95" i="3"/>
  <c r="BF53" i="3"/>
  <c r="AZ65" i="107"/>
  <c r="F96" i="3"/>
  <c r="F65" i="107"/>
  <c r="CF81" i="51"/>
  <c r="BA53" i="118"/>
  <c r="BS43" i="3"/>
  <c r="BH65" i="107"/>
  <c r="AG66" i="3"/>
  <c r="AG92" i="3" s="1"/>
  <c r="AG94" i="106"/>
  <c r="AG97" i="106" s="1"/>
  <c r="AT65" i="107"/>
  <c r="BB80" i="118"/>
  <c r="BB39" i="118" s="1"/>
  <c r="AS25" i="118"/>
  <c r="AD66" i="3"/>
  <c r="AD94" i="106"/>
  <c r="AD97" i="106" s="1"/>
  <c r="BW36" i="107"/>
  <c r="CK74" i="3"/>
  <c r="AE56" i="106"/>
  <c r="AE57" i="106"/>
  <c r="X66" i="3"/>
  <c r="X79" i="3" s="1"/>
  <c r="X94" i="106"/>
  <c r="X97" i="106" s="1"/>
  <c r="Y97" i="106" s="1"/>
  <c r="CG51" i="51"/>
  <c r="CG53" i="51" s="1"/>
  <c r="BE44" i="3"/>
  <c r="BE46" i="3" s="1"/>
  <c r="AL17" i="118"/>
  <c r="AL75" i="118"/>
  <c r="BC56" i="106"/>
  <c r="BC57" i="106"/>
  <c r="CD80" i="51"/>
  <c r="BT80" i="51"/>
  <c r="CA29" i="51"/>
  <c r="CA31" i="51" s="1"/>
  <c r="CG19" i="51"/>
  <c r="BK25" i="107"/>
  <c r="BO8" i="107"/>
  <c r="BO25" i="107" s="1"/>
  <c r="BN46" i="3"/>
  <c r="AD65" i="107"/>
  <c r="AD96" i="3"/>
  <c r="BO56" i="106"/>
  <c r="BO57" i="106"/>
  <c r="BO29" i="3"/>
  <c r="BO52" i="3"/>
  <c r="BO39" i="3"/>
  <c r="BO64" i="3"/>
  <c r="BO93" i="3"/>
  <c r="K46" i="3"/>
  <c r="AQ52" i="107"/>
  <c r="AQ53" i="107" s="1"/>
  <c r="AM53" i="107"/>
  <c r="AI52" i="107"/>
  <c r="AI53" i="107" s="1"/>
  <c r="AH54" i="107"/>
  <c r="CI87" i="107"/>
  <c r="CG88" i="107"/>
  <c r="CM29" i="106"/>
  <c r="AK126" i="106"/>
  <c r="AK124" i="106"/>
  <c r="CL55" i="29"/>
  <c r="AV64" i="29"/>
  <c r="BZ187" i="51"/>
  <c r="AN53" i="3"/>
  <c r="AH96" i="3"/>
  <c r="CM54" i="51"/>
  <c r="CM55" i="51" s="1"/>
  <c r="CI208" i="51"/>
  <c r="CI211" i="51" s="1"/>
  <c r="CC211" i="51"/>
  <c r="CK208" i="51"/>
  <c r="CK211" i="51" s="1"/>
  <c r="CE211" i="51"/>
  <c r="CG28" i="51"/>
  <c r="CG181" i="51" s="1"/>
  <c r="CM18" i="51"/>
  <c r="AE39" i="3"/>
  <c r="AE24" i="3"/>
  <c r="AE64" i="3"/>
  <c r="AE29" i="3"/>
  <c r="AE93" i="3"/>
  <c r="AK52" i="3"/>
  <c r="AJ96" i="3"/>
  <c r="AP53" i="3"/>
  <c r="AJ53" i="3"/>
  <c r="X96" i="3"/>
  <c r="AD53" i="3"/>
  <c r="X53" i="3"/>
  <c r="AT96" i="3"/>
  <c r="AT53" i="3"/>
  <c r="CJ74" i="3"/>
  <c r="AU96" i="3"/>
  <c r="AU53" i="3"/>
  <c r="AG96" i="3"/>
  <c r="AM53" i="3"/>
  <c r="AG53" i="3"/>
  <c r="BH53" i="3"/>
  <c r="BH96" i="3"/>
  <c r="BV64" i="29"/>
  <c r="BW16" i="3" s="1"/>
  <c r="BY63" i="29"/>
  <c r="BZ63" i="29" s="1"/>
  <c r="BW9" i="29"/>
  <c r="BW56" i="29" s="1"/>
  <c r="BW64" i="29" s="1"/>
  <c r="BX16" i="3" s="1"/>
  <c r="CJ15" i="29"/>
  <c r="CJ62" i="29" s="1"/>
  <c r="CK60" i="29"/>
  <c r="CL60" i="29" s="1"/>
  <c r="CB16" i="29"/>
  <c r="CB63" i="29" s="1"/>
  <c r="BY59" i="29"/>
  <c r="BZ59" i="29" s="1"/>
  <c r="CB12" i="29"/>
  <c r="CC6" i="29"/>
  <c r="CC53" i="29"/>
  <c r="CK10" i="29"/>
  <c r="CL10" i="29" s="1"/>
  <c r="CL61" i="29"/>
  <c r="BX11" i="29"/>
  <c r="CB53" i="29"/>
  <c r="CI62" i="29"/>
  <c r="U209" i="51"/>
  <c r="U202" i="51" s="1"/>
  <c r="V209" i="51"/>
  <c r="V202" i="51" s="1"/>
  <c r="W209" i="51"/>
  <c r="W202" i="51" s="1"/>
  <c r="X209" i="51"/>
  <c r="X202" i="51" s="1"/>
  <c r="R209" i="51"/>
  <c r="R202" i="51" s="1"/>
  <c r="Q209" i="51"/>
  <c r="Q202" i="51" s="1"/>
  <c r="O209" i="51"/>
  <c r="O202" i="51" s="1"/>
  <c r="P209" i="51"/>
  <c r="P202" i="51" s="1"/>
  <c r="CA37" i="51"/>
  <c r="CA39" i="51" s="1"/>
  <c r="CA78" i="51"/>
  <c r="CG40" i="51"/>
  <c r="CK82" i="51"/>
  <c r="AQ208" i="51"/>
  <c r="AQ205" i="51"/>
  <c r="CJ79" i="51"/>
  <c r="CJ150" i="51"/>
  <c r="CJ189" i="51"/>
  <c r="M205" i="51"/>
  <c r="M208" i="51"/>
  <c r="CG38" i="51"/>
  <c r="CK81" i="51"/>
  <c r="AQ209" i="51"/>
  <c r="M209" i="51"/>
  <c r="CJ29" i="51"/>
  <c r="CJ149" i="51"/>
  <c r="CJ180" i="51"/>
  <c r="CJ182" i="51"/>
  <c r="BR175" i="51"/>
  <c r="AE208" i="51"/>
  <c r="AE205" i="51"/>
  <c r="CM47" i="51"/>
  <c r="BH195" i="51"/>
  <c r="BH191" i="51" s="1"/>
  <c r="BI194" i="51"/>
  <c r="BG195" i="51"/>
  <c r="BG191" i="51" s="1"/>
  <c r="BE195" i="51"/>
  <c r="BE191" i="51" s="1"/>
  <c r="BF195" i="51"/>
  <c r="BF191" i="51" s="1"/>
  <c r="BT154" i="51"/>
  <c r="BR176" i="51"/>
  <c r="AS193" i="51"/>
  <c r="AT193" i="51"/>
  <c r="AV193" i="51"/>
  <c r="AU193" i="51"/>
  <c r="AW236" i="51"/>
  <c r="CA33" i="51"/>
  <c r="BZ150" i="51"/>
  <c r="BZ79" i="51"/>
  <c r="BZ189" i="51"/>
  <c r="BZ188" i="51"/>
  <c r="CI155" i="51"/>
  <c r="CI172" i="51"/>
  <c r="CI204" i="51"/>
  <c r="CI88" i="51"/>
  <c r="CI171" i="51"/>
  <c r="CI169" i="51"/>
  <c r="CI166" i="51"/>
  <c r="CI165" i="51"/>
  <c r="CI167" i="51"/>
  <c r="CI170" i="51"/>
  <c r="BN194" i="51"/>
  <c r="BN190" i="51" s="1"/>
  <c r="BK194" i="51"/>
  <c r="BK190" i="51" s="1"/>
  <c r="BL194" i="51"/>
  <c r="BL190" i="51" s="1"/>
  <c r="BM194" i="51"/>
  <c r="BM190" i="51" s="1"/>
  <c r="BO190" i="51"/>
  <c r="AC209" i="51"/>
  <c r="AC202" i="51" s="1"/>
  <c r="AA209" i="51"/>
  <c r="AA202" i="51" s="1"/>
  <c r="AB209" i="51"/>
  <c r="AB202" i="51" s="1"/>
  <c r="AD209" i="51"/>
  <c r="AD202" i="51" s="1"/>
  <c r="AJ209" i="51"/>
  <c r="AJ202" i="51" s="1"/>
  <c r="AG209" i="51"/>
  <c r="AG202" i="51" s="1"/>
  <c r="AH209" i="51"/>
  <c r="AH202" i="51" s="1"/>
  <c r="AI209" i="51"/>
  <c r="AI202" i="51" s="1"/>
  <c r="CA82" i="51"/>
  <c r="CF78" i="51"/>
  <c r="CF58" i="51" s="1"/>
  <c r="CF59" i="51" s="1"/>
  <c r="CF61" i="51" s="1"/>
  <c r="CL36" i="51"/>
  <c r="CG36" i="51"/>
  <c r="CM38" i="51" s="1"/>
  <c r="S208" i="51"/>
  <c r="S205" i="51"/>
  <c r="CD155" i="51"/>
  <c r="CD204" i="51"/>
  <c r="CD171" i="51"/>
  <c r="CD165" i="51"/>
  <c r="CD167" i="51"/>
  <c r="CD88" i="51"/>
  <c r="CD166" i="51"/>
  <c r="CD169" i="51"/>
  <c r="CD170" i="51"/>
  <c r="CD172" i="51"/>
  <c r="CE79" i="51"/>
  <c r="CE150" i="51"/>
  <c r="CE189" i="51"/>
  <c r="CC201" i="51"/>
  <c r="CC205" i="51"/>
  <c r="CC202" i="51"/>
  <c r="CC203" i="51"/>
  <c r="CG44" i="51"/>
  <c r="CG46" i="51" s="1"/>
  <c r="CD168" i="51"/>
  <c r="CJ188" i="51"/>
  <c r="Y205" i="51"/>
  <c r="Y208" i="51"/>
  <c r="CE187" i="51"/>
  <c r="AK208" i="51"/>
  <c r="AK205" i="51"/>
  <c r="CD164" i="51"/>
  <c r="CK78" i="51"/>
  <c r="CK58" i="51" s="1"/>
  <c r="CI164" i="51"/>
  <c r="CG15" i="51"/>
  <c r="CG17" i="51" s="1"/>
  <c r="CC174" i="51"/>
  <c r="CC176" i="51"/>
  <c r="CF82" i="51"/>
  <c r="CJ158" i="51"/>
  <c r="C210" i="51"/>
  <c r="C203" i="51" s="1"/>
  <c r="F210" i="51"/>
  <c r="F203" i="51" s="1"/>
  <c r="D210" i="51"/>
  <c r="D203" i="51" s="1"/>
  <c r="E210" i="51"/>
  <c r="E203" i="51" s="1"/>
  <c r="G203" i="51"/>
  <c r="G202" i="51" s="1"/>
  <c r="CM14" i="51"/>
  <c r="BR174" i="51"/>
  <c r="BR205" i="51"/>
  <c r="BR202" i="51"/>
  <c r="BR203" i="51"/>
  <c r="BR201" i="51"/>
  <c r="AW29" i="3"/>
  <c r="AW24" i="3"/>
  <c r="AW39" i="3"/>
  <c r="AW52" i="3"/>
  <c r="AW64" i="3"/>
  <c r="AW93" i="3"/>
  <c r="L53" i="3"/>
  <c r="L96" i="3"/>
  <c r="R53" i="3"/>
  <c r="BC24" i="3"/>
  <c r="BC29" i="3"/>
  <c r="BC39" i="3"/>
  <c r="BC93" i="3"/>
  <c r="BC64" i="3"/>
  <c r="BC52" i="3"/>
  <c r="BI52" i="3"/>
  <c r="BO116" i="3"/>
  <c r="BI124" i="3"/>
  <c r="BI125" i="3" s="1"/>
  <c r="BI106" i="3"/>
  <c r="BI107" i="3" s="1"/>
  <c r="BW28" i="3"/>
  <c r="BX81" i="3"/>
  <c r="M172" i="3"/>
  <c r="G173" i="3"/>
  <c r="BX71" i="3"/>
  <c r="BX27" i="3" s="1"/>
  <c r="BO126" i="3"/>
  <c r="BO111" i="3"/>
  <c r="BO112" i="3" s="1"/>
  <c r="BU118" i="3"/>
  <c r="AZ53" i="3"/>
  <c r="AZ96" i="3"/>
  <c r="S96" i="3"/>
  <c r="Q17" i="118" l="1"/>
  <c r="X44" i="3"/>
  <c r="BK67" i="3"/>
  <c r="BK95" i="3" s="1"/>
  <c r="BK79" i="3"/>
  <c r="O95" i="3"/>
  <c r="BL82" i="106"/>
  <c r="CA59" i="51"/>
  <c r="BX201" i="51"/>
  <c r="BU165" i="51"/>
  <c r="BT157" i="106"/>
  <c r="BU33" i="106"/>
  <c r="BT51" i="106"/>
  <c r="BT38" i="107"/>
  <c r="BT40" i="107"/>
  <c r="BU40" i="107" s="1"/>
  <c r="BV18" i="29"/>
  <c r="BT19" i="29"/>
  <c r="BT21" i="29" s="1"/>
  <c r="M94" i="106"/>
  <c r="BF193" i="3"/>
  <c r="X196" i="3"/>
  <c r="BF196" i="3"/>
  <c r="BU155" i="51"/>
  <c r="BU166" i="51"/>
  <c r="O91" i="118"/>
  <c r="BU164" i="51"/>
  <c r="BU168" i="51"/>
  <c r="BU170" i="51"/>
  <c r="BU172" i="51"/>
  <c r="BU167" i="51"/>
  <c r="BS174" i="51"/>
  <c r="BU171" i="51"/>
  <c r="BU169" i="51"/>
  <c r="BS202" i="51"/>
  <c r="BS175" i="51"/>
  <c r="CE167" i="3"/>
  <c r="BY166" i="3"/>
  <c r="BY131" i="3" s="1"/>
  <c r="CA131" i="3" s="1"/>
  <c r="BX18" i="106"/>
  <c r="BX11" i="106"/>
  <c r="S53" i="3"/>
  <c r="Y66" i="3"/>
  <c r="Y79" i="3" s="1"/>
  <c r="BS149" i="106"/>
  <c r="BX13" i="106"/>
  <c r="BX23" i="107" s="1"/>
  <c r="BX42" i="3"/>
  <c r="BX187" i="3"/>
  <c r="BX189" i="3"/>
  <c r="CG62" i="51"/>
  <c r="CG63" i="51" s="1"/>
  <c r="CA62" i="51"/>
  <c r="CA60" i="51"/>
  <c r="BU59" i="51"/>
  <c r="BU61" i="51" s="1"/>
  <c r="BX191" i="3"/>
  <c r="BX205" i="51"/>
  <c r="BH193" i="3"/>
  <c r="BO46" i="3"/>
  <c r="X193" i="3"/>
  <c r="Y192" i="3"/>
  <c r="BX185" i="3"/>
  <c r="BS176" i="51"/>
  <c r="BX128" i="3"/>
  <c r="BX11" i="3" s="1"/>
  <c r="BX26" i="106" s="1"/>
  <c r="BX104" i="106"/>
  <c r="BX28" i="107" s="1"/>
  <c r="BH196" i="3"/>
  <c r="BI182" i="3"/>
  <c r="BO127" i="3"/>
  <c r="CO126" i="3"/>
  <c r="CP126" i="3"/>
  <c r="CO116" i="3"/>
  <c r="CP116" i="3"/>
  <c r="AK95" i="3"/>
  <c r="BN196" i="3"/>
  <c r="BX203" i="51"/>
  <c r="BX176" i="51"/>
  <c r="BX175" i="51"/>
  <c r="BS201" i="51"/>
  <c r="BX174" i="51"/>
  <c r="CG58" i="51"/>
  <c r="CK59" i="51"/>
  <c r="CK61" i="51" s="1"/>
  <c r="CP112" i="3"/>
  <c r="CO112" i="3"/>
  <c r="Y175" i="3"/>
  <c r="Y176" i="3"/>
  <c r="BS187" i="3"/>
  <c r="BS189" i="3"/>
  <c r="BS205" i="51"/>
  <c r="BS191" i="3"/>
  <c r="BN193" i="3"/>
  <c r="AK182" i="3"/>
  <c r="CM75" i="51"/>
  <c r="CM76" i="51" s="1"/>
  <c r="AD192" i="3"/>
  <c r="BE192" i="3"/>
  <c r="AZ80" i="118"/>
  <c r="AZ39" i="118" s="1"/>
  <c r="O33" i="118"/>
  <c r="V46" i="3"/>
  <c r="M75" i="118"/>
  <c r="M91" i="118" s="1"/>
  <c r="L91" i="118"/>
  <c r="CM8" i="51"/>
  <c r="CM10" i="51" s="1"/>
  <c r="BD79" i="118"/>
  <c r="BE80" i="118" s="1"/>
  <c r="BE39" i="118" s="1"/>
  <c r="CM22" i="51"/>
  <c r="CM24" i="51" s="1"/>
  <c r="L33" i="118"/>
  <c r="AS92" i="118"/>
  <c r="AS93" i="118" s="1"/>
  <c r="M193" i="3"/>
  <c r="M194" i="3" s="1"/>
  <c r="M53" i="3"/>
  <c r="AI95" i="3"/>
  <c r="Y65" i="107"/>
  <c r="AJ183" i="3"/>
  <c r="Y96" i="3"/>
  <c r="BE67" i="3"/>
  <c r="AJ192" i="3"/>
  <c r="BE79" i="3"/>
  <c r="U33" i="118"/>
  <c r="AW182" i="3"/>
  <c r="BH92" i="3"/>
  <c r="M196" i="3"/>
  <c r="G65" i="107"/>
  <c r="BA95" i="3"/>
  <c r="AV192" i="3"/>
  <c r="AV193" i="3" s="1"/>
  <c r="G96" i="3"/>
  <c r="BO183" i="3"/>
  <c r="F92" i="3"/>
  <c r="F67" i="3"/>
  <c r="BU168" i="3"/>
  <c r="BO58" i="106"/>
  <c r="AE58" i="106"/>
  <c r="BI58" i="106"/>
  <c r="BC58" i="106"/>
  <c r="M58" i="106"/>
  <c r="G58" i="106"/>
  <c r="AW58" i="106"/>
  <c r="Y58" i="106"/>
  <c r="AP192" i="3"/>
  <c r="AD183" i="3"/>
  <c r="BG196" i="3"/>
  <c r="R193" i="3"/>
  <c r="R194" i="3" s="1"/>
  <c r="AQ182" i="3"/>
  <c r="AQ183" i="3" s="1"/>
  <c r="AE182" i="3"/>
  <c r="S192" i="3"/>
  <c r="AP183" i="3"/>
  <c r="BG193" i="3"/>
  <c r="AV183" i="3"/>
  <c r="K91" i="118"/>
  <c r="U91" i="118"/>
  <c r="V92" i="118" s="1"/>
  <c r="V45" i="118" s="1"/>
  <c r="R196" i="3"/>
  <c r="M183" i="3"/>
  <c r="M65" i="118"/>
  <c r="R44" i="3"/>
  <c r="R46" i="3" s="1"/>
  <c r="BE183" i="3"/>
  <c r="AY192" i="3"/>
  <c r="CI149" i="106"/>
  <c r="CI205" i="51"/>
  <c r="X46" i="3"/>
  <c r="AY183" i="3"/>
  <c r="BY8" i="3"/>
  <c r="BY149" i="106" s="1"/>
  <c r="BY88" i="51"/>
  <c r="BY165" i="51"/>
  <c r="BC45" i="3"/>
  <c r="AC193" i="3"/>
  <c r="AC196" i="3"/>
  <c r="BX43" i="3"/>
  <c r="AZ192" i="3"/>
  <c r="AZ55" i="118"/>
  <c r="BB193" i="3"/>
  <c r="BB196" i="3"/>
  <c r="BA183" i="3"/>
  <c r="BA192" i="3"/>
  <c r="CJ170" i="3"/>
  <c r="CJ169" i="3" s="1"/>
  <c r="CJ132" i="3" s="1"/>
  <c r="CD169" i="3"/>
  <c r="CD132" i="3" s="1"/>
  <c r="CI157" i="51"/>
  <c r="BC182" i="3"/>
  <c r="BI44" i="3"/>
  <c r="AZ183" i="3"/>
  <c r="AT196" i="3"/>
  <c r="AT193" i="3"/>
  <c r="K194" i="3"/>
  <c r="U194" i="3"/>
  <c r="AO196" i="3"/>
  <c r="AO193" i="3"/>
  <c r="AB196" i="3"/>
  <c r="AB193" i="3"/>
  <c r="CJ167" i="3"/>
  <c r="CJ166" i="3" s="1"/>
  <c r="CJ131" i="3" s="1"/>
  <c r="CD166" i="3"/>
  <c r="CD131" i="3" s="1"/>
  <c r="CC45" i="3"/>
  <c r="CC182" i="3" s="1"/>
  <c r="CC183" i="3" s="1"/>
  <c r="BR44" i="3"/>
  <c r="BQ196" i="3"/>
  <c r="BQ193" i="3"/>
  <c r="BW183" i="3"/>
  <c r="AN196" i="3"/>
  <c r="AN193" i="3"/>
  <c r="BY170" i="3"/>
  <c r="AU193" i="3"/>
  <c r="AU196" i="3"/>
  <c r="BI45" i="3"/>
  <c r="AH193" i="3"/>
  <c r="AH196" i="3"/>
  <c r="CL149" i="51"/>
  <c r="AI196" i="3"/>
  <c r="AI193" i="3"/>
  <c r="BY164" i="51"/>
  <c r="CE158" i="51"/>
  <c r="BY170" i="51"/>
  <c r="BY168" i="51"/>
  <c r="BR45" i="3"/>
  <c r="BR182" i="3" s="1"/>
  <c r="BZ170" i="3"/>
  <c r="BT169" i="3"/>
  <c r="BT132" i="3" s="1"/>
  <c r="BK193" i="3"/>
  <c r="BK196" i="3"/>
  <c r="BO192" i="3"/>
  <c r="AA193" i="3"/>
  <c r="AA196" i="3"/>
  <c r="Y124" i="3"/>
  <c r="AE125" i="3" s="1"/>
  <c r="CI43" i="3"/>
  <c r="BY172" i="51"/>
  <c r="BL196" i="3"/>
  <c r="BL193" i="3"/>
  <c r="AS183" i="3"/>
  <c r="AS192" i="3"/>
  <c r="AM194" i="3"/>
  <c r="AW45" i="3"/>
  <c r="CD21" i="3"/>
  <c r="CC151" i="106"/>
  <c r="CL16" i="107"/>
  <c r="CM16" i="107" s="1"/>
  <c r="CL158" i="106"/>
  <c r="CM34" i="106"/>
  <c r="CM158" i="106" s="1"/>
  <c r="E95" i="3"/>
  <c r="AJ67" i="3"/>
  <c r="AJ95" i="3" s="1"/>
  <c r="AH79" i="3"/>
  <c r="CM35" i="106"/>
  <c r="CM159" i="106" s="1"/>
  <c r="CI44" i="3"/>
  <c r="CM87" i="51"/>
  <c r="AU65" i="118"/>
  <c r="AU25" i="118"/>
  <c r="AU63" i="118"/>
  <c r="BM193" i="3"/>
  <c r="BM196" i="3"/>
  <c r="BO192" i="51"/>
  <c r="CM19" i="51"/>
  <c r="O195" i="3"/>
  <c r="P195" i="3"/>
  <c r="V195" i="3"/>
  <c r="AA95" i="3"/>
  <c r="W195" i="3"/>
  <c r="J91" i="118"/>
  <c r="Y91" i="118"/>
  <c r="AA94" i="118" s="1"/>
  <c r="J33" i="118"/>
  <c r="CK181" i="51"/>
  <c r="CG149" i="51"/>
  <c r="CE154" i="51"/>
  <c r="CL182" i="51"/>
  <c r="BD5" i="118"/>
  <c r="BD21" i="118" s="1"/>
  <c r="BY167" i="51"/>
  <c r="BY176" i="51" s="1"/>
  <c r="CL166" i="3"/>
  <c r="CL131" i="3" s="1"/>
  <c r="BY166" i="51"/>
  <c r="BY204" i="51"/>
  <c r="BY201" i="51" s="1"/>
  <c r="CL29" i="51"/>
  <c r="CL31" i="51" s="1"/>
  <c r="CL181" i="51"/>
  <c r="BY169" i="51"/>
  <c r="BY155" i="51"/>
  <c r="CL180" i="51"/>
  <c r="CL33" i="51"/>
  <c r="CK29" i="51"/>
  <c r="CG33" i="51"/>
  <c r="CK180" i="51"/>
  <c r="CK182" i="51"/>
  <c r="CK149" i="51"/>
  <c r="CM44" i="51"/>
  <c r="CM46" i="51" s="1"/>
  <c r="CM51" i="51"/>
  <c r="CM53" i="51" s="1"/>
  <c r="BE5" i="118"/>
  <c r="BE21" i="118" s="1"/>
  <c r="CK33" i="51"/>
  <c r="CJ31" i="51"/>
  <c r="CF31" i="51"/>
  <c r="BT156" i="51"/>
  <c r="AU75" i="118"/>
  <c r="AU91" i="118" s="1"/>
  <c r="AU94" i="118" s="1"/>
  <c r="AU95" i="118" s="1"/>
  <c r="CJ80" i="51"/>
  <c r="AU17" i="118"/>
  <c r="AU33" i="118" s="1"/>
  <c r="BI97" i="106"/>
  <c r="BU80" i="51"/>
  <c r="BU83" i="51" s="1"/>
  <c r="BT83" i="51"/>
  <c r="AW73" i="118" s="1"/>
  <c r="AW87" i="118" s="1"/>
  <c r="AX88" i="118" s="1"/>
  <c r="AX43" i="118" s="1"/>
  <c r="AZ67" i="3"/>
  <c r="L79" i="3"/>
  <c r="AM33" i="118"/>
  <c r="AS132" i="106"/>
  <c r="AW132" i="106" s="1"/>
  <c r="AW133" i="106" s="1"/>
  <c r="AY130" i="106" s="1"/>
  <c r="AZ79" i="3"/>
  <c r="AG67" i="3"/>
  <c r="BH79" i="3"/>
  <c r="G66" i="3"/>
  <c r="G92" i="3" s="1"/>
  <c r="N33" i="118"/>
  <c r="AJ79" i="3"/>
  <c r="AH67" i="3"/>
  <c r="AH95" i="3" s="1"/>
  <c r="AG79" i="3"/>
  <c r="BT73" i="107"/>
  <c r="BY83" i="51"/>
  <c r="AZ9" i="118" s="1"/>
  <c r="AZ63" i="118" s="1"/>
  <c r="BB17" i="118"/>
  <c r="BB33" i="118" s="1"/>
  <c r="BB75" i="118"/>
  <c r="BB91" i="118" s="1"/>
  <c r="S174" i="3"/>
  <c r="S167" i="3"/>
  <c r="CG180" i="51"/>
  <c r="CC44" i="3"/>
  <c r="CC46" i="3" s="1"/>
  <c r="CD175" i="51"/>
  <c r="AU67" i="3"/>
  <c r="AU79" i="3"/>
  <c r="AK97" i="106"/>
  <c r="AQ97" i="106"/>
  <c r="AE97" i="106"/>
  <c r="L95" i="3"/>
  <c r="BZ89" i="106"/>
  <c r="BW98" i="107"/>
  <c r="BW34" i="3"/>
  <c r="BW49" i="3"/>
  <c r="BW26" i="106"/>
  <c r="X67" i="3"/>
  <c r="AD79" i="3"/>
  <c r="AD67" i="3"/>
  <c r="AD92" i="3"/>
  <c r="BX157" i="51"/>
  <c r="AN79" i="3"/>
  <c r="AN67" i="3"/>
  <c r="AN92" i="3"/>
  <c r="AC67" i="3"/>
  <c r="AC79" i="3"/>
  <c r="AC92" i="3"/>
  <c r="AT94" i="118"/>
  <c r="AT95" i="118" s="1"/>
  <c r="AR92" i="118"/>
  <c r="M92" i="3"/>
  <c r="BC65" i="107"/>
  <c r="AW65" i="107"/>
  <c r="CE80" i="51"/>
  <c r="CD176" i="51"/>
  <c r="BZ80" i="51"/>
  <c r="CM48" i="51"/>
  <c r="X92" i="3"/>
  <c r="AT67" i="3"/>
  <c r="BO66" i="3"/>
  <c r="BO94" i="106"/>
  <c r="AL91" i="118"/>
  <c r="AP91" i="118"/>
  <c r="AJ46" i="3"/>
  <c r="AP92" i="3"/>
  <c r="AP67" i="3"/>
  <c r="AP79" i="3"/>
  <c r="AC91" i="118"/>
  <c r="AY9" i="118"/>
  <c r="AY73" i="118"/>
  <c r="AY87" i="118" s="1"/>
  <c r="BE95" i="3"/>
  <c r="AZ46" i="3"/>
  <c r="AM91" i="118"/>
  <c r="M67" i="3"/>
  <c r="L92" i="3"/>
  <c r="CK187" i="51"/>
  <c r="BE53" i="118"/>
  <c r="BZ158" i="51"/>
  <c r="BT8" i="3"/>
  <c r="BT149" i="106" s="1"/>
  <c r="AW55" i="118"/>
  <c r="CA187" i="51"/>
  <c r="AT92" i="3"/>
  <c r="AE65" i="107"/>
  <c r="S92" i="118"/>
  <c r="S45" i="118" s="1"/>
  <c r="BO81" i="106"/>
  <c r="BO57" i="107"/>
  <c r="BO50" i="107"/>
  <c r="BO24" i="3"/>
  <c r="AL33" i="118"/>
  <c r="AP33" i="118"/>
  <c r="BN80" i="106"/>
  <c r="AC33" i="118"/>
  <c r="Y33" i="118"/>
  <c r="CD185" i="3"/>
  <c r="CD11" i="106"/>
  <c r="CD18" i="106"/>
  <c r="CD13" i="106"/>
  <c r="CD104" i="106"/>
  <c r="CD28" i="107" s="1"/>
  <c r="CD189" i="3"/>
  <c r="CD187" i="3"/>
  <c r="CD191" i="3"/>
  <c r="CD42" i="3"/>
  <c r="CD128" i="3"/>
  <c r="CD11" i="3" s="1"/>
  <c r="BI66" i="3"/>
  <c r="BI94" i="106"/>
  <c r="AP46" i="3"/>
  <c r="BN95" i="3"/>
  <c r="AI92" i="118"/>
  <c r="BH95" i="3"/>
  <c r="AT92" i="118"/>
  <c r="CM40" i="51"/>
  <c r="N91" i="118"/>
  <c r="BK57" i="107"/>
  <c r="BK81" i="106"/>
  <c r="BK50" i="107"/>
  <c r="BK24" i="3"/>
  <c r="BI65" i="107"/>
  <c r="BI96" i="3"/>
  <c r="BX159" i="51"/>
  <c r="BO65" i="107"/>
  <c r="BO53" i="3"/>
  <c r="BO96" i="3"/>
  <c r="L46" i="3"/>
  <c r="BU71" i="107"/>
  <c r="BT82" i="107"/>
  <c r="AN91" i="118"/>
  <c r="AO92" i="118" s="1"/>
  <c r="AJ91" i="118"/>
  <c r="BL59" i="107"/>
  <c r="BL83" i="106"/>
  <c r="S92" i="3"/>
  <c r="G172" i="3"/>
  <c r="BI108" i="3"/>
  <c r="AW66" i="3"/>
  <c r="AW92" i="3" s="1"/>
  <c r="AW94" i="106"/>
  <c r="CD156" i="51"/>
  <c r="M33" i="118"/>
  <c r="BW33" i="107"/>
  <c r="BA46" i="3"/>
  <c r="BC80" i="118"/>
  <c r="BC39" i="118" s="1"/>
  <c r="CC28" i="107"/>
  <c r="AV46" i="3"/>
  <c r="BQ59" i="107"/>
  <c r="BQ83" i="106"/>
  <c r="BZ20" i="29"/>
  <c r="CB20" i="29" s="1"/>
  <c r="BZ28" i="106"/>
  <c r="BW95" i="106"/>
  <c r="CC11" i="3"/>
  <c r="AE66" i="3"/>
  <c r="AE92" i="3" s="1"/>
  <c r="AE94" i="106"/>
  <c r="AV9" i="118"/>
  <c r="AV73" i="118"/>
  <c r="AV87" i="118" s="1"/>
  <c r="BN58" i="107"/>
  <c r="BN82" i="106"/>
  <c r="K33" i="118"/>
  <c r="S67" i="3"/>
  <c r="CM32" i="51"/>
  <c r="P91" i="118"/>
  <c r="T91" i="118"/>
  <c r="AG91" i="118"/>
  <c r="AK91" i="118"/>
  <c r="AD46" i="3"/>
  <c r="M166" i="3"/>
  <c r="BC66" i="3"/>
  <c r="BC79" i="3" s="1"/>
  <c r="BC94" i="106"/>
  <c r="BY156" i="51"/>
  <c r="CD83" i="51"/>
  <c r="P33" i="118"/>
  <c r="T33" i="118"/>
  <c r="AY46" i="3"/>
  <c r="R79" i="3"/>
  <c r="R67" i="3"/>
  <c r="R92" i="3"/>
  <c r="CI42" i="3"/>
  <c r="CI18" i="106"/>
  <c r="CI13" i="106"/>
  <c r="CI104" i="106"/>
  <c r="CI28" i="107" s="1"/>
  <c r="CI185" i="3"/>
  <c r="CI189" i="3"/>
  <c r="CI191" i="3"/>
  <c r="CI187" i="3"/>
  <c r="CI128" i="3"/>
  <c r="CI11" i="106"/>
  <c r="AS88" i="118"/>
  <c r="AS43" i="118" s="1"/>
  <c r="Q33" i="118"/>
  <c r="AG33" i="118"/>
  <c r="AK33" i="118"/>
  <c r="AW97" i="106"/>
  <c r="AN33" i="118"/>
  <c r="AJ52" i="107"/>
  <c r="AJ53" i="107" s="1"/>
  <c r="AJ54" i="107" s="1"/>
  <c r="AI54" i="107"/>
  <c r="AM54" i="107"/>
  <c r="AN52" i="107"/>
  <c r="AN53" i="107" s="1"/>
  <c r="AS52" i="107"/>
  <c r="AQ54" i="107"/>
  <c r="CI86" i="107"/>
  <c r="CJ87" i="107"/>
  <c r="CI88" i="107"/>
  <c r="AM121" i="106"/>
  <c r="AK127" i="106"/>
  <c r="CK57" i="29"/>
  <c r="CL57" i="29" s="1"/>
  <c r="CI175" i="51"/>
  <c r="CG29" i="51"/>
  <c r="CG31" i="51" s="1"/>
  <c r="CG182" i="51"/>
  <c r="CM30" i="51"/>
  <c r="AE96" i="3"/>
  <c r="AK53" i="3"/>
  <c r="AE53" i="3"/>
  <c r="BY11" i="29"/>
  <c r="BZ11" i="29" s="1"/>
  <c r="CC16" i="29"/>
  <c r="CC63" i="29" s="1"/>
  <c r="CC12" i="29"/>
  <c r="BX9" i="29"/>
  <c r="BX56" i="29" s="1"/>
  <c r="CD6" i="29"/>
  <c r="CK15" i="29"/>
  <c r="CL15" i="29" s="1"/>
  <c r="BX58" i="29"/>
  <c r="CB59" i="29"/>
  <c r="CK150" i="51"/>
  <c r="CK79" i="51"/>
  <c r="CK189" i="51"/>
  <c r="CD174" i="51"/>
  <c r="AD208" i="51"/>
  <c r="AE211" i="51"/>
  <c r="AE198" i="51" s="1"/>
  <c r="AB208" i="51"/>
  <c r="AC208" i="51"/>
  <c r="AA208" i="51"/>
  <c r="CL78" i="51"/>
  <c r="CM36" i="51"/>
  <c r="BT204" i="51"/>
  <c r="BT171" i="51"/>
  <c r="BT155" i="51"/>
  <c r="BT88" i="51"/>
  <c r="BT172" i="51"/>
  <c r="BT167" i="51"/>
  <c r="BT165" i="51"/>
  <c r="BT166" i="51"/>
  <c r="BT170" i="51"/>
  <c r="BT169" i="51"/>
  <c r="BT164" i="51"/>
  <c r="CF150" i="51"/>
  <c r="CF79" i="51"/>
  <c r="CF189" i="51"/>
  <c r="CF188" i="51"/>
  <c r="CI202" i="51"/>
  <c r="CI203" i="51"/>
  <c r="CI201" i="51"/>
  <c r="BT168" i="51"/>
  <c r="CG37" i="51"/>
  <c r="CG39" i="51" s="1"/>
  <c r="CG78" i="51"/>
  <c r="W208" i="51"/>
  <c r="X208" i="51"/>
  <c r="V208" i="51"/>
  <c r="U208" i="51"/>
  <c r="Y211" i="51"/>
  <c r="Y198" i="51" s="1"/>
  <c r="R208" i="51"/>
  <c r="P208" i="51"/>
  <c r="S211" i="51"/>
  <c r="S198" i="51" s="1"/>
  <c r="O208" i="51"/>
  <c r="Q208" i="51"/>
  <c r="CF187" i="51"/>
  <c r="CA150" i="51"/>
  <c r="BZ154" i="51"/>
  <c r="J209" i="51"/>
  <c r="J202" i="51" s="1"/>
  <c r="K209" i="51"/>
  <c r="K202" i="51" s="1"/>
  <c r="L209" i="51"/>
  <c r="L202" i="51" s="1"/>
  <c r="I209" i="51"/>
  <c r="I202" i="51" s="1"/>
  <c r="CK188" i="51"/>
  <c r="CG82" i="51"/>
  <c r="CL82" i="51"/>
  <c r="CI174" i="51"/>
  <c r="BF194" i="51"/>
  <c r="BF190" i="51" s="1"/>
  <c r="BH194" i="51"/>
  <c r="BH190" i="51" s="1"/>
  <c r="BG194" i="51"/>
  <c r="BG190" i="51" s="1"/>
  <c r="BE194" i="51"/>
  <c r="BE190" i="51" s="1"/>
  <c r="BI190" i="51"/>
  <c r="CG41" i="51"/>
  <c r="CA79" i="51"/>
  <c r="CA189" i="51"/>
  <c r="CA188" i="51"/>
  <c r="G204" i="51"/>
  <c r="G209" i="51" s="1"/>
  <c r="CD203" i="51"/>
  <c r="CD205" i="51"/>
  <c r="CD201" i="51"/>
  <c r="CD202" i="51"/>
  <c r="CL81" i="51"/>
  <c r="CJ154" i="51"/>
  <c r="CM15" i="51"/>
  <c r="CM17" i="51" s="1"/>
  <c r="CM28" i="51"/>
  <c r="AI208" i="51"/>
  <c r="AJ208" i="51"/>
  <c r="AK211" i="51"/>
  <c r="AK198" i="51" s="1"/>
  <c r="AG208" i="51"/>
  <c r="AH208" i="51"/>
  <c r="CI176" i="51"/>
  <c r="AN209" i="51"/>
  <c r="AN202" i="51" s="1"/>
  <c r="AM209" i="51"/>
  <c r="AM202" i="51" s="1"/>
  <c r="AO209" i="51"/>
  <c r="AO202" i="51" s="1"/>
  <c r="AP209" i="51"/>
  <c r="AP202" i="51" s="1"/>
  <c r="M211" i="51"/>
  <c r="M198" i="51" s="1"/>
  <c r="K208" i="51"/>
  <c r="L208" i="51"/>
  <c r="I208" i="51"/>
  <c r="J208" i="51"/>
  <c r="AQ211" i="51"/>
  <c r="AQ198" i="51" s="1"/>
  <c r="AP208" i="51"/>
  <c r="AN208" i="51"/>
  <c r="AM208" i="51"/>
  <c r="AO208" i="51"/>
  <c r="BX82" i="3"/>
  <c r="BY70" i="3"/>
  <c r="BO124" i="3"/>
  <c r="BU116" i="3"/>
  <c r="BO106" i="3"/>
  <c r="BO107" i="3" s="1"/>
  <c r="AW53" i="3"/>
  <c r="AW96" i="3"/>
  <c r="CA118" i="3"/>
  <c r="BU111" i="3"/>
  <c r="BU112" i="3" s="1"/>
  <c r="BX26" i="3"/>
  <c r="BC53" i="3"/>
  <c r="BC96" i="3"/>
  <c r="BI53" i="3"/>
  <c r="BO113" i="3"/>
  <c r="BU175" i="51" l="1"/>
  <c r="BU174" i="51"/>
  <c r="BX18" i="107"/>
  <c r="BU176" i="51"/>
  <c r="F95" i="3"/>
  <c r="BF194" i="3"/>
  <c r="CA166" i="3"/>
  <c r="BU38" i="107"/>
  <c r="BU157" i="106"/>
  <c r="BU51" i="106"/>
  <c r="BW18" i="29"/>
  <c r="BV19" i="29"/>
  <c r="BV21" i="29" s="1"/>
  <c r="BW33" i="106" s="1"/>
  <c r="Y67" i="3"/>
  <c r="Y95" i="3" s="1"/>
  <c r="Y92" i="3"/>
  <c r="BX22" i="107"/>
  <c r="BI46" i="3"/>
  <c r="CK167" i="3"/>
  <c r="CK166" i="3" s="1"/>
  <c r="CK131" i="3" s="1"/>
  <c r="CM131" i="3" s="1"/>
  <c r="CE166" i="3"/>
  <c r="CE131" i="3" s="1"/>
  <c r="CG131" i="3" s="1"/>
  <c r="X94" i="118"/>
  <c r="BX98" i="107"/>
  <c r="BS44" i="3"/>
  <c r="BS45" i="3"/>
  <c r="BS182" i="3" s="1"/>
  <c r="AK183" i="3"/>
  <c r="X194" i="3"/>
  <c r="AS45" i="118"/>
  <c r="CA63" i="51"/>
  <c r="BX34" i="3"/>
  <c r="BX33" i="107"/>
  <c r="BX64" i="29"/>
  <c r="BY16" i="3" s="1"/>
  <c r="BX21" i="107"/>
  <c r="BI183" i="3"/>
  <c r="AP196" i="3"/>
  <c r="CA61" i="51"/>
  <c r="BH194" i="3"/>
  <c r="L92" i="118"/>
  <c r="L45" i="118" s="1"/>
  <c r="Y193" i="3"/>
  <c r="Y194" i="3" s="1"/>
  <c r="Y196" i="3"/>
  <c r="AE192" i="3"/>
  <c r="CG59" i="51"/>
  <c r="CG61" i="51" s="1"/>
  <c r="CM60" i="51"/>
  <c r="BO125" i="3"/>
  <c r="CP124" i="3"/>
  <c r="BE196" i="3"/>
  <c r="BG194" i="3"/>
  <c r="BI192" i="3"/>
  <c r="BE193" i="3"/>
  <c r="BN194" i="3"/>
  <c r="AD196" i="3"/>
  <c r="BC183" i="3"/>
  <c r="BO196" i="3"/>
  <c r="AD193" i="3"/>
  <c r="AD194" i="3" s="1"/>
  <c r="BD80" i="118"/>
  <c r="BD39" i="118" s="1"/>
  <c r="CM62" i="51"/>
  <c r="CL58" i="51"/>
  <c r="CP107" i="3"/>
  <c r="CO107" i="3"/>
  <c r="AJ196" i="3"/>
  <c r="Q91" i="118"/>
  <c r="Q92" i="118" s="1"/>
  <c r="Q45" i="118" s="1"/>
  <c r="AP193" i="3"/>
  <c r="AP194" i="3" s="1"/>
  <c r="U195" i="3"/>
  <c r="AQ192" i="3"/>
  <c r="AK192" i="3"/>
  <c r="AJ193" i="3"/>
  <c r="AJ194" i="3" s="1"/>
  <c r="AW183" i="3"/>
  <c r="AV196" i="3"/>
  <c r="AW192" i="3"/>
  <c r="AE183" i="3"/>
  <c r="BY185" i="3"/>
  <c r="Q195" i="3"/>
  <c r="AZ95" i="3"/>
  <c r="S193" i="3"/>
  <c r="S194" i="3" s="1"/>
  <c r="S195" i="3" s="1"/>
  <c r="AY196" i="3"/>
  <c r="S196" i="3"/>
  <c r="AY193" i="3"/>
  <c r="AY194" i="3" s="1"/>
  <c r="CE169" i="51"/>
  <c r="BY175" i="51"/>
  <c r="BY104" i="106"/>
  <c r="BY28" i="107" s="1"/>
  <c r="BY191" i="3"/>
  <c r="CE88" i="51"/>
  <c r="K92" i="118"/>
  <c r="K45" i="118" s="1"/>
  <c r="BY187" i="3"/>
  <c r="BY128" i="3"/>
  <c r="BY11" i="3" s="1"/>
  <c r="BY13" i="106"/>
  <c r="BY42" i="3"/>
  <c r="BY18" i="106"/>
  <c r="BY174" i="51"/>
  <c r="BY189" i="3"/>
  <c r="BY11" i="106"/>
  <c r="BR46" i="3"/>
  <c r="CE155" i="51"/>
  <c r="BR183" i="3"/>
  <c r="AB194" i="3"/>
  <c r="CD43" i="3"/>
  <c r="AY65" i="118"/>
  <c r="AS196" i="3"/>
  <c r="AS193" i="3"/>
  <c r="AH194" i="3"/>
  <c r="CE170" i="3"/>
  <c r="BY169" i="3"/>
  <c r="BQ194" i="3"/>
  <c r="AT194" i="3"/>
  <c r="BY43" i="3"/>
  <c r="CE172" i="51"/>
  <c r="BK194" i="3"/>
  <c r="AN194" i="3"/>
  <c r="AO194" i="3"/>
  <c r="AM195" i="3"/>
  <c r="CM149" i="51"/>
  <c r="AC194" i="3"/>
  <c r="BO193" i="3"/>
  <c r="Y94" i="118"/>
  <c r="CK31" i="51"/>
  <c r="AI194" i="3"/>
  <c r="BU132" i="3"/>
  <c r="BU169" i="3"/>
  <c r="CI45" i="3"/>
  <c r="CI182" i="3" s="1"/>
  <c r="CA158" i="51"/>
  <c r="BC192" i="3"/>
  <c r="Z94" i="118"/>
  <c r="AU194" i="3"/>
  <c r="BT43" i="3"/>
  <c r="BX45" i="3"/>
  <c r="BX182" i="3" s="1"/>
  <c r="BB194" i="3"/>
  <c r="AZ196" i="3"/>
  <c r="AZ193" i="3"/>
  <c r="AZ194" i="3" s="1"/>
  <c r="Y92" i="118"/>
  <c r="Y45" i="118" s="1"/>
  <c r="BL194" i="3"/>
  <c r="AA194" i="3"/>
  <c r="CF170" i="3"/>
  <c r="BZ169" i="3"/>
  <c r="BZ132" i="3" s="1"/>
  <c r="BA193" i="3"/>
  <c r="BA196" i="3"/>
  <c r="CE21" i="3"/>
  <c r="CD151" i="106"/>
  <c r="S176" i="3"/>
  <c r="CD23" i="107"/>
  <c r="CD18" i="107"/>
  <c r="AV25" i="118"/>
  <c r="AV63" i="118"/>
  <c r="BM194" i="3"/>
  <c r="CE168" i="51"/>
  <c r="CE164" i="51"/>
  <c r="CE167" i="51"/>
  <c r="CE171" i="51"/>
  <c r="CE8" i="3"/>
  <c r="CE149" i="106" s="1"/>
  <c r="AV65" i="118"/>
  <c r="AY25" i="118"/>
  <c r="AY63" i="118"/>
  <c r="CI46" i="3"/>
  <c r="CI33" i="107"/>
  <c r="AV194" i="3"/>
  <c r="R195" i="3"/>
  <c r="M94" i="118"/>
  <c r="AB94" i="118"/>
  <c r="M92" i="118"/>
  <c r="M45" i="118" s="1"/>
  <c r="Z92" i="118"/>
  <c r="Z45" i="118" s="1"/>
  <c r="N92" i="118"/>
  <c r="N45" i="118" s="1"/>
  <c r="CE165" i="51"/>
  <c r="BD55" i="118"/>
  <c r="CE170" i="51"/>
  <c r="CE204" i="51"/>
  <c r="CK158" i="51"/>
  <c r="CE166" i="51"/>
  <c r="BY205" i="51"/>
  <c r="BY202" i="51"/>
  <c r="BY203" i="51"/>
  <c r="AZ73" i="118"/>
  <c r="AZ87" i="118" s="1"/>
  <c r="AZ88" i="118" s="1"/>
  <c r="AZ43" i="118" s="1"/>
  <c r="BT159" i="51"/>
  <c r="BT44" i="3" s="1"/>
  <c r="BT157" i="51"/>
  <c r="CM41" i="51"/>
  <c r="BU156" i="51"/>
  <c r="AU92" i="118"/>
  <c r="AU45" i="118" s="1"/>
  <c r="CJ83" i="51"/>
  <c r="CM33" i="51"/>
  <c r="CJ156" i="51"/>
  <c r="BU81" i="51"/>
  <c r="CF80" i="51"/>
  <c r="AW9" i="118"/>
  <c r="BX49" i="3"/>
  <c r="CK80" i="51"/>
  <c r="AU95" i="3"/>
  <c r="P94" i="118"/>
  <c r="AG95" i="3"/>
  <c r="AW134" i="106"/>
  <c r="S175" i="3"/>
  <c r="AW67" i="3"/>
  <c r="AW95" i="3" s="1"/>
  <c r="G67" i="3"/>
  <c r="G79" i="3"/>
  <c r="O94" i="118"/>
  <c r="N94" i="118"/>
  <c r="AL94" i="118"/>
  <c r="AL95" i="118" s="1"/>
  <c r="S124" i="3"/>
  <c r="Y125" i="3" s="1"/>
  <c r="M174" i="3"/>
  <c r="BZ156" i="51"/>
  <c r="BZ83" i="51"/>
  <c r="BA9" i="118" s="1"/>
  <c r="BA63" i="118" s="1"/>
  <c r="CA80" i="51"/>
  <c r="CA83" i="51" s="1"/>
  <c r="BY157" i="51"/>
  <c r="BC67" i="3"/>
  <c r="BC95" i="3" s="1"/>
  <c r="BO61" i="107"/>
  <c r="BO58" i="107"/>
  <c r="U92" i="118"/>
  <c r="U45" i="118" s="1"/>
  <c r="W94" i="118"/>
  <c r="T92" i="118"/>
  <c r="T45" i="118" s="1"/>
  <c r="V94" i="118"/>
  <c r="BK53" i="107"/>
  <c r="BK80" i="106"/>
  <c r="BC9" i="118"/>
  <c r="BC25" i="118" s="1"/>
  <c r="BC73" i="118"/>
  <c r="BC87" i="118" s="1"/>
  <c r="P92" i="118"/>
  <c r="P45" i="118" s="1"/>
  <c r="AV17" i="118"/>
  <c r="AV33" i="118" s="1"/>
  <c r="AV75" i="118"/>
  <c r="AV91" i="118" s="1"/>
  <c r="BT43" i="107"/>
  <c r="BU82" i="107"/>
  <c r="BO82" i="106"/>
  <c r="M95" i="3"/>
  <c r="AM94" i="118"/>
  <c r="AM95" i="118" s="1"/>
  <c r="AO94" i="118"/>
  <c r="AO95" i="118" s="1"/>
  <c r="AM92" i="118"/>
  <c r="AT95" i="3"/>
  <c r="BC92" i="3"/>
  <c r="BZ8" i="3"/>
  <c r="BZ149" i="106" s="1"/>
  <c r="BA55" i="118"/>
  <c r="CG187" i="51"/>
  <c r="AE67" i="3"/>
  <c r="AZ25" i="118"/>
  <c r="BU73" i="107"/>
  <c r="BK58" i="107"/>
  <c r="BK82" i="106"/>
  <c r="CD98" i="107"/>
  <c r="CD49" i="3"/>
  <c r="CD34" i="3"/>
  <c r="AD92" i="118"/>
  <c r="AF94" i="118"/>
  <c r="AF95" i="118" s="1"/>
  <c r="AC94" i="118"/>
  <c r="AC92" i="118"/>
  <c r="AC45" i="118" s="1"/>
  <c r="AE94" i="118"/>
  <c r="AE95" i="118" s="1"/>
  <c r="AD94" i="118"/>
  <c r="AD95" i="118" s="1"/>
  <c r="BU113" i="3"/>
  <c r="M167" i="3"/>
  <c r="CJ168" i="51"/>
  <c r="CJ8" i="3"/>
  <c r="CE156" i="51"/>
  <c r="BY159" i="51"/>
  <c r="AE79" i="3"/>
  <c r="AW88" i="118"/>
  <c r="AW43" i="118" s="1"/>
  <c r="AV88" i="118"/>
  <c r="AV43" i="118" s="1"/>
  <c r="O92" i="118"/>
  <c r="O45" i="118" s="1"/>
  <c r="AP95" i="3"/>
  <c r="AR45" i="118"/>
  <c r="AR93" i="118"/>
  <c r="BX36" i="107"/>
  <c r="BN59" i="107"/>
  <c r="BN83" i="106"/>
  <c r="CC98" i="107"/>
  <c r="CC49" i="3"/>
  <c r="CC34" i="3"/>
  <c r="AQ94" i="118"/>
  <c r="AQ95" i="118" s="1"/>
  <c r="AQ92" i="118"/>
  <c r="AS94" i="118"/>
  <c r="AS95" i="118" s="1"/>
  <c r="AP92" i="118"/>
  <c r="AR94" i="118"/>
  <c r="AR95" i="118" s="1"/>
  <c r="AD95" i="3"/>
  <c r="AW79" i="3"/>
  <c r="CE83" i="51"/>
  <c r="AN94" i="118"/>
  <c r="AN95" i="118" s="1"/>
  <c r="AL92" i="118"/>
  <c r="AN92" i="118"/>
  <c r="AP94" i="118"/>
  <c r="AP95" i="118" s="1"/>
  <c r="AY88" i="118"/>
  <c r="AY43" i="118" s="1"/>
  <c r="R95" i="3"/>
  <c r="S95" i="3"/>
  <c r="CA28" i="106"/>
  <c r="AK94" i="118"/>
  <c r="AK95" i="118" s="1"/>
  <c r="BI67" i="3"/>
  <c r="BI79" i="3"/>
  <c r="BI92" i="3"/>
  <c r="BT104" i="106"/>
  <c r="BT18" i="106"/>
  <c r="BT13" i="106"/>
  <c r="BT42" i="3"/>
  <c r="BT187" i="3"/>
  <c r="BT185" i="3"/>
  <c r="BT191" i="3"/>
  <c r="BT189" i="3"/>
  <c r="BT172" i="3"/>
  <c r="BT128" i="3"/>
  <c r="BT11" i="106"/>
  <c r="BU8" i="3"/>
  <c r="X95" i="3"/>
  <c r="CC89" i="106"/>
  <c r="CI11" i="3"/>
  <c r="AO93" i="118"/>
  <c r="AO45" i="118"/>
  <c r="BO53" i="107"/>
  <c r="BO54" i="107" s="1"/>
  <c r="BO80" i="106"/>
  <c r="AC95" i="3"/>
  <c r="AN95" i="3"/>
  <c r="CL187" i="51"/>
  <c r="CD157" i="51"/>
  <c r="CD159" i="51"/>
  <c r="U94" i="118"/>
  <c r="AG92" i="118"/>
  <c r="AH92" i="118"/>
  <c r="AJ94" i="118"/>
  <c r="AJ95" i="118" s="1"/>
  <c r="AH94" i="118"/>
  <c r="AH95" i="118" s="1"/>
  <c r="AG94" i="118"/>
  <c r="AG95" i="118" s="1"/>
  <c r="AI94" i="118"/>
  <c r="AI95" i="118" s="1"/>
  <c r="CC33" i="107"/>
  <c r="G166" i="3"/>
  <c r="BX44" i="3"/>
  <c r="AY17" i="118"/>
  <c r="AY33" i="118" s="1"/>
  <c r="AY75" i="118"/>
  <c r="AY91" i="118" s="1"/>
  <c r="BR98" i="107"/>
  <c r="AI45" i="118"/>
  <c r="AI93" i="118"/>
  <c r="BT175" i="51"/>
  <c r="CC20" i="29"/>
  <c r="CC28" i="106"/>
  <c r="AK92" i="118"/>
  <c r="AT45" i="118"/>
  <c r="AT93" i="118"/>
  <c r="CD22" i="107"/>
  <c r="CD33" i="107"/>
  <c r="BO79" i="3"/>
  <c r="BO92" i="3"/>
  <c r="BO67" i="3"/>
  <c r="AJ92" i="118"/>
  <c r="AN54" i="107"/>
  <c r="AO52" i="107"/>
  <c r="AO53" i="107" s="1"/>
  <c r="CK87" i="107"/>
  <c r="CJ86" i="107"/>
  <c r="CJ37" i="107" s="1"/>
  <c r="CJ88" i="107"/>
  <c r="CI37" i="107"/>
  <c r="AW52" i="107"/>
  <c r="AW53" i="107" s="1"/>
  <c r="AS53" i="107"/>
  <c r="AQ121" i="106"/>
  <c r="AM124" i="106"/>
  <c r="AM125" i="106"/>
  <c r="AQ125" i="106" s="1"/>
  <c r="AY132" i="106"/>
  <c r="BC132" i="106" s="1"/>
  <c r="BC130" i="106"/>
  <c r="CK62" i="29"/>
  <c r="CL62" i="29" s="1"/>
  <c r="BY58" i="29"/>
  <c r="BZ58" i="29" s="1"/>
  <c r="BT174" i="51"/>
  <c r="BT176" i="51"/>
  <c r="CE6" i="29"/>
  <c r="CE53" i="29" s="1"/>
  <c r="CD12" i="29"/>
  <c r="CD59" i="29" s="1"/>
  <c r="CD16" i="29"/>
  <c r="CD63" i="29" s="1"/>
  <c r="CD53" i="29"/>
  <c r="BY9" i="29"/>
  <c r="BY56" i="29" s="1"/>
  <c r="CB11" i="29"/>
  <c r="CB58" i="29"/>
  <c r="CC59" i="29"/>
  <c r="BZ155" i="51"/>
  <c r="BZ171" i="51"/>
  <c r="BZ204" i="51"/>
  <c r="BZ88" i="51"/>
  <c r="BZ165" i="51"/>
  <c r="BZ172" i="51"/>
  <c r="BZ167" i="51"/>
  <c r="BZ170" i="51"/>
  <c r="BZ166" i="51"/>
  <c r="BZ164" i="51"/>
  <c r="BZ169" i="51"/>
  <c r="AC211" i="51"/>
  <c r="AC201" i="51"/>
  <c r="AB211" i="51"/>
  <c r="AB201" i="51"/>
  <c r="AO211" i="51"/>
  <c r="AO201" i="51"/>
  <c r="K211" i="51"/>
  <c r="K201" i="51"/>
  <c r="AJ211" i="51"/>
  <c r="AJ201" i="51"/>
  <c r="BZ168" i="51"/>
  <c r="W211" i="51"/>
  <c r="W201" i="51"/>
  <c r="CG79" i="51"/>
  <c r="CG189" i="51"/>
  <c r="CG188" i="51"/>
  <c r="CM37" i="51"/>
  <c r="CM39" i="51" s="1"/>
  <c r="CM78" i="51"/>
  <c r="AA198" i="51"/>
  <c r="AC198" i="51"/>
  <c r="AD198" i="51"/>
  <c r="AB198" i="51"/>
  <c r="AM211" i="51"/>
  <c r="AM201" i="51"/>
  <c r="J198" i="51"/>
  <c r="L198" i="51"/>
  <c r="I198" i="51"/>
  <c r="K198" i="51"/>
  <c r="AI211" i="51"/>
  <c r="AI201" i="51"/>
  <c r="G208" i="51"/>
  <c r="G205" i="51"/>
  <c r="AD211" i="51"/>
  <c r="AD201" i="51"/>
  <c r="AG211" i="51"/>
  <c r="AG201" i="51"/>
  <c r="V211" i="51"/>
  <c r="V201" i="51"/>
  <c r="L211" i="51"/>
  <c r="L201" i="51"/>
  <c r="CA154" i="51"/>
  <c r="AN211" i="51"/>
  <c r="AN201" i="51"/>
  <c r="C209" i="51"/>
  <c r="C202" i="51" s="1"/>
  <c r="D209" i="51"/>
  <c r="D202" i="51" s="1"/>
  <c r="E209" i="51"/>
  <c r="E202" i="51" s="1"/>
  <c r="F209" i="51"/>
  <c r="F202" i="51" s="1"/>
  <c r="CF158" i="51"/>
  <c r="Q211" i="51"/>
  <c r="Q201" i="51"/>
  <c r="CF154" i="51"/>
  <c r="AP211" i="51"/>
  <c r="AP201" i="51"/>
  <c r="CM29" i="51"/>
  <c r="CM31" i="51" s="1"/>
  <c r="CM180" i="51"/>
  <c r="CM182" i="51"/>
  <c r="CJ164" i="51"/>
  <c r="O211" i="51"/>
  <c r="O201" i="51"/>
  <c r="CL79" i="51"/>
  <c r="CL80" i="51" s="1"/>
  <c r="CL150" i="51"/>
  <c r="CL189" i="51"/>
  <c r="CL188" i="51"/>
  <c r="BT205" i="51"/>
  <c r="BT201" i="51"/>
  <c r="BU201" i="51" s="1"/>
  <c r="BT202" i="51"/>
  <c r="BU202" i="51" s="1"/>
  <c r="BT203" i="51"/>
  <c r="BU203" i="51" s="1"/>
  <c r="Q198" i="51"/>
  <c r="R198" i="51"/>
  <c r="P198" i="51"/>
  <c r="O198" i="51"/>
  <c r="U198" i="51"/>
  <c r="V198" i="51"/>
  <c r="X198" i="51"/>
  <c r="W198" i="51"/>
  <c r="CM82" i="51"/>
  <c r="I211" i="51"/>
  <c r="I201" i="51"/>
  <c r="R211" i="51"/>
  <c r="R201" i="51"/>
  <c r="AH198" i="51"/>
  <c r="AI198" i="51"/>
  <c r="AJ198" i="51"/>
  <c r="AG198" i="51"/>
  <c r="X211" i="51"/>
  <c r="X201" i="51"/>
  <c r="AM198" i="51"/>
  <c r="AO198" i="51"/>
  <c r="AN198" i="51"/>
  <c r="AP198" i="51"/>
  <c r="CG150" i="51"/>
  <c r="CJ155" i="51"/>
  <c r="CJ204" i="51"/>
  <c r="CJ165" i="51"/>
  <c r="CJ88" i="51"/>
  <c r="CJ167" i="51"/>
  <c r="CJ171" i="51"/>
  <c r="CJ169" i="51"/>
  <c r="CJ170" i="51"/>
  <c r="CJ172" i="51"/>
  <c r="CJ166" i="51"/>
  <c r="CK154" i="51"/>
  <c r="J211" i="51"/>
  <c r="J201" i="51"/>
  <c r="AH211" i="51"/>
  <c r="AH201" i="51"/>
  <c r="CM181" i="51"/>
  <c r="P211" i="51"/>
  <c r="P201" i="51"/>
  <c r="U211" i="51"/>
  <c r="U201" i="51"/>
  <c r="AA211" i="51"/>
  <c r="AA201" i="51"/>
  <c r="BO108" i="3"/>
  <c r="BY71" i="3"/>
  <c r="BU124" i="3"/>
  <c r="BU125" i="3" s="1"/>
  <c r="BU106" i="3"/>
  <c r="BU107" i="3" s="1"/>
  <c r="CA116" i="3"/>
  <c r="BX28" i="3"/>
  <c r="BY81" i="3"/>
  <c r="CG118" i="3"/>
  <c r="CA111" i="3"/>
  <c r="CA112" i="3" s="1"/>
  <c r="CG166" i="3" l="1"/>
  <c r="CA167" i="3"/>
  <c r="BI196" i="3"/>
  <c r="BW157" i="106"/>
  <c r="BW51" i="106"/>
  <c r="BW38" i="107"/>
  <c r="BW40" i="107"/>
  <c r="BX18" i="29"/>
  <c r="BW19" i="29"/>
  <c r="BW21" i="29" s="1"/>
  <c r="BX33" i="106" s="1"/>
  <c r="X195" i="3"/>
  <c r="CM166" i="3"/>
  <c r="CM167" i="3" s="1"/>
  <c r="BS46" i="3"/>
  <c r="R94" i="118"/>
  <c r="AE196" i="3"/>
  <c r="S94" i="118"/>
  <c r="AE193" i="3"/>
  <c r="AE194" i="3" s="1"/>
  <c r="R92" i="118"/>
  <c r="R45" i="118" s="1"/>
  <c r="T94" i="118"/>
  <c r="BI193" i="3"/>
  <c r="Q94" i="118"/>
  <c r="BN195" i="3"/>
  <c r="AW196" i="3"/>
  <c r="BE194" i="3"/>
  <c r="BS183" i="3"/>
  <c r="BU149" i="106"/>
  <c r="CM63" i="51"/>
  <c r="CL59" i="51"/>
  <c r="CL61" i="51" s="1"/>
  <c r="CM58" i="51"/>
  <c r="CM59" i="51" s="1"/>
  <c r="CM61" i="51" s="1"/>
  <c r="AK193" i="3"/>
  <c r="AK194" i="3" s="1"/>
  <c r="BH195" i="3"/>
  <c r="AQ196" i="3"/>
  <c r="AQ193" i="3"/>
  <c r="AQ194" i="3" s="1"/>
  <c r="AK196" i="3"/>
  <c r="BO194" i="3"/>
  <c r="CE11" i="106"/>
  <c r="AW193" i="3"/>
  <c r="BC196" i="3"/>
  <c r="CE174" i="51"/>
  <c r="CE13" i="106"/>
  <c r="CE23" i="107" s="1"/>
  <c r="CE205" i="51"/>
  <c r="BY18" i="107"/>
  <c r="BY23" i="107"/>
  <c r="BY98" i="107"/>
  <c r="BB195" i="3"/>
  <c r="CJ149" i="106"/>
  <c r="CJ205" i="51"/>
  <c r="BY26" i="106"/>
  <c r="CE18" i="106"/>
  <c r="AW75" i="118"/>
  <c r="AW91" i="118" s="1"/>
  <c r="AW92" i="118" s="1"/>
  <c r="BY34" i="3"/>
  <c r="BY22" i="107"/>
  <c r="AW17" i="118"/>
  <c r="AW33" i="118" s="1"/>
  <c r="BY49" i="3"/>
  <c r="CE187" i="3"/>
  <c r="CE191" i="3"/>
  <c r="CE189" i="3"/>
  <c r="CE104" i="106"/>
  <c r="CE28" i="107" s="1"/>
  <c r="CE185" i="3"/>
  <c r="CE175" i="51"/>
  <c r="CE176" i="51"/>
  <c r="CE128" i="3"/>
  <c r="CE11" i="3" s="1"/>
  <c r="CE42" i="3"/>
  <c r="BZ159" i="51"/>
  <c r="BA194" i="3"/>
  <c r="BQ195" i="3"/>
  <c r="AC195" i="3"/>
  <c r="AO195" i="3"/>
  <c r="AS194" i="3"/>
  <c r="AB195" i="3"/>
  <c r="AT195" i="3"/>
  <c r="CJ43" i="3"/>
  <c r="AU195" i="3"/>
  <c r="BY132" i="3"/>
  <c r="CA132" i="3" s="1"/>
  <c r="CA169" i="3"/>
  <c r="AH195" i="3"/>
  <c r="CL170" i="3"/>
  <c r="CL169" i="3" s="1"/>
  <c r="CL132" i="3" s="1"/>
  <c r="CF169" i="3"/>
  <c r="CF132" i="3" s="1"/>
  <c r="BX183" i="3"/>
  <c r="AZ65" i="118"/>
  <c r="BY45" i="3"/>
  <c r="BY182" i="3" s="1"/>
  <c r="BY183" i="3" s="1"/>
  <c r="BT45" i="3"/>
  <c r="BT182" i="3" s="1"/>
  <c r="AA195" i="3"/>
  <c r="AG195" i="3"/>
  <c r="CI183" i="3"/>
  <c r="AI195" i="3"/>
  <c r="CK170" i="3"/>
  <c r="CK169" i="3" s="1"/>
  <c r="CK132" i="3" s="1"/>
  <c r="CE169" i="3"/>
  <c r="BL195" i="3"/>
  <c r="BU170" i="3"/>
  <c r="BU43" i="3"/>
  <c r="CD45" i="3"/>
  <c r="CD182" i="3" s="1"/>
  <c r="BC193" i="3"/>
  <c r="CE157" i="51"/>
  <c r="AW65" i="118"/>
  <c r="AN195" i="3"/>
  <c r="CF21" i="3"/>
  <c r="CE151" i="106"/>
  <c r="BF195" i="3"/>
  <c r="CE201" i="51"/>
  <c r="AJ195" i="3"/>
  <c r="AZ195" i="3"/>
  <c r="AP195" i="3"/>
  <c r="BM195" i="3"/>
  <c r="AW25" i="118"/>
  <c r="AW63" i="118"/>
  <c r="AV195" i="3"/>
  <c r="Y195" i="3"/>
  <c r="AD195" i="3"/>
  <c r="AU93" i="118"/>
  <c r="CE202" i="51"/>
  <c r="CE203" i="51"/>
  <c r="BU159" i="51"/>
  <c r="BU157" i="51"/>
  <c r="CG80" i="51"/>
  <c r="CG83" i="51" s="1"/>
  <c r="CF156" i="51"/>
  <c r="CJ159" i="51"/>
  <c r="CJ157" i="51"/>
  <c r="CK156" i="51"/>
  <c r="CF83" i="51"/>
  <c r="BE9" i="118" s="1"/>
  <c r="BE25" i="118" s="1"/>
  <c r="CK83" i="51"/>
  <c r="CK8" i="3"/>
  <c r="CM187" i="51"/>
  <c r="BA25" i="118"/>
  <c r="BA73" i="118"/>
  <c r="BA87" i="118" s="1"/>
  <c r="BB88" i="118" s="1"/>
  <c r="BB43" i="118" s="1"/>
  <c r="M175" i="3"/>
  <c r="G95" i="3"/>
  <c r="M176" i="3"/>
  <c r="BC133" i="106"/>
  <c r="BC134" i="106" s="1"/>
  <c r="BZ157" i="51"/>
  <c r="BZ43" i="3"/>
  <c r="CA156" i="51"/>
  <c r="CA81" i="51"/>
  <c r="BU108" i="3"/>
  <c r="CA113" i="3"/>
  <c r="BR118" i="106"/>
  <c r="BU11" i="106"/>
  <c r="BT18" i="107"/>
  <c r="BU18" i="107" s="1"/>
  <c r="BI95" i="3"/>
  <c r="BX95" i="106"/>
  <c r="BZ189" i="3"/>
  <c r="BZ18" i="106"/>
  <c r="BZ13" i="106"/>
  <c r="BZ104" i="106"/>
  <c r="BZ185" i="3"/>
  <c r="BZ42" i="3"/>
  <c r="BZ191" i="3"/>
  <c r="BZ187" i="3"/>
  <c r="BZ128" i="3"/>
  <c r="BZ11" i="106"/>
  <c r="CA8" i="3"/>
  <c r="BE55" i="118"/>
  <c r="CF8" i="3"/>
  <c r="CD20" i="29"/>
  <c r="CD28" i="106"/>
  <c r="BS12" i="3"/>
  <c r="BT11" i="3"/>
  <c r="BU128" i="3"/>
  <c r="BU129" i="3" s="1"/>
  <c r="AL93" i="118"/>
  <c r="AL45" i="118"/>
  <c r="AP45" i="118"/>
  <c r="AP93" i="118"/>
  <c r="M124" i="3"/>
  <c r="BC88" i="118"/>
  <c r="BC43" i="118" s="1"/>
  <c r="BZ176" i="51"/>
  <c r="AK93" i="118"/>
  <c r="AK45" i="118"/>
  <c r="BT133" i="3"/>
  <c r="BU133" i="3" s="1"/>
  <c r="BT174" i="3"/>
  <c r="BU172" i="3"/>
  <c r="AM93" i="118"/>
  <c r="AM45" i="118"/>
  <c r="BU185" i="3"/>
  <c r="BU189" i="3"/>
  <c r="BU42" i="3"/>
  <c r="BU191" i="3"/>
  <c r="BU187" i="3"/>
  <c r="BW69" i="107"/>
  <c r="BU78" i="107"/>
  <c r="BW78" i="107" s="1"/>
  <c r="BX78" i="107" s="1"/>
  <c r="BY78" i="107" s="1"/>
  <c r="BZ78" i="107" s="1"/>
  <c r="AV92" i="118"/>
  <c r="AV94" i="118"/>
  <c r="AV95" i="118" s="1"/>
  <c r="AQ93" i="118"/>
  <c r="AQ45" i="118"/>
  <c r="AY92" i="118"/>
  <c r="AG45" i="118"/>
  <c r="AG93" i="118"/>
  <c r="BU18" i="106"/>
  <c r="BT22" i="107"/>
  <c r="BU22" i="107" s="1"/>
  <c r="CE159" i="51"/>
  <c r="CE43" i="3"/>
  <c r="BO59" i="107"/>
  <c r="BO83" i="106"/>
  <c r="BO95" i="3"/>
  <c r="BT46" i="3"/>
  <c r="G167" i="3"/>
  <c r="CO167" i="3" s="1"/>
  <c r="G174" i="3"/>
  <c r="CC26" i="106"/>
  <c r="CD89" i="106"/>
  <c r="BT28" i="107"/>
  <c r="BU104" i="106"/>
  <c r="AN93" i="118"/>
  <c r="AN45" i="118"/>
  <c r="CJ42" i="3"/>
  <c r="CJ11" i="106"/>
  <c r="CJ18" i="106"/>
  <c r="CJ13" i="106"/>
  <c r="CJ185" i="3"/>
  <c r="CJ187" i="3"/>
  <c r="CJ104" i="106"/>
  <c r="CJ28" i="107" s="1"/>
  <c r="CJ191" i="3"/>
  <c r="CJ189" i="3"/>
  <c r="CJ128" i="3"/>
  <c r="BK59" i="107"/>
  <c r="BK83" i="106"/>
  <c r="BT46" i="107"/>
  <c r="BU43" i="107"/>
  <c r="BU46" i="107" s="1"/>
  <c r="BC17" i="118"/>
  <c r="BC33" i="118" s="1"/>
  <c r="CD44" i="3"/>
  <c r="BC75" i="118"/>
  <c r="BC91" i="118" s="1"/>
  <c r="CI98" i="107"/>
  <c r="CI34" i="3"/>
  <c r="CI49" i="3"/>
  <c r="BY33" i="107"/>
  <c r="AH93" i="118"/>
  <c r="AH45" i="118"/>
  <c r="BU13" i="106"/>
  <c r="BT23" i="107"/>
  <c r="BU23" i="107" s="1"/>
  <c r="BD9" i="118"/>
  <c r="BD25" i="118" s="1"/>
  <c r="BD73" i="118"/>
  <c r="BD87" i="118" s="1"/>
  <c r="BY44" i="3"/>
  <c r="AZ17" i="118"/>
  <c r="AZ33" i="118" s="1"/>
  <c r="AZ75" i="118"/>
  <c r="AZ91" i="118" s="1"/>
  <c r="AD93" i="118"/>
  <c r="AD45" i="118"/>
  <c r="AJ93" i="118"/>
  <c r="AJ45" i="118"/>
  <c r="AE95" i="3"/>
  <c r="BX46" i="3"/>
  <c r="BS120" i="3"/>
  <c r="BU77" i="107"/>
  <c r="BW77" i="107" s="1"/>
  <c r="BX77" i="107" s="1"/>
  <c r="BY77" i="107" s="1"/>
  <c r="BZ77" i="107" s="1"/>
  <c r="BK54" i="107"/>
  <c r="BL52" i="107"/>
  <c r="BL53" i="107" s="1"/>
  <c r="AT52" i="107"/>
  <c r="AT53" i="107" s="1"/>
  <c r="AS54" i="107"/>
  <c r="CL87" i="107"/>
  <c r="CK88" i="107"/>
  <c r="CK86" i="107"/>
  <c r="CK37" i="107" s="1"/>
  <c r="AW54" i="107"/>
  <c r="AY52" i="107"/>
  <c r="AP52" i="107"/>
  <c r="AP53" i="107" s="1"/>
  <c r="AP54" i="107" s="1"/>
  <c r="AO54" i="107"/>
  <c r="AQ126" i="106"/>
  <c r="AQ124" i="106"/>
  <c r="CJ176" i="51"/>
  <c r="CJ175" i="51"/>
  <c r="BZ174" i="51"/>
  <c r="BZ175" i="51"/>
  <c r="BY64" i="29"/>
  <c r="BZ16" i="3" s="1"/>
  <c r="BZ56" i="29"/>
  <c r="BZ64" i="29" s="1"/>
  <c r="CC11" i="29"/>
  <c r="CC58" i="29" s="1"/>
  <c r="CE12" i="29"/>
  <c r="CF12" i="29" s="1"/>
  <c r="BZ9" i="29"/>
  <c r="CF53" i="29"/>
  <c r="CF6" i="29"/>
  <c r="CE16" i="29"/>
  <c r="CF16" i="29" s="1"/>
  <c r="CK155" i="51"/>
  <c r="CK204" i="51"/>
  <c r="CK88" i="51"/>
  <c r="CK171" i="51"/>
  <c r="CK167" i="51"/>
  <c r="CK165" i="51"/>
  <c r="CK172" i="51"/>
  <c r="CK169" i="51"/>
  <c r="CK170" i="51"/>
  <c r="CK166" i="51"/>
  <c r="CK164" i="51"/>
  <c r="CK168" i="51"/>
  <c r="CF155" i="51"/>
  <c r="CF171" i="51"/>
  <c r="CF204" i="51"/>
  <c r="CF88" i="51"/>
  <c r="CF167" i="51"/>
  <c r="CF165" i="51"/>
  <c r="CF172" i="51"/>
  <c r="CF170" i="51"/>
  <c r="CF166" i="51"/>
  <c r="CF164" i="51"/>
  <c r="CF169" i="51"/>
  <c r="BZ205" i="51"/>
  <c r="BZ203" i="51"/>
  <c r="CA203" i="51" s="1"/>
  <c r="BZ202" i="51"/>
  <c r="CA202" i="51" s="1"/>
  <c r="BZ201" i="51"/>
  <c r="CA201" i="51" s="1"/>
  <c r="CJ201" i="51"/>
  <c r="CJ202" i="51"/>
  <c r="CJ203" i="51"/>
  <c r="CF168" i="51"/>
  <c r="CJ174" i="51"/>
  <c r="BU204" i="51"/>
  <c r="BU205" i="51" s="1"/>
  <c r="CL154" i="51"/>
  <c r="CG158" i="51"/>
  <c r="CM79" i="51"/>
  <c r="CM189" i="51"/>
  <c r="CM188" i="51"/>
  <c r="CM150" i="51"/>
  <c r="CL83" i="51"/>
  <c r="CL156" i="51"/>
  <c r="CA155" i="51"/>
  <c r="CA171" i="51"/>
  <c r="CA88" i="51"/>
  <c r="CA167" i="51"/>
  <c r="CA166" i="51"/>
  <c r="CA172" i="51"/>
  <c r="CA165" i="51"/>
  <c r="CA170" i="51"/>
  <c r="CA169" i="51"/>
  <c r="CA164" i="51"/>
  <c r="F208" i="51"/>
  <c r="G211" i="51"/>
  <c r="G198" i="51" s="1"/>
  <c r="D208" i="51"/>
  <c r="C208" i="51"/>
  <c r="E208" i="51"/>
  <c r="CL158" i="51"/>
  <c r="CM80" i="51"/>
  <c r="CM83" i="51" s="1"/>
  <c r="CG154" i="51"/>
  <c r="BU196" i="51"/>
  <c r="CA168" i="51"/>
  <c r="CA106" i="3"/>
  <c r="CA107" i="3" s="1"/>
  <c r="CG116" i="3"/>
  <c r="CA124" i="3"/>
  <c r="CA125" i="3" s="1"/>
  <c r="BZ70" i="3"/>
  <c r="BY82" i="3"/>
  <c r="CM118" i="3"/>
  <c r="CG111" i="3"/>
  <c r="CG112" i="3" s="1"/>
  <c r="BY27" i="3"/>
  <c r="CA168" i="3" l="1"/>
  <c r="CG167" i="3"/>
  <c r="BS62" i="106"/>
  <c r="BS64" i="106"/>
  <c r="BY18" i="29"/>
  <c r="BX19" i="29"/>
  <c r="BX21" i="29" s="1"/>
  <c r="BY33" i="106" s="1"/>
  <c r="BX157" i="106"/>
  <c r="BX40" i="107"/>
  <c r="BX38" i="107"/>
  <c r="BX51" i="106"/>
  <c r="BS35" i="3"/>
  <c r="BS51" i="3"/>
  <c r="BI194" i="3"/>
  <c r="AW194" i="3"/>
  <c r="BC194" i="3"/>
  <c r="AY195" i="3"/>
  <c r="BK195" i="3"/>
  <c r="BE195" i="3"/>
  <c r="BU182" i="3"/>
  <c r="CA149" i="106"/>
  <c r="CE18" i="107"/>
  <c r="CE22" i="107"/>
  <c r="AW94" i="118"/>
  <c r="AW95" i="118" s="1"/>
  <c r="CG168" i="3"/>
  <c r="CM168" i="3"/>
  <c r="CE98" i="107"/>
  <c r="BY21" i="107"/>
  <c r="CK205" i="51"/>
  <c r="AZ94" i="118"/>
  <c r="AZ95" i="118" s="1"/>
  <c r="AX94" i="118"/>
  <c r="AX95" i="118" s="1"/>
  <c r="BA75" i="118"/>
  <c r="BA91" i="118" s="1"/>
  <c r="BA92" i="118" s="1"/>
  <c r="BA17" i="118"/>
  <c r="BA33" i="118" s="1"/>
  <c r="CD183" i="3"/>
  <c r="AX92" i="118"/>
  <c r="AX93" i="118" s="1"/>
  <c r="AY94" i="118"/>
  <c r="AY95" i="118" s="1"/>
  <c r="BZ44" i="3"/>
  <c r="CM132" i="3"/>
  <c r="CE49" i="3"/>
  <c r="BT183" i="3"/>
  <c r="CE34" i="3"/>
  <c r="BU45" i="3"/>
  <c r="BU126" i="3"/>
  <c r="BU127" i="3" s="1"/>
  <c r="BU171" i="3"/>
  <c r="CF149" i="106"/>
  <c r="CA159" i="51"/>
  <c r="CK42" i="3"/>
  <c r="CK149" i="106"/>
  <c r="CF43" i="3"/>
  <c r="CA170" i="3"/>
  <c r="BA195" i="3"/>
  <c r="BG195" i="3"/>
  <c r="CK159" i="51"/>
  <c r="CE45" i="3"/>
  <c r="CE182" i="3" s="1"/>
  <c r="CL43" i="3"/>
  <c r="BZ45" i="3"/>
  <c r="BZ182" i="3" s="1"/>
  <c r="CJ45" i="3"/>
  <c r="CJ182" i="3" s="1"/>
  <c r="CM169" i="3"/>
  <c r="CM170" i="3" s="1"/>
  <c r="CE132" i="3"/>
  <c r="CG132" i="3" s="1"/>
  <c r="CG169" i="3"/>
  <c r="AS195" i="3"/>
  <c r="BA65" i="118"/>
  <c r="CI21" i="3"/>
  <c r="CF151" i="106"/>
  <c r="AQ195" i="3"/>
  <c r="AE195" i="3"/>
  <c r="AK195" i="3"/>
  <c r="BA88" i="118"/>
  <c r="BA43" i="118" s="1"/>
  <c r="BU44" i="3"/>
  <c r="CF159" i="51"/>
  <c r="CF44" i="3" s="1"/>
  <c r="CG156" i="51"/>
  <c r="CG81" i="51"/>
  <c r="CF157" i="51"/>
  <c r="BE73" i="118"/>
  <c r="BE87" i="118" s="1"/>
  <c r="BE88" i="118" s="1"/>
  <c r="BE43" i="118" s="1"/>
  <c r="CJ44" i="3"/>
  <c r="CK157" i="51"/>
  <c r="CK43" i="3"/>
  <c r="CK187" i="3"/>
  <c r="CK185" i="3"/>
  <c r="CK18" i="106"/>
  <c r="CK13" i="106"/>
  <c r="CK104" i="106"/>
  <c r="CK28" i="107" s="1"/>
  <c r="CK33" i="107" s="1"/>
  <c r="CK128" i="3"/>
  <c r="CK11" i="3" s="1"/>
  <c r="CK34" i="3" s="1"/>
  <c r="CK11" i="106"/>
  <c r="CK191" i="3"/>
  <c r="CK189" i="3"/>
  <c r="CL8" i="3"/>
  <c r="CJ33" i="107"/>
  <c r="BE130" i="106"/>
  <c r="BE132" i="106" s="1"/>
  <c r="BI132" i="106" s="1"/>
  <c r="CA157" i="51"/>
  <c r="CA43" i="3"/>
  <c r="CA174" i="51"/>
  <c r="CJ22" i="107"/>
  <c r="BW18" i="107"/>
  <c r="BU74" i="106"/>
  <c r="BU173" i="3"/>
  <c r="BU174" i="3"/>
  <c r="CA175" i="51"/>
  <c r="BU208" i="51"/>
  <c r="BU105" i="106"/>
  <c r="BU109" i="106"/>
  <c r="BT134" i="3"/>
  <c r="BT164" i="3"/>
  <c r="BT165" i="3" s="1"/>
  <c r="BT175" i="3"/>
  <c r="CE20" i="29"/>
  <c r="CE28" i="106"/>
  <c r="CA18" i="106"/>
  <c r="BZ22" i="107"/>
  <c r="CE33" i="107"/>
  <c r="CA11" i="106"/>
  <c r="BZ18" i="107"/>
  <c r="BS121" i="3"/>
  <c r="AW45" i="118"/>
  <c r="AW93" i="118"/>
  <c r="BZ11" i="3"/>
  <c r="CA128" i="3"/>
  <c r="CA129" i="3" s="1"/>
  <c r="CA13" i="106"/>
  <c r="BZ23" i="107"/>
  <c r="G124" i="3"/>
  <c r="BC92" i="118"/>
  <c r="BT33" i="107"/>
  <c r="BU28" i="107"/>
  <c r="BW72" i="107"/>
  <c r="CA69" i="107"/>
  <c r="BW71" i="107"/>
  <c r="BW82" i="107" s="1"/>
  <c r="BW43" i="107" s="1"/>
  <c r="BW46" i="107" s="1"/>
  <c r="BD88" i="118"/>
  <c r="BD43" i="118" s="1"/>
  <c r="BT98" i="107"/>
  <c r="BT49" i="3"/>
  <c r="BT34" i="3"/>
  <c r="BT26" i="106"/>
  <c r="BU11" i="3"/>
  <c r="BT103" i="106"/>
  <c r="CG168" i="51"/>
  <c r="CJ11" i="3"/>
  <c r="BD17" i="118"/>
  <c r="BD33" i="118" s="1"/>
  <c r="CE44" i="3"/>
  <c r="CE46" i="3" s="1"/>
  <c r="BD75" i="118"/>
  <c r="BD91" i="118" s="1"/>
  <c r="BY46" i="3"/>
  <c r="BT111" i="106"/>
  <c r="CF185" i="3"/>
  <c r="CF18" i="106"/>
  <c r="CF13" i="106"/>
  <c r="CF104" i="106"/>
  <c r="CF189" i="3"/>
  <c r="CF191" i="3"/>
  <c r="CF42" i="3"/>
  <c r="CF187" i="3"/>
  <c r="CF11" i="106"/>
  <c r="CF128" i="3"/>
  <c r="CG8" i="3"/>
  <c r="BM52" i="107"/>
  <c r="BM53" i="107" s="1"/>
  <c r="BL54" i="107"/>
  <c r="AY93" i="118"/>
  <c r="AY45" i="118"/>
  <c r="BZ28" i="107"/>
  <c r="CA104" i="106"/>
  <c r="CA105" i="106" s="1"/>
  <c r="BU87" i="106"/>
  <c r="BW23" i="107"/>
  <c r="CJ18" i="107"/>
  <c r="G175" i="3"/>
  <c r="CO175" i="3" s="1"/>
  <c r="G176" i="3"/>
  <c r="CA108" i="3"/>
  <c r="CD46" i="3"/>
  <c r="CE89" i="106"/>
  <c r="CD26" i="106"/>
  <c r="BU88" i="106"/>
  <c r="BW22" i="107"/>
  <c r="S125" i="3"/>
  <c r="CG113" i="3"/>
  <c r="CA16" i="3"/>
  <c r="CJ23" i="107"/>
  <c r="AZ92" i="118"/>
  <c r="AV45" i="118"/>
  <c r="AV93" i="118"/>
  <c r="CA191" i="3"/>
  <c r="CA185" i="3"/>
  <c r="CA42" i="3"/>
  <c r="CA189" i="3"/>
  <c r="CA187" i="3"/>
  <c r="AT54" i="107"/>
  <c r="AU52" i="107"/>
  <c r="AU53" i="107" s="1"/>
  <c r="BC52" i="107"/>
  <c r="BC53" i="107" s="1"/>
  <c r="AY53" i="107"/>
  <c r="CL88" i="107"/>
  <c r="CL86" i="107"/>
  <c r="CL37" i="107" s="1"/>
  <c r="AS121" i="106"/>
  <c r="AQ127" i="106"/>
  <c r="CM158" i="51"/>
  <c r="CK174" i="51"/>
  <c r="CF174" i="51"/>
  <c r="CE63" i="29"/>
  <c r="CF63" i="29" s="1"/>
  <c r="CF175" i="51"/>
  <c r="BU209" i="51"/>
  <c r="CK176" i="51"/>
  <c r="CA176" i="51"/>
  <c r="CF176" i="51"/>
  <c r="CH6" i="29"/>
  <c r="CH53" i="29" s="1"/>
  <c r="CH12" i="29"/>
  <c r="CH59" i="29" s="1"/>
  <c r="CD11" i="29"/>
  <c r="CB9" i="29"/>
  <c r="CB56" i="29" s="1"/>
  <c r="CH16" i="29"/>
  <c r="CH63" i="29" s="1"/>
  <c r="CE59" i="29"/>
  <c r="CF59" i="29" s="1"/>
  <c r="CL155" i="51"/>
  <c r="CL171" i="51"/>
  <c r="CL204" i="51"/>
  <c r="CL88" i="51"/>
  <c r="CL167" i="51"/>
  <c r="CL165" i="51"/>
  <c r="CL172" i="51"/>
  <c r="CL170" i="51"/>
  <c r="CL166" i="51"/>
  <c r="CL164" i="51"/>
  <c r="CL169" i="51"/>
  <c r="CL159" i="51"/>
  <c r="CM156" i="51"/>
  <c r="E211" i="51"/>
  <c r="E201" i="51"/>
  <c r="C211" i="51"/>
  <c r="C201" i="51"/>
  <c r="CM154" i="51"/>
  <c r="CF201" i="51"/>
  <c r="CG201" i="51" s="1"/>
  <c r="CF205" i="51"/>
  <c r="CF203" i="51"/>
  <c r="CG203" i="51" s="1"/>
  <c r="CF202" i="51"/>
  <c r="CG202" i="51" s="1"/>
  <c r="CG155" i="51"/>
  <c r="CG171" i="51"/>
  <c r="CG88" i="51"/>
  <c r="CG167" i="51"/>
  <c r="CG172" i="51"/>
  <c r="CG165" i="51"/>
  <c r="CG170" i="51"/>
  <c r="CG166" i="51"/>
  <c r="CG164" i="51"/>
  <c r="CG169" i="51"/>
  <c r="BU210" i="51"/>
  <c r="CA204" i="51"/>
  <c r="CA205" i="51" s="1"/>
  <c r="CL168" i="51"/>
  <c r="BT196" i="51"/>
  <c r="BQ196" i="51"/>
  <c r="BS196" i="51"/>
  <c r="BU193" i="51"/>
  <c r="BR196" i="51"/>
  <c r="D211" i="51"/>
  <c r="D201" i="51"/>
  <c r="F211" i="51"/>
  <c r="F201" i="51"/>
  <c r="CM81" i="51"/>
  <c r="CK201" i="51"/>
  <c r="CK203" i="51"/>
  <c r="CK202" i="51"/>
  <c r="CK175" i="51"/>
  <c r="BZ71" i="3"/>
  <c r="BZ27" i="3" s="1"/>
  <c r="CG106" i="3"/>
  <c r="CG107" i="3" s="1"/>
  <c r="CG124" i="3"/>
  <c r="CG125" i="3" s="1"/>
  <c r="CM116" i="3"/>
  <c r="BY26" i="3"/>
  <c r="CM111" i="3"/>
  <c r="CM112" i="3" s="1"/>
  <c r="CM113" i="3" s="1"/>
  <c r="BY28" i="3"/>
  <c r="BZ81" i="3"/>
  <c r="BY157" i="106" l="1"/>
  <c r="BY38" i="107"/>
  <c r="BY40" i="107"/>
  <c r="BY51" i="106"/>
  <c r="BZ18" i="29"/>
  <c r="BY19" i="29"/>
  <c r="BY21" i="29" s="1"/>
  <c r="BZ33" i="106" s="1"/>
  <c r="BI130" i="106"/>
  <c r="BO195" i="3"/>
  <c r="AW195" i="3"/>
  <c r="BC195" i="3"/>
  <c r="BI195" i="3"/>
  <c r="M125" i="3"/>
  <c r="CO124" i="3"/>
  <c r="BU183" i="3"/>
  <c r="BZ46" i="3"/>
  <c r="AX45" i="118"/>
  <c r="BB92" i="118"/>
  <c r="BB45" i="118" s="1"/>
  <c r="BC94" i="118"/>
  <c r="BC95" i="118" s="1"/>
  <c r="BA94" i="118"/>
  <c r="BA95" i="118" s="1"/>
  <c r="BB94" i="118"/>
  <c r="BB95" i="118" s="1"/>
  <c r="CM37" i="107"/>
  <c r="CL205" i="51"/>
  <c r="CA182" i="3"/>
  <c r="BU46" i="3"/>
  <c r="BZ183" i="3"/>
  <c r="CM43" i="3"/>
  <c r="CG149" i="106"/>
  <c r="CK44" i="3"/>
  <c r="CK46" i="3" s="1"/>
  <c r="CK45" i="3"/>
  <c r="CK182" i="3" s="1"/>
  <c r="CF45" i="3"/>
  <c r="CF182" i="3" s="1"/>
  <c r="CG170" i="3"/>
  <c r="CJ183" i="3"/>
  <c r="CA171" i="3"/>
  <c r="CA126" i="3"/>
  <c r="CA127" i="3" s="1"/>
  <c r="CA44" i="3"/>
  <c r="CG43" i="3"/>
  <c r="CL157" i="51"/>
  <c r="CA45" i="3"/>
  <c r="CL185" i="3"/>
  <c r="CL149" i="106"/>
  <c r="CE183" i="3"/>
  <c r="CJ21" i="3"/>
  <c r="CI151" i="106"/>
  <c r="CK22" i="107"/>
  <c r="CK18" i="107"/>
  <c r="CK23" i="107"/>
  <c r="BE17" i="118"/>
  <c r="BE33" i="118" s="1"/>
  <c r="CG157" i="51"/>
  <c r="CJ46" i="3"/>
  <c r="BE75" i="118"/>
  <c r="BE91" i="118" s="1"/>
  <c r="BE94" i="118" s="1"/>
  <c r="BE95" i="118" s="1"/>
  <c r="CG159" i="51"/>
  <c r="CK49" i="3"/>
  <c r="CK98" i="107"/>
  <c r="CL187" i="3"/>
  <c r="CL42" i="3"/>
  <c r="CL191" i="3"/>
  <c r="CL11" i="106"/>
  <c r="CL104" i="106"/>
  <c r="CM104" i="106" s="1"/>
  <c r="CL18" i="106"/>
  <c r="CL189" i="3"/>
  <c r="CL128" i="3"/>
  <c r="CL11" i="3" s="1"/>
  <c r="CL13" i="106"/>
  <c r="CM168" i="51"/>
  <c r="CL44" i="3"/>
  <c r="CM8" i="3"/>
  <c r="BW73" i="107"/>
  <c r="BX69" i="107" s="1"/>
  <c r="BX71" i="107" s="1"/>
  <c r="BX82" i="107" s="1"/>
  <c r="BX43" i="107" s="1"/>
  <c r="CG174" i="51"/>
  <c r="BU164" i="3"/>
  <c r="BU165" i="3" s="1"/>
  <c r="BU175" i="3"/>
  <c r="BU33" i="107"/>
  <c r="CM126" i="3"/>
  <c r="CF20" i="29"/>
  <c r="CH20" i="29" s="1"/>
  <c r="CF28" i="106"/>
  <c r="BZ33" i="107"/>
  <c r="CA28" i="107"/>
  <c r="CA18" i="107"/>
  <c r="CF46" i="3"/>
  <c r="BD92" i="118"/>
  <c r="BT120" i="3"/>
  <c r="BT135" i="3"/>
  <c r="BU134" i="3"/>
  <c r="BU135" i="3" s="1"/>
  <c r="CG108" i="3"/>
  <c r="CD21" i="107"/>
  <c r="CE26" i="106"/>
  <c r="CF89" i="106"/>
  <c r="CA23" i="107"/>
  <c r="CG189" i="3"/>
  <c r="CG185" i="3"/>
  <c r="CG42" i="3"/>
  <c r="CG191" i="3"/>
  <c r="CG187" i="3"/>
  <c r="CG13" i="106"/>
  <c r="CF23" i="107"/>
  <c r="BU98" i="107"/>
  <c r="BU49" i="3"/>
  <c r="BU34" i="3"/>
  <c r="BC45" i="118"/>
  <c r="BC93" i="118"/>
  <c r="BZ98" i="107"/>
  <c r="BZ49" i="3"/>
  <c r="BZ34" i="3"/>
  <c r="BZ26" i="106"/>
  <c r="CA11" i="3"/>
  <c r="CC18" i="107"/>
  <c r="CA74" i="106"/>
  <c r="BU26" i="106"/>
  <c r="BT21" i="107"/>
  <c r="CC22" i="107"/>
  <c r="CA88" i="106"/>
  <c r="BY36" i="107"/>
  <c r="CA27" i="3"/>
  <c r="CF28" i="107"/>
  <c r="CG104" i="106"/>
  <c r="CG105" i="106" s="1"/>
  <c r="CM86" i="107"/>
  <c r="CM87" i="107" s="1"/>
  <c r="CM88" i="107" s="1"/>
  <c r="BD94" i="118"/>
  <c r="BD95" i="118" s="1"/>
  <c r="AZ93" i="118"/>
  <c r="AZ45" i="118"/>
  <c r="CF11" i="3"/>
  <c r="CG128" i="3"/>
  <c r="CG129" i="3" s="1"/>
  <c r="CG18" i="106"/>
  <c r="CF22" i="107"/>
  <c r="CA87" i="106"/>
  <c r="CC23" i="107"/>
  <c r="BA93" i="118"/>
  <c r="BA45" i="118"/>
  <c r="CA208" i="51"/>
  <c r="BM54" i="107"/>
  <c r="BN52" i="107"/>
  <c r="BN53" i="107" s="1"/>
  <c r="CG11" i="106"/>
  <c r="CG74" i="106" s="1"/>
  <c r="CF18" i="107"/>
  <c r="CJ98" i="107"/>
  <c r="CJ34" i="3"/>
  <c r="CJ49" i="3"/>
  <c r="BT109" i="106"/>
  <c r="BT112" i="106"/>
  <c r="CA22" i="107"/>
  <c r="BW103" i="106"/>
  <c r="AY54" i="107"/>
  <c r="AZ52" i="107"/>
  <c r="AZ53" i="107" s="1"/>
  <c r="BE52" i="107"/>
  <c r="BC54" i="107"/>
  <c r="AU54" i="107"/>
  <c r="AV52" i="107"/>
  <c r="AV53" i="107" s="1"/>
  <c r="AV54" i="107" s="1"/>
  <c r="AW121" i="106"/>
  <c r="AS125" i="106"/>
  <c r="AW125" i="106" s="1"/>
  <c r="AS124" i="106"/>
  <c r="BI133" i="106"/>
  <c r="CM159" i="51"/>
  <c r="BU211" i="51"/>
  <c r="CL175" i="51"/>
  <c r="CE11" i="29"/>
  <c r="CF11" i="29" s="1"/>
  <c r="CI16" i="29"/>
  <c r="CI63" i="29" s="1"/>
  <c r="CI12" i="29"/>
  <c r="CI59" i="29" s="1"/>
  <c r="CB64" i="29"/>
  <c r="CC16" i="3" s="1"/>
  <c r="CC9" i="29"/>
  <c r="CC56" i="29" s="1"/>
  <c r="CC64" i="29" s="1"/>
  <c r="CD16" i="3" s="1"/>
  <c r="CI6" i="29"/>
  <c r="CI53" i="29"/>
  <c r="CD58" i="29"/>
  <c r="BS193" i="51"/>
  <c r="BU191" i="51"/>
  <c r="BU190" i="51"/>
  <c r="BT193" i="51"/>
  <c r="BR193" i="51"/>
  <c r="BQ193" i="51"/>
  <c r="CG176" i="51"/>
  <c r="CM155" i="51"/>
  <c r="CM165" i="51"/>
  <c r="CM171" i="51"/>
  <c r="CM88" i="51"/>
  <c r="CM172" i="51"/>
  <c r="CM170" i="51"/>
  <c r="CM167" i="51"/>
  <c r="CM166" i="51"/>
  <c r="CM169" i="51"/>
  <c r="CM164" i="51"/>
  <c r="CL202" i="51"/>
  <c r="CM202" i="51" s="1"/>
  <c r="CL203" i="51"/>
  <c r="CM203" i="51" s="1"/>
  <c r="CL201" i="51"/>
  <c r="CM201" i="51" s="1"/>
  <c r="CG175" i="51"/>
  <c r="CL176" i="51"/>
  <c r="CG204" i="51"/>
  <c r="CG205" i="51" s="1"/>
  <c r="CA209" i="51"/>
  <c r="CL174" i="51"/>
  <c r="CA210" i="51"/>
  <c r="BZ26" i="3"/>
  <c r="CM124" i="3"/>
  <c r="CM125" i="3" s="1"/>
  <c r="CM106" i="3"/>
  <c r="CM107" i="3" s="1"/>
  <c r="CM108" i="3" s="1"/>
  <c r="BZ82" i="3"/>
  <c r="CA71" i="3"/>
  <c r="BZ157" i="106" l="1"/>
  <c r="BZ38" i="107"/>
  <c r="BZ51" i="106"/>
  <c r="BZ40" i="107"/>
  <c r="CA40" i="107" s="1"/>
  <c r="CA33" i="106"/>
  <c r="CB18" i="29"/>
  <c r="BZ19" i="29"/>
  <c r="BZ21" i="29" s="1"/>
  <c r="BS150" i="106"/>
  <c r="BS152" i="106" s="1"/>
  <c r="BS153" i="106" s="1"/>
  <c r="BS154" i="106" s="1"/>
  <c r="BB93" i="118"/>
  <c r="CA183" i="3"/>
  <c r="CG182" i="3"/>
  <c r="CL45" i="3"/>
  <c r="CL182" i="3" s="1"/>
  <c r="CM182" i="3" s="1"/>
  <c r="CM183" i="3" s="1"/>
  <c r="CM42" i="3"/>
  <c r="CM149" i="106"/>
  <c r="CM157" i="51"/>
  <c r="CF183" i="3"/>
  <c r="CG45" i="3"/>
  <c r="CA46" i="3"/>
  <c r="CG126" i="3"/>
  <c r="CG127" i="3" s="1"/>
  <c r="CG171" i="3"/>
  <c r="CK183" i="3"/>
  <c r="CM171" i="3"/>
  <c r="CK21" i="3"/>
  <c r="CJ151" i="106"/>
  <c r="CM13" i="106"/>
  <c r="CM18" i="106"/>
  <c r="CM88" i="106" s="1"/>
  <c r="CL18" i="107"/>
  <c r="BE92" i="118"/>
  <c r="BE93" i="118" s="1"/>
  <c r="CG44" i="3"/>
  <c r="CL22" i="107"/>
  <c r="CM105" i="106"/>
  <c r="CL28" i="107"/>
  <c r="CL23" i="107"/>
  <c r="CM11" i="106"/>
  <c r="CM74" i="106" s="1"/>
  <c r="CL98" i="107"/>
  <c r="CM11" i="3"/>
  <c r="CL49" i="3"/>
  <c r="CL34" i="3"/>
  <c r="CM128" i="3"/>
  <c r="CM129" i="3" s="1"/>
  <c r="CL46" i="3"/>
  <c r="CM44" i="3"/>
  <c r="CM189" i="3"/>
  <c r="CM187" i="3"/>
  <c r="CM191" i="3"/>
  <c r="CM185" i="3"/>
  <c r="BX72" i="107"/>
  <c r="BX73" i="107" s="1"/>
  <c r="BY69" i="107" s="1"/>
  <c r="CG23" i="107"/>
  <c r="BU21" i="107"/>
  <c r="BR179" i="3"/>
  <c r="BR176" i="3"/>
  <c r="BU89" i="106"/>
  <c r="BW21" i="107"/>
  <c r="BN54" i="107"/>
  <c r="BQ52" i="107"/>
  <c r="CF26" i="106"/>
  <c r="CI89" i="106"/>
  <c r="BS179" i="3"/>
  <c r="CG88" i="106"/>
  <c r="CI22" i="107"/>
  <c r="CE21" i="107"/>
  <c r="BT10" i="3"/>
  <c r="BT13" i="3" s="1"/>
  <c r="BT12" i="3" s="1"/>
  <c r="BT121" i="3"/>
  <c r="BT11" i="107"/>
  <c r="BU112" i="106"/>
  <c r="CI18" i="107"/>
  <c r="BY95" i="106"/>
  <c r="BT115" i="106"/>
  <c r="BT117" i="106" s="1"/>
  <c r="CG11" i="3"/>
  <c r="CF98" i="107"/>
  <c r="CF49" i="3"/>
  <c r="CF34" i="3"/>
  <c r="CF33" i="107"/>
  <c r="CG28" i="107"/>
  <c r="CG18" i="107"/>
  <c r="CA103" i="106"/>
  <c r="CA109" i="106" s="1"/>
  <c r="BW109" i="106"/>
  <c r="BW112" i="106"/>
  <c r="BW11" i="107" s="1"/>
  <c r="CG22" i="107"/>
  <c r="CA98" i="107"/>
  <c r="CA34" i="3"/>
  <c r="CA49" i="3"/>
  <c r="CI20" i="29"/>
  <c r="CI28" i="106"/>
  <c r="BZ36" i="107"/>
  <c r="BZ95" i="106" s="1"/>
  <c r="CG87" i="106"/>
  <c r="CI23" i="107"/>
  <c r="BD93" i="118"/>
  <c r="BD45" i="118"/>
  <c r="CA33" i="107"/>
  <c r="CG28" i="106"/>
  <c r="BW172" i="3"/>
  <c r="BX173" i="3"/>
  <c r="CA26" i="3"/>
  <c r="CM209" i="51"/>
  <c r="BZ21" i="107"/>
  <c r="CA26" i="106"/>
  <c r="BR97" i="107"/>
  <c r="BR99" i="107" s="1"/>
  <c r="BX46" i="107"/>
  <c r="BA52" i="107"/>
  <c r="BA53" i="107" s="1"/>
  <c r="AZ54" i="107"/>
  <c r="BI52" i="107"/>
  <c r="BI53" i="107" s="1"/>
  <c r="BI54" i="107" s="1"/>
  <c r="BE53" i="107"/>
  <c r="BK130" i="106"/>
  <c r="BI134" i="106"/>
  <c r="AW126" i="106"/>
  <c r="AW124" i="106"/>
  <c r="CG208" i="51"/>
  <c r="CA211" i="51"/>
  <c r="CE58" i="29"/>
  <c r="CF58" i="29" s="1"/>
  <c r="CM175" i="51"/>
  <c r="CG209" i="51"/>
  <c r="CM210" i="51"/>
  <c r="CH11" i="29"/>
  <c r="CH58" i="29" s="1"/>
  <c r="CJ6" i="29"/>
  <c r="CJ53" i="29" s="1"/>
  <c r="CJ12" i="29"/>
  <c r="CJ59" i="29" s="1"/>
  <c r="CD9" i="29"/>
  <c r="CJ16" i="29"/>
  <c r="CJ63" i="29"/>
  <c r="CM204" i="51"/>
  <c r="CM205" i="51" s="1"/>
  <c r="CM208" i="51"/>
  <c r="BR190" i="51"/>
  <c r="BR191" i="51"/>
  <c r="BT191" i="51"/>
  <c r="BT190" i="51"/>
  <c r="BQ191" i="51"/>
  <c r="BQ190" i="51"/>
  <c r="BS190" i="51"/>
  <c r="BS191" i="51"/>
  <c r="CG210" i="51"/>
  <c r="CM174" i="51"/>
  <c r="CM176" i="51"/>
  <c r="CC70" i="3"/>
  <c r="CC81" i="3"/>
  <c r="CG81" i="3" s="1"/>
  <c r="BZ28" i="3"/>
  <c r="CA28" i="3" s="1"/>
  <c r="CA82" i="3"/>
  <c r="CA38" i="107" l="1"/>
  <c r="CC18" i="29"/>
  <c r="CB19" i="29"/>
  <c r="CB21" i="29" s="1"/>
  <c r="CC33" i="106" s="1"/>
  <c r="CA157" i="106"/>
  <c r="CA51" i="106"/>
  <c r="BS180" i="3"/>
  <c r="CG183" i="3"/>
  <c r="CM45" i="3"/>
  <c r="CM127" i="3"/>
  <c r="CL183" i="3"/>
  <c r="CL21" i="3"/>
  <c r="CL151" i="106" s="1"/>
  <c r="CK151" i="106"/>
  <c r="CM87" i="106"/>
  <c r="CM23" i="107"/>
  <c r="BE45" i="118"/>
  <c r="CM28" i="107"/>
  <c r="CL33" i="107"/>
  <c r="CM22" i="107"/>
  <c r="CG46" i="3"/>
  <c r="CM34" i="3"/>
  <c r="CM98" i="107"/>
  <c r="CM46" i="3"/>
  <c r="BS192" i="3"/>
  <c r="BR192" i="3"/>
  <c r="BY72" i="107"/>
  <c r="BY71" i="107"/>
  <c r="BY82" i="107" s="1"/>
  <c r="BY43" i="107" s="1"/>
  <c r="BY46" i="107" s="1"/>
  <c r="CM49" i="3"/>
  <c r="CJ20" i="29"/>
  <c r="CJ28" i="106"/>
  <c r="BU115" i="106"/>
  <c r="BU113" i="106"/>
  <c r="BU11" i="107"/>
  <c r="CI26" i="106"/>
  <c r="CJ89" i="106"/>
  <c r="BR80" i="3"/>
  <c r="CF21" i="107"/>
  <c r="CG26" i="106"/>
  <c r="CG89" i="106" s="1"/>
  <c r="CM211" i="51"/>
  <c r="CA89" i="106"/>
  <c r="CC21" i="107"/>
  <c r="BT9" i="3"/>
  <c r="BT33" i="3"/>
  <c r="BT48" i="3"/>
  <c r="BT150" i="106"/>
  <c r="BT152" i="106" s="1"/>
  <c r="BT153" i="106" s="1"/>
  <c r="BT154" i="106" s="1"/>
  <c r="BU10" i="3"/>
  <c r="BU52" i="107"/>
  <c r="BQ53" i="107"/>
  <c r="BR52" i="107" s="1"/>
  <c r="BR53" i="107" s="1"/>
  <c r="BR180" i="3"/>
  <c r="CG211" i="51"/>
  <c r="BX172" i="3"/>
  <c r="BY173" i="3"/>
  <c r="BX103" i="106"/>
  <c r="CG33" i="107"/>
  <c r="CG98" i="107"/>
  <c r="CG49" i="3"/>
  <c r="CG34" i="3"/>
  <c r="CA36" i="107"/>
  <c r="CA95" i="106" s="1"/>
  <c r="CA21" i="107"/>
  <c r="BT17" i="106"/>
  <c r="BT118" i="106"/>
  <c r="BW174" i="3"/>
  <c r="BW133" i="3"/>
  <c r="CC103" i="106"/>
  <c r="CM18" i="107"/>
  <c r="BF52" i="107"/>
  <c r="BF53" i="107" s="1"/>
  <c r="BE54" i="107"/>
  <c r="BA54" i="107"/>
  <c r="BB52" i="107"/>
  <c r="BB53" i="107" s="1"/>
  <c r="BB54" i="107" s="1"/>
  <c r="BO130" i="106"/>
  <c r="BK132" i="106"/>
  <c r="BO132" i="106" s="1"/>
  <c r="AY121" i="106"/>
  <c r="AW127" i="106"/>
  <c r="CK12" i="29"/>
  <c r="CL12" i="29" s="1"/>
  <c r="CE9" i="29"/>
  <c r="CE56" i="29" s="1"/>
  <c r="CE64" i="29" s="1"/>
  <c r="CF16" i="3" s="1"/>
  <c r="CK16" i="29"/>
  <c r="CL16" i="29" s="1"/>
  <c r="CK6" i="29"/>
  <c r="CK53" i="29" s="1"/>
  <c r="CD56" i="29"/>
  <c r="CI11" i="29"/>
  <c r="CI58" i="29" s="1"/>
  <c r="CC71" i="3"/>
  <c r="CC27" i="3" s="1"/>
  <c r="CG70" i="3"/>
  <c r="CD18" i="29" l="1"/>
  <c r="CC19" i="29"/>
  <c r="CC21" i="29" s="1"/>
  <c r="CD33" i="106" s="1"/>
  <c r="CC157" i="106"/>
  <c r="CC51" i="106"/>
  <c r="CC40" i="107"/>
  <c r="CC38" i="107"/>
  <c r="BS181" i="3"/>
  <c r="CM33" i="107"/>
  <c r="BR196" i="3"/>
  <c r="BS193" i="3"/>
  <c r="BS196" i="3"/>
  <c r="BR193" i="3"/>
  <c r="BR181" i="3"/>
  <c r="BY73" i="107"/>
  <c r="BZ69" i="107" s="1"/>
  <c r="BZ71" i="107" s="1"/>
  <c r="BO133" i="106"/>
  <c r="BU130" i="106" s="1"/>
  <c r="CG21" i="107"/>
  <c r="BW175" i="3"/>
  <c r="BW134" i="3"/>
  <c r="BW164" i="3"/>
  <c r="BW165" i="3" s="1"/>
  <c r="CJ26" i="106"/>
  <c r="CJ21" i="107" s="1"/>
  <c r="CK89" i="106"/>
  <c r="BX112" i="106"/>
  <c r="BX11" i="107" s="1"/>
  <c r="BX109" i="106"/>
  <c r="BU33" i="3"/>
  <c r="BU13" i="3"/>
  <c r="BU120" i="3"/>
  <c r="BU121" i="3" s="1"/>
  <c r="BU48" i="3"/>
  <c r="CI21" i="107"/>
  <c r="BT63" i="106"/>
  <c r="BT36" i="3"/>
  <c r="BT180" i="3" s="1"/>
  <c r="BT37" i="3"/>
  <c r="BT176" i="3"/>
  <c r="BT50" i="3"/>
  <c r="BT179" i="3"/>
  <c r="BU17" i="106"/>
  <c r="BZ173" i="3"/>
  <c r="BZ172" i="3" s="1"/>
  <c r="BY172" i="3"/>
  <c r="CK20" i="29"/>
  <c r="CK28" i="106"/>
  <c r="CC112" i="106"/>
  <c r="CC11" i="107" s="1"/>
  <c r="CG103" i="106"/>
  <c r="CG109" i="106" s="1"/>
  <c r="CC109" i="106"/>
  <c r="BX174" i="3"/>
  <c r="BX133" i="3"/>
  <c r="BU9" i="3"/>
  <c r="BT97" i="107"/>
  <c r="BT99" i="107" s="1"/>
  <c r="BT25" i="106"/>
  <c r="BT12" i="106"/>
  <c r="BT32" i="3"/>
  <c r="BT47" i="3"/>
  <c r="BQ54" i="107"/>
  <c r="BW111" i="106"/>
  <c r="BU117" i="106"/>
  <c r="BU118" i="106" s="1"/>
  <c r="BF54" i="107"/>
  <c r="BG52" i="107"/>
  <c r="BG53" i="107" s="1"/>
  <c r="BC121" i="106"/>
  <c r="AY124" i="106"/>
  <c r="AY125" i="106"/>
  <c r="BC125" i="106" s="1"/>
  <c r="CD64" i="29"/>
  <c r="CE16" i="3" s="1"/>
  <c r="CF56" i="29"/>
  <c r="CF64" i="29" s="1"/>
  <c r="CL6" i="29"/>
  <c r="CF9" i="29"/>
  <c r="CK63" i="29"/>
  <c r="CL63" i="29" s="1"/>
  <c r="CK59" i="29"/>
  <c r="CL59" i="29" s="1"/>
  <c r="CJ11" i="29"/>
  <c r="CJ58" i="29" s="1"/>
  <c r="CL53" i="29"/>
  <c r="CC82" i="3"/>
  <c r="CD70" i="3"/>
  <c r="CC26" i="3"/>
  <c r="CD157" i="106" l="1"/>
  <c r="CD38" i="107"/>
  <c r="CD51" i="106"/>
  <c r="CD40" i="107"/>
  <c r="CE18" i="29"/>
  <c r="CD19" i="29"/>
  <c r="CD21" i="29" s="1"/>
  <c r="CE33" i="106" s="1"/>
  <c r="BU150" i="106"/>
  <c r="BS194" i="3"/>
  <c r="BT192" i="3"/>
  <c r="BT181" i="3"/>
  <c r="BR194" i="3"/>
  <c r="BQ130" i="106"/>
  <c r="BQ132" i="106" s="1"/>
  <c r="BU132" i="106" s="1"/>
  <c r="BU133" i="106" s="1"/>
  <c r="BZ72" i="107"/>
  <c r="CA72" i="107" s="1"/>
  <c r="BO134" i="106"/>
  <c r="BW135" i="3"/>
  <c r="BW120" i="3"/>
  <c r="CC36" i="107"/>
  <c r="BU97" i="107"/>
  <c r="BU99" i="107" s="1"/>
  <c r="BU32" i="3"/>
  <c r="BU47" i="3"/>
  <c r="BZ82" i="107"/>
  <c r="CA71" i="107"/>
  <c r="BU63" i="106"/>
  <c r="BU176" i="3"/>
  <c r="BU12" i="3"/>
  <c r="BU179" i="3"/>
  <c r="BU37" i="3"/>
  <c r="BU36" i="3"/>
  <c r="BU50" i="3"/>
  <c r="BY174" i="3"/>
  <c r="BY133" i="3"/>
  <c r="CA172" i="3"/>
  <c r="BW115" i="106"/>
  <c r="CA111" i="106"/>
  <c r="CD103" i="106"/>
  <c r="CI103" i="106"/>
  <c r="BY103" i="106"/>
  <c r="CG16" i="3"/>
  <c r="CL20" i="29"/>
  <c r="CL28" i="106"/>
  <c r="BZ174" i="3"/>
  <c r="BZ133" i="3"/>
  <c r="BU12" i="106"/>
  <c r="BT59" i="106"/>
  <c r="BT19" i="107"/>
  <c r="BX175" i="3"/>
  <c r="BX134" i="3"/>
  <c r="BX164" i="3"/>
  <c r="BX165" i="3" s="1"/>
  <c r="BT62" i="106"/>
  <c r="BT35" i="3"/>
  <c r="BT51" i="3"/>
  <c r="BT20" i="107"/>
  <c r="BU20" i="107" s="1"/>
  <c r="BU25" i="106"/>
  <c r="BT31" i="106"/>
  <c r="CK26" i="106"/>
  <c r="CK21" i="107" s="1"/>
  <c r="CL89" i="106"/>
  <c r="CL26" i="106" s="1"/>
  <c r="BG54" i="107"/>
  <c r="BH52" i="107"/>
  <c r="BH53" i="107" s="1"/>
  <c r="BH54" i="107" s="1"/>
  <c r="BC126" i="106"/>
  <c r="BC124" i="106"/>
  <c r="CH9" i="29"/>
  <c r="CH56" i="29" s="1"/>
  <c r="CK11" i="29"/>
  <c r="CL11" i="29" s="1"/>
  <c r="CD71" i="3"/>
  <c r="CD27" i="3" s="1"/>
  <c r="CC28" i="3"/>
  <c r="CD81" i="3"/>
  <c r="CE157" i="106" l="1"/>
  <c r="CE51" i="106"/>
  <c r="CE40" i="107"/>
  <c r="CE38" i="107"/>
  <c r="CK58" i="29"/>
  <c r="CL58" i="29" s="1"/>
  <c r="CF18" i="29"/>
  <c r="CE19" i="29"/>
  <c r="CE21" i="29" s="1"/>
  <c r="CF33" i="106" s="1"/>
  <c r="BS195" i="3"/>
  <c r="BT193" i="3"/>
  <c r="BT196" i="3"/>
  <c r="BU192" i="3"/>
  <c r="BR195" i="3"/>
  <c r="BZ73" i="107"/>
  <c r="CA133" i="3"/>
  <c r="BT36" i="106"/>
  <c r="BX120" i="3"/>
  <c r="BX135" i="3"/>
  <c r="BY112" i="106"/>
  <c r="BY11" i="107" s="1"/>
  <c r="BY109" i="106"/>
  <c r="BU180" i="3"/>
  <c r="BX111" i="106"/>
  <c r="BX115" i="106" s="1"/>
  <c r="BW117" i="106"/>
  <c r="BR24" i="3"/>
  <c r="BW121" i="3"/>
  <c r="BW10" i="3"/>
  <c r="BU31" i="106"/>
  <c r="BU76" i="106"/>
  <c r="BU75" i="106"/>
  <c r="BU59" i="106"/>
  <c r="CC95" i="106"/>
  <c r="BT17" i="107"/>
  <c r="BU19" i="107"/>
  <c r="CM28" i="106"/>
  <c r="CI109" i="106"/>
  <c r="CI112" i="106"/>
  <c r="CI11" i="107" s="1"/>
  <c r="CM103" i="106"/>
  <c r="CM109" i="106" s="1"/>
  <c r="CD112" i="106"/>
  <c r="CD11" i="107" s="1"/>
  <c r="CD109" i="106"/>
  <c r="CA73" i="107"/>
  <c r="CA77" i="107" s="1"/>
  <c r="CC77" i="107" s="1"/>
  <c r="CD77" i="107" s="1"/>
  <c r="CE77" i="107" s="1"/>
  <c r="CF77" i="107" s="1"/>
  <c r="CA173" i="3"/>
  <c r="CA174" i="3"/>
  <c r="BU62" i="106"/>
  <c r="BU35" i="3"/>
  <c r="BU51" i="3"/>
  <c r="CA82" i="107"/>
  <c r="BZ43" i="107"/>
  <c r="BZ134" i="3"/>
  <c r="BZ164" i="3"/>
  <c r="BZ165" i="3" s="1"/>
  <c r="BZ175" i="3"/>
  <c r="CL21" i="107"/>
  <c r="CM21" i="107" s="1"/>
  <c r="CM26" i="106"/>
  <c r="CM89" i="106" s="1"/>
  <c r="BY164" i="3"/>
  <c r="BY165" i="3" s="1"/>
  <c r="BY175" i="3"/>
  <c r="BY134" i="3"/>
  <c r="BE121" i="106"/>
  <c r="BC127" i="106"/>
  <c r="BW130" i="106"/>
  <c r="BW133" i="106" s="1"/>
  <c r="CA130" i="106"/>
  <c r="CA133" i="106" s="1"/>
  <c r="BU134" i="106"/>
  <c r="CH64" i="29"/>
  <c r="CI16" i="3" s="1"/>
  <c r="CI9" i="29"/>
  <c r="CI56" i="29"/>
  <c r="CI64" i="29" s="1"/>
  <c r="CJ16" i="3" s="1"/>
  <c r="CD26" i="3"/>
  <c r="CE70" i="3"/>
  <c r="CD82" i="3"/>
  <c r="CF51" i="106" l="1"/>
  <c r="CF38" i="107"/>
  <c r="CG33" i="106"/>
  <c r="CF157" i="106"/>
  <c r="CF40" i="107"/>
  <c r="CG40" i="107" s="1"/>
  <c r="CH18" i="29"/>
  <c r="CF19" i="29"/>
  <c r="CF21" i="29" s="1"/>
  <c r="BU193" i="3"/>
  <c r="BT194" i="3"/>
  <c r="BU196" i="3"/>
  <c r="BU77" i="106"/>
  <c r="CA175" i="3"/>
  <c r="CA164" i="3"/>
  <c r="CA165" i="3" s="1"/>
  <c r="CE103" i="106"/>
  <c r="CA43" i="107"/>
  <c r="CA46" i="107" s="1"/>
  <c r="BZ46" i="107"/>
  <c r="BU181" i="3"/>
  <c r="CD36" i="107"/>
  <c r="BW118" i="106"/>
  <c r="BW17" i="106"/>
  <c r="BZ120" i="3"/>
  <c r="BZ135" i="3"/>
  <c r="BU17" i="107"/>
  <c r="BY111" i="106"/>
  <c r="BY115" i="106" s="1"/>
  <c r="BZ111" i="106" s="1"/>
  <c r="BX117" i="106"/>
  <c r="BR57" i="107"/>
  <c r="BR164" i="106"/>
  <c r="CC69" i="107"/>
  <c r="CA78" i="107"/>
  <c r="CC78" i="107" s="1"/>
  <c r="CD78" i="107" s="1"/>
  <c r="CE78" i="107" s="1"/>
  <c r="CF78" i="107" s="1"/>
  <c r="BZ103" i="106"/>
  <c r="CJ103" i="106"/>
  <c r="BY120" i="3"/>
  <c r="BY135" i="3"/>
  <c r="BU36" i="106"/>
  <c r="BW33" i="3"/>
  <c r="BW9" i="3"/>
  <c r="BW48" i="3"/>
  <c r="BW13" i="3"/>
  <c r="BW150" i="106" s="1"/>
  <c r="BW152" i="106" s="1"/>
  <c r="BW153" i="106" s="1"/>
  <c r="BW154" i="106" s="1"/>
  <c r="BX10" i="3"/>
  <c r="BX121" i="3"/>
  <c r="CA134" i="3"/>
  <c r="CA135" i="3" s="1"/>
  <c r="CC130" i="106"/>
  <c r="CC133" i="106" s="1"/>
  <c r="CG130" i="106"/>
  <c r="CG133" i="106" s="1"/>
  <c r="BX130" i="106"/>
  <c r="BX133" i="106" s="1"/>
  <c r="BW19" i="106"/>
  <c r="BW169" i="106" s="1"/>
  <c r="BI121" i="106"/>
  <c r="BE124" i="106"/>
  <c r="BE125" i="106"/>
  <c r="BI125" i="106" s="1"/>
  <c r="CJ9" i="29"/>
  <c r="CJ56" i="29" s="1"/>
  <c r="CJ64" i="29" s="1"/>
  <c r="CK16" i="3" s="1"/>
  <c r="CD28" i="3"/>
  <c r="CE81" i="3"/>
  <c r="CE71" i="3"/>
  <c r="CE27" i="3" s="1"/>
  <c r="CI18" i="29" l="1"/>
  <c r="CH19" i="29"/>
  <c r="CH21" i="29" s="1"/>
  <c r="CI33" i="106" s="1"/>
  <c r="CG38" i="107"/>
  <c r="CG157" i="106"/>
  <c r="CG51" i="106"/>
  <c r="BU194" i="3"/>
  <c r="BR82" i="106"/>
  <c r="BR61" i="107"/>
  <c r="BW134" i="106"/>
  <c r="BT195" i="3"/>
  <c r="BY117" i="106"/>
  <c r="BY17" i="106" s="1"/>
  <c r="CJ112" i="106"/>
  <c r="CJ11" i="107" s="1"/>
  <c r="CJ109" i="106"/>
  <c r="BW97" i="107"/>
  <c r="BW99" i="107" s="1"/>
  <c r="BW100" i="107" s="1"/>
  <c r="BW25" i="106"/>
  <c r="BW12" i="106"/>
  <c r="BW47" i="3"/>
  <c r="BW32" i="3"/>
  <c r="CE109" i="106"/>
  <c r="CE112" i="106"/>
  <c r="CE11" i="107" s="1"/>
  <c r="BR58" i="107"/>
  <c r="BR83" i="106" s="1"/>
  <c r="BX17" i="106"/>
  <c r="BX118" i="106"/>
  <c r="CE26" i="3"/>
  <c r="BX48" i="3"/>
  <c r="BX33" i="3"/>
  <c r="BX9" i="3"/>
  <c r="BX13" i="3"/>
  <c r="BX150" i="106" s="1"/>
  <c r="BY10" i="3"/>
  <c r="BY121" i="3"/>
  <c r="BZ109" i="106"/>
  <c r="BZ112" i="106"/>
  <c r="CD173" i="3"/>
  <c r="CC172" i="3"/>
  <c r="BZ10" i="3"/>
  <c r="BZ121" i="3"/>
  <c r="CD95" i="106"/>
  <c r="BW63" i="106"/>
  <c r="BW36" i="3"/>
  <c r="BW180" i="3" s="1"/>
  <c r="BW50" i="3"/>
  <c r="BW37" i="3"/>
  <c r="BW12" i="3"/>
  <c r="BW176" i="3"/>
  <c r="BW179" i="3"/>
  <c r="CC71" i="107"/>
  <c r="CC82" i="107" s="1"/>
  <c r="CC43" i="107" s="1"/>
  <c r="CC46" i="107" s="1"/>
  <c r="CG69" i="107"/>
  <c r="CC72" i="107"/>
  <c r="BX19" i="106"/>
  <c r="BX169" i="106" s="1"/>
  <c r="BY130" i="106"/>
  <c r="BY133" i="106" s="1"/>
  <c r="BI126" i="106"/>
  <c r="BI124" i="106"/>
  <c r="CI130" i="106"/>
  <c r="CI133" i="106" s="1"/>
  <c r="CM130" i="106"/>
  <c r="CM133" i="106" s="1"/>
  <c r="CC19" i="106"/>
  <c r="CC169" i="106" s="1"/>
  <c r="CD130" i="106"/>
  <c r="CD133" i="106" s="1"/>
  <c r="CK9" i="29"/>
  <c r="CK56" i="29" s="1"/>
  <c r="CF70" i="3"/>
  <c r="CE82" i="3"/>
  <c r="CJ18" i="29" l="1"/>
  <c r="CI19" i="29"/>
  <c r="CI21" i="29" s="1"/>
  <c r="CJ33" i="106" s="1"/>
  <c r="CI157" i="106"/>
  <c r="CI38" i="107"/>
  <c r="CI40" i="107"/>
  <c r="CI51" i="106"/>
  <c r="BU195" i="3"/>
  <c r="BX152" i="106"/>
  <c r="BX153" i="106" s="1"/>
  <c r="BX154" i="106" s="1"/>
  <c r="BX134" i="106"/>
  <c r="BW181" i="3"/>
  <c r="BW192" i="3"/>
  <c r="BY118" i="106"/>
  <c r="CA10" i="3"/>
  <c r="CA112" i="106"/>
  <c r="BZ11" i="107"/>
  <c r="BZ115" i="106"/>
  <c r="BZ117" i="106" s="1"/>
  <c r="BR59" i="107"/>
  <c r="CE36" i="107"/>
  <c r="CD172" i="3"/>
  <c r="CE173" i="3"/>
  <c r="CC73" i="107"/>
  <c r="CD69" i="107" s="1"/>
  <c r="BW62" i="106"/>
  <c r="BW51" i="3"/>
  <c r="BW35" i="3"/>
  <c r="BY13" i="3"/>
  <c r="BY150" i="106" s="1"/>
  <c r="BY9" i="3"/>
  <c r="BY33" i="3"/>
  <c r="BY48" i="3"/>
  <c r="BW19" i="107"/>
  <c r="BS52" i="107"/>
  <c r="BX97" i="107"/>
  <c r="BX99" i="107" s="1"/>
  <c r="BX100" i="107" s="1"/>
  <c r="BX14" i="107" s="1"/>
  <c r="BX25" i="106"/>
  <c r="BX12" i="106"/>
  <c r="BX47" i="3"/>
  <c r="BX32" i="3"/>
  <c r="BZ9" i="3"/>
  <c r="BZ13" i="3"/>
  <c r="BZ150" i="106" s="1"/>
  <c r="BZ152" i="106" s="1"/>
  <c r="BZ153" i="106" s="1"/>
  <c r="BZ154" i="106" s="1"/>
  <c r="BZ48" i="3"/>
  <c r="BZ33" i="3"/>
  <c r="CF103" i="106"/>
  <c r="BW20" i="107"/>
  <c r="BW31" i="106"/>
  <c r="CK103" i="106"/>
  <c r="BW14" i="107"/>
  <c r="CC134" i="106"/>
  <c r="CC174" i="3"/>
  <c r="CC133" i="3"/>
  <c r="BX63" i="106"/>
  <c r="BX37" i="3"/>
  <c r="BX36" i="3"/>
  <c r="BX180" i="3" s="1"/>
  <c r="BX50" i="3"/>
  <c r="BX176" i="3"/>
  <c r="BX12" i="3"/>
  <c r="BX179" i="3"/>
  <c r="CI19" i="106"/>
  <c r="CI169" i="106" s="1"/>
  <c r="CJ130" i="106"/>
  <c r="CJ133" i="106" s="1"/>
  <c r="BK121" i="106"/>
  <c r="BI127" i="106"/>
  <c r="BZ130" i="106"/>
  <c r="BZ133" i="106" s="1"/>
  <c r="BY19" i="106"/>
  <c r="BY169" i="106" s="1"/>
  <c r="CD19" i="106"/>
  <c r="CD169" i="106" s="1"/>
  <c r="CE130" i="106"/>
  <c r="CE133" i="106" s="1"/>
  <c r="CK64" i="29"/>
  <c r="CL16" i="3" s="1"/>
  <c r="CL56" i="29"/>
  <c r="CL64" i="29" s="1"/>
  <c r="CL9" i="29"/>
  <c r="CF71" i="3"/>
  <c r="CF27" i="3" s="1"/>
  <c r="CE28" i="3"/>
  <c r="CF81" i="3"/>
  <c r="CJ157" i="106" l="1"/>
  <c r="CJ38" i="107"/>
  <c r="CJ51" i="106"/>
  <c r="CJ40" i="107"/>
  <c r="CK18" i="29"/>
  <c r="CJ19" i="29"/>
  <c r="CJ21" i="29" s="1"/>
  <c r="CK33" i="106" s="1"/>
  <c r="BR167" i="106"/>
  <c r="BR170" i="106" s="1"/>
  <c r="BR173" i="106" s="1"/>
  <c r="BR54" i="107"/>
  <c r="BY152" i="106"/>
  <c r="BY153" i="106" s="1"/>
  <c r="BY154" i="106" s="1"/>
  <c r="CI134" i="106"/>
  <c r="BW193" i="3"/>
  <c r="BX192" i="3"/>
  <c r="BX181" i="3"/>
  <c r="BW196" i="3"/>
  <c r="CA9" i="3"/>
  <c r="CA97" i="107" s="1"/>
  <c r="CA99" i="107" s="1"/>
  <c r="CA120" i="3"/>
  <c r="CA121" i="3" s="1"/>
  <c r="CA48" i="3"/>
  <c r="CA13" i="3"/>
  <c r="CA33" i="3"/>
  <c r="CE172" i="3"/>
  <c r="CF173" i="3"/>
  <c r="CF172" i="3" s="1"/>
  <c r="CA11" i="107"/>
  <c r="BY63" i="106"/>
  <c r="BY176" i="3"/>
  <c r="BY179" i="3"/>
  <c r="BY12" i="3"/>
  <c r="BY37" i="3"/>
  <c r="BY36" i="3"/>
  <c r="BY180" i="3" s="1"/>
  <c r="BY50" i="3"/>
  <c r="BX20" i="107"/>
  <c r="BX31" i="106"/>
  <c r="BW17" i="107"/>
  <c r="CM16" i="3"/>
  <c r="BZ63" i="106"/>
  <c r="BZ12" i="3"/>
  <c r="BZ37" i="3"/>
  <c r="BZ176" i="3"/>
  <c r="BZ50" i="3"/>
  <c r="BZ36" i="3"/>
  <c r="BZ180" i="3" s="1"/>
  <c r="BZ179" i="3"/>
  <c r="CC134" i="3"/>
  <c r="CC164" i="3"/>
  <c r="CC165" i="3" s="1"/>
  <c r="CC175" i="3"/>
  <c r="CK112" i="106"/>
  <c r="CK11" i="107" s="1"/>
  <c r="CK109" i="106"/>
  <c r="BZ97" i="107"/>
  <c r="BZ99" i="107" s="1"/>
  <c r="BZ100" i="107" s="1"/>
  <c r="BZ14" i="107" s="1"/>
  <c r="BZ25" i="106"/>
  <c r="BZ12" i="106"/>
  <c r="BZ47" i="3"/>
  <c r="BZ32" i="3"/>
  <c r="CF112" i="106"/>
  <c r="CF109" i="106"/>
  <c r="BX80" i="3"/>
  <c r="BY97" i="107"/>
  <c r="BY99" i="107" s="1"/>
  <c r="BY100" i="107" s="1"/>
  <c r="BY14" i="107" s="1"/>
  <c r="BY25" i="106"/>
  <c r="BY12" i="106"/>
  <c r="BY32" i="3"/>
  <c r="BY47" i="3"/>
  <c r="CD174" i="3"/>
  <c r="CD133" i="3"/>
  <c r="CA113" i="106"/>
  <c r="CA115" i="106"/>
  <c r="BW36" i="106"/>
  <c r="CE95" i="106"/>
  <c r="CD134" i="106"/>
  <c r="BX62" i="106"/>
  <c r="BX51" i="3"/>
  <c r="BX35" i="3"/>
  <c r="BX19" i="107"/>
  <c r="BW80" i="3"/>
  <c r="CD72" i="107"/>
  <c r="CD71" i="107"/>
  <c r="BZ17" i="106"/>
  <c r="BZ118" i="106"/>
  <c r="BZ19" i="106"/>
  <c r="BZ169" i="106" s="1"/>
  <c r="CF130" i="106"/>
  <c r="CF133" i="106" s="1"/>
  <c r="CE19" i="106"/>
  <c r="CE169" i="106" s="1"/>
  <c r="BO121" i="106"/>
  <c r="BK124" i="106"/>
  <c r="BK125" i="106"/>
  <c r="BO125" i="106" s="1"/>
  <c r="CJ19" i="106"/>
  <c r="CJ169" i="106" s="1"/>
  <c r="CK130" i="106"/>
  <c r="CK133" i="106" s="1"/>
  <c r="BY134" i="106"/>
  <c r="CF26" i="3"/>
  <c r="CG27" i="3"/>
  <c r="CG71" i="3"/>
  <c r="CF82" i="3"/>
  <c r="CK157" i="106" l="1"/>
  <c r="CK40" i="107"/>
  <c r="CK38" i="107"/>
  <c r="CK51" i="106"/>
  <c r="CL18" i="29"/>
  <c r="CL19" i="29" s="1"/>
  <c r="CL21" i="29" s="1"/>
  <c r="CK19" i="29"/>
  <c r="CK21" i="29" s="1"/>
  <c r="CL33" i="106" s="1"/>
  <c r="BR171" i="106"/>
  <c r="BR174" i="106" s="1"/>
  <c r="BR58" i="106" s="1"/>
  <c r="CA150" i="106"/>
  <c r="BZ134" i="106"/>
  <c r="CJ134" i="106"/>
  <c r="BX196" i="3"/>
  <c r="CA63" i="106"/>
  <c r="BX193" i="3"/>
  <c r="BX194" i="3" s="1"/>
  <c r="BW194" i="3"/>
  <c r="BZ192" i="3"/>
  <c r="CA47" i="3"/>
  <c r="BZ181" i="3"/>
  <c r="BY181" i="3"/>
  <c r="BY192" i="3"/>
  <c r="CA32" i="3"/>
  <c r="CA12" i="3"/>
  <c r="CA50" i="3"/>
  <c r="CA37" i="3"/>
  <c r="CA36" i="3"/>
  <c r="CA180" i="3" s="1"/>
  <c r="CA179" i="3"/>
  <c r="CA176" i="3"/>
  <c r="CG172" i="3"/>
  <c r="CA14" i="107"/>
  <c r="BX17" i="107"/>
  <c r="BZ19" i="107"/>
  <c r="CE134" i="106"/>
  <c r="CD134" i="3"/>
  <c r="CD175" i="3"/>
  <c r="CD164" i="3"/>
  <c r="CD165" i="3" s="1"/>
  <c r="BZ62" i="106"/>
  <c r="BZ35" i="3"/>
  <c r="BZ51" i="3"/>
  <c r="BX36" i="106"/>
  <c r="CD82" i="107"/>
  <c r="BZ80" i="3"/>
  <c r="BY20" i="107"/>
  <c r="BY31" i="106"/>
  <c r="CL103" i="106"/>
  <c r="BY80" i="3"/>
  <c r="CA12" i="106"/>
  <c r="CC111" i="106"/>
  <c r="CA117" i="106"/>
  <c r="CA118" i="106" s="1"/>
  <c r="BZ20" i="107"/>
  <c r="CA25" i="106"/>
  <c r="BZ31" i="106"/>
  <c r="CC120" i="3"/>
  <c r="CC135" i="3"/>
  <c r="BY62" i="106"/>
  <c r="BY35" i="3"/>
  <c r="BY51" i="3"/>
  <c r="CF36" i="107"/>
  <c r="CA100" i="107"/>
  <c r="CA101" i="107" s="1"/>
  <c r="BY19" i="107"/>
  <c r="CA17" i="106"/>
  <c r="CG112" i="106"/>
  <c r="CG113" i="106" s="1"/>
  <c r="CF11" i="107"/>
  <c r="CF133" i="3"/>
  <c r="CF174" i="3"/>
  <c r="CD73" i="107"/>
  <c r="CE69" i="107" s="1"/>
  <c r="CE174" i="3"/>
  <c r="CE133" i="3"/>
  <c r="BO126" i="106"/>
  <c r="BO124" i="106"/>
  <c r="CF19" i="106"/>
  <c r="CF169" i="106" s="1"/>
  <c r="CK19" i="106"/>
  <c r="CK169" i="106" s="1"/>
  <c r="CL130" i="106"/>
  <c r="CL133" i="106" s="1"/>
  <c r="CA19" i="106"/>
  <c r="CA169" i="106" s="1"/>
  <c r="CF28" i="3"/>
  <c r="CG28" i="3" s="1"/>
  <c r="CG82" i="3"/>
  <c r="CI70" i="3"/>
  <c r="CI81" i="3"/>
  <c r="CM81" i="3" s="1"/>
  <c r="CG26" i="3"/>
  <c r="CL51" i="106" l="1"/>
  <c r="CL157" i="106"/>
  <c r="CL38" i="107"/>
  <c r="CL40" i="107"/>
  <c r="CM40" i="107" s="1"/>
  <c r="CM33" i="106"/>
  <c r="BW195" i="3"/>
  <c r="CA62" i="106"/>
  <c r="CF134" i="106"/>
  <c r="CG133" i="3"/>
  <c r="CA192" i="3"/>
  <c r="BY196" i="3"/>
  <c r="BZ196" i="3"/>
  <c r="BX195" i="3"/>
  <c r="BY193" i="3"/>
  <c r="BZ193" i="3"/>
  <c r="BZ17" i="107"/>
  <c r="CA35" i="3"/>
  <c r="CG174" i="3"/>
  <c r="CG173" i="3"/>
  <c r="CI173" i="3" s="1"/>
  <c r="CA51" i="3"/>
  <c r="CA181" i="3"/>
  <c r="CA80" i="3"/>
  <c r="CA20" i="107"/>
  <c r="CF134" i="3"/>
  <c r="CF164" i="3"/>
  <c r="CF165" i="3" s="1"/>
  <c r="CF175" i="3"/>
  <c r="CA19" i="107"/>
  <c r="BY17" i="107"/>
  <c r="CA75" i="106"/>
  <c r="BR48" i="106"/>
  <c r="CG11" i="107"/>
  <c r="BY36" i="106"/>
  <c r="BZ36" i="106"/>
  <c r="CE72" i="107"/>
  <c r="CE71" i="107"/>
  <c r="CA76" i="106"/>
  <c r="CA31" i="106"/>
  <c r="CF95" i="106"/>
  <c r="CG36" i="107"/>
  <c r="CG95" i="106" s="1"/>
  <c r="CC10" i="3"/>
  <c r="CC121" i="3"/>
  <c r="CD120" i="3"/>
  <c r="CD135" i="3"/>
  <c r="CE134" i="3"/>
  <c r="CE164" i="3"/>
  <c r="CE165" i="3" s="1"/>
  <c r="CE175" i="3"/>
  <c r="CG111" i="106"/>
  <c r="CG115" i="106" s="1"/>
  <c r="CC115" i="106"/>
  <c r="CD43" i="107"/>
  <c r="CL112" i="106"/>
  <c r="CL109" i="106"/>
  <c r="CG19" i="106"/>
  <c r="CG169" i="106" s="1"/>
  <c r="CL19" i="106"/>
  <c r="CL169" i="106" s="1"/>
  <c r="CA134" i="106"/>
  <c r="CK134" i="106"/>
  <c r="BU121" i="106"/>
  <c r="BQ121" i="106"/>
  <c r="BO127" i="106"/>
  <c r="CM70" i="3"/>
  <c r="CI71" i="3"/>
  <c r="CI27" i="3" s="1"/>
  <c r="CM51" i="106" l="1"/>
  <c r="CM157" i="106"/>
  <c r="CM38" i="107"/>
  <c r="CA193" i="3"/>
  <c r="CA196" i="3"/>
  <c r="CL134" i="106"/>
  <c r="BY194" i="3"/>
  <c r="BZ194" i="3"/>
  <c r="CG175" i="3"/>
  <c r="CG164" i="3"/>
  <c r="CG165" i="3" s="1"/>
  <c r="CE73" i="107"/>
  <c r="CF69" i="107" s="1"/>
  <c r="CF71" i="107" s="1"/>
  <c r="CM112" i="106"/>
  <c r="CM113" i="106" s="1"/>
  <c r="CL11" i="107"/>
  <c r="CD46" i="107"/>
  <c r="CA36" i="106"/>
  <c r="CD111" i="106"/>
  <c r="CD115" i="106" s="1"/>
  <c r="CC117" i="106"/>
  <c r="CD10" i="3"/>
  <c r="CD121" i="3"/>
  <c r="CF120" i="3"/>
  <c r="CF135" i="3"/>
  <c r="CI111" i="106"/>
  <c r="CG117" i="106"/>
  <c r="CG118" i="106" s="1"/>
  <c r="CA77" i="106"/>
  <c r="CI172" i="3"/>
  <c r="CJ173" i="3"/>
  <c r="CE82" i="107"/>
  <c r="CE135" i="3"/>
  <c r="CE120" i="3"/>
  <c r="CG134" i="3"/>
  <c r="CG135" i="3" s="1"/>
  <c r="CC9" i="3"/>
  <c r="CC48" i="3"/>
  <c r="CC33" i="3"/>
  <c r="CC13" i="3"/>
  <c r="CC150" i="106" s="1"/>
  <c r="CC152" i="106" s="1"/>
  <c r="CC153" i="106" s="1"/>
  <c r="CC154" i="106" s="1"/>
  <c r="CA17" i="107"/>
  <c r="CM19" i="106"/>
  <c r="CM169" i="106" s="1"/>
  <c r="BQ124" i="106"/>
  <c r="BQ125" i="106"/>
  <c r="BU125" i="106" s="1"/>
  <c r="BU126" i="106" s="1"/>
  <c r="BU124" i="106"/>
  <c r="CG134" i="106"/>
  <c r="CI26" i="3"/>
  <c r="CI82" i="3"/>
  <c r="CJ70" i="3"/>
  <c r="CA194" i="3" l="1"/>
  <c r="CI36" i="107"/>
  <c r="CI95" i="106" s="1"/>
  <c r="CM11" i="107"/>
  <c r="BZ195" i="3"/>
  <c r="BY195" i="3"/>
  <c r="CF72" i="107"/>
  <c r="CG72" i="107" s="1"/>
  <c r="CF82" i="107"/>
  <c r="CF43" i="107" s="1"/>
  <c r="CF46" i="107" s="1"/>
  <c r="CG71" i="107"/>
  <c r="CF73" i="107"/>
  <c r="CF10" i="3"/>
  <c r="CF121" i="3"/>
  <c r="CC97" i="107"/>
  <c r="CC99" i="107" s="1"/>
  <c r="CC100" i="107" s="1"/>
  <c r="CC25" i="106"/>
  <c r="CC12" i="106"/>
  <c r="CC32" i="3"/>
  <c r="CC47" i="3"/>
  <c r="CI174" i="3"/>
  <c r="CI133" i="3"/>
  <c r="CE43" i="107"/>
  <c r="CI115" i="106"/>
  <c r="CM111" i="106"/>
  <c r="CM115" i="106" s="1"/>
  <c r="CM117" i="106" s="1"/>
  <c r="CM118" i="106" s="1"/>
  <c r="CD13" i="3"/>
  <c r="CD150" i="106" s="1"/>
  <c r="CD9" i="3"/>
  <c r="CD48" i="3"/>
  <c r="CD33" i="3"/>
  <c r="CE121" i="3"/>
  <c r="CE10" i="3"/>
  <c r="CE111" i="106"/>
  <c r="CE115" i="106" s="1"/>
  <c r="CD117" i="106"/>
  <c r="CJ172" i="3"/>
  <c r="CK173" i="3"/>
  <c r="CC17" i="106"/>
  <c r="CC118" i="106"/>
  <c r="CC63" i="106"/>
  <c r="CC12" i="3"/>
  <c r="CC36" i="3"/>
  <c r="CC180" i="3" s="1"/>
  <c r="CC37" i="3"/>
  <c r="CC50" i="3"/>
  <c r="CC176" i="3"/>
  <c r="CC179" i="3"/>
  <c r="CA121" i="106"/>
  <c r="BW121" i="106"/>
  <c r="BU127" i="106"/>
  <c r="CM134" i="106"/>
  <c r="CJ81" i="3"/>
  <c r="CI28" i="3"/>
  <c r="CJ71" i="3"/>
  <c r="CJ27" i="3" s="1"/>
  <c r="CA195" i="3" l="1"/>
  <c r="CD152" i="106"/>
  <c r="CD153" i="106" s="1"/>
  <c r="CD154" i="106" s="1"/>
  <c r="CJ26" i="3"/>
  <c r="CC192" i="3"/>
  <c r="CC181" i="3"/>
  <c r="CG73" i="107"/>
  <c r="CI69" i="107" s="1"/>
  <c r="CG82" i="107"/>
  <c r="CD97" i="107"/>
  <c r="CD99" i="107" s="1"/>
  <c r="CD100" i="107" s="1"/>
  <c r="CD14" i="107" s="1"/>
  <c r="CD12" i="106"/>
  <c r="CD25" i="106"/>
  <c r="CD32" i="3"/>
  <c r="CD47" i="3"/>
  <c r="CE48" i="3"/>
  <c r="CE13" i="3"/>
  <c r="CE150" i="106" s="1"/>
  <c r="CE9" i="3"/>
  <c r="CE33" i="3"/>
  <c r="CD63" i="106"/>
  <c r="CD37" i="3"/>
  <c r="CD36" i="3"/>
  <c r="CD180" i="3" s="1"/>
  <c r="CD12" i="3"/>
  <c r="CD179" i="3"/>
  <c r="CD176" i="3"/>
  <c r="CD50" i="3"/>
  <c r="CF9" i="3"/>
  <c r="CF13" i="3"/>
  <c r="CF48" i="3"/>
  <c r="CF33" i="3"/>
  <c r="CC19" i="107"/>
  <c r="CG10" i="3"/>
  <c r="CC20" i="107"/>
  <c r="CC31" i="106"/>
  <c r="CJ174" i="3"/>
  <c r="CJ133" i="3"/>
  <c r="CD17" i="106"/>
  <c r="CD118" i="106"/>
  <c r="CF111" i="106"/>
  <c r="CF115" i="106" s="1"/>
  <c r="CF117" i="106" s="1"/>
  <c r="CE117" i="106"/>
  <c r="CJ111" i="106"/>
  <c r="CJ115" i="106" s="1"/>
  <c r="CI117" i="106"/>
  <c r="CC62" i="106"/>
  <c r="CC35" i="3"/>
  <c r="CC51" i="3"/>
  <c r="CI164" i="3"/>
  <c r="CI165" i="3" s="1"/>
  <c r="CI175" i="3"/>
  <c r="CI134" i="3"/>
  <c r="CC14" i="107"/>
  <c r="CL173" i="3"/>
  <c r="CL172" i="3" s="1"/>
  <c r="CK172" i="3"/>
  <c r="CE46" i="107"/>
  <c r="CG43" i="107"/>
  <c r="CG46" i="107" s="1"/>
  <c r="BW126" i="106"/>
  <c r="BW124" i="106"/>
  <c r="CA126" i="106"/>
  <c r="CA124" i="106"/>
  <c r="CJ82" i="3"/>
  <c r="CK70" i="3"/>
  <c r="CG78" i="107" l="1"/>
  <c r="CI78" i="107" s="1"/>
  <c r="CJ78" i="107" s="1"/>
  <c r="CK78" i="107" s="1"/>
  <c r="CL78" i="107" s="1"/>
  <c r="CG77" i="107"/>
  <c r="CI77" i="107" s="1"/>
  <c r="CJ77" i="107" s="1"/>
  <c r="CK77" i="107" s="1"/>
  <c r="CL77" i="107" s="1"/>
  <c r="CE152" i="106"/>
  <c r="CE153" i="106" s="1"/>
  <c r="CE154" i="106" s="1"/>
  <c r="CF150" i="106"/>
  <c r="CF152" i="106" s="1"/>
  <c r="CF153" i="106" s="1"/>
  <c r="CF154" i="106" s="1"/>
  <c r="CJ36" i="107"/>
  <c r="CJ95" i="106" s="1"/>
  <c r="CC193" i="3"/>
  <c r="CC194" i="3" s="1"/>
  <c r="CC196" i="3"/>
  <c r="CD192" i="3"/>
  <c r="CD181" i="3"/>
  <c r="CM69" i="107"/>
  <c r="CI72" i="107"/>
  <c r="CM172" i="3"/>
  <c r="CM174" i="3" s="1"/>
  <c r="BS65" i="107"/>
  <c r="CC36" i="106"/>
  <c r="CE97" i="107"/>
  <c r="CE99" i="107" s="1"/>
  <c r="CE100" i="107" s="1"/>
  <c r="CE25" i="106"/>
  <c r="CE12" i="106"/>
  <c r="CE19" i="107" s="1"/>
  <c r="CE32" i="3"/>
  <c r="CE47" i="3"/>
  <c r="CC80" i="3"/>
  <c r="CI17" i="106"/>
  <c r="CI118" i="106"/>
  <c r="CF63" i="106"/>
  <c r="CF36" i="3"/>
  <c r="CF180" i="3" s="1"/>
  <c r="CF50" i="3"/>
  <c r="CF37" i="3"/>
  <c r="CF176" i="3"/>
  <c r="CF12" i="3"/>
  <c r="CF179" i="3"/>
  <c r="CD62" i="106"/>
  <c r="CD35" i="3"/>
  <c r="CD51" i="3"/>
  <c r="CE63" i="106"/>
  <c r="CE176" i="3"/>
  <c r="CE179" i="3"/>
  <c r="CE12" i="3"/>
  <c r="CE37" i="3"/>
  <c r="CE36" i="3"/>
  <c r="CE180" i="3" s="1"/>
  <c r="CE50" i="3"/>
  <c r="CI120" i="3"/>
  <c r="CI135" i="3"/>
  <c r="CK111" i="106"/>
  <c r="CK115" i="106" s="1"/>
  <c r="CJ117" i="106"/>
  <c r="CC17" i="107"/>
  <c r="CF97" i="107"/>
  <c r="CF99" i="107" s="1"/>
  <c r="CF100" i="107" s="1"/>
  <c r="CF14" i="107" s="1"/>
  <c r="CF12" i="106"/>
  <c r="CF25" i="106"/>
  <c r="CF32" i="3"/>
  <c r="CF47" i="3"/>
  <c r="CD20" i="107"/>
  <c r="CD31" i="106"/>
  <c r="CE17" i="106"/>
  <c r="CE118" i="106"/>
  <c r="CD80" i="3"/>
  <c r="CK174" i="3"/>
  <c r="CK133" i="3"/>
  <c r="CF17" i="106"/>
  <c r="CF118" i="106"/>
  <c r="CL174" i="3"/>
  <c r="CL133" i="3"/>
  <c r="CJ134" i="3"/>
  <c r="CJ175" i="3"/>
  <c r="CJ164" i="3"/>
  <c r="CJ165" i="3" s="1"/>
  <c r="CG9" i="3"/>
  <c r="CG13" i="3"/>
  <c r="CG33" i="3"/>
  <c r="CG120" i="3"/>
  <c r="CG121" i="3" s="1"/>
  <c r="CG48" i="3"/>
  <c r="CD19" i="107"/>
  <c r="CC121" i="106"/>
  <c r="CG121" i="106"/>
  <c r="BW20" i="106"/>
  <c r="BW127" i="106" s="1"/>
  <c r="BX121" i="106"/>
  <c r="CK71" i="3"/>
  <c r="CJ28" i="3"/>
  <c r="CK81" i="3"/>
  <c r="CI71" i="107" l="1"/>
  <c r="CI82" i="107" s="1"/>
  <c r="CI43" i="107" s="1"/>
  <c r="CI46" i="107" s="1"/>
  <c r="CG150" i="106"/>
  <c r="CC195" i="3"/>
  <c r="CD196" i="3"/>
  <c r="CD193" i="3"/>
  <c r="CF181" i="3"/>
  <c r="CE192" i="3"/>
  <c r="CF192" i="3"/>
  <c r="CE181" i="3"/>
  <c r="CM173" i="3"/>
  <c r="CM133" i="3"/>
  <c r="CK175" i="3"/>
  <c r="CK134" i="3"/>
  <c r="CK164" i="3"/>
  <c r="CK165" i="3" s="1"/>
  <c r="CL111" i="106"/>
  <c r="CL115" i="106" s="1"/>
  <c r="CL117" i="106" s="1"/>
  <c r="CK117" i="106"/>
  <c r="CG63" i="106"/>
  <c r="CG176" i="3"/>
  <c r="CG179" i="3"/>
  <c r="CG12" i="3"/>
  <c r="CG50" i="3"/>
  <c r="CG36" i="3"/>
  <c r="CG180" i="3" s="1"/>
  <c r="CG37" i="3"/>
  <c r="CG12" i="106"/>
  <c r="CG75" i="106" s="1"/>
  <c r="CE14" i="107"/>
  <c r="CG100" i="107"/>
  <c r="CL134" i="3"/>
  <c r="CL175" i="3"/>
  <c r="CL164" i="3"/>
  <c r="CL165" i="3" s="1"/>
  <c r="CD36" i="106"/>
  <c r="CG25" i="106"/>
  <c r="CF20" i="107"/>
  <c r="CF31" i="106"/>
  <c r="CE62" i="106"/>
  <c r="CE51" i="3"/>
  <c r="CE35" i="3"/>
  <c r="CF19" i="107"/>
  <c r="CG19" i="107" s="1"/>
  <c r="CJ17" i="106"/>
  <c r="CJ118" i="106"/>
  <c r="CI10" i="3"/>
  <c r="CI121" i="3"/>
  <c r="CF80" i="3"/>
  <c r="CE20" i="107"/>
  <c r="CE17" i="107" s="1"/>
  <c r="CE31" i="106"/>
  <c r="CF62" i="106"/>
  <c r="CF51" i="3"/>
  <c r="CF35" i="3"/>
  <c r="CD17" i="107"/>
  <c r="CG97" i="107"/>
  <c r="CG99" i="107" s="1"/>
  <c r="CG32" i="3"/>
  <c r="CG47" i="3"/>
  <c r="CJ135" i="3"/>
  <c r="CJ120" i="3"/>
  <c r="CG17" i="106"/>
  <c r="CM175" i="3"/>
  <c r="CM164" i="3"/>
  <c r="CM165" i="3" s="1"/>
  <c r="BX126" i="106"/>
  <c r="BX124" i="106"/>
  <c r="CG126" i="106"/>
  <c r="CG124" i="106"/>
  <c r="BW59" i="106"/>
  <c r="CC126" i="106"/>
  <c r="CC124" i="106"/>
  <c r="CL70" i="3"/>
  <c r="CK82" i="3"/>
  <c r="CK27" i="3"/>
  <c r="CI73" i="107" l="1"/>
  <c r="CJ69" i="107" s="1"/>
  <c r="CG76" i="106"/>
  <c r="CG77" i="106" s="1"/>
  <c r="CF196" i="3"/>
  <c r="CD194" i="3"/>
  <c r="CG192" i="3"/>
  <c r="CE193" i="3"/>
  <c r="CE196" i="3"/>
  <c r="CF193" i="3"/>
  <c r="CG181" i="3"/>
  <c r="CG62" i="106"/>
  <c r="CG51" i="3"/>
  <c r="CG35" i="3"/>
  <c r="CK17" i="106"/>
  <c r="CK118" i="106"/>
  <c r="CE36" i="106"/>
  <c r="CL118" i="106"/>
  <c r="CL17" i="106"/>
  <c r="CJ121" i="3"/>
  <c r="CJ10" i="3"/>
  <c r="CF17" i="107"/>
  <c r="CG31" i="106"/>
  <c r="CL135" i="3"/>
  <c r="CL120" i="3"/>
  <c r="CF36" i="106"/>
  <c r="CI13" i="3"/>
  <c r="CI150" i="106" s="1"/>
  <c r="CI152" i="106" s="1"/>
  <c r="CI153" i="106" s="1"/>
  <c r="CI154" i="106" s="1"/>
  <c r="CI9" i="3"/>
  <c r="CI33" i="3"/>
  <c r="CI48" i="3"/>
  <c r="CG101" i="107"/>
  <c r="CK120" i="3"/>
  <c r="CK135" i="3"/>
  <c r="CM134" i="3"/>
  <c r="CM135" i="3" s="1"/>
  <c r="CE80" i="3"/>
  <c r="CG14" i="107"/>
  <c r="CG20" i="107"/>
  <c r="CI121" i="106"/>
  <c r="CM121" i="106"/>
  <c r="CC20" i="106"/>
  <c r="CD121" i="106"/>
  <c r="BX20" i="106"/>
  <c r="BX127" i="106" s="1"/>
  <c r="BY121" i="106"/>
  <c r="CK26" i="3"/>
  <c r="CK28" i="3"/>
  <c r="CL81" i="3"/>
  <c r="CL71" i="3"/>
  <c r="CL27" i="3" s="1"/>
  <c r="CJ72" i="107" l="1"/>
  <c r="CJ71" i="107"/>
  <c r="CJ82" i="107" s="1"/>
  <c r="CJ43" i="107" s="1"/>
  <c r="CJ46" i="107" s="1"/>
  <c r="CM27" i="3"/>
  <c r="CK36" i="107"/>
  <c r="CK95" i="106" s="1"/>
  <c r="CF194" i="3"/>
  <c r="CD195" i="3"/>
  <c r="CG193" i="3"/>
  <c r="CM17" i="106"/>
  <c r="CG196" i="3"/>
  <c r="CE194" i="3"/>
  <c r="CG17" i="107"/>
  <c r="CI97" i="107"/>
  <c r="CI99" i="107" s="1"/>
  <c r="CI100" i="107" s="1"/>
  <c r="CI25" i="106"/>
  <c r="CI12" i="106"/>
  <c r="CI32" i="3"/>
  <c r="CI47" i="3"/>
  <c r="CI63" i="106"/>
  <c r="CI37" i="3"/>
  <c r="CI36" i="3"/>
  <c r="CI180" i="3" s="1"/>
  <c r="CI12" i="3"/>
  <c r="CI50" i="3"/>
  <c r="CI179" i="3"/>
  <c r="CI176" i="3"/>
  <c r="CK121" i="3"/>
  <c r="CK10" i="3"/>
  <c r="CG80" i="3"/>
  <c r="CG36" i="106"/>
  <c r="CL10" i="3"/>
  <c r="CL121" i="3"/>
  <c r="CJ13" i="3"/>
  <c r="CJ150" i="106" s="1"/>
  <c r="CJ33" i="3"/>
  <c r="CJ48" i="3"/>
  <c r="CJ9" i="3"/>
  <c r="CD126" i="106"/>
  <c r="CD124" i="106"/>
  <c r="BY126" i="106"/>
  <c r="BY124" i="106"/>
  <c r="BX59" i="106"/>
  <c r="CC59" i="106"/>
  <c r="CM124" i="106"/>
  <c r="CM126" i="106"/>
  <c r="CI126" i="106"/>
  <c r="CI124" i="106"/>
  <c r="CC127" i="106"/>
  <c r="CM71" i="3"/>
  <c r="CL82" i="3"/>
  <c r="CL26" i="3"/>
  <c r="CJ73" i="107" l="1"/>
  <c r="CK69" i="107" s="1"/>
  <c r="CK71" i="107"/>
  <c r="CK72" i="107"/>
  <c r="CJ152" i="106"/>
  <c r="CJ153" i="106" s="1"/>
  <c r="CJ154" i="106" s="1"/>
  <c r="CL36" i="107"/>
  <c r="CL95" i="106" s="1"/>
  <c r="CI192" i="3"/>
  <c r="CI181" i="3"/>
  <c r="CG194" i="3"/>
  <c r="CF195" i="3"/>
  <c r="CE195" i="3"/>
  <c r="CJ63" i="106"/>
  <c r="CJ37" i="3"/>
  <c r="CJ12" i="3"/>
  <c r="CJ36" i="3"/>
  <c r="CJ180" i="3" s="1"/>
  <c r="CJ50" i="3"/>
  <c r="CJ176" i="3"/>
  <c r="CJ179" i="3"/>
  <c r="CI19" i="107"/>
  <c r="CI20" i="107"/>
  <c r="CI31" i="106"/>
  <c r="CK13" i="3"/>
  <c r="CK150" i="106" s="1"/>
  <c r="CK152" i="106" s="1"/>
  <c r="CK153" i="106" s="1"/>
  <c r="CK154" i="106" s="1"/>
  <c r="CK33" i="3"/>
  <c r="CK48" i="3"/>
  <c r="CK9" i="3"/>
  <c r="CM10" i="3"/>
  <c r="CL13" i="3"/>
  <c r="CL33" i="3"/>
  <c r="CL48" i="3"/>
  <c r="CL9" i="3"/>
  <c r="CM26" i="3"/>
  <c r="CJ97" i="107"/>
  <c r="CJ99" i="107" s="1"/>
  <c r="CJ100" i="107" s="1"/>
  <c r="CJ14" i="107" s="1"/>
  <c r="CJ12" i="106"/>
  <c r="CJ25" i="106"/>
  <c r="CJ32" i="3"/>
  <c r="CJ47" i="3"/>
  <c r="CI62" i="106"/>
  <c r="CI35" i="3"/>
  <c r="CI51" i="3"/>
  <c r="CI14" i="107"/>
  <c r="CI20" i="106"/>
  <c r="CJ121" i="106"/>
  <c r="BY20" i="106"/>
  <c r="BY127" i="106" s="1"/>
  <c r="BZ121" i="106"/>
  <c r="CE121" i="106"/>
  <c r="CD20" i="106"/>
  <c r="CD127" i="106" s="1"/>
  <c r="CL28" i="3"/>
  <c r="CM28" i="3" s="1"/>
  <c r="CM82" i="3"/>
  <c r="CK82" i="107" l="1"/>
  <c r="CK43" i="107" s="1"/>
  <c r="CK46" i="107" s="1"/>
  <c r="CK73" i="107"/>
  <c r="CL69" i="107" s="1"/>
  <c r="CM36" i="107"/>
  <c r="CM95" i="106" s="1"/>
  <c r="CL150" i="106"/>
  <c r="CL152" i="106" s="1"/>
  <c r="CL153" i="106" s="1"/>
  <c r="CL154" i="106" s="1"/>
  <c r="CI127" i="106"/>
  <c r="CI196" i="3"/>
  <c r="CI193" i="3"/>
  <c r="CI194" i="3" s="1"/>
  <c r="CJ192" i="3"/>
  <c r="CI36" i="106"/>
  <c r="CJ181" i="3"/>
  <c r="CG195" i="3"/>
  <c r="CL63" i="106"/>
  <c r="CL176" i="3"/>
  <c r="CL12" i="3"/>
  <c r="CL36" i="3"/>
  <c r="CL180" i="3" s="1"/>
  <c r="CL50" i="3"/>
  <c r="CL179" i="3"/>
  <c r="CL37" i="3"/>
  <c r="CK63" i="106"/>
  <c r="CK50" i="3"/>
  <c r="CK179" i="3"/>
  <c r="CK176" i="3"/>
  <c r="CK12" i="3"/>
  <c r="CK36" i="3"/>
  <c r="CK180" i="3" s="1"/>
  <c r="CK37" i="3"/>
  <c r="CI80" i="3"/>
  <c r="CJ20" i="107"/>
  <c r="CJ31" i="106"/>
  <c r="CM13" i="3"/>
  <c r="CM33" i="3"/>
  <c r="CM120" i="3"/>
  <c r="CM121" i="3" s="1"/>
  <c r="CM48" i="3"/>
  <c r="CI17" i="107"/>
  <c r="CJ62" i="106"/>
  <c r="CJ51" i="3"/>
  <c r="CJ35" i="3"/>
  <c r="CL97" i="107"/>
  <c r="CL99" i="107" s="1"/>
  <c r="CL100" i="107" s="1"/>
  <c r="CL14" i="107" s="1"/>
  <c r="CL12" i="106"/>
  <c r="CL25" i="106"/>
  <c r="CL32" i="3"/>
  <c r="CL47" i="3"/>
  <c r="CK97" i="107"/>
  <c r="CK99" i="107" s="1"/>
  <c r="CK100" i="107" s="1"/>
  <c r="CK12" i="106"/>
  <c r="CK25" i="106"/>
  <c r="CK32" i="3"/>
  <c r="CK47" i="3"/>
  <c r="CM9" i="3"/>
  <c r="CJ19" i="107"/>
  <c r="CJ80" i="3"/>
  <c r="CE126" i="106"/>
  <c r="CE124" i="106"/>
  <c r="CJ126" i="106"/>
  <c r="CJ124" i="106"/>
  <c r="CD59" i="106"/>
  <c r="BZ126" i="106"/>
  <c r="BZ124" i="106"/>
  <c r="BY59" i="106"/>
  <c r="CI59" i="106"/>
  <c r="CL71" i="107" l="1"/>
  <c r="CL72" i="107"/>
  <c r="CM72" i="107" s="1"/>
  <c r="CM150" i="106"/>
  <c r="CJ193" i="3"/>
  <c r="CJ194" i="3" s="1"/>
  <c r="CJ196" i="3"/>
  <c r="CK181" i="3"/>
  <c r="CK192" i="3"/>
  <c r="CI195" i="3"/>
  <c r="CK19" i="107"/>
  <c r="CJ36" i="106"/>
  <c r="CL192" i="3"/>
  <c r="CM12" i="106"/>
  <c r="CL181" i="3"/>
  <c r="CL19" i="107"/>
  <c r="CJ17" i="107"/>
  <c r="CK20" i="107"/>
  <c r="CK31" i="106"/>
  <c r="CL62" i="106"/>
  <c r="CL35" i="3"/>
  <c r="CL51" i="3"/>
  <c r="CK14" i="107"/>
  <c r="CM100" i="107"/>
  <c r="CM97" i="107"/>
  <c r="CM99" i="107" s="1"/>
  <c r="CM32" i="3"/>
  <c r="CM47" i="3"/>
  <c r="CL20" i="107"/>
  <c r="CM25" i="106"/>
  <c r="CL31" i="106"/>
  <c r="CM63" i="106"/>
  <c r="CM176" i="3"/>
  <c r="CM179" i="3"/>
  <c r="CM12" i="3"/>
  <c r="CM50" i="3"/>
  <c r="CM37" i="3"/>
  <c r="CM36" i="3"/>
  <c r="CM180" i="3" s="1"/>
  <c r="CK62" i="106"/>
  <c r="CK51" i="3"/>
  <c r="CK35" i="3"/>
  <c r="CK121" i="106"/>
  <c r="CJ20" i="106"/>
  <c r="BZ20" i="106"/>
  <c r="CF121" i="106"/>
  <c r="CE20" i="106"/>
  <c r="CL82" i="107" l="1"/>
  <c r="CM71" i="107"/>
  <c r="CL73" i="107"/>
  <c r="CJ127" i="106"/>
  <c r="CK17" i="107"/>
  <c r="CM76" i="106"/>
  <c r="CM181" i="3"/>
  <c r="CL36" i="106"/>
  <c r="CM19" i="107"/>
  <c r="CJ195" i="3"/>
  <c r="CK36" i="106"/>
  <c r="CM192" i="3"/>
  <c r="CM75" i="106"/>
  <c r="CK196" i="3"/>
  <c r="CK193" i="3"/>
  <c r="CL196" i="3"/>
  <c r="CL193" i="3"/>
  <c r="CM20" i="107"/>
  <c r="CM62" i="106"/>
  <c r="CM51" i="3"/>
  <c r="CM35" i="3"/>
  <c r="CM101" i="107"/>
  <c r="CM31" i="106"/>
  <c r="CK80" i="3"/>
  <c r="CM14" i="107"/>
  <c r="CL17" i="107"/>
  <c r="CE59" i="106"/>
  <c r="CJ59" i="106"/>
  <c r="CA20" i="106"/>
  <c r="BZ59" i="106"/>
  <c r="CF126" i="106"/>
  <c r="CF124" i="106"/>
  <c r="CE127" i="106"/>
  <c r="BZ127" i="106"/>
  <c r="CK126" i="106"/>
  <c r="CK124" i="106"/>
  <c r="CM73" i="107" l="1"/>
  <c r="CM78" i="107" s="1"/>
  <c r="CM77" i="107"/>
  <c r="CL43" i="107"/>
  <c r="CM82" i="107"/>
  <c r="CM77" i="106"/>
  <c r="CM196" i="3"/>
  <c r="CM193" i="3"/>
  <c r="CL194" i="3"/>
  <c r="CK194" i="3"/>
  <c r="CM17" i="107"/>
  <c r="CM36" i="106"/>
  <c r="CF20" i="106"/>
  <c r="CA59" i="106"/>
  <c r="CA127" i="106"/>
  <c r="CL121" i="106"/>
  <c r="CK20" i="106"/>
  <c r="CL46" i="107" l="1"/>
  <c r="CL80" i="3"/>
  <c r="CM43" i="107"/>
  <c r="CF127" i="106"/>
  <c r="CK127" i="106"/>
  <c r="CK195" i="3"/>
  <c r="CL195" i="3"/>
  <c r="CM194" i="3"/>
  <c r="CK59" i="106"/>
  <c r="CL126" i="106"/>
  <c r="CL124" i="106"/>
  <c r="CG20" i="106"/>
  <c r="CF59" i="106"/>
  <c r="CM46" i="107" l="1"/>
  <c r="CM80" i="3"/>
  <c r="CM195" i="3"/>
  <c r="CG59" i="106"/>
  <c r="CG127" i="106"/>
  <c r="CL20" i="106"/>
  <c r="CL127" i="106" l="1"/>
  <c r="CM20" i="106"/>
  <c r="CL59" i="106"/>
  <c r="CM59" i="106" l="1"/>
  <c r="CM127" i="106"/>
  <c r="BS8" i="107" l="1"/>
  <c r="BU56" i="3" l="1"/>
  <c r="BU63" i="3"/>
  <c r="BW63" i="3" l="1"/>
  <c r="BY63" i="3" l="1"/>
  <c r="CA56" i="3"/>
  <c r="BZ63" i="3"/>
  <c r="BX63" i="3"/>
  <c r="CA63" i="3" l="1"/>
  <c r="CF63" i="3" l="1"/>
  <c r="CE63" i="3"/>
  <c r="CI63" i="3"/>
  <c r="CL63" i="3"/>
  <c r="CD63" i="3"/>
  <c r="CJ63" i="3"/>
  <c r="CK63" i="3"/>
  <c r="CC63" i="3"/>
  <c r="CM63" i="3" l="1"/>
  <c r="CG63" i="3"/>
  <c r="BR101" i="107" l="1"/>
  <c r="BT101" i="107" s="1"/>
  <c r="BT100" i="107" s="1"/>
  <c r="BT14" i="107" s="1"/>
  <c r="BT80" i="3" l="1"/>
  <c r="BS46" i="106"/>
  <c r="BU100" i="107" l="1"/>
  <c r="BU101" i="107" s="1"/>
  <c r="BS80" i="3"/>
  <c r="BU14" i="107" l="1"/>
  <c r="BS25" i="107"/>
  <c r="BS81" i="106" s="1"/>
  <c r="BS24" i="3" l="1"/>
  <c r="BS50" i="107"/>
  <c r="BS80" i="106" s="1"/>
  <c r="BS57" i="107"/>
  <c r="BS82" i="106" s="1"/>
  <c r="BU80" i="3"/>
  <c r="BT40" i="106"/>
  <c r="BS164" i="106" l="1"/>
  <c r="BS58" i="107"/>
  <c r="BS83" i="106" s="1"/>
  <c r="BS53" i="107"/>
  <c r="BT93" i="106"/>
  <c r="BU93" i="106" s="1"/>
  <c r="BU40" i="106"/>
  <c r="BW40" i="106" l="1"/>
  <c r="BT52" i="107"/>
  <c r="BS59" i="107"/>
  <c r="BT92" i="106"/>
  <c r="BW93" i="106" l="1"/>
  <c r="BX40" i="106"/>
  <c r="BS167" i="106"/>
  <c r="BT145" i="106"/>
  <c r="BS54" i="107"/>
  <c r="BU145" i="106" l="1"/>
  <c r="BT17" i="3"/>
  <c r="BX93" i="106"/>
  <c r="BY40" i="106"/>
  <c r="BS171" i="106"/>
  <c r="BS174" i="106" s="1"/>
  <c r="BS58" i="106" s="1"/>
  <c r="BS170" i="106"/>
  <c r="BS173" i="106" s="1"/>
  <c r="BU17" i="3" l="1"/>
  <c r="BT15" i="3"/>
  <c r="BT20" i="3" s="1"/>
  <c r="BY93" i="106"/>
  <c r="BZ40" i="106"/>
  <c r="BS48" i="106"/>
  <c r="BZ93" i="106" l="1"/>
  <c r="CA93" i="106" s="1"/>
  <c r="CA40" i="106"/>
  <c r="BT38" i="3"/>
  <c r="BT22" i="3"/>
  <c r="BU15" i="3"/>
  <c r="BU20" i="3" l="1"/>
  <c r="BU22" i="3"/>
  <c r="CC40" i="106"/>
  <c r="BT23" i="3"/>
  <c r="BT64" i="3" s="1"/>
  <c r="CC93" i="106" l="1"/>
  <c r="CD40" i="106"/>
  <c r="BU21" i="3"/>
  <c r="BU38" i="3"/>
  <c r="BU23" i="3"/>
  <c r="BT39" i="3"/>
  <c r="BT29" i="3"/>
  <c r="BT52" i="3"/>
  <c r="BU39" i="3" l="1"/>
  <c r="BU52" i="3"/>
  <c r="BU29" i="3"/>
  <c r="BU64" i="3"/>
  <c r="BT94" i="106"/>
  <c r="BT66" i="3"/>
  <c r="BT8" i="107"/>
  <c r="BT65" i="107"/>
  <c r="BT53" i="3"/>
  <c r="BU151" i="106"/>
  <c r="BU152" i="106" s="1"/>
  <c r="BU153" i="106" s="1"/>
  <c r="CD93" i="106"/>
  <c r="CE40" i="106"/>
  <c r="BU8" i="107" l="1"/>
  <c r="BU25" i="107" s="1"/>
  <c r="BT42" i="106"/>
  <c r="BT25" i="107"/>
  <c r="BT67" i="3"/>
  <c r="BT79" i="3"/>
  <c r="BU94" i="106"/>
  <c r="BU66" i="3"/>
  <c r="BU53" i="3"/>
  <c r="BU65" i="107"/>
  <c r="CE93" i="106"/>
  <c r="CF40" i="106"/>
  <c r="BU154" i="106"/>
  <c r="CF93" i="106" l="1"/>
  <c r="CG93" i="106" s="1"/>
  <c r="CG40" i="106"/>
  <c r="BU42" i="106"/>
  <c r="BT44" i="106"/>
  <c r="BU67" i="3"/>
  <c r="BU79" i="3"/>
  <c r="BT81" i="106"/>
  <c r="BT57" i="107"/>
  <c r="BT24" i="3"/>
  <c r="BT50" i="107"/>
  <c r="BU81" i="106"/>
  <c r="BU57" i="107"/>
  <c r="BU50" i="107"/>
  <c r="BU24" i="3"/>
  <c r="BU61" i="107" l="1"/>
  <c r="BU58" i="107"/>
  <c r="BU82" i="106"/>
  <c r="BU44" i="106"/>
  <c r="CI40" i="106"/>
  <c r="BU80" i="106"/>
  <c r="BU53" i="107"/>
  <c r="BT80" i="106"/>
  <c r="BT53" i="107"/>
  <c r="BT58" i="107"/>
  <c r="BT82" i="106"/>
  <c r="BT46" i="106"/>
  <c r="BT164" i="106"/>
  <c r="BT98" i="106"/>
  <c r="BT56" i="106"/>
  <c r="BT97" i="106" l="1"/>
  <c r="BU97" i="106" s="1"/>
  <c r="BT99" i="106"/>
  <c r="BT65" i="106"/>
  <c r="BT83" i="106"/>
  <c r="BT59" i="107"/>
  <c r="BT9" i="106"/>
  <c r="CI93" i="106"/>
  <c r="CJ40" i="106"/>
  <c r="BU164" i="106"/>
  <c r="BU46" i="106"/>
  <c r="BU98" i="106"/>
  <c r="BU56" i="106"/>
  <c r="BW52" i="107"/>
  <c r="CA52" i="107" s="1"/>
  <c r="BU60" i="107"/>
  <c r="BU83" i="106"/>
  <c r="BU59" i="107"/>
  <c r="BW92" i="106" l="1"/>
  <c r="CA92" i="106"/>
  <c r="BU99" i="106"/>
  <c r="CJ93" i="106"/>
  <c r="CK40" i="106"/>
  <c r="BT86" i="106"/>
  <c r="BU9" i="106"/>
  <c r="BT167" i="106"/>
  <c r="BT15" i="106"/>
  <c r="BT70" i="106"/>
  <c r="BT52" i="106"/>
  <c r="BT69" i="106"/>
  <c r="BT144" i="106"/>
  <c r="BW145" i="106" s="1"/>
  <c r="BU65" i="106"/>
  <c r="BT54" i="107"/>
  <c r="BU167" i="106" l="1"/>
  <c r="BU86" i="106"/>
  <c r="BU70" i="106"/>
  <c r="BU144" i="106"/>
  <c r="BU146" i="106" s="1"/>
  <c r="BU52" i="106"/>
  <c r="BU69" i="106"/>
  <c r="BU15" i="106"/>
  <c r="BU54" i="107"/>
  <c r="CK93" i="106"/>
  <c r="CL40" i="106"/>
  <c r="BW17" i="3"/>
  <c r="BT53" i="106"/>
  <c r="BT64" i="106"/>
  <c r="BT68" i="106"/>
  <c r="BT71" i="106"/>
  <c r="BT22" i="106"/>
  <c r="BT170" i="106"/>
  <c r="BT171" i="106"/>
  <c r="BT173" i="106" l="1"/>
  <c r="BU170" i="106"/>
  <c r="BU173" i="106"/>
  <c r="BW15" i="3"/>
  <c r="BW20" i="3" s="1"/>
  <c r="BU71" i="106"/>
  <c r="BU22" i="106"/>
  <c r="BU68" i="106"/>
  <c r="BU171" i="106"/>
  <c r="BT174" i="106"/>
  <c r="BU174" i="106"/>
  <c r="BT57" i="106"/>
  <c r="BT48" i="106"/>
  <c r="CL93" i="106"/>
  <c r="CM93" i="106" s="1"/>
  <c r="CM40" i="106"/>
  <c r="BU64" i="106"/>
  <c r="BU53" i="106"/>
  <c r="BT58" i="106" l="1"/>
  <c r="BU57" i="106"/>
  <c r="BU48" i="106"/>
  <c r="BW38" i="3"/>
  <c r="BW22" i="3"/>
  <c r="BW23" i="3" s="1"/>
  <c r="BU58" i="106"/>
  <c r="BW39" i="3" l="1"/>
  <c r="BW52" i="3"/>
  <c r="BW29" i="3"/>
  <c r="BW64" i="3"/>
  <c r="BW94" i="106" l="1"/>
  <c r="BW8" i="107"/>
  <c r="BW66" i="3"/>
  <c r="BW53" i="3"/>
  <c r="BW65" i="107"/>
  <c r="BW25" i="107" l="1"/>
  <c r="BW42" i="106"/>
  <c r="BW79" i="3"/>
  <c r="BW67" i="3"/>
  <c r="BW81" i="106" l="1"/>
  <c r="BW57" i="107"/>
  <c r="BW24" i="3"/>
  <c r="BW50" i="107"/>
  <c r="BW44" i="106"/>
  <c r="BW46" i="106" l="1"/>
  <c r="BW164" i="106"/>
  <c r="BW98" i="106"/>
  <c r="BW56" i="106"/>
  <c r="BW80" i="106"/>
  <c r="BW53" i="107"/>
  <c r="BW58" i="107"/>
  <c r="BW82" i="106"/>
  <c r="BW59" i="107" l="1"/>
  <c r="BW83" i="106"/>
  <c r="BX52" i="107"/>
  <c r="BW9" i="106"/>
  <c r="BW65" i="106"/>
  <c r="BX92" i="106"/>
  <c r="BW97" i="106"/>
  <c r="BW99" i="106"/>
  <c r="BW167" i="106" l="1"/>
  <c r="BW69" i="106"/>
  <c r="BW70" i="106"/>
  <c r="BW52" i="106"/>
  <c r="BW15" i="106"/>
  <c r="BW86" i="106"/>
  <c r="BW144" i="106"/>
  <c r="BX145" i="106" s="1"/>
  <c r="BW54" i="107"/>
  <c r="BW170" i="106" l="1"/>
  <c r="BW173" i="106" s="1"/>
  <c r="BW171" i="106"/>
  <c r="BW174" i="106" s="1"/>
  <c r="BX17" i="3"/>
  <c r="BW71" i="106"/>
  <c r="BW22" i="106"/>
  <c r="BW68" i="106"/>
  <c r="BW64" i="106"/>
  <c r="BW53" i="106"/>
  <c r="BW58" i="106" l="1"/>
  <c r="BW57" i="106"/>
  <c r="BW48" i="106"/>
  <c r="BX15" i="3"/>
  <c r="BX20" i="3" s="1"/>
  <c r="BX38" i="3" l="1"/>
  <c r="BX22" i="3"/>
  <c r="BX23" i="3" s="1"/>
  <c r="BX39" i="3" l="1"/>
  <c r="BX29" i="3"/>
  <c r="BX64" i="3"/>
  <c r="BX52" i="3"/>
  <c r="BX94" i="106" l="1"/>
  <c r="BX8" i="107"/>
  <c r="BX66" i="3"/>
  <c r="BX65" i="107"/>
  <c r="BX53" i="3"/>
  <c r="BX25" i="107" l="1"/>
  <c r="BX42" i="106"/>
  <c r="BX67" i="3"/>
  <c r="BX79" i="3"/>
  <c r="BX44" i="106" l="1"/>
  <c r="BX81" i="106"/>
  <c r="BX24" i="3"/>
  <c r="BX57" i="107"/>
  <c r="BX50" i="107"/>
  <c r="BX80" i="106" l="1"/>
  <c r="BX53" i="107"/>
  <c r="BX98" i="106"/>
  <c r="BX164" i="106"/>
  <c r="BX46" i="106"/>
  <c r="BX56" i="106"/>
  <c r="BX82" i="106"/>
  <c r="BX58" i="107"/>
  <c r="BX65" i="106" l="1"/>
  <c r="BY52" i="107"/>
  <c r="BX9" i="106"/>
  <c r="BX54" i="107" s="1"/>
  <c r="BX83" i="106"/>
  <c r="BX59" i="107"/>
  <c r="BX99" i="106"/>
  <c r="BY92" i="106"/>
  <c r="BX97" i="106"/>
  <c r="BX69" i="106" l="1"/>
  <c r="BX167" i="106"/>
  <c r="BX70" i="106"/>
  <c r="BX15" i="106"/>
  <c r="BX86" i="106"/>
  <c r="BX52" i="106"/>
  <c r="BX144" i="106"/>
  <c r="BY145" i="106" s="1"/>
  <c r="BX53" i="106" l="1"/>
  <c r="BX64" i="106"/>
  <c r="BX68" i="106"/>
  <c r="BX71" i="106"/>
  <c r="BX22" i="106"/>
  <c r="BY17" i="3"/>
  <c r="BX171" i="106"/>
  <c r="BX174" i="106" s="1"/>
  <c r="BX170" i="106"/>
  <c r="BX173" i="106" s="1"/>
  <c r="BX58" i="106" l="1"/>
  <c r="BY15" i="3"/>
  <c r="BY20" i="3" s="1"/>
  <c r="BX57" i="106"/>
  <c r="BX48" i="106"/>
  <c r="BY38" i="3" l="1"/>
  <c r="BY22" i="3"/>
  <c r="BY23" i="3" s="1"/>
  <c r="BY39" i="3" l="1"/>
  <c r="BY52" i="3"/>
  <c r="BY29" i="3"/>
  <c r="BY64" i="3"/>
  <c r="BY94" i="106" l="1"/>
  <c r="BY8" i="107"/>
  <c r="BY66" i="3"/>
  <c r="BY65" i="107"/>
  <c r="BY53" i="3"/>
  <c r="BY25" i="107" l="1"/>
  <c r="BY42" i="106"/>
  <c r="BY79" i="3"/>
  <c r="BY67" i="3"/>
  <c r="BY44" i="106" l="1"/>
  <c r="BY24" i="3"/>
  <c r="BY81" i="106"/>
  <c r="BY50" i="107"/>
  <c r="BY57" i="107"/>
  <c r="BY82" i="106" l="1"/>
  <c r="BY58" i="107"/>
  <c r="BY46" i="106"/>
  <c r="BY164" i="106"/>
  <c r="BY98" i="106"/>
  <c r="BY56" i="106"/>
  <c r="BY80" i="106"/>
  <c r="BY53" i="107"/>
  <c r="BY65" i="106" l="1"/>
  <c r="BY59" i="107"/>
  <c r="BY83" i="106"/>
  <c r="BY9" i="106"/>
  <c r="BZ52" i="107"/>
  <c r="BZ92" i="106"/>
  <c r="BY97" i="106"/>
  <c r="BY99" i="106"/>
  <c r="BY86" i="106" l="1"/>
  <c r="BY70" i="106"/>
  <c r="BY15" i="106"/>
  <c r="BY167" i="106"/>
  <c r="BY52" i="106"/>
  <c r="BY69" i="106"/>
  <c r="BY144" i="106"/>
  <c r="BZ145" i="106" s="1"/>
  <c r="BY54" i="107"/>
  <c r="BZ17" i="3" l="1"/>
  <c r="CA145" i="106"/>
  <c r="BY53" i="106"/>
  <c r="BY64" i="106"/>
  <c r="BY68" i="106"/>
  <c r="BY71" i="106"/>
  <c r="BY22" i="106"/>
  <c r="BY171" i="106"/>
  <c r="BY174" i="106" s="1"/>
  <c r="BY170" i="106"/>
  <c r="BY173" i="106" s="1"/>
  <c r="BY57" i="106" l="1"/>
  <c r="BY48" i="106"/>
  <c r="BY58" i="106"/>
  <c r="BZ15" i="3"/>
  <c r="BZ20" i="3" s="1"/>
  <c r="CA17" i="3"/>
  <c r="CA15" i="3" l="1"/>
  <c r="BZ38" i="3"/>
  <c r="BZ22" i="3"/>
  <c r="BZ23" i="3" s="1"/>
  <c r="BZ52" i="3" l="1"/>
  <c r="BZ29" i="3"/>
  <c r="BZ64" i="3"/>
  <c r="BZ39" i="3"/>
  <c r="CA22" i="3"/>
  <c r="CA20" i="3"/>
  <c r="CA21" i="3" l="1"/>
  <c r="BZ94" i="106"/>
  <c r="BZ8" i="107"/>
  <c r="BZ66" i="3"/>
  <c r="CA23" i="3"/>
  <c r="CA38" i="3"/>
  <c r="BZ53" i="3"/>
  <c r="BZ65" i="107"/>
  <c r="BZ25" i="107" l="1"/>
  <c r="CA8" i="107"/>
  <c r="CA25" i="107" s="1"/>
  <c r="BZ42" i="106"/>
  <c r="CA151" i="106"/>
  <c r="CA152" i="106" s="1"/>
  <c r="CA153" i="106" s="1"/>
  <c r="CA64" i="3"/>
  <c r="CA29" i="3"/>
  <c r="CA39" i="3"/>
  <c r="CA52" i="3"/>
  <c r="BZ79" i="3"/>
  <c r="BZ67" i="3"/>
  <c r="CA66" i="3" l="1"/>
  <c r="CA94" i="106"/>
  <c r="CA154" i="106"/>
  <c r="CA42" i="106"/>
  <c r="BZ44" i="106"/>
  <c r="BZ24" i="3"/>
  <c r="BZ81" i="106"/>
  <c r="BZ50" i="107"/>
  <c r="BZ57" i="107"/>
  <c r="CA65" i="107"/>
  <c r="CA53" i="3"/>
  <c r="CA81" i="106"/>
  <c r="CA24" i="3"/>
  <c r="CA50" i="107"/>
  <c r="CA57" i="107"/>
  <c r="BZ98" i="106" l="1"/>
  <c r="BZ164" i="106"/>
  <c r="BZ46" i="106"/>
  <c r="BZ56" i="106"/>
  <c r="CA82" i="106"/>
  <c r="CA61" i="107"/>
  <c r="CA58" i="107"/>
  <c r="CA53" i="107"/>
  <c r="CA80" i="106"/>
  <c r="BZ80" i="106"/>
  <c r="BZ53" i="107"/>
  <c r="CA44" i="106"/>
  <c r="BZ58" i="107"/>
  <c r="BZ82" i="106"/>
  <c r="CA79" i="3"/>
  <c r="CA67" i="3"/>
  <c r="CA98" i="106" l="1"/>
  <c r="CA164" i="106"/>
  <c r="CA46" i="106"/>
  <c r="CA56" i="106"/>
  <c r="BZ9" i="106"/>
  <c r="BZ54" i="107" s="1"/>
  <c r="CA83" i="106"/>
  <c r="CA59" i="107"/>
  <c r="CA60" i="107"/>
  <c r="BZ83" i="106"/>
  <c r="BZ59" i="107"/>
  <c r="CC52" i="107"/>
  <c r="CG52" i="107" s="1"/>
  <c r="BZ65" i="106"/>
  <c r="BZ99" i="106"/>
  <c r="BZ97" i="106"/>
  <c r="CA97" i="106" s="1"/>
  <c r="BZ86" i="106" l="1"/>
  <c r="BZ52" i="106"/>
  <c r="CA9" i="106"/>
  <c r="BZ167" i="106"/>
  <c r="BZ70" i="106"/>
  <c r="BZ15" i="106"/>
  <c r="BZ69" i="106"/>
  <c r="BZ144" i="106"/>
  <c r="CC145" i="106" s="1"/>
  <c r="CA65" i="106"/>
  <c r="CA99" i="106"/>
  <c r="CG92" i="106"/>
  <c r="CC92" i="106"/>
  <c r="CA167" i="106" l="1"/>
  <c r="CA86" i="106"/>
  <c r="CA52" i="106"/>
  <c r="CA144" i="106"/>
  <c r="CA146" i="106" s="1"/>
  <c r="CA70" i="106"/>
  <c r="CA69" i="106"/>
  <c r="CA15" i="106"/>
  <c r="CA54" i="107"/>
  <c r="BZ68" i="106"/>
  <c r="BZ22" i="106"/>
  <c r="BZ71" i="106"/>
  <c r="BZ170" i="106"/>
  <c r="BZ171" i="106"/>
  <c r="BZ64" i="106"/>
  <c r="BZ53" i="106"/>
  <c r="CC17" i="3"/>
  <c r="BZ57" i="106" l="1"/>
  <c r="BZ48" i="106"/>
  <c r="CC15" i="3"/>
  <c r="CC20" i="3" s="1"/>
  <c r="CA171" i="106"/>
  <c r="BZ174" i="106"/>
  <c r="CA174" i="106"/>
  <c r="CA68" i="106"/>
  <c r="CA22" i="106"/>
  <c r="CA71" i="106"/>
  <c r="CA64" i="106"/>
  <c r="CA53" i="106"/>
  <c r="CA170" i="106"/>
  <c r="BZ173" i="106"/>
  <c r="CA173" i="106"/>
  <c r="CA57" i="106" l="1"/>
  <c r="CA48" i="106"/>
  <c r="BZ58" i="106"/>
  <c r="CC38" i="3"/>
  <c r="CC22" i="3"/>
  <c r="CA58" i="106"/>
  <c r="CC23" i="3" l="1"/>
  <c r="CC39" i="3" l="1"/>
  <c r="CC52" i="3"/>
  <c r="CC29" i="3"/>
  <c r="CC64" i="3"/>
  <c r="CC94" i="106" l="1"/>
  <c r="CC8" i="107"/>
  <c r="CC66" i="3"/>
  <c r="CC65" i="107"/>
  <c r="CC53" i="3"/>
  <c r="CC25" i="107" l="1"/>
  <c r="CC42" i="106"/>
  <c r="CC79" i="3"/>
  <c r="CC67" i="3"/>
  <c r="CC24" i="3" l="1"/>
  <c r="CC81" i="106"/>
  <c r="CC50" i="107"/>
  <c r="CC57" i="107"/>
  <c r="CC44" i="106"/>
  <c r="CC80" i="106" l="1"/>
  <c r="CC53" i="107"/>
  <c r="CC46" i="106"/>
  <c r="CC164" i="106"/>
  <c r="CC98" i="106"/>
  <c r="CC56" i="106"/>
  <c r="CC82" i="106"/>
  <c r="CC58" i="107"/>
  <c r="CC59" i="107" l="1"/>
  <c r="CC83" i="106"/>
  <c r="CC99" i="106"/>
  <c r="CC97" i="106"/>
  <c r="CD92" i="106"/>
  <c r="CD52" i="107"/>
  <c r="CC9" i="106"/>
  <c r="CC65" i="106"/>
  <c r="CC70" i="106" l="1"/>
  <c r="CC52" i="106"/>
  <c r="CC86" i="106"/>
  <c r="CC15" i="106"/>
  <c r="CC69" i="106"/>
  <c r="CC167" i="106"/>
  <c r="CC144" i="106"/>
  <c r="CD145" i="106" s="1"/>
  <c r="CC54" i="107"/>
  <c r="CD17" i="3" l="1"/>
  <c r="CC64" i="106"/>
  <c r="CC53" i="106"/>
  <c r="CC170" i="106"/>
  <c r="CC173" i="106" s="1"/>
  <c r="CC171" i="106"/>
  <c r="CC174" i="106" s="1"/>
  <c r="CC68" i="106"/>
  <c r="CC71" i="106"/>
  <c r="CC22" i="106"/>
  <c r="CC57" i="106" l="1"/>
  <c r="CC48" i="106"/>
  <c r="CC58" i="106"/>
  <c r="CD15" i="3"/>
  <c r="CD20" i="3" s="1"/>
  <c r="CD22" i="3" l="1"/>
  <c r="CD23" i="3" s="1"/>
  <c r="CD38" i="3"/>
  <c r="CD52" i="3" l="1"/>
  <c r="CD64" i="3"/>
  <c r="CD39" i="3"/>
  <c r="CD29" i="3"/>
  <c r="CD53" i="3" l="1"/>
  <c r="CD65" i="107"/>
  <c r="CD66" i="3"/>
  <c r="CD8" i="107"/>
  <c r="CD94" i="106"/>
  <c r="CD25" i="107" l="1"/>
  <c r="CD42" i="106"/>
  <c r="CD79" i="3"/>
  <c r="CD67" i="3"/>
  <c r="CD44" i="106" l="1"/>
  <c r="CD81" i="106"/>
  <c r="CD57" i="107"/>
  <c r="CD50" i="107"/>
  <c r="CD24" i="3"/>
  <c r="CD53" i="107" l="1"/>
  <c r="CD80" i="106"/>
  <c r="CD58" i="107"/>
  <c r="CD82" i="106"/>
  <c r="CD98" i="106"/>
  <c r="CD46" i="106"/>
  <c r="CD164" i="106"/>
  <c r="CD56" i="106"/>
  <c r="CD97" i="106" l="1"/>
  <c r="CD99" i="106"/>
  <c r="CE92" i="106"/>
  <c r="CD65" i="106"/>
  <c r="CD83" i="106"/>
  <c r="CD59" i="107"/>
  <c r="CE52" i="107"/>
  <c r="CD9" i="106"/>
  <c r="CD54" i="107" s="1"/>
  <c r="CD167" i="106" l="1"/>
  <c r="CD70" i="106"/>
  <c r="CD86" i="106"/>
  <c r="CD69" i="106"/>
  <c r="CD52" i="106"/>
  <c r="CD15" i="106"/>
  <c r="CD144" i="106"/>
  <c r="CE145" i="106" s="1"/>
  <c r="CD170" i="106" l="1"/>
  <c r="CD173" i="106" s="1"/>
  <c r="CD171" i="106"/>
  <c r="CD174" i="106" s="1"/>
  <c r="CE17" i="3"/>
  <c r="CD68" i="106"/>
  <c r="CD22" i="106"/>
  <c r="CD71" i="106"/>
  <c r="CD64" i="106"/>
  <c r="CD53" i="106"/>
  <c r="CD58" i="106" l="1"/>
  <c r="CD57" i="106"/>
  <c r="CD48" i="106"/>
  <c r="CE15" i="3"/>
  <c r="CE20" i="3" s="1"/>
  <c r="CE38" i="3" l="1"/>
  <c r="CE22" i="3"/>
  <c r="CE23" i="3" s="1"/>
  <c r="CE39" i="3" l="1"/>
  <c r="CE64" i="3"/>
  <c r="CE52" i="3"/>
  <c r="CE29" i="3"/>
  <c r="CE65" i="107" l="1"/>
  <c r="CE53" i="3"/>
  <c r="CE66" i="3"/>
  <c r="CE8" i="107"/>
  <c r="CE94" i="106"/>
  <c r="CE25" i="107" l="1"/>
  <c r="CE42" i="106"/>
  <c r="CE79" i="3"/>
  <c r="CE67" i="3"/>
  <c r="CE44" i="106" l="1"/>
  <c r="CE81" i="106"/>
  <c r="CE57" i="107"/>
  <c r="CE50" i="107"/>
  <c r="CE24" i="3"/>
  <c r="CE46" i="106" l="1"/>
  <c r="CE164" i="106"/>
  <c r="CE98" i="106"/>
  <c r="CE56" i="106"/>
  <c r="CE80" i="106"/>
  <c r="CE53" i="107"/>
  <c r="CE82" i="106"/>
  <c r="CE58" i="107"/>
  <c r="CE9" i="106" l="1"/>
  <c r="CF52" i="107"/>
  <c r="CF92" i="106"/>
  <c r="CE99" i="106"/>
  <c r="CE97" i="106"/>
  <c r="CE59" i="107"/>
  <c r="CE83" i="106"/>
  <c r="CE65" i="106"/>
  <c r="CE167" i="106" l="1"/>
  <c r="CE86" i="106"/>
  <c r="CE52" i="106"/>
  <c r="CE15" i="106"/>
  <c r="CE70" i="106"/>
  <c r="CE69" i="106"/>
  <c r="CE144" i="106"/>
  <c r="CF145" i="106" s="1"/>
  <c r="CE54" i="107"/>
  <c r="CE68" i="106" l="1"/>
  <c r="CE71" i="106"/>
  <c r="CE22" i="106"/>
  <c r="CF17" i="3"/>
  <c r="CG145" i="106"/>
  <c r="CE53" i="106"/>
  <c r="CE64" i="106"/>
  <c r="CE170" i="106"/>
  <c r="CE173" i="106" s="1"/>
  <c r="CE171" i="106"/>
  <c r="CE174" i="106" s="1"/>
  <c r="CE58" i="106" l="1"/>
  <c r="CF15" i="3"/>
  <c r="CF20" i="3" s="1"/>
  <c r="CG17" i="3"/>
  <c r="CE57" i="106"/>
  <c r="CE48" i="106"/>
  <c r="CG15" i="3" l="1"/>
  <c r="CF38" i="3"/>
  <c r="CF22" i="3"/>
  <c r="CG22" i="3" l="1"/>
  <c r="CF23" i="3"/>
  <c r="CG20" i="3"/>
  <c r="CG38" i="3" l="1"/>
  <c r="CG23" i="3"/>
  <c r="CF29" i="3"/>
  <c r="CF39" i="3"/>
  <c r="CF64" i="3"/>
  <c r="CF52" i="3"/>
  <c r="CG21" i="3"/>
  <c r="CG151" i="106" s="1"/>
  <c r="CG152" i="106" s="1"/>
  <c r="CG153" i="106" s="1"/>
  <c r="CF94" i="106" l="1"/>
  <c r="CF66" i="3"/>
  <c r="CF8" i="107"/>
  <c r="CG154" i="106"/>
  <c r="CF53" i="3"/>
  <c r="CF65" i="107"/>
  <c r="CG52" i="3"/>
  <c r="CG64" i="3"/>
  <c r="CG39" i="3"/>
  <c r="CG29" i="3"/>
  <c r="CF25" i="107" l="1"/>
  <c r="CG8" i="107"/>
  <c r="CG25" i="107" s="1"/>
  <c r="CF42" i="106"/>
  <c r="CG65" i="107"/>
  <c r="CG53" i="3"/>
  <c r="CG94" i="106"/>
  <c r="CG66" i="3"/>
  <c r="CF79" i="3"/>
  <c r="CF67" i="3"/>
  <c r="CG24" i="3" l="1"/>
  <c r="CG57" i="107"/>
  <c r="CG50" i="107"/>
  <c r="CG81" i="106"/>
  <c r="CG67" i="3"/>
  <c r="CG79" i="3"/>
  <c r="CG42" i="106"/>
  <c r="CF44" i="106"/>
  <c r="CF81" i="106"/>
  <c r="CF50" i="107"/>
  <c r="CF24" i="3"/>
  <c r="CF57" i="107"/>
  <c r="CF58" i="107" l="1"/>
  <c r="CF82" i="106"/>
  <c r="CF53" i="107"/>
  <c r="CF80" i="106"/>
  <c r="CF46" i="106"/>
  <c r="CF164" i="106"/>
  <c r="CF98" i="106"/>
  <c r="CF56" i="106"/>
  <c r="CG61" i="107"/>
  <c r="CG82" i="106"/>
  <c r="CG58" i="107"/>
  <c r="CG44" i="106"/>
  <c r="CG80" i="106"/>
  <c r="CG53" i="107"/>
  <c r="CG46" i="106" l="1"/>
  <c r="CG164" i="106"/>
  <c r="CG98" i="106"/>
  <c r="CG56" i="106"/>
  <c r="CG83" i="106"/>
  <c r="CG59" i="107"/>
  <c r="CG60" i="107"/>
  <c r="CF97" i="106"/>
  <c r="CG97" i="106" s="1"/>
  <c r="CF99" i="106"/>
  <c r="CF65" i="106"/>
  <c r="CF9" i="106"/>
  <c r="CI52" i="107"/>
  <c r="CM52" i="107" s="1"/>
  <c r="CF83" i="106"/>
  <c r="CF59" i="107"/>
  <c r="CF70" i="106" l="1"/>
  <c r="CF86" i="106"/>
  <c r="CF52" i="106"/>
  <c r="CG9" i="106"/>
  <c r="CF69" i="106"/>
  <c r="CF167" i="106"/>
  <c r="CF15" i="106"/>
  <c r="CF144" i="106"/>
  <c r="CI145" i="106" s="1"/>
  <c r="CM92" i="106"/>
  <c r="CI92" i="106"/>
  <c r="CG99" i="106"/>
  <c r="CG65" i="106"/>
  <c r="CF54" i="107"/>
  <c r="CI17" i="3" l="1"/>
  <c r="CF171" i="106"/>
  <c r="CF170" i="106"/>
  <c r="CG69" i="106"/>
  <c r="CG86" i="106"/>
  <c r="CG52" i="106"/>
  <c r="CG144" i="106"/>
  <c r="CG146" i="106" s="1"/>
  <c r="CG70" i="106"/>
  <c r="CG167" i="106"/>
  <c r="CG15" i="106"/>
  <c r="CG54" i="107"/>
  <c r="CF68" i="106"/>
  <c r="CF22" i="106"/>
  <c r="CF71" i="106"/>
  <c r="CF64" i="106"/>
  <c r="CF53" i="106"/>
  <c r="CG68" i="106" l="1"/>
  <c r="CG71" i="106"/>
  <c r="CG22" i="106"/>
  <c r="CG53" i="106"/>
  <c r="CG64" i="106"/>
  <c r="CG170" i="106"/>
  <c r="CF173" i="106"/>
  <c r="CG173" i="106"/>
  <c r="CI15" i="3"/>
  <c r="CI20" i="3" s="1"/>
  <c r="CF57" i="106"/>
  <c r="CF48" i="106"/>
  <c r="CG171" i="106"/>
  <c r="CF174" i="106"/>
  <c r="CG174" i="106"/>
  <c r="CG58" i="106" l="1"/>
  <c r="CF58" i="106"/>
  <c r="CI22" i="3"/>
  <c r="CI23" i="3" s="1"/>
  <c r="CI38" i="3"/>
  <c r="CG57" i="106"/>
  <c r="CG48" i="106"/>
  <c r="CI39" i="3" l="1"/>
  <c r="CI52" i="3"/>
  <c r="CI29" i="3"/>
  <c r="CI64" i="3"/>
  <c r="CI94" i="106" l="1"/>
  <c r="CI8" i="107"/>
  <c r="CI66" i="3"/>
  <c r="CI53" i="3"/>
  <c r="CI65" i="107"/>
  <c r="CI25" i="107" l="1"/>
  <c r="CI42" i="106"/>
  <c r="CI79" i="3"/>
  <c r="CI67" i="3"/>
  <c r="CI57" i="107" l="1"/>
  <c r="CI50" i="107"/>
  <c r="CI24" i="3"/>
  <c r="CI81" i="106"/>
  <c r="CI44" i="106"/>
  <c r="CI46" i="106" l="1"/>
  <c r="CI98" i="106"/>
  <c r="CI164" i="106"/>
  <c r="CI56" i="106"/>
  <c r="CI80" i="106"/>
  <c r="CI53" i="107"/>
  <c r="CI82" i="106"/>
  <c r="CI58" i="107"/>
  <c r="CI59" i="107" l="1"/>
  <c r="CI83" i="106"/>
  <c r="CJ52" i="107"/>
  <c r="CI9" i="106"/>
  <c r="CI65" i="106"/>
  <c r="CI99" i="106"/>
  <c r="CJ92" i="106"/>
  <c r="CI97" i="106"/>
  <c r="CI69" i="106" l="1"/>
  <c r="CI167" i="106"/>
  <c r="CI52" i="106"/>
  <c r="CI70" i="106"/>
  <c r="CI15" i="106"/>
  <c r="CI86" i="106"/>
  <c r="CI144" i="106"/>
  <c r="CJ145" i="106" s="1"/>
  <c r="CI54" i="107"/>
  <c r="CJ17" i="3" l="1"/>
  <c r="CI170" i="106"/>
  <c r="CI173" i="106" s="1"/>
  <c r="CI171" i="106"/>
  <c r="CI174" i="106" s="1"/>
  <c r="CI71" i="106"/>
  <c r="CI68" i="106"/>
  <c r="CI22" i="106"/>
  <c r="CI64" i="106"/>
  <c r="CI53" i="106"/>
  <c r="CI57" i="106" l="1"/>
  <c r="CI48" i="106"/>
  <c r="CI58" i="106"/>
  <c r="CJ15" i="3"/>
  <c r="CJ20" i="3" s="1"/>
  <c r="CJ38" i="3" l="1"/>
  <c r="CJ22" i="3"/>
  <c r="CJ23" i="3" l="1"/>
  <c r="CJ39" i="3" l="1"/>
  <c r="CJ52" i="3"/>
  <c r="CJ29" i="3"/>
  <c r="CJ64" i="3"/>
  <c r="CJ66" i="3" l="1"/>
  <c r="CJ94" i="106"/>
  <c r="CJ8" i="107"/>
  <c r="CJ53" i="3"/>
  <c r="CJ65" i="107"/>
  <c r="CJ25" i="107" l="1"/>
  <c r="CJ42" i="106"/>
  <c r="CJ67" i="3"/>
  <c r="CJ79" i="3"/>
  <c r="CJ44" i="106" l="1"/>
  <c r="CJ81" i="106"/>
  <c r="CJ24" i="3"/>
  <c r="CJ50" i="107"/>
  <c r="CJ57" i="107"/>
  <c r="CJ164" i="106" l="1"/>
  <c r="CJ46" i="106"/>
  <c r="CJ98" i="106"/>
  <c r="CJ56" i="106"/>
  <c r="CJ82" i="106"/>
  <c r="CJ58" i="107"/>
  <c r="CJ80" i="106"/>
  <c r="CJ53" i="107"/>
  <c r="CK52" i="107" l="1"/>
  <c r="CJ9" i="106"/>
  <c r="CJ54" i="107" s="1"/>
  <c r="CJ83" i="106"/>
  <c r="CJ59" i="107"/>
  <c r="CK92" i="106"/>
  <c r="CJ99" i="106"/>
  <c r="CJ97" i="106"/>
  <c r="CJ65" i="106"/>
  <c r="CJ167" i="106" l="1"/>
  <c r="CJ69" i="106"/>
  <c r="CJ70" i="106"/>
  <c r="CJ15" i="106"/>
  <c r="CJ86" i="106"/>
  <c r="CJ52" i="106"/>
  <c r="CJ144" i="106"/>
  <c r="CK145" i="106" s="1"/>
  <c r="CK17" i="3" l="1"/>
  <c r="CJ171" i="106"/>
  <c r="CJ174" i="106" s="1"/>
  <c r="CJ170" i="106"/>
  <c r="CJ173" i="106" s="1"/>
  <c r="CJ53" i="106"/>
  <c r="CJ64" i="106"/>
  <c r="CJ68" i="106"/>
  <c r="CJ71" i="106"/>
  <c r="CJ22" i="106"/>
  <c r="CJ57" i="106" l="1"/>
  <c r="CJ48" i="106"/>
  <c r="CJ58" i="106"/>
  <c r="CK15" i="3"/>
  <c r="CK20" i="3" s="1"/>
  <c r="CK22" i="3" l="1"/>
  <c r="CK23" i="3" s="1"/>
  <c r="CK38" i="3"/>
  <c r="CK39" i="3" l="1"/>
  <c r="CK52" i="3"/>
  <c r="CK29" i="3"/>
  <c r="CK64" i="3"/>
  <c r="CK66" i="3" l="1"/>
  <c r="CK94" i="106"/>
  <c r="CK8" i="107"/>
  <c r="CK53" i="3"/>
  <c r="CK65" i="107"/>
  <c r="CK25" i="107" l="1"/>
  <c r="CK42" i="106"/>
  <c r="CK79" i="3"/>
  <c r="CK67" i="3"/>
  <c r="CK44" i="106" l="1"/>
  <c r="CK24" i="3"/>
  <c r="CK50" i="107"/>
  <c r="CK81" i="106"/>
  <c r="CK57" i="107"/>
  <c r="CK80" i="106" l="1"/>
  <c r="CK53" i="107"/>
  <c r="CK98" i="106"/>
  <c r="CK164" i="106"/>
  <c r="CK46" i="106"/>
  <c r="CK56" i="106"/>
  <c r="CK82" i="106"/>
  <c r="CK58" i="107"/>
  <c r="CL52" i="107" l="1"/>
  <c r="CK9" i="106"/>
  <c r="CK59" i="107"/>
  <c r="CK83" i="106"/>
  <c r="CK65" i="106"/>
  <c r="CK99" i="106"/>
  <c r="CL92" i="106"/>
  <c r="CK97" i="106"/>
  <c r="CK86" i="106" l="1"/>
  <c r="CK52" i="106"/>
  <c r="CK70" i="106"/>
  <c r="CK167" i="106"/>
  <c r="CK15" i="106"/>
  <c r="CK69" i="106"/>
  <c r="CK144" i="106"/>
  <c r="CL145" i="106" s="1"/>
  <c r="CK54" i="107"/>
  <c r="CK170" i="106" l="1"/>
  <c r="CK173" i="106" s="1"/>
  <c r="CK171" i="106"/>
  <c r="CK174" i="106" s="1"/>
  <c r="CL17" i="3"/>
  <c r="CM145" i="106"/>
  <c r="CK71" i="106"/>
  <c r="CK22" i="106"/>
  <c r="CK68" i="106"/>
  <c r="CK53" i="106"/>
  <c r="CK64" i="106"/>
  <c r="CK58" i="106" l="1"/>
  <c r="CK57" i="106"/>
  <c r="CK48" i="106"/>
  <c r="CL15" i="3"/>
  <c r="CL20" i="3" s="1"/>
  <c r="CM17" i="3"/>
  <c r="CM15" i="3" l="1"/>
  <c r="CL38" i="3"/>
  <c r="CL22" i="3"/>
  <c r="CL23" i="3" s="1"/>
  <c r="CL39" i="3" l="1"/>
  <c r="CL52" i="3"/>
  <c r="CL29" i="3"/>
  <c r="CL64" i="3"/>
  <c r="CM20" i="3"/>
  <c r="CM22" i="3"/>
  <c r="CL8" i="107" l="1"/>
  <c r="CL94" i="106"/>
  <c r="CL66" i="3"/>
  <c r="CL65" i="107"/>
  <c r="CL53" i="3"/>
  <c r="CM21" i="3"/>
  <c r="CM151" i="106" s="1"/>
  <c r="CM152" i="106" s="1"/>
  <c r="CM153" i="106" s="1"/>
  <c r="CM23" i="3"/>
  <c r="CM38" i="3"/>
  <c r="CM52" i="3" l="1"/>
  <c r="CM39" i="3"/>
  <c r="CM64" i="3"/>
  <c r="CM29" i="3"/>
  <c r="CM154" i="106"/>
  <c r="CL79" i="3"/>
  <c r="CL67" i="3"/>
  <c r="CL25" i="107"/>
  <c r="CM8" i="107"/>
  <c r="CM25" i="107" s="1"/>
  <c r="CL42" i="106"/>
  <c r="CM42" i="106" l="1"/>
  <c r="CM44" i="106" s="1"/>
  <c r="CL44" i="106"/>
  <c r="CL81" i="106"/>
  <c r="CL50" i="107"/>
  <c r="CL57" i="107"/>
  <c r="CL24" i="3"/>
  <c r="CM66" i="3"/>
  <c r="CM94" i="106"/>
  <c r="CM50" i="107"/>
  <c r="CM24" i="3"/>
  <c r="CM57" i="107"/>
  <c r="CM81" i="106"/>
  <c r="CM53" i="3"/>
  <c r="CM65" i="107"/>
  <c r="CM79" i="3" l="1"/>
  <c r="CM67" i="3"/>
  <c r="CL58" i="107"/>
  <c r="CL82" i="106"/>
  <c r="CL46" i="106"/>
  <c r="CL164" i="106"/>
  <c r="CL98" i="106"/>
  <c r="CL56" i="106"/>
  <c r="CM61" i="107"/>
  <c r="CM82" i="106"/>
  <c r="CM58" i="107"/>
  <c r="CM80" i="106"/>
  <c r="CM53" i="107"/>
  <c r="CL80" i="106"/>
  <c r="CL53" i="107"/>
  <c r="CM164" i="106"/>
  <c r="CM98" i="106"/>
  <c r="CM99" i="106" s="1"/>
  <c r="CM46" i="106"/>
  <c r="CM56" i="106"/>
  <c r="CM65" i="106" l="1"/>
  <c r="CL9" i="106"/>
  <c r="CM59" i="107"/>
  <c r="CM83" i="106"/>
  <c r="CM60" i="107"/>
  <c r="CL59" i="107"/>
  <c r="CL83" i="106"/>
  <c r="CL97" i="106"/>
  <c r="CM97" i="106" s="1"/>
  <c r="CL99" i="106"/>
  <c r="CL65" i="106"/>
  <c r="CL86" i="106" l="1"/>
  <c r="CL167" i="106"/>
  <c r="CL15" i="106"/>
  <c r="CL52" i="106"/>
  <c r="CL70" i="106"/>
  <c r="CL69" i="106"/>
  <c r="CL144" i="106"/>
  <c r="CM9" i="106"/>
  <c r="CL54" i="107"/>
  <c r="CL71" i="106" l="1"/>
  <c r="CL68" i="106"/>
  <c r="CL22" i="106"/>
  <c r="CL170" i="106"/>
  <c r="CL171" i="106"/>
  <c r="CM69" i="106"/>
  <c r="CM70" i="106"/>
  <c r="CM167" i="106"/>
  <c r="CM15" i="106"/>
  <c r="CM144" i="106"/>
  <c r="CM146" i="106" s="1"/>
  <c r="CM86" i="106"/>
  <c r="CM52" i="106"/>
  <c r="CM54" i="107"/>
  <c r="CL53" i="106"/>
  <c r="CL64" i="106"/>
  <c r="CM53" i="106" l="1"/>
  <c r="CM64" i="106"/>
  <c r="CM68" i="106"/>
  <c r="CM71" i="106"/>
  <c r="CM22" i="106"/>
  <c r="CM171" i="106"/>
  <c r="CL174" i="106"/>
  <c r="CM174" i="106"/>
  <c r="CL57" i="106"/>
  <c r="CL48" i="106"/>
  <c r="CL173" i="106"/>
  <c r="CM170" i="106"/>
  <c r="CM173" i="106"/>
  <c r="CL58" i="106" l="1"/>
  <c r="CM58" i="106"/>
  <c r="CM57" i="106"/>
  <c r="CM48" i="106"/>
</calcChain>
</file>

<file path=xl/comments1.xml><?xml version="1.0" encoding="utf-8"?>
<comments xmlns="http://schemas.openxmlformats.org/spreadsheetml/2006/main">
  <authors>
    <author>carlilew</author>
  </authors>
  <commentList>
    <comment ref="A1" authorId="0">
      <text>
        <r>
          <rPr>
            <b/>
            <sz val="8"/>
            <color indexed="81"/>
            <rFont val="Tahoma"/>
            <family val="2"/>
          </rPr>
          <t>卟䙄_x0003_＀＀㝾䷻ 剁奁䥞彂䅐䝖㐨ㄯ㈯〰ⰷ⼶〳㈯〰⤷ ＀＀ ＀＀_x0008_＀＀_x0008_＀＀_x0001_＀＀_x0001_＀＀_x0001_＀＀薲ܠ谥䀷䆣丯@〳㐮常䕆䕟呓䵉呁⡅䔧卐Ⱗ䴧䅅❎✬䅃㑌Ⱗ㈧㄰✲丬坏Ⱜ✬䘬㈱㴳䅍ⱊ⤧_x001D_＀＀ ＀＀_x0005_＀＀_x0004_＀＀_x0001_＀＀_x0001_＀＀_x0008_＀＀乀A찀䆡丯_x0017_呁䍅䙞彆䅓䕌⡓䅃ⱌㄭ奃착ō＀＀ ＀＀ĵ＀＀_x0008_＀＀_x0001_＀＀_x0001_＀＀_x0001_＀＀䖢蓽䁠摦畳㩰⼯楤敲瑣潩獮䘯呁嘠敩敷㽲捡楴湯唽䑐呁♅牣慥潴㵲慦瑣敳♴奄彎剁升吽啒♅佄彃䅎䕍䘽呁䘺䱑䅟䑕呉义彇䱃䕉呎呟䵅䱐呁⹅䅆♔楤灳慬役瑳楲杮䄽摵瑩嘦剁䬺奅圽奘奖奌䍆♔䅖㩒啑剅㵙歒晚さ䵆噒潍け䵆䍌砰ㅑ火圦义佄㵗䥆卒彔佐啐♐䕈䝉呈㐽〵圦䑉䡔㐽〵匦䅔呒䵟塁䵉婉䑅䘽䱁䕓嘦剁䌺䱁久䅄㵒单嘦剁区䵙佂㵌呁䍅嘦剁䤺䑎塅〽찀䆢丯@䍋幉䕆䕟呓䵉呁⡅匧䱁卅Ⱗ䴧䅅❎✬䅃㑌Ⱗ㈧㄰✲丬坏Ⱜ✬䘬㈱㴳䅍ⱊ⤧!＀＀ ＀＀	＀＀_x0008_＀＀_x0001_＀＀_x0001_＀＀_x0001_＀＀譄ܻ䂡찀펚䷨ 呁䍅䥞彂䅐䝖㔨ㄯ㈯〰ⰷ⼷ㄳ㈯〰⤷ ＀＀ ＀＀_x0008_＀＀_x0008_＀＀_x0001_＀＀_x0001_＀＀_x0001_＀＀ነ뚻箷䀍䆛丯_x0017_䱁乇䙞彆䅓䕌⡓䅃ⱌㄭ奃착ō＀＀ ＀＀ĵ＀＀_x0008_＀＀_x0001_＀＀_x0001_＀＀_x0001_＀＀_xD917_蕓䁳摦畳㩰⼯楤敲瑣潩獮䘯呁嘠敩敷㽲捡楴湯唽䑐呁♅牣慥潴㵲慦瑣敳♴奄彎剁升吽啒♅佄彃䅎䕍䘽呁䘺䱑䅟䑕呉义彇䱃䕉呎呟䵅䱐呁⹅䅆♔楤灳慬役瑳楲杮䄽摵瑩嘦剁䬺奅儽䅔䕒坎䍊♎䅖㩒啑剅㵙歒晚さ䵆噒潍け䵆䍌砰ㅑ火圦义佄㵗䥆卒彔佐啐♐䕈䝉呈㐽〵圦䑉䡔㐽〵匦䅔呒䵟塁䵉婉䑅䘽䱁䕓嘦剁䌺䱁久䅄㵒单嘦剁区䵙佂㵌䱁乇嘦剁䤺䑎塅〽찀䆣丯@㈴㤮帹䕆䕟呓䵉呁⡅䔧卐Ⱗ䴧䅅❎✬䅃㑌Ⱗ㈧㄰✲丬坏Ⱜ✬䘬㈱㴳䅍ⱊ⤧_x001D_＀＀ ＀＀_x0005_＀＀_x0004_＀＀_x0001_＀＀_x0001_＀＀_x0008_＀＀乀A찀䆡丯_x0016_佖䍌䙞彆䅓䕌⡓䅃ⱌ䌰⥙ō＀＀ ＀＀ĵ＀＀_x0008_＀＀_x0001_＀＀_x0001_＀＀_x0001_＀＀鍵И扖䁲摦畳㩰⼯楤敲瑣潩獮䘯呁嘠敩敷㽲捡楴湯唽䑐呁♅牣慥潴㵲慦瑣敳♴奄彎剁升吽啒♅佄彃䅎䕍䘽呁䘺䱑䅟䑕呉义彇䱃䕉呎呟䵅䱐呁⹅䅆♔楤灳慬役瑳楲杮䄽摵瑩嘦剁䬺奅䬽䝒坐啂佘♔䅖㩒啑剅㵙歒晚さ䵆噒潍け䵆䑌䑂南㵫圦义佄㵗䥆卒彔佐啐♐䕈䝉呈㐽〵圦䑉䡔㐽〵匦䅔呒䵟塁䵉婉䑅䘽䱁䕓嘦剁䌺䱁久䅄㵒单嘦剁区䵙佂㵌佖䍌嘦剁䤺䑎塅〽찀됪丞 剘奁䥞彂䅐䝖㐨ㄯ㈯〰ⰷ⼶〳㈯〰⤷ ＀＀ ＀＀_x0008_＀＀_x0008_＀＀_x0001_＀＀_x0001_＀＀_x0001_＀＀롼룤뉓䁁剝䷰ 䅖幒䉉偟噁⡇⼱ㄳ㈯〰ⰷ⼳ㄳ㈯〰⤷ ＀＀ ＀＀_x0008_＀＀_x0008_＀＀_x0001_＀＀_x0001_＀＀_x0001_＀＀剪먊첽䁇暍䷰_x001F_䅖幒䉉偟噁⡇⼴⼱〲㤰㜬㌯⼱〲㤰착 ＀＀ ＀＀_x0008_＀＀_x0008_＀＀_x0001_＀＀_x0001_＀＀_x0001_＀＀瀻裎㻒䁁䆣丯@㐳㤮帳䕆䕟呓䵉呁⡅䔧卐Ⱗ䴧䅅❎✬䅃㑌Ⱗ㈧㄰✲丬坏Ⱜ✬䘬㈱㴳䅍ⱊ⤧_x001D_＀＀ ＀＀_x0005_＀＀_x0004_＀＀_x0001_＀＀_x0001_＀＀_x0008_＀＀乀A찀퐶䷨ 呁䍅䥞彂䅐䝖㈨ㄯ㈯㄰ⰱ⼴〳㈯㄰⤱ ＀＀ ＀＀_x0008_＀＀_x0008_＀＀_x0001_＀＀_x0001_＀＀_x0001_＀＀桄ᬄῗ䀆㟛䷻"剁奁䥞彂䅐䝖ㄨ⼰⼱〲㠰ㄬ⼲ㄳ㈯〰⤸ ＀＀ ＀＀_x0008_＀＀_x0008_＀＀_x0001_＀＀_x0001_＀＀_x0001_＀＀䥷ᖜ卑䀕䆞丯_x0013_佐䑄偞偟䥒䕃㐨㜰〵착!＀＀ ＀＀	＀＀_x0008_＀＀_x0001_＀＀_x0001_＀＀_x0001_＀＀馚香妙䀴찀☬䵿!呁䍅䥞彂䅐䝖ㄨㄯ㈯㄰ⰰ㈱㌯⼱〲〱착 ＀＀ ＀＀_x0008_＀＀_x0008_＀＀_x0001_＀＀_x0001_＀＀_x0001_＀＀_xDEC5_例䀐紹丁 剁奁䥞彂䅐䝖㜨ㄯ㈯〰ⰹ⼹〳㈯〰⤹ ＀＀ ＀＀_x0008_＀＀_x0008_＀＀_x0001_＀＀_x0001_＀＀_x0001_＀＀爩袈䀚䆣丯@㌳㘮帵䕆䕟呓䵉呁⡅䔧卐Ⱗ䴧䅅❎✬䅃㑌Ⱗ㈧㄰✲丬坏Ⱜ✬䘬㈱㴳䅍ⱊ⤧_x001D_＀＀ ＀＀_x0005_＀＀_x0004_＀＀_x0001_＀＀_x0001_＀＀_x0008_＀＀乀A찀㝾䷻ 剁奁䥞彂䅐䝖㘨ㄯ㈯〰ⰶ⼹〳㈯〰⤶ ＀＀ ＀＀_x0008_＀＀_x0008_＀＀_x0001_＀＀_x0001_＀＀_x0001_＀＀豀碵꼝쐕㝾䷻"剁奁䥞彂䅐䝖ㄨ⼰⼱〲㘰ㄬ⼲ㄳ㈯〰⤶ ＀＀ ＀＀_x0008_＀＀_x0008_＀＀_x0001_＀＀_x0001_＀＀_x0001_＀＀豀碵꼝쐕☬䵿"呁䍅䥞彂䅐䝖ㄨ⼰⼱〲〱ㄬ⼲ㄳ㈯㄰⤰ ＀＀ ＀＀_x0008_＀＀_x0008_＀＀_x0001_＀＀_x0001_＀＀_x0001_＀＀Վ叜䀂☬䵿 呁䍅䥞彂䅐䝖㜨ㄯ㈯㄰ⰰ⼹〳㈯㄰⤰ ＀＀ ＀＀_x0008_＀＀_x0008_＀＀_x0001_＀＀_x0001_＀＀_x0001_＀＀됗肐藑䀈䆠丯?剁䍔䙞彅卅䥔䅍䕔✨偅❓✬䕍乁Ⱗ䌧䱁✴✬〲ㄱⰧ低ⱗⰬⰧㅆ㌲䴽䩁✬착!＀＀ ＀＀	＀＀_x0008_＀＀_x0001_＀＀_x0001_＀＀_x0001_＀＀竡긔㿲찀䆢丯_x0013_剘奁偞偟䥒䕃㐨㜰〵착!＀＀ ＀＀	＀＀_x0008_＀＀_x0001_＀＀_x0001_＀＀_x0001_＀＀롑攞䁃찀됪丞"剘奁䥞彂䅐䝖ㄨ⼰⼱〲〱ㄬ⼲ㄳ㈯㄰⤰ ＀＀ ＀＀_x0008_＀＀_x0008_＀＀_x0001_＀＀_x0001_＀＀_x0001_＀＀ꪏ蠦⾺䁀䆛丯_x0016_䥓佒䙞彆䅓䕌⡓䅃ⱌ䌰⥙ō＀＀ ＀＀ĵ＀＀_x0008_＀＀_x0001_＀＀_x0001_＀＀_x0001_＀＀ቮ삃룊䂈摦畳㩰⼯楤敲瑣潩獮䘯呁嘠敩敷㽲捡楴湯唽䑐呁♅牣慥潴㵲慦瑣敳♴奄彎剁升吽啒♅佄彃䅎䕍䘽呁䘺䱑䅟䑕呉义彇䱃䕉呎呟䵅䱐呁⹅䅆♔楤灳慬役瑳楲杮䄽摵瑩嘦剁䬺奅䌽啎啄䵘䝔♎䅖㩒啑剅㵙歒晚さ䵆噒潍け䵆䑌䑂南㵫圦义佄㵗䥆卒彔佐啐♐䕈䝉呈㐽〵圦䑉䡔㐽〵匦䅔呒䵟塁䵉婉䑅䘽䱁䕓嘦剁䌺䱁久䅄㵒单嘦剁区䵙佂㵌䥓佒嘦剁䤺䑎塅〽찀暍䷰!䅖幒䉉偟噁⡇〱ㄯ㈯㄰ⰰ㈱㌯⼱〲〱착 ＀＀ ＀＀_x0008_＀＀_x0008_＀＀_x0001_＀＀_x0001_＀＀_x0001_＀＀뛮촋䱵䁐䆡丯?䙏塉䙞彅卅䥔䅍䕔✨偅❓✬䕍乁Ⱗ䌧䱁✴✬〲ㄱⰧ低ⱗⰬⰧㅆ㌲䴽䩁✬착!＀＀ ＀＀	＀＀_x0008_＀＀_x0001_＀＀_x0001_＀＀_x0001_＀＀塞ǵ_xDE50_㾨찀됪丞 剘奁䥞彂䅐䝖㜨ㄯ㈯〰ⰹ⼹〳㈯〰⤹ ＀＀ ＀＀_x0008_＀＀_x0008_＀＀_x0001_＀＀_x0001_＀＀_x0001_＀＀琕䥻っ䁀䆞丯_x0013_剁䍔偞偟䥒䕃㐨㜰〵착!＀＀ ＀＀	＀＀_x0008_＀＀_x0001_＀＀_x0001_＀＀_x0001_＀＀㌳㌳팳䁀찀䆝丯_x0012_偃協䙞彆偅⡓乁ⱎ⤰!＀＀ ＀＀	＀＀_x0008_＀＀_x0001_＀＀_x0001_＀＀_x0001_＀＀Ẹ롑䀄찀䆞丯_x0013_偃協偞偟䥒䕃㐨㜰〵착!＀＀ ＀＀	＀＀_x0008_＀＀_x0001_＀＀_x0001_＀＀_x0001_＀＀蔟凫麸䀦찀☬䵿"呁䍅䥞彂䅐䝖ㄨ⼰⼱〲㤰ㄬ⼲ㄳ㈯〰⤹ ＀＀ ＀＀_x0008_＀＀_x0008_＀＀_x0001_＀＀_x0001_＀＀_x0001_＀＀幆쓖⼂䀓䆝丯_x0016_呈剗䙞彆䅓䕌⡓䅃ⱌ䌰⥙ō＀＀ ＀＀ĵ＀＀_x0008_＀＀_x0001_＀＀_x0001_＀＀_x0001_＀＀_xDAE8_퀗锋䁋摦畳㩰⼯楤敲瑣潩獮䘯呁嘠敩敷㽲捡楴湯唽䑐呁♅牣慥潴㵲慦瑣敳♴奄彎剁升吽啒♅佄彃䅎䕍䘽呁䘺䱑䅟䑕呉义彇䱃䕉呎呟䵅䱐呁⹅䅆♔楤灳慬役瑳楲杮䄽摵瑩嘦剁䬺奅䤽䥊䅒䝎䍌♐䅖㩒啑剅㵙歒晚さ䵆噒潍け䵆䑌䑂南㵫圦义佄㵗䥆卒彔佐啐♐䕈䝉呈㐽〵圦䑉䡔㐽〵匦䅔呒䵟塁䵉婉䑅䘽䱁䕓嘦剁䌺䱁久䅄㵒单嘦剁区䵙佂㵌呈剗嘦剁䤺䑎塅〽찀됪丞"剘奁䥞彂䅐䝖ㄨ⼰⼱〲㤰ㄬ⼲ㄳ㈯〰⤹ ＀＀ ＀＀_x0008_＀＀_x0008_＀＀_x0001_＀＀_x0001_＀＀_x0001_＀＀Ỏը䂆䁁☬䵿!呁䍅䥞彂䅐䝖ㄨㄯ㈯〰ⰷ㈱㌯⼱〲㜰착 ＀＀ ＀＀_x0008_＀＀_x0008_＀＀_x0001_＀＀_x0001_＀＀_x0001_＀＀丅膶퀻䀏暍䷰ 䅖幒䉉偟噁⡇〱ㄯ㈯〰ⰹ⼹〳㈯㄰⤰ ＀＀ ＀＀_x0008_＀＀_x0008_＀＀_x0001_＀＀_x0001_＀＀_x0001_＀＀曐歪䁉䆝丯P䱁乇⡞䙆䑟䉅⡔瑱Ⱳ⤰䘭彆䅃䡓卟⡔呑ⱒ⤰䀩䘨彆䕄呂儨剔⴬䘱⥑䘭彆䅃䡓卟⡔呑ⱒㄭ兆⤩Ɲ＀＀ ＀＀ƅ＀＀_x0008_＀＀_x0001_＀＀_x0001_＀＀_x0001_＀＀뙆ﷳ仔쁴摦畳㩰⼯楤敲瑣潩獮䘯呁嘠敩敷㽲捡楴湯唽䑐呁♅牣慥潴㵲慦瑣敳♴奄彎剁升吽啒♅佄彃䅎䕍䘽呁䘺䱑䅟䑕呉义彇䱃䕉呎呟䵅䱐呁⹅䅆♔楤灳慬役瑳楲杮䄽摵瑩嘦剁䬺奅䴽䝘奘䥐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䱁乇嘦剁䤺䑎塅〽찀䆝丯_x0017_偃協䙞彆䅓䕌⡓䅃ⱌㄭ奃착ō＀＀ ＀＀ĵ＀＀_x0008_＀＀_x0001_＀＀_x0001_＀＀_x0001_＀＀⼛ⓝ洆䁠摦畳㩰⼯楤敲瑣潩獮䘯呁嘠敩敷㽲捡楴湯唽䑐呁♅牣慥潴㵲慦瑣敳♴奄彎剁升吽啒♅佄彃䅎䕍䘽呁䘺䱑䅟䑕呉义彇䱃䕉呎呟䵅䱐呁⹅䅆♔楤灳慬役瑳楲杮䄽摵瑩嘦剁䬺奅䄽佘䵌佈奚♘䅖㩒啑剅㵙歒晚さ䵆噒潍け䵆䍌砰ㅑ火圦义佄㵗䥆卒彔佐啐♐䕈䝉呈㐽〵圦䑉䡔㐽〵匦䅔呒䵟塁䵉婉䑅䘽䱁䕓嘦剁䌺䱁久䅄㵒单嘦剁区䵙佂㵌偃協嘦剁䤺䑎塅〽찀틍䷨_x000F_䅖幒䝆偟䥒䕃〨착 ＀＀ ＀＀_x0008_＀＀_x0008_＀＀_x0001_＀＀_x0001_＀＀_x0001_＀＀롒蔞釫䁐☬䵿"呁䍅䥞彂䅐䝖ㄨ⼰⼱〲㜰ㄬ⼲ㄳ㈯〰⤷ ＀＀ ＀＀_x0008_＀＀_x0008_＀＀_x0001_＀＀_x0001_＀＀_x0001_＀＀Ẋ᣸墬䀑䆢丯_x0016_剘奁䙞彆䅓䕌⡓䅃ⱌ䌰⥙ō＀＀ ＀＀ĵ＀＀_x0008_＀＀_x0001_＀＀_x0001_＀＀_x0001_＀＀ొ⬂娇䂡摦畳㩰⼯楤敲瑣潩獮䘯呁嘠敩敷㽲捡楴湯唽䑐呁♅牣慥潴㵲慦瑣敳♴奄彎剁升吽啒♅佄彃䅎䕍䘽呁䘺䱑䅟䑕呉义彇䱃䕉呎呟䵅䱐呁⹅䅆♔楤灳慬役瑳楲杮䄽摵瑩嘦剁䬺奅匽䝈䅊啄坎♘䅖㩒啑剅㵙歒晚さ䵆噒潍け䵆䑌䑂南㵫圦义佄㵗䥆卒彔佐啐♐䕈䝉呈㐽〵圦䑉䡔㐽〵匦䅔呒䵟塁䵉婉䑅䘽䱁䕓嘦剁䌺䱁久䅄㵒单嘦剁区䵙佂㵌剘奁嘦剁䤺䑎塅〽찀䆢丯A䙏塉䙞彅卅䥔䅍䕔✨䅓䕌❓✬䕍乁Ⱗ䌧䱁✴✬〲㈱Ⱗ低ⱗⰬⰧㅆ㌲䴽䩁✬착!＀＀ ＀＀	＀＀_x0008_＀＀_x0001_＀＀_x0001_＀＀_x0001_＀＀馚香䊙䂃찀䆡丯?佖䍌䙞彅卅䥔䅍䕔✨偅❓✬䕍乁Ⱗ䌧䱁✴✬〲ㄱⰧ低ⱗⰬⰧㅆ㌲䴽䩁✬착!＀＀ ＀＀	＀＀_x0008_＀＀_x0001_＀＀_x0001_＀＀_x0001_＀＀ᒓ䛽든㿊찀暍䷰_x001F_䅖幒䉉偟噁⡇⼴⼱〲〱㜬㌯⼱〲〱착 ＀＀ ＀＀_x0008_＀＀_x0008_＀＀_x0001_＀＀_x0001_＀＀_x0001_＀＀䞮竡긔䁊튢䷨_x000F_䭎幅䝆偟䥒䕃〨착 ＀＀ ＀＀_x0008_＀＀_x0008_＀＀_x0001_＀＀_x0001_＀＀_x0001_＀＀馚香䦙䁔됪丞"剘奁䥞彂䅐䝖ㄨ⼰⼱〲㜰ㄬ⼲ㄳ㈯〰⤷ ＀＀ ＀＀_x0008_＀＀_x0008_＀＀_x0001_＀＀_x0001_＀＀_x0001_＀＀T枌胐䁅䆠丯_x0012_呁䍅䙞彆偅⡓乁ⱎ⤰!＀＀ ＀＀	＀＀_x0008_＀＀_x0001_＀＀_x0001_＀＀_x0001_＀＀휊炣਽뿇찀䆞丯_x0011_坅偞偟䥒䕃㐨㜰〵착!＀＀ ＀＀	＀＀_x0008_＀＀_x0001_＀＀_x0001_＀＀_x0001_＀＀蔟凫纸䁒찀䆝丯S低乂䌭幈䘨彆䕄呂焨牴〬⴩䙆䍟十彈呓儨剔〬⤩⡀䙆䑟䉅⡔呑ⱒㄭ兆⴩䙆䍟十彈呓儨剔⴬䘱⥑착Ɵ＀＀ ＀＀Ƈ＀＀_x0008_＀＀_x0001_＀＀_x0001_＀＀_x0001_＀＀㥀剂ꥼ쀟摦畳㩰⼯楤敲瑣潩獮䘯呁嘠敩敷㽲捡楴湯唽䑐呁♅牣慥潴㵲慦瑣敳♴奄彎剁升吽啒♅佄彃䅎䕍䘽呁䘺䱑䅟䑕呉义彇䱃䕉呎呟䵅䱐呁⹅䅆♔楤灳慬役瑳楲杮䄽摵瑩嘦剁䬺奅䬽䅄䝘兂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㔸㈷嘦剁䤺䑎塅〽찀删䷰ 䅖幒䉉偟噁⡇ㄱㄯ㈯〰ⰶ⼱ㄳ㈯〰⤷ ＀＀ ＀＀_x0008_＀＀_x0008_＀＀_x0001_＀＀_x0001_＀＀_x0001_＀＀둹쑱뱚䁈☬䵿!呁䍅䥞彂䅐䝖ㄨㄯ㈯〰ⰹ㈱㌯⼱〲㤰착 ＀＀ ＀＀_x0008_＀＀_x0008_＀＀_x0001_＀＀_x0001_＀＀_x0001_＀＀㙋갞䀊䆡丯_x0012_啎䅖䙞彆偅⡓乁ⱎ⤰!＀＀ ＀＀	＀＀_x0008_＀＀_x0001_＀＀_x0001_＀＀_x0001_＀＀롑蔞㿻찀昦䷰!䅖幒䉉偟噁⡇〱ㄯ㈯〰ⰷ㈱㌯⼱〲㜰착 ＀＀ ＀＀_x0008_＀＀_x0008_＀＀_x0001_＀＀_x0001_＀＀_x0001_＀＀鉺쵴䁇䆡丯_x0016_䡔剏䙞彆䅓䕌⡓䅃ⱌ䌰⥙ō＀＀ ＀＀ĵ＀＀_x0008_＀＀_x0001_＀＀_x0001_＀＀_x0001_＀＀뀡桲䁷摦畳㩰⼯楤敲瑣潩獮䘯呁嘠敩敷㽲捡楴湯唽䑐呁♅牣慥潴㵲慦瑣敳♴奄彎剁升吽啒♅佄彃䅎䕍䘽呁䘺䱑䅟䑕呉义彇䱃䕉呎呟䵅䱐呁⹅䅆♔楤灳慬役瑳楲杮䄽摵瑩嘦剁䬺奅䤽䵔䥒児䵒♚䅖㩒啑剅㵙歒晚さ䵆噒潍け䵆䑌䑂南㵫圦义佄㵗䥆卒彔佐啐♐䕈䝉呈㐽〵圦䑉䡔㐽〵匦䅔呒䵟塁䵉婉䑅䘽䱁䕓嘦剁䌺䱁久䅄㵒单嘦剁区䵙佂㵌䡔剏嘦剁䤺䑎塅〽찀䆞丯_x0013_啎䅖偞偟䥒䕃㐨㜰〵착!＀＀ ＀＀	＀＀_x0008_＀＀_x0001_＀＀_x0001_＀＀_x0001_＀＀ᑻ䞮竡䀾찀䆛丯A䱁乇䙞彅卅䥔䅍䕔✨䅓䕌❓✬䕍乁Ⱗ䌧䱁✴✬〲㈱Ⱗ低ⱗⰬⰧㅆ㌲䴽䩁✬착!＀＀ ＀＀	＀＀_x0008_＀＀_x0001_＀＀_x0001_＀＀_x0001_＀＀ᛰ偈㡼䂀찀䆞丯_x0013_䙏塉偞偟䥒䕃㐨㜰〵착!＀＀ ＀＀	＀＀_x0008_＀＀_x0001_＀＀_x0001_＀＀_x0001_＀＀蔟凫纸䁅찀紸丁 剁奁䥞彂䅐䝖㜨ㄯ㈯㄰ⰰ⼹〳㈯㄰⤰ ＀＀ ＀＀_x0008_＀＀_x0008_＀＀_x0001_＀＀_x0001_＀＀_x0001_＀＀漻덣産䀙☬䵿 呁䍅䥞彂䅐䝖㜨ㄯ㈯〰ⰸ⼹〳㈯〰⤸ ＀＀ ＀＀_x0008_＀＀_x0008_＀＀_x0001_＀＀_x0001_＀＀_x0001_＀＀뼦ᝅ䀒䆢丯A佖䍌䙞彅卅䥔䅍䕔✨䅓䕌❓✬䕍乁Ⱗ䌧䱁✴✬〲㈱Ⱗ低ⱗⰬⰧㅆ㌲䴽䩁✬착!＀＀ ＀＀	＀＀_x0008_＀＀_x0001_＀＀_x0001_＀＀_x0001_＀＀즅䁹찀䆢丯A啎䅖䙞彅卅䥔䅍䕔✨䅓䕌❓✬䕍乁Ⱗ䌧䱁✴✬〲㈱Ⱗ低ⱗⰬⰧㅆ㌲䴽䩁✬착!＀＀ ＀＀	＀＀_x0008_＀＀_x0001_＀＀_x0001_＀＀_x0001_＀＀_xD980_礽뗘䂂찀䆠丯P呁䍅⡞䙆䑟䉅⡔瑱Ⱳ⤰䘭彆䅃䡓卟⡔呑ⱒ⤰䀩䘨彆䕄呂儨剔⴬䘱⥑䘭彆䅃䡓卟⡔呑ⱒㄭ兆⤩Ɲ＀＀ ＀＀ƅ＀＀_x0008_＀＀_x0001_＀＀_x0001_＀＀_x0001_＀＀퓽楸䀨摦畳㩰⼯楤敲瑣潩獮䘯呁嘠敩敷㽲捡楴湯唽䑐呁♅牣慥潴㵲慦瑣敳♴奄彎剁升吽啒♅佄彃䅎䕍䘽呁䘺䱑䅟䑕呉义彇䱃䕉呎呟䵅䱐呁⹅䅆♔楤灳慬役瑳楲杮䄽摵瑩嘦剁䬺奅䌽䥄佐䕔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呁䍅嘦剁䤺䑎塅〽찀㝾䷻ 剁奁䥞彂䅐䝖㔨ㄯ㈯〰ⰶ⼶〳㈯〰⤷ ＀＀ ＀＀_x0008_＀＀_x0008_＀＀_x0001_＀＀_x0001_＀＀_x0001_＀＀鉺쵴⏤䀸暍䷰ 䅖幒䉉偟噁⡇〱ㄯ㈯〰ⰷ⼹〳㈯〰⤸ ＀＀ ＀＀_x0008_＀＀_x0008_＀＀_x0001_＀＀_x0001_＀＀_x0001_＀＀ᆇ쟂䁉㠹䷻ 剁奁䥞彂䅐䝖ㄨㄯ㈯㄰ⰱ⼳ㄳ㈯㄰⤱ ＀＀ ＀＀_x0008_＀＀_x0008_＀＀_x0001_＀＀_x0001_＀＀_x0001_＀＀驳_xDA05_初䀡暍䷰!䅖幒䉉偟噁⡇〱ㄯ㈯〰ⰹ㈱㌯⼱〲㤰착 ＀＀ ＀＀_x0008_＀＀_x0008_＀＀_x0001_＀＀_x0001_＀＀_x0001_＀＀䪢ọᥨ䁆퐟䷨!呁䍅䥞彂䅐䝖㠨ㄯ㈯㄰ⰰ〱㌯⼱〲〱착 ＀＀ ＀＀_x0008_＀＀_x0008_＀＀_x0001_＀＀_x0001_＀＀_x0001_＀＀猕琐઴䀃☬䵿 呁䍅䥞彂䅐䝖ㄨㄯ㈯〰ⰹ⼳ㄳ㈯〰⤹ ＀＀ ＀＀_x0008_＀＀_x0008_＀＀_x0001_＀＀_x0001_＀＀_x0001_＀＀艚肌✊䀀펚䷨!呁䍅䥞彂䅐䝖ㄨ⼱⼱〲㘰ㄬ㌯⼱〲㜰착 ＀＀ ＀＀_x0008_＀＀_x0008_＀＀_x0001_＀＀_x0001_＀＀_x0001_＀＀拏鈩ү䀎䆝丯S呓乍䌭幈䘨彆䕄呂焨牴〬⴩䙆䍟十彈呓儨剔〬⤩⡀䙆䑟䉅⡔呑ⱒㄭ兆⴩䙆䍟十彈呓儨剔⴬䘱⥑착Ɵ＀＀ ＀＀Ƈ＀＀_x0008_＀＀_x0001_＀＀_x0001_＀＀_x0001_＀＀豀碵꼝쐕摦畳㩰⼯楤敲瑣潩獮䘯呁嘠敩敷㽲捡楴湯唽䑐呁♅牣慥潴㵲慦瑣敳♴奄彎剁升吽啒♅佄彃䅎䕍䘽呁䘺䱑䅟䑕呉义彇䱃䕉呎呟䵅䱐呁⹅䅆♔楤灳慬役瑳楲杮䄽摵瑩嘦剁䬺奅圽䝒䭚䵄啎♎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ㄷ㘵㌸嘦剁䤺䑎塅〽찀폵䷨ 呁䍅䥞彂䅐䝖㈨ㄯ㈯〰ⰹ⼴〳㈯〰⤹ ＀＀ ＀＀_x0008_＀＀_x0008_＀＀_x0001_＀＀_x0001_＀＀_x0001_＀＀⤟쌢鸪㿼暍䷰ 䅖幒䉉偟噁⡇⼸⼱〲〱ㄬ⼰ㄳ㈯㄰⤰ ＀＀ ＀＀_x0008_＀＀_x0008_＀＀_x0001_＀＀_x0001_＀＀_x0001_＀＀펚ㅥᶱ䁍䆣丯?⸴㈹䙞彅卅䥔䅍䕔✨偅❓✬䕍乁Ⱗ䌧䱁✴✬〲㈱Ⱗ低ⱗⰬⰧㅆ㌲䴽䩁✬착_x001D_＀＀ ＀＀_x0005_＀＀_x0004_＀＀_x0001_＀＀_x0001_＀＀_x0008_＀＀乀A찀틶䷨"呁䍅䥞彂䅐䝖ㄨ⼱⼱〲㜰ㄬ⼰ㄳ㈯〰⤷ ＀＀ ＀＀_x0008_＀＀_x0008_＀＀_x0001_＀＀_x0001_＀＀_x0001_＀＀⣶轜䀐됪丞 剘奁䥞彂䅐䝖㜨ㄯ㈯㄰ⰰ⼹〳㈯㄰⤰ ＀＀ ＀＀_x0008_＀＀_x0008_＀＀_x0001_＀＀_x0001_＀＀_x0001_＀＀㍞曹᎛䀾䆡丯_x0012_協乏䙞彆偅⡓乁ⱎ⤰!＀＀ ＀＀	＀＀_x0008_＀＀_x0001_＀＀_x0001_＀＀_x0001_＀＀긔ᑺ뿮찀䆢丯A呁䍅䙞彅卅䥔䅍䕔✨䅓䕌❓✬䕍乁Ⱗ䌧䱁✴✬〲㈱Ⱗ低ⱗⰬⰧㅆ㌲䴽䩁✬착!＀＀ ＀＀	＀＀_x0008_＀＀_x0001_＀＀_x0001_＀＀_x0001_＀＀ꊝ뤣䟼䁫찀䆝丯P䱅塇⡞䙆䑟䉅⡔瑱Ⱳ⤰䘭彆䅃䡓卟⡔呑ⱒ⤰䀩䘨彆䕄呂儨剔⴬䘱⥑䘭彆䅃䡓卟⡔呑ⱒㄭ兆⤩Ɲ＀＀ ＀＀ƅ＀＀_x0008_＀＀_x0001_＀＀_x0001_＀＀_x0001_＀＀才堐␹쁁摦畳㩰⼯楤敲瑣潩獮䘯呁嘠敩敷㽲捡楴湯唽䑐呁♅牣慥潴㵲慦瑣敳♴奄彎剁升吽啒♅佄彃䅎䕍䘽呁䘺䱑䅟䑕呉义彇䱃䕉呎呟䵅䱐呁⹅䅆♔楤灳慬役瑳楲杮䄽摵瑩嘦剁䬺奅䬽䍐党佒䥒♆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䱅塇嘦剁䤺䑎塅〽찀폵䷨!呁䍅䥞彂䅐䝖㠨ㄯ㈯〰ⰹ〱㌯⼱〲㤰착 ＀＀ ＀＀_x0008_＀＀_x0008_＀＀_x0001_＀＀_x0001_＀＀_x0001_＀＀ꫣ肊䀒䆡丯P啎䅖⡞䙆䑟䉅⡔瑱Ⱳ⤰䘭彆䅃䡓卟⡔呑ⱒ⤰䀩䘨彆䕄呂儨剔⴬䘱⥑䘭彆䅃䡓卟⡔呑ⱒㄭ兆⤩Ɲ＀＀ ＀＀ƅ＀＀_x0008_＀＀_x0001_＀＀_x0001_＀＀_x0001_＀＀픀ᄦ䀸摦畳㩰⼯楤敲瑣潩獮䘯呁嘠敩敷㽲捡楴湯唽䑐呁♅牣慥潴㵲慦瑣敳♴奄彎剁升吽啒♅佄彃䅎䕍䘽呁䘺䱑䅟䑕呉义彇䱃䕉呎呟䵅䱐呁⹅䅆♔楤灳慬役瑳楲杮䄽摵瑩嘦剁䬺奅匽䕔卄兂䍆♒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啎䅖嘦剁䤺䑎塅〽찀됪丞 剘奁䥞彂䅐䝖ㄨㄯ㈯㄰ⰱ⼳ㄳ㈯㄰⤱ ＀＀ ＀＀_x0008_＀＀_x0008_＀＀_x0001_＀＀_x0001_＀＀_x0001_＀＀⊒갲᧢䁂䆝丯_x0016_呓乍䌭幈䝆䵟呋噟䱁䕕⤨!＀＀ ＀＀	＀＀_x0008_＀＀_x0001_＀＀_x0001_＀＀_x0001_＀＀ꐿ惿䂧찀㠛䷻ 剁奁䥞彂䅐䝖㘨ㄯ㈯〰ⰹ⼹〳㈯〰⤹ ＀＀ ＀＀_x0008_＀＀_x0008_＀＀_x0001_＀＀_x0001_＀＀_x0001_＀＀볟䀚暍䷰ 䅖幒䉉偟噁⡇⼸⼱〲㤰ㄬ⼰ㄳ㈯〰⤹ ＀＀ ＀＀_x0008_＀＀_x0008_＀＀_x0001_＀＀_x0001_＀＀_x0001_＀＀䥢䁄䆠丯P剁䍔⡞䙆䑟䉅⡔瑱Ⱳ⤰䘭彆䅃䡓卟⡔呑ⱒ⤰䀩䘨彆䕄呂儨剔⴬䘱⥑䘭彆䅃䡓卟⡔呑ⱒㄭ兆⤩Ɲ＀＀ ＀＀ƅ＀＀_x0008_＀＀_x0001_＀＀_x0001_＀＀_x0001_＀＀犰酨热쁢摦畳㩰⼯楤敲瑣潩獮䘯呁嘠敩敷㽲捡楴湯唽䑐呁♅牣慥潴㵲慦瑣敳♴奄彎剁升吽啒♅佄彃䅎䕍䘽呁䘺䱑䅟䑕呉义彇䱃䕉呎呟䵅䱐呁⹅䅆♔楤灳慬役瑳楲杮䄽摵瑩嘦剁䬺奅䔽佘半䕆児♚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剁䍔嘦剁䤺䑎塅〽찀䆡丯_x0017_䙏塉䙞彆䅓䕌⡓䅃ⱌㄭ奃착ō＀＀ ＀＀ĵ＀＀_x0008_＀＀_x0001_＀＀_x0001_＀＀_x0001_＀＀䞯竡ഔ䂁摦畳㩰⼯楤敲瑣潩獮䘯呁嘠敩敷㽲捡楴湯唽䑐呁♅牣慥潴㵲慦瑣敳♴奄彎剁升吽啒♅佄彃䅎䕍䘽呁䘺䱑䅟䑕呉义彇䱃䕉呎呟䵅䱐呁⹅䅆♔楤灳慬役瑳楲杮䄽摵瑩嘦剁䬺奅儽䭒䭐坄䥄♂䅖㩒啑剅㵙歒晚さ䵆噒潍け䵆䍌砰ㅑ火圦义佄㵗䥆卒彔佐啐♐䕈䝉呈㐽〵圦䑉䡔㐽〵匦䅔呒䵟塁䵉婉䑅䘽䱁䕓嘦剁䌺䱁久䅄㵒单嘦剁区䵙佂㵌䙏塉嘦剁䤺䑎塅〽찀☬䵿 呁䍅䥞彂䅐䝖㐨ㄯ㈯〰ⰹ⼶〳㈯〰⤹ ＀＀ ＀＀_x0008_＀＀_x0008_＀＀_x0001_＀＀_x0001_＀＀_x0001_＀＀鮦⃄犰䀂펚䷨!呁䍅䥞彂䅐䝖㠨ㄯ㈯〰ⰷ〱㌯⼱〲㜰착 ＀＀ ＀＀_x0008_＀＀_x0008_＀＀_x0001_＀＀_x0001_＀＀_x0001_＀＀밴荙헷䀎᥋丈 剁奁䥞彂䅐䝖㜨ㄯ㈯〰ⰸ⼶〳㈯〰⤹ ＀＀ ＀＀_x0008_＀＀_x0008_＀＀_x0001_＀＀_x0001_＀＀_x0001_＀＀ᝮ숴䀘䆝丯_x0017_䱅塇䙞彆䅓䕌⡓䅃ⱌㄭ奃착ō＀＀ ＀＀ĵ＀＀_x0008_＀＀_x0001_＀＀_x0001_＀＀_x0001_＀＀쒜뀠㡲䁊摦畳㩰⼯楤敲瑣潩獮䘯呁嘠敩敷㽲捡楴湯唽䑐呁♅牣慥潴㵲慦瑣敳♴奄彎剁升吽啒♅佄彃䅎䕍䘽呁䘺䱑䅟䑕呉义彇䱃䕉呎呟䵅䱐呁⹅䅆♔楤灳慬役瑳楲杮䄽摵瑩嘦剁䬺奅䄽䝎卖䥐啐♐䅖㩒啑剅㵙歒晚さ䵆噒潍け䵆䍌砰ㅑ火圦义佄㵗䥆卒彔佐啐♐䕈䝉呈㐽〵圦䑉䡔㐽〵匦䅔呒䵟塁䵉婉䑅䘽䱁䕓嘦剁䌺䱁久䅄㵒单嘦剁区䵙佂㵌䱅塇嘦剁䤺䑎塅〽찀폄䷨"呁䍅䥞彂䅐䝖ㄨ⼱⼱〲㜰ㄬ⼰ㄳ㈯〰⤸ ＀＀ ＀＀_x0008_＀＀_x0008_＀＀_x0001_＀＀_x0001_＀＀_x0001_＀＀噹諒࡯䀓䆢丯A剘奁䙞彅卅䥔䅍䕔✨䅓䕌❓✬䕍乁Ⱗ䌧䱁✴✬〲ㄱⰧ低ⱗⰬⰧㅆ㌲䴽䩁✬착!＀＀ ＀＀	＀＀_x0008_＀＀_x0001_＀＀_x0001_＀＀_x0001_＀＀䎖沋눧䂡찀劌䷰ 䅖幒䉉偟噁⡇⼸⼱〲㜰ㄬ⼰ㄳ㈯〰⤷ ＀＀ ＀＀_x0008_＀＀_x0008_＀＀_x0001_＀＀_x0001_＀＀_x0001_＀＀_xDDEC_䁄䆛丯_x0013_䥓佒偞偟䥒䕃㐨㜰〵착!＀＀ ＀＀	＀＀_x0008_＀＀_x0001_＀＀_x0001_＀＀_x0001_＀＀ᑺ䞮䁊찀䆢丯@䍋幉䕆䕟呓䵉呁⡅匧䱁卅Ⱗ䴧䅅❎✬䅃㑌Ⱗ㈧㄰✱丬坏Ⱜ✬䘬㈱㴳䅍ⱊ⤧!＀＀ ＀＀	＀＀_x0008_＀＀_x0001_＀＀_x0001_＀＀_x0001_＀＀譄夻䂠찀劌䷰_x001F_䅖幒䉉偟噁⡇⼱⼱〲㜰㌬㌯⼱〲㜰착 ＀＀ ＀＀_x0008_＀＀_x0008_＀＀_x0001_＀＀_x0001_＀＀_x0001_＀＀╜᱘䁇됪丞!剘奁䥞彂䅐䝖ㄨㄯ㈯〰ⰸ㈱㌯⼱〲㠰착 ＀＀ ＀＀_x0008_＀＀_x0008_＀＀_x0001_＀＀_x0001_＀＀_x0001_＀＀༓鬨畲䁂䆞丯_x0013_䱅塇偞偟䥒䕃㐨㜰〵착!＀＀ ＀＀	＀＀_x0008_＀＀_x0001_＀＀_x0001_＀＀_x0001_＀＀ꏗ㵰휊䀡찀䆡丯_x0016_䙏塉䙞彆䅓䕌⡓䅃ⱌ䌰⥙ō＀＀ ＀＀ĵ＀＀_x0008_＀＀_x0001_＀＀_x0001_＀＀_x0001_＀＀尨슏ꋵ䂁摦畳㩰⼯楤敲瑣潩獮䘯呁嘠敩敷㽲捡楴湯唽䑐呁♅牣慥潴㵲慦瑣敳♴奄彎剁升吽啒♅佄彃䅎䕍䘽呁䘺䱑䅟䑕呉义彇䱃䕉呎呟䵅䱐呁⹅䅆♔楤灳慬役瑳楲杮䄽摵瑩嘦剁䬺奅䤽䥆䭔啖䵎♘䅖㩒啑剅㵙歒晚さ䵆噒潍け䵆䑌䑂南㵫圦义佄㵗䥆卒彔佐啐♐䕈䝉呈㐽〵圦䑉䡔㐽〵匦䅔呒䵟塁䵉婉䑅䘽䱁䕓嘦剁䌺䱁久䅄㵒单嘦剁区䵙佂㵌䙏塉嘦剁䤺䑎塅〽찀䆟丯_x0012_䍋幉䝆䵟呋噟䱁䕕⤨!＀＀ ＀＀	＀＀_x0008_＀＀_x0001_＀＀_x0001_＀＀_x0001_＀＀凬Ẹ孵䂳찀昦䷰_x001F_䅖幒䉉偟噁⡇⼴⼱〲㠰㜬㌯⼱〲㠰착 ＀＀ ＀＀_x0008_＀＀_x0008_＀＀_x0001_＀＀_x0001_＀＀_x0001_＀＀犰酨곭䁈䆝丯_x0016_偃協䙞彆䅓䕌⡓䅃ⱌ䌰⥙ō＀＀ ＀＀ĵ＀＀_x0008_＀＀_x0001_＀＀_x0001_＀＀_x0001_＀＀롑锞䁡摦畳㩰⼯楤敲瑣潩獮䘯呁嘠敩敷㽲捡楴湯唽䑐呁♅牣慥潴㵲慦瑣敳♴奄彎剁升吽啒♅佄彃䅎䕍䘽呁䘺䱑䅟䑕呉义彇䱃䕉呎呟䵅䱐呁⹅䅆♔楤灳慬役瑳楲杮䄽摵瑩嘦剁䬺奅䜽協䝎䅌協♈䅖㩒啑剅㵙歒晚さ䵆噒潍け䵆䑌䑂南㵫圦义佄㵗䥆卒彔佐啐♐䕈䝉呈㐽〵圦䑉䡔㐽〵匦䅔呒䵟塁䵉婉䑅䘽䱁䕓嘦剁䌺䱁久䅄㵒单嘦剁区䵙佂㵌偃協嘦剁䤺䑎塅〽찀퐟䷨ 呁䍅䥞彂䅐䝖㈨ㄯ㈯㄰ⰰ⼴〳㈯㄰⤰ ＀＀ ＀＀_x0008_＀＀_x0008_＀＀_x0001_＀＀_x0001_＀＀_x0001_＀＀_xDE09_䚐ฅ䀗䆞丯_x0013_䉁䑍偞偟䥒䕃㐨㜰〵착!＀＀ ＀＀	＀＀_x0008_＀＀_x0001_＀＀_x0001_＀＀_x0001_＀＀馚香妙䀰찀紹丁 剁奁䥞彂䅐䝖㜨ㄯ㈯〰ⰸ⼹〳㈯〰⤸ ＀＀ ＀＀_x0008_＀＀_x0008_＀＀_x0001_＀＀_x0001_＀＀_x0001_＀＀ᚘ䧵î䀠䆡丯P協乏⡞䙆䑟䉅⡔瑱Ⱳ⤰䘭彆䅃䡓卟⡔呑ⱒ⤰䀩䘨彆䕄呂儨剔⴬䘱⥑䘭彆䅃䡓卟⡔呑ⱒㄭ兆⤩Ɲ＀＀ ＀＀ƅ＀＀_x0008_＀＀_x0001_＀＀_x0001_＀＀_x0001_＀＀퓾䄦쁂摦畳㩰⼯楤敲瑣潩獮䘯呁嘠敩敷㽲捡楴湯唽䑐呁♅牣慥潴㵲慦瑣敳♴奄彎剁升吽啒♅佄彃䅎䕍䘽呁䘺䱑䅟䑕呉义彇䱃䕉呎呟䵅䱐呁⹅䅆♔楤灳慬役瑳楲杮䄽摵瑩嘦剁䬺奅䄽卐䥌䕄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協乏嘦剁䤺䑎塅〽찀㟛䷻ 剁奁䥞彂䅐䝖ㄨㄯ㈯〰ⰹ⼳ㄳ㈯〰⤹ ＀＀ ＀＀_x0008_＀＀_x0008_＀＀_x0001_＀＀_x0001_＀＀_x0001_＀＀䄭䁆펅䀔䆛丯A䥓佒䙞彅卅䥔䅍䕔✨䅓䕌❓✬䕍乁Ⱗ䌧䱁✴✬〲㈱Ⱗ低ⱗⰬⰧㅆ㌲䴽䩁✬착!＀＀ ＀＀	＀＀_x0008_＀＀_x0001_＀＀_x0001_＀＀_x0001_＀＀묰༧ﮋ䂍찀㠸䷻ 剁奁䥞彂䅐䝖㘨ㄯ㈯㄰ⰰ⼹〳㈯㄰⤰ ＀＀ ＀＀_x0008_＀＀_x0008_＀＀_x0001_＀＀_x0001_＀＀_x0001_＀＀脸듩덮䀙䆡丯_x0017_佐䑄䙞彆䅓䕌⡓䅃ⱌㄭ奃착ō＀＀ ＀＀ĵ＀＀_x0008_＀＀_x0001_＀＀_x0001_＀＀_x0001_＀＀帵䦺舌䁐摦畳㩰⼯楤敲瑣潩獮䘯呁嘠敩敷㽲捡楴湯唽䑐呁♅牣慥潴㵲慦瑣敳♴奄彎剁升吽啒♅佄彃䅎䕍䘽呁䘺䱑䅟䑕呉义彇䱃䕉呎呟䵅䱐呁⹅䅆♔楤灳慬役瑳楲杮䄽摵瑩嘦剁䬺奅䬽䥚䍘䥐啎♆䅖㩒啑剅㵙歒晚さ䵆噒潍け䵆䍌砰ㅑ火圦义佄㵗䥆卒彔佐啐♐䕈䝉呈㐽〵圦䑉䡔㐽〵匦䅔呒䵟塁䵉婉䑅䘽䱁䕓嘦剁䌺䱁久䅄㵒单嘦剁区䵙佂㵌佐䑄嘦剁䤺䑎塅〽찀䆠丯_x0012_呈剗䙞彆偅⡓乁ⱎ⤰!＀＀ ＀＀	＀＀_x0008_＀＀_x0001_＀＀_x0001_＀＀_x0001_＀＀轜尨쀁찀폵䷨ 呁䍅䥞彂䅐䝖㔨ㄯ㈯〰ⰹ⼷ㄳ㈯〰⤹ ＀＀ ＀＀_x0008_＀＀_x0008_＀＀_x0001_＀＀_x0001_＀＀_x0001_＀＀䄃ಀ묝䀆䆠丯_x0013_佖䍌䙞彇䭍彔䅖啌⡅착!＀＀ ＀＀	＀＀_x0008_＀＀_x0001_＀＀_x0001_＀＀_x0001_＀＀ῲ㛒䂚찀䆞丯A呈剗䙞彅卅䥔䅍䕔✨䅓䕌❓✬䕍乁Ⱗ䌧䱁✴✬〲ㄱⰧ低ⱗⰬⰧㅆ㌲䴽䩁✬착!＀＀ ＀＀	＀＀_x0008_＀＀_x0001_＀＀_x0001_＀＀_x0001_＀＀福렧潘䁕찀☬䵿 呁䍅䥞彂䅐䝖ㄨㄯ㈯㄰ⰰ⼳ㄳ㈯㄰⤰ ＀＀ ＀＀_x0008_＀＀_x0008_＀＀_x0001_＀＀_x0001_＀＀_x0001_＀＀✗_xDABE_䱑䀕䆡丯_x0016_啎䅖䙞彆䅓䕌⡓䅃ⱌ䌰⥙ō＀＀ ＀＀ĵ＀＀_x0008_＀＀_x0001_＀＀_x0001_＀＀_x0001_＀＀ቯ삃䁽摦畳㩰⼯楤敲瑣潩獮䘯呁嘠敩敷㽲捡楴湯唽䑐呁♅牣慥潴㵲慦瑣敳♴奄彎剁升吽啒♅佄彃䅎䕍䘽呁䘺䱑䅟䑕呉义彇䱃䕉呎呟䵅䱐呁⹅䅆♔楤灳慬役瑳楲杮䄽摵瑩嘦剁䬺奅䔽啎佌児坔♔䅖㩒啑剅㵙歒晚さ䵆噒潍け䵆䑌䑂南㵫圦义佄㵗䥆卒彔佐啐♐䕈䝉呈㐽〵圦䑉䡔㐽〵匦䅔呒䵟塁䵉婉䑅䘽䱁䕓嘦剁䌺䱁久䅄㵒单嘦剁区䵙佂㵌啎䅖嘦剁䤺䑎塅〽찀됪丞 剘奁䥞彂䅐䝖㜨ㄯ㈯〰ⰸ⼹〳㈯〰⤸ ＀＀ ＀＀_x0008_＀＀_x0008_＀＀_x0001_＀＀_x0001_＀＀_x0001_＀＀銣ĺ衍䁃م䵿_x0010_呁䍅䙞彇剐䍉⡅⤰ ＀＀ ＀＀_x0008_＀＀_x0008_＀＀_x0001_＀＀_x0001_＀＀_x0001_＀＀竡긔䀄䆡丯_x0017_協乏䙞彆䅓䕌⡓䅃ⱌㄭ奃착ō＀＀ ＀＀ĵ＀＀_x0008_＀＀_x0001_＀＀_x0001_＀＀_x0001_＀＀_xDF3B_赏캗䀽摦畳㩰⼯楤敲瑣潩獮䘯呁嘠敩敷㽲捡楴湯唽䑐呁♅牣慥潴㵲慦瑣敳♴奄彎剁升吽啒♅佄彃䅎䕍䘽呁䘺䱑䅟䑕呉义彇䱃䕉呎呟䵅䱐呁⹅䅆♔楤灳慬役瑳楲杮䄽摵瑩嘦剁䬺奅夽卄䵆䕖坈♐䅖㩒啑剅㵙歒晚さ䵆噒潍け䵆䍌砰ㅑ火圦义佄㵗䥆卒彔佐啐♐䕈䝉呈㐽〵圦䑉䡔㐽〵匦䅔呒䵟塁䵉婉䑅䘽䱁䕓嘦剁䌺䱁久䅄㵒单嘦剁区䵙佂㵌協乏嘦剁䤺䑎塅〽찀䆝丯A偃協䙞彅卅䥔䅍䕔✨䅓䕌❓✬䕍乁Ⱗ䌧䱁✴✬〲㈱Ⱗ低ⱗⰬⰧㅆ㌲䴽䩁✬착!＀＀ ＀＀	＀＀_x0008_＀＀_x0001_＀＀_x0001_＀＀_x0001_＀＀_xDD2F_ؤ鶁䁡찀䆢丯A䙏塉䙞彅卅䥔䅍䕔✨䅓䕌❓✬䕍乁Ⱗ䌧䱁✴✬〲ㄱⰧ低ⱗⰬⰧㅆ㌲䴽䩁✬착!＀＀ ＀＀	＀＀_x0008_＀＀_x0001_＀＀_x0001_＀＀_x0001_＀＀冃鵉Ⰰ䂂찀됪丞 剘奁䥞彂䅐䝖ㄨㄯ㈯〰ⰹ⼳ㄳ㈯〰⤹ ＀＀ ＀＀_x0008_＀＀_x0008_＀＀_x0001_＀＀_x0001_＀＀_x0001_＀＀㪨曤䀹䆢丯A剁䍔䙞彅卅䥔䅍䕔✨䅓䕌❓✬䕍乁Ⱗ䌧䱁✴✬〲㈱Ⱗ低ⱗⰬⰧㅆ㌲䴽䩁✬착!＀＀ ＀＀	＀＀_x0008_＀＀_x0001_＀＀_x0001_＀＀_x0001_＀＀즅꥔䁸찀䆞丯_x0013_呁䍅偞偟䥒䕃㐨㜰〵착!＀＀ ＀＀	＀＀_x0008_＀＀_x0001_＀＀_x0001_＀＀_x0001_＀＀㵱휊炣䀇찀䆠丯&gt;䍋幉䕆䕟呓䵉呁⡅䔧卐Ⱗ䴧䅅❎✬䅃㑌Ⱗ㈧㄰✱丬坏Ⱜ✬䘬㈱㴳䅍ⱊ⤧!＀＀ ＀＀	＀＀_x0008_＀＀_x0001_＀＀_x0001_＀＀_x0001_＀＀ొ⬂ᚇ䀔찀䆛丯A䱁乇䙞彅卅䥔䅍䕔✨䅓䕌❓✬䕍乁Ⱗ䌧䱁✴✬〲ㄱⰧ低ⱗⰬⰧㅆ㌲䴽䩁✬착!＀＀ ＀＀	＀＀_x0008_＀＀_x0001_＀＀_x0001_＀＀_x0001_＀＀ꦓ冂彉䁼찀䆞丯_x0013_協乏偞偟䥒䕃㐨㜰〵착!＀＀ ＀＀	＀＀_x0008_＀＀_x0001_＀＀_x0001_＀＀_x0001_＀＀䞮竡긔䀓찀㟛䷻ 剁奁䥞彂䅐䝖㐨ㄯ㈯〰ⰹ⼶〳㈯〰⤹ ＀＀ ＀＀_x0008_＀＀_x0008_＀＀_x0001_＀＀_x0001_＀＀_x0001_＀＀됃暭솝䀘䆝丯?䱅塇䙞彅卅䥔䅍䕔✨偅❓✬䕍乁Ⱗ䌧䱁✴✬〲ㄱⰧ低ⱗⰬⰧㅆ㌲䴽䩁✬착!＀＀ ＀＀	＀＀_x0008_＀＀_x0001_＀＀_x0001_＀＀_x0001_＀＀긕ᑺ뿞찀퐵䷨!呁䍅䥞彂䅐䝖ㄨ⼱⼱〲〱ㄬ㌯⼱〲ㄱ착 ＀＀ ＀＀_x0008_＀＀_x0008_＀＀_x0001_＀＀_x0001_＀＀_x0001_＀＀岉ٰ὿䀃䆠丯?䡔剏䙞彅卅䥔䅍䕔✨偅❓✬䕍乁Ⱗ䌧䱁✴✬〲ㄱⰧ低ⱗⰬⰧㅆ㌲䴽䩁✬착!＀＀ ＀＀	＀＀_x0008_＀＀_x0001_＀＀_x0001_＀＀_x0001_＀＀䁨ᦽ鼵㿶찀☬䵿 呁䍅䥞彂䅐䝖㐨ㄯ㈯㄰ⰰ⼶〳㈯㄰⤰ ＀＀ ＀＀_x0008_＀＀_x0008_＀＀_x0001_＀＀_x0001_＀＀_x0001_＀＀⺭ҧ쓄䀖䆞丯_x0013_呈剗偞偟䥒䕃㐨㜰〵착!＀＀ ＀＀	＀＀_x0008_＀＀_x0001_＀＀_x0001_＀＀_x0001_＀＀尩슏_xD8F5_䁑찀䆢丯A協乏䙞彅卅䥔䅍䕔✨䅓䕌❓✬䕍乁Ⱗ䌧䱁✴✬〲㈱Ⱗ低ⱗⰬⰧㅆ㌲䴽䩁✬착!＀＀ ＀＀	＀＀_x0008_＀＀_x0001_＀＀_x0001_＀＀_x0001_＀＀嘄ⴎ඲䀼찀䆝丯N坅⡞䙆䑟䉅⡔瑱Ⱳ⤰䘭彆䅃䡓卟⡔呑ⱒ⤰䀩䘨彆䕄呂儨剔⴬䘱⥑䘭彆䅃䡓卟⡔呑ⱒㄭ兆⤩ƛ＀＀ ＀＀ƃ＀＀_x0008_＀＀_x0001_＀＀_x0001_＀＀_x0001_＀＀晦晦噦쁲摦畳㩰⼯楤敲瑣潩獮䘯呁嘠敩敷㽲捡楴湯唽䑐呁♅牣慥潴㵲慦瑣敳♴奄彎剁升吽啒♅佄彃䅎䕍䘽呁䘺䱑䅟䑕呉义彇䱃䕉呎呟䵅䱐呁⹅䅆♔楤灳慬役瑳楲杮䄽摵瑩嘦剁䬺奅䜽䝊䍂䍎卖♆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坅嘦剁䤺䑎塅〽찀旲䷰!呁䍅䥞彂䅐䝖ㄨ⼰⼱〲㘰㤬㌯⼰〲㜰착 ＀＀ ＀＀_x0008_＀＀_x0008_＀＀_x0001_＀＀_x0001_＀＀_x0001_＀＀Ḉ_xDEDF_蠵䀎䆣丯@㈳㈮帴䕆䕟呓䵉呁⡅䔧卐Ⱗ䴧䅅❎✬䅃㑌Ⱗ㈧㄰✲丬坏Ⱜ✬䘬㈱㴳䅍ⱊ⤧_x001D_＀＀ ＀＀_x0005_＀＀_x0004_＀＀_x0001_＀＀_x0001_＀＀_x0008_＀＀乀A찀䆝丯_x0012_䱅塇䙞彆偅⡓乁ⱎ⤰!＀＀ ＀＀	＀＀_x0008_＀＀_x0001_＀＀_x0001_＀＀_x0001_＀＀竡긔㿊찀旾䷰ 䅖幒䉉偟噁⡇〱ㄯ㈯〰ⰶ⼹〳㈯〰⤷ ＀＀ ＀＀_x0008_＀＀_x0008_＀＀_x0001_＀＀_x0001_＀＀_x0001_＀＀၎ή䁆됪丞 剘奁䥞彂䅐䝖㐨ㄯ㈯〰ⰹ⼶〳㈯〰⤹ ＀＀ ＀＀_x0008_＀＀_x0008_＀＀_x0001_＀＀_x0001_＀＀_x0001_＀＀̳華䀼䆡丯A䡔剏䙞彅卅䥔䅍䕔✨䅓䕌❓✬䕍乁Ⱗ䌧䱁✴✬〲㈱Ⱗ低ⱗⰬⰧㅆ㌲䴽䩁✬착!＀＀ ＀＀	＀＀_x0008_＀＀_x0001_＀＀_x0001_＀＀_x0001_＀＀꾸벌䁼찀㠛䷻ 剁奁䥞彂䅐䝖ㄨㄯ㈯㄰ⰰ⼳ㄳ㈯㄰⤰ ＀＀ ＀＀_x0008_＀＀_x0008_＀＀_x0001_＀＀_x0001_＀＀_x0001_＀＀ఛ塵웡䀚☬䵿 呁䍅䥞彂䅐䝖ㄨㄯ㈯〰ⰸ⼳ㄳ㈯〰⤸ ＀＀ ＀＀_x0008_＀＀_x0008_＀＀_x0001_＀＀_x0001_＀＀_x0001_＀＀꼔뚲ษ䀕᥂丈 剁奁䥞彂䅐䝖㜨ㄯ㈯〰ⰹ⼶〳㈯㄰⤰ ＀＀ ＀＀_x0008_＀＀_x0008_＀＀_x0001_＀＀_x0001_＀＀_x0001_＀＀띖乺轺䀙폄䷨ 呁䍅䥞彂䅐䝖㈨ㄯ㈯〰ⰸ⼴〳㈯〰⤸ ＀＀ ＀＀_x0008_＀＀_x0008_＀＀_x0001_＀＀_x0001_＀＀_x0001_＀＀ꧼ틱㉍䀕䆡丯_x0017_䡔剏䙞彆䅓䕌⡓䅃ⱌㄭ奃착ō＀＀ ＀＀ĵ＀＀_x0008_＀＀_x0001_＀＀_x0001_＀＀_x0001_＀＀䖢廽䁷摦畳㩰⼯楤敲瑣潩獮䘯呁嘠敩敷㽲捡楴湯唽䑐呁♅牣慥潴㵲慦瑣敳♴奄彎剁升吽啒♅佄彃䅎䕍䘽呁䘺䱑䅟䑕呉义彇䱃䕉呎呟䵅䱐呁⹅䅆♔楤灳慬役瑳楲杮䄽摵瑩嘦剁䬺奅匽䍂佂兔䅐♚䅖㩒啑剅㵙歒晚さ䵆噒潍け䵆䍌砰ㅑ火圦义佄㵗䥆卒彔佐啐♐䕈䝉呈㐽〵圦䑉䡔㐽〵匦䅔呒䵟塁䵉婉䑅䘽䱁䕓嘦剁䌺䱁久䅄㵒单嘦剁区䵙佂㵌䡔剏嘦剁䤺䑎塅〽찀䆛丯_x0013_䱁乇偞偟䥒䕃㐨㜰〵착!＀＀ ＀＀	＀＀_x0008_＀＀_x0001_＀＀_x0001_＀＀_x0001_＀＀쳍쳌ೌ䀷찀䆢丯A佖䍌䙞彅卅䥔䅍䕔✨䅓䕌❓✬䕍乁Ⱗ䌧䱁✴✬〲ㄱⰧ低ⱗⰬⰧㅆ㌲䴽䩁✬착!＀＀ ＀＀	＀＀_x0008_＀＀_x0001_＀＀_x0001_＀＀_x0001_＀＀桳ꥼ䁵찀䆢丯A啎䅖䙞彅卅䥔䅍䕔✨䅓䕌❓✬䕍乁Ⱗ䌧䱁✴✬〲ㄱⰧ低ⱗⰬⰧㅆ㌲䴽䩁✬착!＀＀ ＀＀	＀＀_x0008_＀＀_x0001_＀＀_x0001_＀＀_x0001_＀＀鞍ቮ솃䂀찀䆝丯_x0017_呈剗䙞彆䅓䕌⡓䅃ⱌㄭ奃착ō＀＀ ＀＀ĵ＀＀_x0008_＀＀_x0001_＀＀_x0001_＀＀_x0001_＀＀ȿ⯹䀸摦畳㩰⼯楤敲瑣潩獮䘯呁嘠敩敷㽲捡楴湯唽䑐呁♅牣慥潴㵲慦瑣敳♴奄彎剁升吽啒♅佄彃䅎䕍䘽呁䘺䱑䅟䑕呉义彇䱃䕉呎呟䵅䱐呁⹅䅆♔楤灳慬役瑳楲杮䄽摵瑩嘦剁䬺奅夽卒䵄䭄䕔♌䅖㩒啑剅㵙歒晚さ䵆噒潍け䵆䍌砰ㅑ火圦义佄㵗䥆卒彔佐啐♐䕈䝉呈㐽〵圦䑉䡔㐽〵匦䅔呒䵟塁䵉婉䑅䘽䱁䕓嘦剁䌺䱁久䅄㵒单嘦剁区䵙佂㵌呈剗嘦剁䤺䑎塅〽찀䆟丯_x0013_佐䑄䙞彇䭍彔䅖啌⡅착!＀＀ ＀＀	＀＀_x0008_＀＀_x0001_＀＀_x0001_＀＀_x0001_＀＀脆䎕㬋䂍찀䆡丯_x0016_呁䍅䙞彆䅓䕌⡓䅃ⱌ䌰⥙ō＀＀ ＀＀ĵ＀＀_x0008_＀＀_x0001_＀＀_x0001_＀＀_x0001_＀＀凬Ẹ玅䁥摦畳㩰⼯楤敲瑣潩獮䘯呁嘠敩敷㽲捡楴湯唽䑐呁♅牣慥潴㵲慦瑣敳♴奄彎剁升吽啒♅佄彃䅎䕍䘽呁䘺䱑䅟䑕呉义彇䱃䕉呎呟䵅䱐呁⹅䅆♔楤灳慬役瑳楲杮䄽摵瑩嘦剁䬺奅䴽兒兒䅚坖♎䅖㩒啑剅㵙歒晚さ䵆噒潍け䵆䑌䑂南㵫圦义佄㵗䥆卒彔佐啐♐䕈䝉呈㐽〵圦䑉䡔㐽〵匦䅔呒䵟塁䵉婉䑅䘽䱁䕓嘦剁䌺䱁久䅄㵒单嘦剁区䵙佂㵌呁䍅嘦剁䤺䑎塅〽찀됪丞 剘奁䥞彂䅐䝖ㄨㄯ㈯㄰ⰰ⼳ㄳ㈯㄰⤰ ＀＀ ＀＀_x0008_＀＀_x0008_＀＀_x0001_＀＀_x0001_＀＀_x0001_＀＀祽◑䁁☬䵿 呁䍅䥞彂䅐䝖㜨ㄯ㈯〰ⰷ⼹〳㈯〰⤷ ＀＀ ＀＀_x0008_＀＀_x0008_＀＀_x0001_＀＀_x0001_＀＀_x0001_＀＀㱹㼭異䀎暍䷰_x001F_䅖幒䉉偟噁⡇⼱⼱〲ㄱ㌬㌯⼱〲ㄱ착 ＀＀ ＀＀_x0008_＀＀_x0008_＀＀_x0001_＀＀_x0001_＀＀_x0001_＀＀_xFFFF_ｄᜄ⸫䁑䆝丯_x0016_低乂䌭幈彐剐䍉⡅〴㔷⤰!＀＀ ＀＀	＀＀_x0008_＀＀_x0001_＀＀_x0001_＀＀_x0001_＀＀ᑺ䞮䀰찀䆡丯_x0016_佐䑄䙞彆䅓䕌⡓䅃ⱌ䌰⥙ō＀＀ ＀＀ĵ＀＀_x0008_＀＀_x0001_＀＀_x0001_＀＀_x0001_＀＀ﯧ㷒䁘摦畳㩰⼯楤敲瑣潩獮䘯呁嘠敩敷㽲捡楴湯唽䑐呁♅牣慥潴㵲慦瑣敳♴奄彎剁升吽啒♅佄彃䅎䕍䘽呁䘺䱑䅟䑕呉义彇䱃䕉呎呟䵅䱐呁⹅䅆♔楤灳慬役瑳楲杮䄽摵瑩嘦剁䬺奅䴽䵈䝂䝚䭒♆䅖㩒啑剅㵙歒晚さ䵆噒潍け䵆䑌䑂南㵫圦义佄㵗䥆卒彔佐啐♐䕈䝉呈㐽〵圦䑉䡔㐽〵匦䅔呒䵟塁䵉婉䑅䘽䱁䕓嘦剁䌺䱁久䅄㵒单嘦剁区䵙佂㵌佐䑄嘦剁䤺䑎塅〽찀㟛䷻ 剁奁䥞彂䅐䝖㘨ㄯ㈯〰ⰸ⼹〳㈯〰⤸ ＀＀ ＀＀_x0008_＀＀_x0008_＀＀_x0001_＀＀_x0001_＀＀_x0001_＀＀㦊㨈啚䀠㠹䷻"剁奁䥞彂䅐䝖ㄨ⼰⼱〲〱ㄬ⼲ㄳ㈯㄰⤰ ＀＀ ＀＀_x0008_＀＀_x0008_＀＀_x0001_＀＀_x0001_＀＀_x0001_＀＀懋᷷揃䀙䆠丯P佐䑄⡞䙆䑟䉅⡔瑱Ⱳ⤰䘭彆䅃䡓卟⡔呑ⱒ⤰䀩䘨彆䕄呂儨剔⴬䘱⥑䘭彆䅃䡓卟⡔呑ⱒㄭ兆⤩Ɲ＀＀ ＀＀ƅ＀＀_x0008_＀＀_x0001_＀＀_x0001_＀＀_x0001_＀＀鮥탄쁀摦畳㩰⼯楤敲瑣潩獮䘯呁嘠敩敷㽲捡楴湯唽䑐呁♅牣慥潴㵲慦瑣敳♴奄彎剁升吽啒♅佄彃䅎䕍䘽呁䘺䱑䅟䑕呉义彇䱃䕉呎呟䵅䱐呁⹅䅆♔楤灳慬役瑳楲杮䄽摵瑩嘦剁䬺奅䜽䍘䥈䵔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佐䑄嘦剁䤺䑎塅〽찀㠛䷻ 剁奁䥞彂䅐䝖㐨ㄯ㈯㄰ⰰ⼶〳㈯㄰⤰ ＀＀ ＀＀_x0008_＀＀_x0008_＀＀_x0001_＀＀_x0001_＀＀_x0001_＀＀㦎_xD8CF_鲗䀙䆢丯_x0013_剘奁䙞彇䭍彔䅖啌⡅착!＀＀ ＀＀	＀＀_x0008_＀＀_x0001_＀＀_x0001_＀＀_x0001_＀＀䉚咮䂵찀᥋丈 剁奁䥞彂䅐䝖㜨ㄯ㈯〰ⰷ⼶〳㈯〰⤸ ＀＀ ＀＀_x0008_＀＀_x0008_＀＀_x0001_＀＀_x0001_＀＀_x0001_＀＀㏎◶弛䀫퐟䷨ 呁䍅䥞彂䅐䝖㔨ㄯ㈯㄰ⰰ⼷ㄳ㈯㄰⤰ ＀＀ ＀＀_x0008_＀＀_x0008_＀＀_x0001_＀＀_x0001_＀＀_x0001_＀＀骢겒凃䀔䆢丯A呁䍅䙞彅卅䥔䅍䕔✨䅓䕌❓✬䕍乁Ⱗ䌧䱁✴✬〲ㄱⰧ低ⱗⰬⰧㅆ㌲䴽䩁✬착!＀＀ ＀＀	＀＀_x0008_＀＀_x0001_＀＀_x0001_＀＀_x0001_＀＀⢌⏭䁩찀䆞丯_x0013_䡔剏偞偟䥒䕃㐨㜰〵착!＀＀ ＀＀	＀＀_x0008_＀＀_x0001_＀＀_x0001_＀＀_x0001_＀＀ꏗ㵰眊䁁찀ᢩ丈_x0010_剁奁䙞彇剐䍉⡅⤰ ＀＀ ＀＀_x0008_＀＀_x0008_＀＀_x0001_＀＀_x0001_＀＀_x0001_＀＀䞮竡긔䀞䆝丯P偃協⡞䙆䑟䉅⡔瑱Ⱳ⤰䘭彆䅃䡓卟⡔呑ⱒ⤰䀩䘨彆䕄呂儨剔⴬䘱⥑䘭彆䅃䡓卟⡔呑ⱒㄭ兆⤩Ɲ＀＀ ＀＀ƅ＀＀_x0008_＀＀_x0001_＀＀_x0001_＀＀_x0001_＀＀눰䚧䀚摦畳㩰⼯楤敲瑣潩獮䘯呁嘠敩敷㽲捡楴湯唽䑐呁♅牣慥潴㵲慦瑣敳♴奄彎剁升吽啒♅佄彃䅎䕍䘽呁䘺䱑䅟䑕呉义彇䱃䕉呎呟䵅䱐呁⹅䅆♔楤灳慬役瑳楲杮䄽摵瑩嘦剁䬺奅䄽䝒䥐坐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偃協嘦剁䤺䑎塅〽찀䆝丯A䱅塇䙞彅卅䥔䅍䕔✨䅓䕌❓✬䕍乁Ⱗ䌧䱁✴✬〲㈱Ⱗ低ⱗⰬⰧㅆ㌲䴽䩁✬착!＀＀ ＀＀	＀＀_x0008_＀＀_x0001_＀＀_x0001_＀＀_x0001_＀＀ᬳ鉤辑䁙찀䆟丯_x0013_剁䍔䙞彇䭍彔䅖啌⡅착!＀＀ ＀＀	＀＀_x0008_＀＀_x0001_＀＀_x0001_＀＀_x0001_＀＀▯菤촞䂌찀㠛䷻"剁奁䥞彂䅐䝖ㄨ⼰⼱〲㤰ㄬ⼲ㄳ㈯〰⤹ ＀＀ ＀＀_x0008_＀＀_x0008_＀＀_x0001_＀＀_x0001_＀＀_x0001_＀＀햡ᧉ宊䀗䆞丯_x0013_偃協䙞彇䭍彔䅖啌⡅착!＀＀ ＀＀	＀＀_x0008_＀＀_x0001_＀＀_x0001_＀＀_x0001_＀＀点␠ఋ䁶찀㟛䷻ 剁奁䥞彂䅐䝖㔨ㄯ㈯〰ⰸ⼶〳㈯〰⤹ ＀＀ ＀＀_x0008_＀＀_x0008_＀＀_x0001_＀＀_x0001_＀＀_x0001_＀＀ᐖ攆崚䀚䆡丯_x0012_䙏塉䙞彆偅⡓乁ⱎ⤰!＀＀ ＀＀	＀＀_x0008_＀＀_x0001_＀＀_x0001_＀＀_x0001_＀＀긔ᑺ䀄찀됪丞 剘奁䥞彂䅐䝖㐨ㄯ㈯㄰ⰰ⼶〳㈯㄰⤰ ＀＀ ＀＀_x0008_＀＀_x0008_＀＀_x0001_＀＀_x0001_＀＀_x0001_＀＀ᣨ붐퇞䁀뗄䷹!剁奁䥞彂䅐䝖㜨ㄯ㈯〰ⰷ㤰㌯⼰〲㜰착 ＀＀ ＀＀_x0008_＀＀_x0008_＀＀_x0001_＀＀_x0001_＀＀_x0001_＀＀죊_xD859_䛓䀱劌䷰_x001F_䅖幒䉉偟噁⡇⼴⼱〲㜰㜬㌯⼱〲㜰착 ＀＀ ＀＀_x0008_＀＀_x0008_＀＀_x0001_＀＀_x0001_＀＀_x0001_＀＀ᑑᏨ鉹䁅폵䷨!呁䍅䥞彂䅐䝖ㄨ⼱⼱〲㠰ㄬ㌯⼱〲㤰착 ＀＀ ＀＀_x0008_＀＀_x0008_＀＀_x0001_＀＀_x0001_＀＀_x0001_＀＀쯄맓钢䀄㞵䷻"剁奁䥞彂䅐䝖ㄨ⼰⼱〲㜰ㄬ⼲ㄳ㈯〰⤷ ＀＀ ＀＀_x0008_＀＀_x0008_＀＀_x0001_＀＀_x0001_＀＀_x0001_＀＀剪먊벽䀰☬䵿 呁䍅䥞彂䅐䝖㐨ㄯ㈯〰ⰸ⼶〳㈯〰⤸ ＀＀ ＀＀_x0008_＀＀_x0008_＀＀_x0001_＀＀_x0001_＀＀_x0001_＀＀䄩ꅿ䱇䀓☬䵿"呁䍅䥞彂䅐䝖ㄨ⼰⼱〲㠰ㄬ⼲ㄳ㈯〰⤸ ＀＀ ＀＀_x0008_＀＀_x0008_＀＀_x0001_＀＀_x0001_＀＀_x0001_＀＀戬懘婌䀉䆝丯P䥓佒⡞䙆䑟䉅⡔瑱Ⱳ⤰䘭彆䅃䡓卟⡔呑ⱒ⤰䀩䘨彆䕄呂儨剔⴬䘱⥑䘭彆䅃䡓卟⡔呑ⱒㄭ兆⤩Ɲ＀＀ ＀＀ƅ＀＀_x0008_＀＀_x0001_＀＀_x0001_＀＀_x0001_＀＀ꗤ쒛堠䁔摦畳㩰⼯楤敲瑣潩獮䘯呁嘠敩敷㽲捡楴湯唽䑐呁♅牣慥潴㵲慦瑣敳♴奄彎剁升吽啒♅佄彃䅎䕍䘽呁䘺䱑䅟䑕呉义彇䱃䕉呎呟䵅䱐呁⹅䅆♔楤灳慬役瑳楲杮䄽摵瑩嘦剁䬺奅夽䭖兆䵄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䥓佒嘦剁䤺䑎塅〽찀됪丞"剘奁䥞彂䅐䝖ㄨ⼰⼱〲㠰ㄬ⼲ㄳ㈯〰⤸ ＀＀ ＀＀_x0008_＀＀_x0008_＀＀_x0001_＀＀_x0001_＀＀_x0001_＀＀濽㬥숶䀼䆞丯_x0011_坅䙞彇䭍彔䅖啌⡅착!＀＀ ＀＀	＀＀_x0008_＀＀_x0001_＀＀_x0001_＀＀_x0001_＀＀긔釺䃀찀䆛丯A䥓佒䙞彅卅䥔䅍䕔✨䅓䕌❓✬䕍乁Ⱗ䌧䱁✴✬〲ㄱⰧ低ⱗⰬⰧㅆ㌲䴽䩁✬착!＀＀ ＀＀	＀＀_x0008_＀＀_x0001_＀＀_x0001_＀＀_x0001_＀＀桳㏼䂌찀級丁 剁奁䥞彂䅐䝖㜨ㄯ㈯〰ⰷ⼹〳㈯〰⤷ ＀＀ ＀＀_x0008_＀＀_x0008_＀＀_x0001_＀＀_x0001_＀＀_x0001_＀＀죊_xD859_䛓䀱䆟丯_x0013_啎䅖䙞彇䭍彔䅖啌⡅착!＀＀ ＀＀	＀＀_x0008_＀＀_x0001_＀＀_x0001_＀＀_x0001_＀＀漀ҁ䂒찀䆠丯O䍋幉䘨彆䕄呂焨牴〬⴩䙆䍟十彈呓儨剔〬⤩⡀䙆䑟䉅⡔呑ⱒㄭ兆⴩䙆䍟十彈呓儨剔⴬䘱⥑착Ɯ＀＀ ＀＀Ƅ＀＀_x0008_＀＀_x0001_＀＀_x0001_＀＀_x0001_＀＀⋒率鑾䂃摦畳㩰⼯楤敲瑣潩獮䘯呁嘠敩敷㽲捡楴湯唽䑐呁♅牣慥潴㵲慦瑣敳♴奄彎剁升吽啒♅佄彃䅎䕍䘽呁䘺䱑䅟䑕呉义彇䱃䕉呎呟䵅䱐呁⹅䅆♔楤灳慬役瑳楲杮䄽摵瑩嘦剁䬺奅䌽䭂䍖䍖䕂♐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䍋♉䅖㩒义䕄㵘0䆟丯_x0013_䙏塉䙞彇䭍彔䅖啌⡅착!＀＀ ＀＀	＀＀_x0008_＀＀_x0001_＀＀_x0001_＀＀_x0001_＀＀뗝粄㛐䂈찀㞵䷻ 剁奁䥞彂䅐䝖ㄨㄯ㈯〰ⰸ⼳ㄳ㈯〰⤸ ＀＀ ＀＀_x0008_＀＀_x0008_＀＀_x0001_＀＀_x0001_＀＀_x0001_＀＀剺㔦ᆴ䀨䆠丯?佐䑄䙞彅卅䥔䅍䕔✨偅❓✬䕍乁Ⱗ䌧䱁✴✬〲ㄱⰧ低ⱗⰬⰧㅆ㌲䴽䩁✬착!＀＀ ＀＀	＀＀_x0008_＀＀_x0001_＀＀_x0001_＀＀_x0001_＀＀霋_xD855_「뿧찀䆛丯_x0016_䱁乇䙞彆䅓䕌⡓䅃ⱌ䌰⥙ō＀＀ ＀＀ĵ＀＀_x0008_＀＀_x0001_＀＀_x0001_＀＀_x0001_＀＀璼ᢓ㈄䁸摦畳㩰⼯楤敲瑣潩獮䘯呁嘠敩敷㽲捡楴湯唽䑐呁♅牣慥潴㵲慦瑣敳♴奄彎剁升吽啒♅佄彃䅎䕍䘽呁䘺䱑䅟䑕呉义彇䱃䕉呎呟䵅䱐呁⹅䅆♔楤灳慬役瑳楲杮䄽摵瑩嘦剁䬺奅䜽䭂但䭐䵖♖䅖㩒啑剅㵙歒晚さ䵆噒潍け䵆䑌䑂南㵫圦义佄㵗䥆卒彔佐啐♐䕈䝉呈㐽〵圦䑉䡔㐽〵匦䅔呒䵟塁䵉婉䑅䘽䱁䕓嘦剁䌺䱁久䅄㵒单嘦剁区䵙佂㵌䱁乇嘦剁䤺䑎塅〽찀☬䵿!呁䍅䥞彂䅐䝖ㄨㄯ㈯〰ⰸ㈱㌯⼱〲㠰착 ＀＀ ＀＀_x0008_＀＀_x0008_＀＀_x0001_＀＀_x0001_＀＀_x0001_＀＀藤硴쌈䀑䆢丯_x0017_剘奁䙞彆䅓䕌⡓䅃ⱌㄭ奃착ō＀＀ ＀＀ĵ＀＀_x0008_＀＀_x0001_＀＀_x0001_＀＀_x0001_＀＀뙆ﷳ_xDFD4_䂠摦畳㩰⼯楤敲瑣潩獮䘯呁嘠敩敷㽲捡楴湯唽䑐呁♅牣慥潴㵲慦瑣敳♴奄彎剁升吽啒♅佄彃䅎䕍䘽呁䘺䱑䅟䑕呉义彇䱃䕉呎呟䵅䱐呁⹅䅆♔楤灳慬役瑳楲杮䄽摵瑩嘦剁䬺奅夽兘䵄児䍊♂䅖㩒啑剅㵙歒晚さ䵆噒潍け䵆䍌砰ㅑ火圦义佄㵗䥆卒彔佐啐♐䕈䝉呈㐽〵圦䑉䡔㐽〵匦䅔呒䵟塁䵉婉䑅䘽䱁䕓嘦剁䌺䱁久䅄㵒单嘦剁区䵙佂㵌剘奁嘦剁䤺䑎塅〽찀됪丞 剘奁䥞彂䅐䝖㜨ㄯ㈯〰ⰷ⼹〳㈯〰⤷ ＀＀ ＀＀_x0008_＀＀_x0008_＀＀_x0001_＀＀_x0001_＀＀_x0001_＀＀៬蛬杭䁃䆢丯A剁䍔䙞彅卅䥔䅍䕔✨䅓䕌❓✬䕍乁Ⱗ䌧䱁✴✬〲ㄱⰧ低ⱗⰬⰧㅆ㌲䴽䩁✬착!＀＀ ＀＀	＀＀_x0008_＀＀_x0001_＀＀_x0001_＀＀_x0001_＀＀⭫韶⇝䁷찀䆡丯_x0016_䍋幉䙆卟䱁卅䌨䱁⴬䌱⥙Ō＀＀ ＀＀Ĵ＀＀_x0008_＀＀_x0001_＀＀_x0001_＀＀_x0001_＀＀橿璼⊓䂟摦畳㩰⼯楤敲瑣潩獮䘯呁嘠敩敷㽲捡楴湯唽䑐呁♅牣慥潴㵲慦瑣敳♴奄彎剁升吽啒♅佄彃䅎䕍䘽呁䘺䱑䅟䑕呉义彇䱃䕉呎呟䵅䱐呁⹅䅆♔楤灳慬役瑳楲杮䄽摵瑩嘦剁䬺奅匽半䵂啈䥒♂䅖㩒啑剅㵙歒晚さ䵆噒潍け䵆䍌砰ㅑ火圦义佄㵗䥆卒彔佐啐♐䕈䝉呈㐽〵圦䑉䡔㐽〵匦䅔呒䵟塁䵉婉䑅䘽䱁䕓嘦剁䌺䱁久䅄㵒单嘦剁区䵙佂㵌䍋♉䅖㩒义䕄㵘0됪丞 剘奁䥞彂䅐䝖ㄨㄯ㈯〰ⰸ⼳ㄳ㈯〰⤸ ＀＀ ＀＀_x0008_＀＀_x0008_＀＀_x0001_＀＀_x0001_＀＀_x0001_＀＀ꈊϮ庐䁄䆝丯_x0013_䥓佒䙞彇䭍彔䅖啌⡅착!＀＀ ＀＀	＀＀_x0008_＀＀_x0001_＀＀_x0001_＀＀_x0001_＀＀긔䂦찀暍䷰!䅖幒䉉偟噁⡇〱ㄯ㈯〰ⰸ㈱㌯⼱〲㠰착 ＀＀ ＀＀_x0008_＀＀_x0008_＀＀_x0001_＀＀_x0001_＀＀_x0001_＀＀휵ꑩ媥䁄暍䷰_x001F_䅖幒䉉偟噁⡇⼱⼱〲㤰㌬㌯⼱〲㤰착 ＀＀ ＀＀_x0008_＀＀_x0008_＀＀_x0001_＀＀_x0001_＀＀_x0001_＀＀Ⓣ朣ꝡ䁀䆠丯_x0012_䡔剏䙞彆偅⡓乁ⱎ⤰!＀＀ ＀＀	＀＀_x0008_＀＀_x0001_＀＀_x0001_＀＀_x0001_＀＀쳍쳌쳌㿬찀䆢丯A協乏䙞彅卅䥔䅍䕔✨䅓䕌❓✬䕍乁Ⱗ䌧䱁✴✬〲ㄱⰧ低ⱗⰬⰧㅆ㌲䴽䩁✬착!＀＀ ＀＀	＀＀_x0008_＀＀_x0001_＀＀_x0001_＀＀_x0001_＀＀䎖沋ᯧ䀵찀䆡丯_x0017_佖䍌䙞彆䅓䕌⡓䅃ⱌㄭ奃착ō＀＀ ＀＀ĵ＀＀_x0008_＀＀_x0001_＀＀_x0001_＀＀_x0001_＀＀됹盈箾䁬摦畳㩰⼯楤敲瑣潩獮䘯呁嘠敩敷㽲捡楴湯唽䑐呁♅牣慥潴㵲慦瑣敳♴奄彎剁升吽啒♅佄彃䅎䕍䘽呁䘺䱑䅟䑕呉义彇䱃䕉呎呟䵅䱐呁⹅䅆♔楤灳慬役瑳楲杮䄽摵瑩嘦剁䬺奅伽䕚坆䭄䵖♊䅖㩒啑剅㵙歒晚さ䵆噒潍け䵆䍌砰ㅑ火圦义佄㵗䥆卒彔佐啐♐䕈䝉呈㐽〵圦䑉䡔㐽〵匦䅔呒䵟塁䵉婉䑅䘽䱁䕓嘦剁䌺䱁久䅄㵒单嘦剁区䵙佂㵌佖䍌嘦剁䤺䑎塅〽찀㞵䷻ 剁奁䥞彂䅐䝖㐨ㄯ㈯〰ⰸ⼶〳㈯〰⤸ ＀＀ ＀＀_x0008_＀＀_x0008_＀＀_x0001_＀＀_x0001_＀＀_x0001_＀＀兾ﺂ⽂䀡폄䷨ 呁䍅䥞彂䅐䝖㔨ㄯ㈯〰ⰸ⼷ㄳ㈯〰⤸ ＀＀ ＀＀_x0008_＀＀_x0008_＀＀_x0001_＀＀_x0001_＀＀_x0001_＀＀ݛ笇㌓䀒䆝丯A偃協䙞彅卅䥔䅍䕔✨䅓䕌❓✬䕍乁Ⱗ䌧䱁✴✬〲ㄱⰧ低ⱗⰬⰧㅆ㌲䴽䩁✬착!＀＀ ＀＀	＀＀_x0008_＀＀_x0001_＀＀_x0001_＀＀_x0001_＀＀䔸遇䁠찀剀䷰!䅖幒䉉偟噁⡇〱ㄯ㈯〰ⰶ㈱㌯⼱〲㘰착 ＀＀ ＀＀_x0008_＀＀_x0008_＀＀_x0001_＀＀_x0001_＀＀_x0001_＀＀뇚蠑䇗䁉昦䷰ 䅖幒䉉偟噁⡇⼸⼱〲㠰ㄬ⼰ㄳ㈯〰⤸ ＀＀ ＀＀_x0008_＀＀_x0008_＀＀_x0001_＀＀_x0001_＀＀_x0001_＀＀귫궁䐒䁌퐟䷨"呁䍅䥞彂䅐䝖ㄨ⼱⼱〲㤰ㄬ⼰ㄳ㈯㄰⤰ ＀＀ ＀＀_x0008_＀＀_x0008_＀＀_x0001_＀＀_x0001_＀＀_x0001_＀＀늖焌஬䀒됪丞 剘奁䥞彂䅐䝖㐨ㄯ㈯〰ⰸ⼶〳㈯〰⤸ ＀＀ ＀＀_x0008_＀＀_x0008_＀＀_x0001_＀＀_x0001_＀＀_x0001_＀＀᏾걜馨䁃䆠丯_x0011_䍋幉䙆䕟卐䄨乎〬착!＀＀ ＀＀	＀＀_x0008_＀＀_x0001_＀＀_x0001_＀＀_x0001_＀＀슏⣵轜䀌찀䆞丯_x0013_䱅塇䙞彇䭍彔䅖啌⡅착!＀＀ ＀＀	＀＀_x0008_＀＀_x0001_＀＀_x0001_＀＀_x0001_＀＀ᒥ筴ꑉ䁿찀䆡丯P䙏塉⡞䙆䑟䉅⡔瑱Ⱳ⤰䘭彆䅃䡓卟⡔呑ⱒ⤰䀩䘨彆䕄呂儨剔⴬䘱⥑䘭彆䅃䡓卟⡔呑ⱒㄭ兆⤩Ɲ＀＀ ＀＀ƅ＀＀_x0008_＀＀_x0001_＀＀_x0001_＀＀_x0001_＀＀⛩࠱Ҭ䁥摦畳㩰⼯楤敲瑣潩獮䘯呁嘠敩敷㽲捡楴湯唽䑐呁♅牣慥潴㵲慦瑣敳♴奄彎剁升吽啒♅佄彃䅎䕍䘽呁䘺䱑䅟䑕呉义彇䱃䕉呎呟䵅䱐呁⹅䅆♔楤灳慬役瑳楲杮䄽摵瑩嘦剁䬺奅夽䭚坊兄奊♔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䙏塉嘦剁䤺䑎塅〽찀䆠丯_x0012_剁䍔䙞彆偅⡓乁ⱎ⤰!＀＀ ＀＀	＀＀_x0008_＀＀_x0001_＀＀_x0001_＀＀_x0001_＀＀ꏗ㵰휊㿳찀펚䷨ 呁䍅䥞彂䅐䝖㈨ㄯ㈯〰ⰷ⼴〳㈯〰⤷ ＀＀ ＀＀_x0008_＀＀_x0008_＀＀_x0001_＀＀_x0001_＀＀_x0001_＀＀延텼漞䀐䆠丯_x0012_佐䑄䙞彆偅⡓乁ⱎ⤰!＀＀ ＀＀	＀＀_x0008_＀＀_x0001_＀＀_x0001_＀＀_x0001_＀＀炤਽ꏗ뿸찀팧䷨"呁䍅䥞彂䅐䝖ㄨ⼱⼱〲㘰ㄬ⼰ㄳ㈯〰⤷ ＀＀ ＀＀_x0008_＀＀_x0008_＀＀_x0001_＀＀_x0001_＀＀_x0001_＀＀閯巐윒䀎䆡丯_x0016_剁䍔䙞彆䅓䕌⡓䅃ⱌ䌰⥙ō＀＀ ＀＀ĵ＀＀_x0008_＀＀_x0001_＀＀_x0001_＀＀_x0001_＀＀ㄧ갈Ⱌ䁵摦畳㩰⼯楤敲瑣潩獮䘯呁嘠敩敷㽲捡楴湯唽䑐呁♅牣慥潴㵲慦瑣敳♴奄彎剁升吽啒♅佄彃䅎䕍䘽呁䘺䱑䅟䑕呉义彇䱃䕉呎呟䵅䱐呁⹅䅆♔楤灳慬役瑳楲杮䄽摵瑩嘦剁䬺奅圽兌䥖䅔商♆䅖㩒啑剅㵙歒晚さ䵆噒潍け䵆䑌䑂南㵫圦义佄㵗䥆卒彔佐啐♐䕈䝉呈㐽〵圦䑉䡔㐽〵匦䅔呒䵟塁䵉婉䑅䘽䱁䕓嘦剁䌺䱁久䅄㵒单嘦剁区䵙佂㵌剁䍔嘦剁䤺䑎塅〽찀䆠丯?呁䍅䙞彅卅䥔䅍䕔✨偅❓✬䕍乁Ⱗ䌧䱁✴✬〲ㄱⰧ低ⱗⰬⰧㅆ㌲䴽䩁✬착!＀＀ ＀＀	＀＀_x0008_＀＀_x0001_＀＀_x0001_＀＀_x0001_＀＀ᑻ䞮竡㾔찀됪丞!剘奁䥞彂䅐䝖ㄨㄯ㈯㄰ⰰ㈱㌯⼱〲〱착 ＀＀ ＀＀_x0008_＀＀_x0008_＀＀_x0001_＀＀_x0001_＀＀_x0001_＀＀㫒骪䨠䁀䆡丯?協乏䙞彅卅䥔䅍䕔✨偅❓✬䕍乁Ⱗ䌧䱁✴✬〲ㄱⰧ低ⱗⰬⰧㅆ㌲䴽䩁✬착!＀＀ ＀＀	＀＀_x0008_＀＀_x0001_＀＀_x0001_＀＀_x0001_＀＀쳍쳌쳌뿬찀䆢丯P剘奁⡞䙆䑟䉅⡔瑱Ⱳ⤰䘭彆䅃䡓卟⡔呑ⱒ⤰䀩䘨彆䕄呂儨剔⴬䘱⥑䘭彆䅃䡓卟⡔呑ⱒㄭ兆⤩Ɲ＀＀ ＀＀ƅ＀＀_x0008_＀＀_x0001_＀＀_x0001_＀＀_x0001_＀＀눨ầ䁖摦畳㩰⼯楤敲瑣潩獮䘯呁嘠敩敷㽲捡楴湯唽䑐呁♅牣慥潴㵲慦瑣敳♴奄彎剁升吽啒♅佄彃䅎䕍䘽呁䘺䱑䅟䑕呉义彇䱃䕉呎呟䵅䱐呁⹅䅆♔楤灳慬役瑳楲杮䄽摵瑩嘦剁䬺奅夽奂䥈䭒奂♖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剘奁嘦剁䤺䑎塅〽찀䆣丯@ㄷ㌮帹䕆䕟呓䵉呁⡅䔧卐Ⱗ䴧䅅❎✬䅃㑌Ⱗ㈧㄰✲丬坏Ⱜ✬䘬㈱㴳䅍ⱊ⤧_x001D_＀＀ ＀＀_x0005_＀＀_x0004_＀＀_x0001_＀＀_x0001_＀＀_x0008_＀＀乀A찀폄䷨!呁䍅䥞彂䅐䝖㠨ㄯ㈯〰ⰸ〱㌯⼱〲㠰착 ＀＀ ＀＀_x0008_＀＀_x0008_＀＀_x0001_＀＀_x0001_＀＀_x0001_＀＀뽞㝠㭬䀒䆡丯A䡔剏䙞彅卅䥔䅍䕔✨䅓䕌❓✬䕍乁Ⱗ䌧䱁✴✬〲ㄱⰧ低ⱗⰬⰧㅆ㌲䴽䩁✬착!＀＀ ＀＀	＀＀_x0008_＀＀_x0001_＀＀_x0001_＀＀_x0001_＀＀춟쾪⇕䁺찀䆡丯_x0016_協乏䙞彆䅓䕌⡓䅃ⱌ䌰⥙ō＀＀ ＀＀ĵ＀＀_x0008_＀＀_x0001_＀＀_x0001_＀＀_x0001_＀＀閁譃❬䀺摦畳㩰⼯楤敲瑣潩獮䘯呁嘠敩敷㽲捡楴湯唽䑐呁♅牣慥潴㵲慦瑣敳♴奄彎剁升吽啒♅佄彃䅎䕍䘽呁䘺䱑䅟䑕呉义彇䱃䕉呎呟䵅䱐呁⹅䅆♔楤灳慬役瑳楲杮䄽摵瑩嘦剁䬺奅䬽䅊䭊䍐奌♘䅖㩒啑剅㵙歒晚さ䵆噒潍け䵆䑌䑂南㵫圦义佄㵗䥆卒彔佐啐♐䕈䝉呈㐽〵圦䑉䡔㐽〵匦䅔呒䵟塁䵉婉䑅䘽䱁䕓嘦剁䌺䱁久䅄㵒单嘦剁区䵙佂㵌協乏嘦剁䤺䑎塅〽찀䆛丯_x0017_䥓佒䙞彆䅓䕌⡓䅃ⱌㄭ奃착ō＀＀ ＀＀ĵ＀＀_x0008_＀＀_x0001_＀＀_x0001_＀＀_x0001_＀＀䦺Ȍ挫䂇摦畳㩰⼯楤敲瑣潩獮䘯呁嘠敩敷㽲捡楴湯唽䑐呁♅牣慥潴㵲慦瑣敳♴奄彎剁升吽啒♅佄彃䅎䕍䘽呁䘺䱑䅟䑕呉义彇䱃䕉呎呟䵅䱐呁⹅䅆♔楤灳慬役瑳楲杮䄽摵瑩嘦剁䬺奅䴽䵊䭎佄党♘䅖㩒啑剅㵙歒晚さ䵆噒潍け䵆䍌砰ㅑ火圦义佄㵗䥆卒彔佐啐♐䕈䝉呈㐽〵圦䑉䡔㐽〵匦䅔呒䵟塁䵉婉䑅䘽䱁䕓嘦剁䌺䱁久䅄㵒单嘦剁区䵙佂㵌䥓佒嘦剁䤺䑎塅〽찀䆞丯_x0013_䉁䑍䙞彇䭍彔䅖啌⡅착!＀＀ ＀＀	＀＀_x0008_＀＀_x0001_＀＀_x0001_＀＀_x0001_＀＀赐溗ꦒ䂃찀䆝丯_x0016_呓乍䌭幈彐剐䍉⡅〴㔷⤰!＀＀ ＀＀	＀＀_x0008_＀＀_x0001_＀＀_x0001_＀＀_x0001_＀＀＀＀＀＀䁧찀㠛䷻ 剁奁䥞彂䅐䝖㔨ㄯ㈯〰ⰹ⼶〳㈯㄰⤰ ＀＀ ＀＀_x0008_＀＀_x0008_＀＀_x0001_＀＀_x0001_＀＀_x0001_＀＀헜좫ꃨ䀙폵䷨"呁䍅䥞彂䅐䝖ㄨ⼱⼱〲㠰ㄬ⼰ㄳ㈯〰⤹ ＀＀ ＀＀_x0008_＀＀_x0008_＀＀_x0001_＀＀_x0001_＀＀_x0001_＀＀⭍䂅넮䀇뇓丞_x0010_剘奁䙞彇剐䍉⡅⤰ ＀＀ ＀＀_x0008_＀＀_x0008_＀＀_x0001_＀＀_x0001_＀＀_x0001_＀＀＀＀＀＀ꀀ䁃䆠丯P呈剗⡞䙆䑟䉅⡔瑱Ⱳ⤰䘭彆䅃䡓卟⡔呑ⱒ⤰䀩䘨彆䕄呂儨剔⴬䘱⥑䘭彆䅃䡓卟⡔呑ⱒㄭ兆⤩Ɲ＀＀ ＀＀ƅ＀＀_x0008_＀＀_x0001_＀＀_x0001_＀＀_x0001_＀＀賞꾚쁞摦畳㩰⼯楤敲瑣潩獮䘯呁嘠敩敷㽲捡楴湯唽䑐呁♅牣慥潴㵲慦瑣敳♴奄彎剁升吽啒♅佄彃䅎䕍䘽呁䘺䱑䅟䑕呉义彇䱃䕉呎呟䵅䱐呁⹅䅆♔楤灳慬役瑳楲杮䄽摵瑩嘦剁䬺奅夽䍌佔䝈啚♄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呈剗嘦剁䤺䑎塅〽찀㞵䷻ 剁奁䥞彂䅐䝖㘨ㄯ㈯〰ⰷ⼹〳㈯〰⤷ ＀＀ ＀＀_x0008_＀＀_x0008_＀＀_x0001_＀＀_x0001_＀＀_x0001_＀＀Ὄꂺ薾䀲퐞䷨!呁䍅䥞彂䅐䝖ㄨ⼱⼱〲㤰ㄬ㌯⼱〲〱착 ＀＀ ＀＀_x0008_＀＀_x0008_＀＀_x0001_＀＀_x0001_＀＀_x0001_＀＀嫀段穂䀓䆡丯_x0012_佖䍌䙞彆偅⡓乁ⱎ⤰!＀＀ ＀＀	＀＀_x0008_＀＀_x0001_＀＀_x0001_＀＀_x0001_＀＀馚香香㾹찀☬䵿 呁䍅䥞彂䅐䝖ㄨㄯ㈯〰ⰷ⼳ㄳ㈯〰⤷ ＀＀ ＀＀_x0008_＀＀_x0008_＀＀_x0001_＀＀_x0001_＀＀_x0001_＀＀枺ꍝ烥䀐됪丞!剘奁䥞彂䅐䝖ㄨㄯ㈯〰ⰹ㈱㌯⼱〲㤰착 ＀＀ ＀＀_x0008_＀＀_x0008_＀＀_x0001_＀＀_x0001_＀＀_x0001_＀＀꤫퀓恄䀾᥋丈 剁奁䥞彂䅐䝖㜨ㄯ㈯〰ⰶ⼶〳㈯〰⤷ ＀＀ ＀＀_x0008_＀＀_x0008_＀＀_x0001_＀＀_x0001_＀＀_x0001_＀＀鉺쵴⏤䀸䆡丯P佖䍌⡞䙆䑟䉅⡔瑱Ⱳ⤰䘭彆䅃䡓卟⡔呑ⱒ⤰䀩䘨彆䕄呂儨剔⴬䘱⥑䘭彆䅃䡓卟⡔呑ⱒㄭ兆⤩Ɲ＀＀ ＀＀ƅ＀＀_x0008_＀＀_x0001_＀＀_x0001_＀＀_x0001_＀＀䖢瓽쁜摦畳㩰⼯楤敲瑣潩獮䘯呁嘠敩敷㽲捡楴湯唽䑐呁♅牣慥潴㵲慦瑣敳♴奄彎剁升吽啒♅佄彃䅎䕍䘽呁䘺䱑䅟䑕呉义彇䱃䕉呎呟䵅䱐呁⹅䅆♔楤灳慬役瑳楲杮䄽摵瑩嘦剁䬺奅䌽奚卌䥎奈♂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佖䍌嘦剁䤺䑎塅〽찀䆡丯_x0017_啎䅖䙞彆䅓䕌⡓䅃ⱌㄭ奃착ō＀＀ ＀＀ĵ＀＀_x0008_＀＀_x0001_＀＀_x0001_＀＀_x0001_＀＀਽ꏗ╰䁷摦畳㩰⼯楤敲瑣潩獮䘯呁嘠敩敷㽲捡楴湯唽䑐呁♅牣慥潴㵲慦瑣敳♴奄彎剁升吽啒♅佄彃䅎䕍䘽呁䘺䱑䅟䑕呉义彇䱃䕉呎呟䵅䱐呁⹅䅆♔楤灳慬役瑳楲杮䄽摵瑩嘦剁䬺奅夽啚䍈䭎䅊♚䅖㩒啑剅㵙歒晚さ䵆噒潍け䵆䍌砰ㅑ火圦义佄㵗䥆卒彔佐啐♐䕈䝉呈㐽〵圦䑉䡔㐽〵匦䅔呒䵟塁䵉婉䑅䘽䱁䕓嘦剁䌺䱁久䅄㵒单嘦剁区䵙佂㵌啎䅖嘦剁䤺䑎塅〽찀됪丞!剘奁䥞彂䅐䝖ㄨㄯ㈯〰ⰷ㈱㌯⼱〲㜰착 ＀＀ ＀＀_x0008_＀＀_x0008_＀＀_x0001_＀＀_x0001_＀＀_x0001_＀＀尩슏鳵䁂䆝丯_x0016_䱅塇䙞彆䅓䕌⡓䅃ⱌ䌰⥙ō＀＀ ＀＀ĵ＀＀_x0008_＀＀_x0001_＀＀_x0001_＀＀_x0001_＀＀틲才퀐䁐摦畳㩰⼯楤敲瑣潩獮䘯呁嘠敩敷㽲捡楴湯唽䑐呁♅牣慥潴㵲慦瑣敳♴奄彎剁升吽啒♅佄彃䅎䕍䘽呁䘺䱑䅟䑕呉义彇䱃䕉呎呟䵅䱐呁⹅䅆♔楤灳慬役瑳楲杮䄽摵瑩嘦剁䬺奅䌽坘䕒奄兂♈䅖㩒啑剅㵙歒晚さ䵆噒潍け䵆䑌䑂南㵫圦义佄㵗䥆卒彔佐啐♐䕈䝉呈㐽〵圦䑉䡔㐽〵匦䅔呒䵟塁䵉婉䑅䘽䱁䕓嘦剁䌺䱁久䅄㵒单嘦剁区䵙佂㵌䱅塇嘦剁䤺䑎塅〽찀䆞丯_x0012_䍋幉彐剐䍉⡅〴㔷⤰!＀＀ ＀＀	＀＀_x0008_＀＀_x0001_＀＀_x0001_＀＀_x0001_＀＀쳍쳌ﳌ䁐찀暍䷰_x001F_䅖幒䉉偟噁⡇⼱⼱〲〱㌬㌯⼱〲〱착 ＀＀ ＀＀_x0008_＀＀_x0008_＀＀_x0001_＀＀_x0001_＀＀_x0001_＀＀጗辛᭫䁉䆣丯@〲㌮帵䕆䕟呓䵉呁⡅䔧卐Ⱗ䴧䅅❎✬䅃㑌Ⱗ㈧㄰✲丬坏Ⱜ✬䘬㈱㴳䅍ⱊ⤧_x001D_＀＀ ＀＀_x0005_＀＀_x0004_＀＀_x0001_＀＀_x0001_＀＀_x0008_＀＀乀A찀䆟丯_x0013_呁䍅䙞彇䭍彔䅖啌⡅착!＀＀ ＀＀	＀＀_x0008_＀＀_x0001_＀＀_x0001_＀＀_x0001_＀＀育_xDC09_刺䁰찀폄䷨!呁䍅䥞彂䅐䝖ㄨ⼱⼱〲㜰ㄬ㌯⼱〲㠰착 ＀＀ ＀＀_x0008_＀＀_x0008_＀＀_x0001_＀＀_x0001_＀＀_x0001_＀＀뒳獓醹䀒䆠丯_x0013_協乏䙞彇䭍彔䅖啌⡅착!＀＀ ＀＀	＀＀_x0008_＀＀_x0001_＀＀_x0001_＀＀_x0001_＀＀౴廈뗯䁙찀☬䵿 呁䍅䥞彂䅐䝖㐨ㄯ㈯〰ⰷ⼶〳㈯〰⤷ ＀＀ ＀＀_x0008_＀＀_x0008_＀＀_x0001_＀＀_x0001_＀＀_x0001_＀＀➿꧖㷲䀍䆝丯A䱅塇䙞彅卅䥔䅍䕔✨䅓䕌❓✬䕍乁Ⱗ䌧䱁✴✬〲ㄱⰧ低ⱗⰬⰧㅆ㌲䴽䩁✬착!＀＀ ＀＀	＀＀_x0008_＀＀_x0001_＀＀_x0001_＀＀_x0001_＀＀㤯铮㨎䁔찀䆠丯?呈剗䙞彅卅䥔䅍䕔✨偅❓✬䕍乁Ⱗ䌧䱁✴✬〲ㄱⰧ低ⱗⰬⰧㅆ㌲䴽䩁✬착!＀＀ ＀＀	＀＀_x0008_＀＀_x0001_＀＀_x0001_＀＀_x0001_＀＀쟳㚴䶍쀅찀䆝丯_x0013_䱁乇䙞彇䭍彔䅖啌⡅착!＀＀ ＀＀	＀＀_x0008_＀＀_x0001_＀＀_x0001_＀＀_x0001_＀＀_xFFFF_Ｎﴡڶ䂜찀䆠丯P䡔剏⡞䙆䑟䉅⡔瑱Ⱳ⤰䘭彆䅃䡓卟⡔呑ⱒ⤰䀩䘨彆䕄呂儨剔⴬䘱⥑䘭彆䅃䡓卟⡔呑ⱒㄭ兆⤩Ɲ＀＀ ＀＀ƅ＀＀_x0008_＀＀_x0001_＀＀_x0001_＀＀_x0001_＀＀䞮竡戔쁱摦畳㩰⼯楤敲瑣潩獮䘯呁嘠敩敷㽲捡楴湯唽䑐呁♅牣慥潴㵲慦瑣敳♴奄彎剁升吽啒♅佄彃䅎䕍䘽呁䘺䱑䅟䑕呉义彇䱃䕉呎呟䵅䱐呁⹅䅆♔楤灳慬役瑳楲杮䄽摵瑩嘦剁䬺奅䴽奆䕂奐䭄♎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䡔剏嘦剁䤺䑎塅〽찀䆞丯_x0013_呈剗䙞彇䭍彔䅖啌⡅착!＀＀ ＀＀	＀＀_x0008_＀＀_x0001_＀＀_x0001_＀＀_x0001_＀＀멞౉ຂ䂏찀☬䵿 呁䍅䥞彂䅐䝖㜨ㄯ㈯〰ⰹ⼹〳㈯〰⤹ ＀＀ ＀＀_x0008_＀＀_x0008_＀＀_x0001_＀＀_x0001_＀＀_x0001_＀＀⊞袇ꎛ䀐㝾䷻ 剁奁䥞彂䅐䝖ㄨㄯ㈯〰ⰷ⼳ㄳ㈯〰⤷ ＀＀ ＀＀_x0008_＀＀_x0008_＀＀_x0001_＀＀_x0001_＀＀_x0001_＀＀թ겆╮䀹㞵䷻ 剁奁䥞彂䅐䝖㔨ㄯ㈯〰ⰷ⼶〳㈯〰⤸ ＀＀ ＀＀_x0008_＀＀_x0008_＀＀_x0001_＀＀_x0001_＀＀_x0001_＀＀쎹㈦ㅳ䀮䆡丯?啎䅖䙞彅卅䥔䅍䕔✨偅❓✬䕍乁Ⱗ䌧䱁✴✬〲ㄱⰧ低ⱗⰬⰧㅆ㌲䴽䩁✬착!＀＀ ＀＀	＀＀_x0008_＀＀_x0001_＀＀_x0001_＀＀_x0001_＀＀ꐞ좧∡㿲찀䆞丯_x0013_佖䍌偞偟䥒䕃㐨㜰〵착!＀＀ ＀＀	＀＀_x0008_＀＀_x0001_＀＀_x0001_＀＀_x0001_＀＀蔟凫Ẹ䁀찀䆝丯_x0016_低乂䌭幈䝆䵟呋噟䱁䕕⤨!＀＀ ＀＀	＀＀_x0008_＀＀_x0001_＀＀_x0001_＀＀_x0001_＀＀폃攫糙䂟찀䆝丯P䉁䑍⡞䙆䑟䉅⡔瑱Ⱳ⤰䘭彆䅃䡓卟⡔呑ⱒ⤰䀩䘨彆䕄呂儨剔⴬䘱⥑䘭彆䅃䡓卟⡔呑ⱒㄭ兆⤩Ɲ＀＀ ＀＀ƅ＀＀_x0008_＀＀_x0001_＀＀_x0001_＀＀_x0001_＀＀ⴎ鶲⟯쁎摦畳㩰⼯楤敲瑣潩獮䘯呁嘠敩敷㽲捡楴湯唽䑐呁♅牣慥潴㵲慦瑣敳♴奄彎剁升吽啒♅佄彃䅎䕍䘽呁䘺䱑䅟䑕呉义彇䱃䕉呎呟䵅䱐呁⹅䅆♔楤灳慬役瑳楲杮䄽摵瑩嘦剁䬺奅䄽䥈䭆䵐単♖䅖㩒啑剅㵙䍋䝨汒䔹啒啊䙋商楕睷卋䜱汒䐹噑䥎ㅘ啎䙋商楕睷卋䅬䕋䝚じ䙒汑潑噕卒䍌砰汒灅啌䝚じ䉎さ晨ㅕ潑噕卒䍌砰汒灅卋㵫圦义佄㵗䥆卒彔佐啐♐䕈䝉呈㐽〵圦䑉䡔㐽〵匦䅔呒䵟塁䵉婉䑅䘽䱁䕓嘦剁䌺䱁久䅄㵒单嘦剁区䵙佂㵌䉁䑍嘦剁䤺䑎塅〽찀暍䷰ 䅖幒䉉偟噁⡇〱ㄯ㈯〰ⰸ⼹〳㈯〰⤹ ＀＀ ＀＀_x0008_＀＀_x0008_＀＀_x0001_＀＀_x0001_＀＀_x0001_＀＀ⱒ뒷戚䁂䆡丯_x0015_䍋幉䙆卟䱁卅䌨䱁〬奃착Ō＀＀ ＀＀Ĵ＀＀_x0008_＀＀_x0001_＀＀_x0001_＀＀_x0001_＀＀멞౉蜂䂟摦畳㩰⼯楤敲瑣潩獮䘯呁嘠敩敷㽲捡楴湯唽䑐呁♅牣慥潴㵲慦瑣敳♴奄彎剁升吽啒♅佄彃䅎䕍䘽呁䘺䱑䅟䑕呉义彇䱃䕉呎呟䵅䱐呁⹅䅆♔楤灳慬役瑳楲杮䄽摵瑩嘦剁䬺奅伽但䅊啊兖♈䅖㩒啑剅㵙歒晚さ䵆噒潍け䵆䑌䑂南㵫圦义佄㵗䥆卒彔佐啐♐䕈䝉呈㐽〵圦䑉䡔㐽〵匦䅔呒䵟塁䵉婉䑅䘽䱁䕓嘦剁䌺䱁久䅄㵒单嘦剁区䵙佂㵌䍋♉䅖㩒义䕄㵘0䆣丯?⸲㌹䙞彅卅䥔䅍䕔✨偅❓✬䕍乁Ⱗ䌧䱁✴✬〲㈱Ⱗ低ⱗⰬⰧㅆ㌲䴽䩁✬착_x001D_＀＀ ＀＀_x0005_＀＀_x0004_＀＀_x0001_＀＀_x0001_＀＀_x0008_＀＀乀A찀䆟丯_x0013_䡔剏䙞彇䭍彔䅖啌⡅착!＀＀ ＀＀	＀＀_x0008_＀＀_x0001_＀＀_x0001_＀＀_x0001_＀＀稐ꬶ㤾䂟찀䆡丯_x0017_剁䍔䙞彆䅓䕌⡓䅃ⱌㄭ奃착ō＀＀ ＀＀ĵ＀＀_x0008_＀＀_x0001_＀＀_x0001_＀＀_x0001_＀＀㽼밵䁳摦畳㩰⼯楤敲瑣潩獮䘯呁嘠敩敷㽲捡楴湯唽䑐呁♅牣慥潴㵲慦瑣敳♴奄彎剁升吽啒♅佄彃䅎䕍䘽呁䘺䱑䅟䑕呉义彇䱃䕉呎呟䵅䱐呁⹅䅆♔楤灳慬役瑳楲杮䄽摵瑩嘦剁䬺奅䤽䝚䭚䝆䕐♔䅖㩒啑剅㵙歒晚さ䵆噒潍け䵆䍌砰ㅑ火圦义佄㵗䥆卒彔佐啐♐䕈䝉呈㐽〵圦䑉䡔㐽〵匦䅔呒䵟塁䵉婉䑅䘽䱁䕓嘦剁䌺䱁久䅄㵒单嘦剁区䵙佂㵌剁䍔嘦剁䤺䑎塅〽찀됪丞 剘奁䥞彂䅐䝖ㄨㄯ㈯〰ⰷ⼳ㄳ㈯〰⤷ ＀＀ ＀＀_x0008_＀＀_x0008_＀＀_x0001_＀＀_x0001_＀＀_x0001_＀＀ॗ蜖輳䀿昦䷰_x001F_䅖幒䉉偟噁⡇⼱⼱〲㠰㌬㌯⼱〲㠰착 ＀＀ ＀＀_x0008_＀＀_x0008_＀＀_x0001_＀＀_x0001_＀＀_x0001_＀＀闿⚕袥䁉䆝丯?偃協䙞彅卅䥔䅍䕔✨偅❓✬䕍乁Ⱗ䌧䱁✴✬〲ㄱⰧ低ⱗⰬⰧㅆ㌲䴽䩁✬착!＀＀ ＀＀	＀＀_x0008_＀＀_x0001_＀＀_x0001_＀＀_x0001_＀＀尨슏㾕찀䆣丯@㜶㤮帵䕆䕟呓䵉呁⡅䔧卐Ⱗ䴧䅅❎✬䅃㑌Ⱗ㈧㄰✲丬坏Ⱜ✬䘬㈱㴳䅍ⱊ⤧_x001D_＀＀ ＀＀_x0005_＀＀_x0004_＀＀_x0001_＀＀_x0001_＀＀_x0008_＀＀乀A찀</t>
        </r>
      </text>
    </comment>
    <comment ref="B1" authorId="0">
      <text>
        <r>
          <rPr>
            <b/>
            <sz val="8"/>
            <color indexed="81"/>
            <rFont val="Tahoma"/>
            <family val="2"/>
          </rPr>
          <t>21062</t>
        </r>
      </text>
    </comment>
  </commentList>
</comments>
</file>

<file path=xl/sharedStrings.xml><?xml version="1.0" encoding="utf-8"?>
<sst xmlns="http://schemas.openxmlformats.org/spreadsheetml/2006/main" count="2513" uniqueCount="960">
  <si>
    <t>M&amp;A</t>
  </si>
  <si>
    <t>Constant Currency</t>
  </si>
  <si>
    <t>715.593984</t>
  </si>
  <si>
    <t>XRAY.O,mscalc:salesConsensusMedian,2015Q1,,FYR</t>
  </si>
  <si>
    <t>XRAY.O,mscalc:epsConsensusMedian,2015Q4,,FYR</t>
  </si>
  <si>
    <t>XRAY.O,mscalc:epsConsensusMedian,2015Q1,,FYR</t>
  </si>
  <si>
    <t>XRAY.O,mscalc:epsConsensusMedian,2015Q3,,FYR</t>
  </si>
  <si>
    <t>XRAY.O,mscalc:salesConsensusMedian,2015Q4,,FYR</t>
  </si>
  <si>
    <t>XRAY.O,mscalc:salesConsensusMedian,2015Q2,,FYR</t>
  </si>
  <si>
    <t>XRAY.O,mscalc:epsConsensusMedian,2015Q2,,FYR</t>
  </si>
  <si>
    <t>XRAY.O,mscalc:salesConsensusMedian,2015FY,,FYR</t>
  </si>
  <si>
    <t>XRAY.O,mscalc:salesConsensusMedian,2015Q3,,FYR</t>
  </si>
  <si>
    <t>XRAY.O,mscalc:epsConsensusMedian,2015FY,,FYR</t>
  </si>
  <si>
    <t>Revenue Build</t>
  </si>
  <si>
    <t>Net from continuing ops</t>
  </si>
  <si>
    <t>Incremental Op. Profit</t>
  </si>
  <si>
    <t>Net Income from Continuing Ops</t>
  </si>
  <si>
    <t>Prepaid expenses and other CA</t>
  </si>
  <si>
    <t>Retained Earnings</t>
  </si>
  <si>
    <t>XRAY.O,mscalc:salesConsensusMedian,,,FYR</t>
  </si>
  <si>
    <t>XRAY.O,mscalc:epsConsensusMedian,2011Q4,,FYR</t>
  </si>
  <si>
    <t>XRAY.O,mscalc:epsConsensusMedian,2011Q2,,FYR</t>
  </si>
  <si>
    <t>XRAY.O,mscalc:salesConsensusMedian,2011Q4,,FYR</t>
  </si>
  <si>
    <t>XRAY.O,mscalc:salesConsensusMedian,2011Q1,,FYR</t>
  </si>
  <si>
    <t>XRAY.O,mscalc:epsConsensusMedian,2011Q1,,FYR</t>
  </si>
  <si>
    <t>XRAY.O,mscalc:salesConsensusMedian,2011Q2,,FYR</t>
  </si>
  <si>
    <t>XRAY.O,mscalc:salesConsensusMedian,2011Q3,,FYR</t>
  </si>
  <si>
    <t>XRAY.O,mscalc:epsConsensusMedian,2011Q3,,FYR</t>
  </si>
  <si>
    <t>0.519999980926514</t>
  </si>
  <si>
    <t>XRAY.O,mscalc:targetPrice</t>
  </si>
  <si>
    <t>2,970.189824</t>
  </si>
  <si>
    <t>2007A</t>
  </si>
  <si>
    <t>2008A</t>
  </si>
  <si>
    <t>2009A</t>
  </si>
  <si>
    <t>ASSETS</t>
  </si>
  <si>
    <t>Total Current Assets</t>
  </si>
  <si>
    <t>Goodwill</t>
  </si>
  <si>
    <t>Other</t>
  </si>
  <si>
    <t>Total Assets</t>
  </si>
  <si>
    <t>Total Current Liabilities</t>
  </si>
  <si>
    <t>Total Liabilities</t>
  </si>
  <si>
    <t>Dollars in millions, except per share data</t>
  </si>
  <si>
    <t>AOCI</t>
  </si>
  <si>
    <t>Total Liabilities &amp; Equity</t>
  </si>
  <si>
    <t>Check</t>
  </si>
  <si>
    <t>Financial Metrics</t>
  </si>
  <si>
    <t>Total Debt</t>
  </si>
  <si>
    <t>Net debt (debt-cash)</t>
  </si>
  <si>
    <t>Net cash per share</t>
  </si>
  <si>
    <t>Returns</t>
  </si>
  <si>
    <t>Return on Equity (ROE)</t>
  </si>
  <si>
    <t>Return on Assets (ROA)</t>
  </si>
  <si>
    <t>Debt Coverage</t>
  </si>
  <si>
    <t>EBITDA Coverage</t>
  </si>
  <si>
    <t>EBIT Coverage</t>
  </si>
  <si>
    <t>Net Debt / EBITDA</t>
  </si>
  <si>
    <t>Debt / Capital</t>
  </si>
  <si>
    <t>Liquidity</t>
  </si>
  <si>
    <t>Current Ratio (CA/CL)</t>
  </si>
  <si>
    <t>Quick Ratio ((Cash+Mkt Sec+AR)/CL)</t>
  </si>
  <si>
    <t>Cash Ratio</t>
  </si>
  <si>
    <t>Acid-Test Ratio</t>
  </si>
  <si>
    <t>Working Capital Metrics</t>
  </si>
  <si>
    <t>Inventory Days (DIO)</t>
  </si>
  <si>
    <t>Days Payable Outstanding (DPO)</t>
  </si>
  <si>
    <t>Cash Conversion Cycle</t>
  </si>
  <si>
    <t>Additional balance Sheet Metrics</t>
  </si>
  <si>
    <t>Cash &amp; equivalents per share</t>
  </si>
  <si>
    <t>Changes in Shareholders' Equity</t>
  </si>
  <si>
    <t>Opening Balance</t>
  </si>
  <si>
    <t>Issue of Shares (including premium)</t>
  </si>
  <si>
    <t>Net Income</t>
  </si>
  <si>
    <t>Dividend</t>
  </si>
  <si>
    <t>Other AOCI</t>
  </si>
  <si>
    <t>Closing Balance</t>
  </si>
  <si>
    <t>ASSET SCHEDULES</t>
  </si>
  <si>
    <t>PP&amp;E</t>
  </si>
  <si>
    <t>PP&amp;E, gross - BoP</t>
  </si>
  <si>
    <t>Capex</t>
  </si>
  <si>
    <t>% of sales</t>
  </si>
  <si>
    <t>PP&amp;E, gross - EoP</t>
  </si>
  <si>
    <t>Accumulated depreciation - BoP</t>
  </si>
  <si>
    <t>Depreciation</t>
  </si>
  <si>
    <t>% of beg gross</t>
  </si>
  <si>
    <t>Accum Depreciation - EoP</t>
  </si>
  <si>
    <t>PP&amp;E, net</t>
  </si>
  <si>
    <t>Intangibles</t>
  </si>
  <si>
    <t>Intangibles - BoP</t>
  </si>
  <si>
    <t>Amortization</t>
  </si>
  <si>
    <t>% of beg bal</t>
  </si>
  <si>
    <t>Intangibles - EoP</t>
  </si>
  <si>
    <t>Beg Balance</t>
  </si>
  <si>
    <t>Ending Balance</t>
  </si>
  <si>
    <t>Net Cash Provided by Operating Activities</t>
  </si>
  <si>
    <t>Net Cash Used in Investing Activities</t>
  </si>
  <si>
    <t>Effect of Exchange Rate on Cash &amp; CE</t>
  </si>
  <si>
    <t>Cash and Cash Equivalents (BOP)</t>
  </si>
  <si>
    <t>Cash and Cash Equivalents (EOP)</t>
  </si>
  <si>
    <t>Accounts payable</t>
  </si>
  <si>
    <t>Revenues</t>
  </si>
  <si>
    <t>Interest expense</t>
  </si>
  <si>
    <t>y/y growth</t>
  </si>
  <si>
    <t>EBITDA</t>
  </si>
  <si>
    <t>2010A</t>
  </si>
  <si>
    <t>days in period</t>
  </si>
  <si>
    <t>M&amp;A Accounting</t>
  </si>
  <si>
    <t>Total Purchase Price</t>
  </si>
  <si>
    <t xml:space="preserve">Total </t>
  </si>
  <si>
    <t>Dividends</t>
  </si>
  <si>
    <t>Dividends/Share</t>
  </si>
  <si>
    <t>payout ratio</t>
  </si>
  <si>
    <t>STOCK REPURCHASES / ISSUANCES</t>
  </si>
  <si>
    <t>Options Granted</t>
  </si>
  <si>
    <t>Y/Y Growth</t>
  </si>
  <si>
    <t>2.51799988746643</t>
  </si>
  <si>
    <t>2.75</t>
  </si>
  <si>
    <t>0.75</t>
  </si>
  <si>
    <t>Exercised shares as a % of outstanding</t>
  </si>
  <si>
    <t>Options lapsed as a % of outstanding</t>
  </si>
  <si>
    <t>Options granted - Y/Y Growth</t>
  </si>
  <si>
    <t>Repurchases</t>
  </si>
  <si>
    <t>Shares repurchased</t>
  </si>
  <si>
    <t>Cost of repurchases</t>
  </si>
  <si>
    <t>Avg cost</t>
  </si>
  <si>
    <t>% change</t>
  </si>
  <si>
    <t>Free Cash Flow (FCF)</t>
  </si>
  <si>
    <t>FCF per share</t>
  </si>
  <si>
    <t>Free Cash Flow Yield</t>
  </si>
  <si>
    <t>Market Price</t>
  </si>
  <si>
    <t>This sheet contains Factset binary data for use with this workbook's =FDS codes.  Modifying the worksheet's contents may damage the workbook's =FDS functionality.</t>
  </si>
  <si>
    <t>Proceeds from stock issuance ($m)</t>
  </si>
  <si>
    <t>Payments on long term debt</t>
  </si>
  <si>
    <t>Allocations</t>
  </si>
  <si>
    <t>COGS</t>
  </si>
  <si>
    <t>Margins</t>
  </si>
  <si>
    <t>Gross Profit</t>
  </si>
  <si>
    <t>Sales</t>
  </si>
  <si>
    <t>Basic Shares (BOP)</t>
  </si>
  <si>
    <t>Basic Shares (EOP)</t>
  </si>
  <si>
    <t>2011A</t>
  </si>
  <si>
    <t>2012A</t>
  </si>
  <si>
    <t>2013A</t>
  </si>
  <si>
    <t>USD</t>
  </si>
  <si>
    <t>Others</t>
  </si>
  <si>
    <t>Unrecorded Goodwill</t>
  </si>
  <si>
    <t>Prepaid Expenses &amp; Other (% of revenues)</t>
  </si>
  <si>
    <t>Income Statement</t>
  </si>
  <si>
    <t>Cash and cash equivalents</t>
  </si>
  <si>
    <t>Income taxes payable</t>
  </si>
  <si>
    <t>Common stock</t>
  </si>
  <si>
    <t>Free Cash Flow</t>
  </si>
  <si>
    <t>Tax Rate</t>
  </si>
  <si>
    <t>0.689999997615814</t>
  </si>
  <si>
    <t>0.639999985694885</t>
  </si>
  <si>
    <t>0.600000023841858</t>
  </si>
  <si>
    <t>Growth Rates</t>
  </si>
  <si>
    <t>2.03500008583069</t>
  </si>
  <si>
    <t>2,517.599232</t>
  </si>
  <si>
    <t>718.049984</t>
  </si>
  <si>
    <t>Income Taxes</t>
  </si>
  <si>
    <t>NA</t>
  </si>
  <si>
    <t>Diluted EPS</t>
  </si>
  <si>
    <t>Acquisitions and Equity Investments</t>
  </si>
  <si>
    <t>XRAY.O,mscalc:epsConsensusMedian,2014Q3,,FYR</t>
  </si>
  <si>
    <t>XRAY.O,mscalc:epsConsensusMedian,2014Q2,,FYR</t>
  </si>
  <si>
    <t>XRAY.O,mscalc:epsConsensusMedian,2014Q1,,FYR</t>
  </si>
  <si>
    <t>XRAY.O,mscalc:epsConsensusMedian,2014FY,,FYR</t>
  </si>
  <si>
    <t>XRAY.O,mscalc:salesConsensusMedian,2014FY,,FYR</t>
  </si>
  <si>
    <t>XRAY.O,mscalc:salesConsensusMedian,2014Q3,,FYR</t>
  </si>
  <si>
    <t>2.3529999256134</t>
  </si>
  <si>
    <t>0.550000011920929</t>
  </si>
  <si>
    <t>785.12704</t>
  </si>
  <si>
    <t>Average Basic Shares</t>
  </si>
  <si>
    <t>Period End Basic Shares</t>
  </si>
  <si>
    <t>Pre-Tax Income</t>
  </si>
  <si>
    <t>Cost of Revenues</t>
  </si>
  <si>
    <t>Operating Income / Loss</t>
  </si>
  <si>
    <t>Income before Taxes</t>
  </si>
  <si>
    <t>Reconciliation to GAAP</t>
  </si>
  <si>
    <t>GAAP  EPS</t>
  </si>
  <si>
    <t>EQUITY</t>
  </si>
  <si>
    <t>Days Sales Outstanding (DSO)</t>
  </si>
  <si>
    <t>Acquisitions / write-offs</t>
  </si>
  <si>
    <t>Options Outstanding BOP</t>
  </si>
  <si>
    <t>Options Exercised</t>
  </si>
  <si>
    <t>Options Outstanding EOP</t>
  </si>
  <si>
    <t>Wtd Avg Exercise Price (of exercised)</t>
  </si>
  <si>
    <t>Loss on disposal of property and equipment</t>
  </si>
  <si>
    <t>Extraordinary Items</t>
  </si>
  <si>
    <t>EPS from Continuing Operations</t>
  </si>
  <si>
    <t>GAAP Net Income / Loss</t>
  </si>
  <si>
    <t>Inventories, net</t>
  </si>
  <si>
    <t>Current Assets:</t>
  </si>
  <si>
    <t>Goodwill, net</t>
  </si>
  <si>
    <t>LIABILITIES AND EQUITIES</t>
  </si>
  <si>
    <t>Current Liabilities:</t>
  </si>
  <si>
    <t>Total equity</t>
  </si>
  <si>
    <t>Capital expenditure</t>
  </si>
  <si>
    <t>Cash flow from operating activities:</t>
  </si>
  <si>
    <t>Adjustments:</t>
  </si>
  <si>
    <t>Others, net</t>
  </si>
  <si>
    <t>Cash flows from investing activities:</t>
  </si>
  <si>
    <t>Cash flow from financing activities:</t>
  </si>
  <si>
    <t>Cash dividend paid</t>
  </si>
  <si>
    <t>Net Cash (used in) provided by financing activities</t>
  </si>
  <si>
    <t>Share-based compensation expense</t>
  </si>
  <si>
    <t>Changes in Operating Assets &amp; Liabilities, net of acquisitions</t>
  </si>
  <si>
    <t>Net increase(decrease)  in Cash and cash equivalents</t>
  </si>
  <si>
    <t>Other income and expenses</t>
  </si>
  <si>
    <t>Other (expense) income, net</t>
  </si>
  <si>
    <t>Short-term investments</t>
  </si>
  <si>
    <t>Net Income Reported</t>
  </si>
  <si>
    <t>Long-term debt</t>
  </si>
  <si>
    <t>Statutory tax</t>
  </si>
  <si>
    <t xml:space="preserve">State </t>
  </si>
  <si>
    <t xml:space="preserve">Federal </t>
  </si>
  <si>
    <t xml:space="preserve">Foreign </t>
  </si>
  <si>
    <t>Debt Schedule</t>
  </si>
  <si>
    <t>Debt Outstanding</t>
  </si>
  <si>
    <t>Interest Rate</t>
  </si>
  <si>
    <t>Interest Expense - reported</t>
  </si>
  <si>
    <t>$ millions, except per share data</t>
  </si>
  <si>
    <t>Fully Diluted Shares</t>
  </si>
  <si>
    <t>XRAY.O,mscalc:closePriceCurrencyCalc</t>
  </si>
  <si>
    <t>XRAY.O,mscalc:targetPrice,,,,USD</t>
  </si>
  <si>
    <t>XRAY.O,mscalc:sedolCodeCalc</t>
  </si>
  <si>
    <t>FX Impact</t>
  </si>
  <si>
    <t>Quality of Income</t>
  </si>
  <si>
    <t>XRAY.O,mscalc:epsConsensusMedian,2013Q2,,FYR</t>
  </si>
  <si>
    <t>XRAY.O,mscalc:epsConsensusMedian,2011FY,,FYR</t>
  </si>
  <si>
    <t>0.649999976158142</t>
  </si>
  <si>
    <t>XRAY.O,mscalc:salesConsensusMedian,2011FY,,FYR</t>
  </si>
  <si>
    <t>XRAY.O,mscalc:salesConsensusMedian,2013Q2,,FYR</t>
  </si>
  <si>
    <t>XRAY.O,mscalc:salesConsensusMedian,2013Q3,,FYR</t>
  </si>
  <si>
    <t>XRAY.O,mscalc:epsConsensusMedian,2013Q3,,FYR</t>
  </si>
  <si>
    <t>XRAY.O,mscalc:epsConsensusMedian,2013FY,,FYR</t>
  </si>
  <si>
    <t>XRAY.O,mscalc:salesConsensusMedian,2013FY,,FYR</t>
  </si>
  <si>
    <t>Organic</t>
  </si>
  <si>
    <t>0.560000002384186</t>
  </si>
  <si>
    <t>2,956.414976</t>
  </si>
  <si>
    <t>723.20896</t>
  </si>
  <si>
    <t>2,989.899776</t>
  </si>
  <si>
    <t>717.700032</t>
  </si>
  <si>
    <t>730.757056</t>
  </si>
  <si>
    <t>769</t>
  </si>
  <si>
    <t>2014A</t>
  </si>
  <si>
    <t>Adjusted EBITDA</t>
  </si>
  <si>
    <t>Summary Cash Flow</t>
  </si>
  <si>
    <t>Net Cash Flow</t>
  </si>
  <si>
    <t>Operating Cash Flow</t>
  </si>
  <si>
    <t>FCF/Share</t>
  </si>
  <si>
    <t>2018E</t>
  </si>
  <si>
    <t>2019E</t>
  </si>
  <si>
    <t>2020E</t>
  </si>
  <si>
    <t>ND</t>
  </si>
  <si>
    <t>Quarterly Balance Sheet,  2007A–2020E</t>
  </si>
  <si>
    <t>Quarterly Cash Flow Statement,  2007A–2020E</t>
  </si>
  <si>
    <t>MW Required Tags</t>
  </si>
  <si>
    <t>Consolidated</t>
  </si>
  <si>
    <t>2015A</t>
  </si>
  <si>
    <t>BYNPPC6</t>
  </si>
  <si>
    <t>% reported growth y/y</t>
  </si>
  <si>
    <t>% Acquisition / other impact</t>
  </si>
  <si>
    <t>% FX impact</t>
  </si>
  <si>
    <t>% Constant currency growth</t>
  </si>
  <si>
    <t>% Organic growth</t>
  </si>
  <si>
    <t>Inventory</t>
  </si>
  <si>
    <t>Acquisitions</t>
  </si>
  <si>
    <t>Modelware Share Calculation</t>
  </si>
  <si>
    <t>69</t>
  </si>
  <si>
    <t>2016A</t>
  </si>
  <si>
    <t>Receivables, net of allowance for doubtful accounts</t>
  </si>
  <si>
    <t>Long-term receivables, net</t>
  </si>
  <si>
    <t>Identifiable intangible, net</t>
  </si>
  <si>
    <t xml:space="preserve">Other </t>
  </si>
  <si>
    <t>Property and equipment, net</t>
  </si>
  <si>
    <t>Accrued payroll expense</t>
  </si>
  <si>
    <t>Other accrued liabilities</t>
  </si>
  <si>
    <t>Current maturities of long-term debt</t>
  </si>
  <si>
    <t>Borrowings on revolving credit</t>
  </si>
  <si>
    <t>Other non-current liabilities</t>
  </si>
  <si>
    <t>Additional paid-in capital</t>
  </si>
  <si>
    <t>Accumulated other comprehensive loss</t>
  </si>
  <si>
    <t>Unearned ESOP shares</t>
  </si>
  <si>
    <t>Deferred Tax</t>
  </si>
  <si>
    <t>Operating expenses</t>
  </si>
  <si>
    <t>Transaction-related costs</t>
  </si>
  <si>
    <t>Deal amortization</t>
  </si>
  <si>
    <t>Integration and business restructuring expenses</t>
  </si>
  <si>
    <t>Accelerated debt issuance costs</t>
  </si>
  <si>
    <t>Tax impact of cash repatriation</t>
  </si>
  <si>
    <t>Tax impact of above items</t>
  </si>
  <si>
    <t>GAAP Net Income</t>
  </si>
  <si>
    <t>Non-GAAP Net Income</t>
  </si>
  <si>
    <t>Non-GAAp Operating Income</t>
  </si>
  <si>
    <t>GAAP EPS</t>
  </si>
  <si>
    <t>Non-GAAP EPS</t>
  </si>
  <si>
    <t>GAAP Net Income / Loss- continuing operations</t>
  </si>
  <si>
    <t>Discontinued operations</t>
  </si>
  <si>
    <t>NM</t>
  </si>
  <si>
    <t>Bad debt expense</t>
  </si>
  <si>
    <t>Repurchases of common stock</t>
  </si>
  <si>
    <t>Proceeds from issuance of long-term debt</t>
  </si>
  <si>
    <t>Debt issuance costs</t>
  </si>
  <si>
    <t>Fiscal year ends April 30th</t>
  </si>
  <si>
    <t>Dental Revenues</t>
  </si>
  <si>
    <t>Corporate</t>
  </si>
  <si>
    <t>Dental</t>
  </si>
  <si>
    <t>Consumable Revenue</t>
  </si>
  <si>
    <t>Equipment and software Revenue</t>
  </si>
  <si>
    <t>Other Revenue</t>
  </si>
  <si>
    <t>Animal Health</t>
  </si>
  <si>
    <t>Corporate Sales</t>
  </si>
  <si>
    <t>Total Net Sales</t>
  </si>
  <si>
    <t>Net income from discontinued operations</t>
  </si>
  <si>
    <t>Excess tax benefits from stock-based compensation</t>
  </si>
  <si>
    <t>Deferred income taxes</t>
  </si>
  <si>
    <t>Receivables</t>
  </si>
  <si>
    <t xml:space="preserve">Accrued liabilities </t>
  </si>
  <si>
    <t>Long term receivables</t>
  </si>
  <si>
    <t>Discontinued operations-operating activities-</t>
  </si>
  <si>
    <t>Proceeds from (Purchase of) investments</t>
  </si>
  <si>
    <t>Discontinued operations - Financing Activities</t>
  </si>
  <si>
    <t>Draw on (Payment to) revolver</t>
  </si>
  <si>
    <t>Common stock issued, net</t>
  </si>
  <si>
    <t>ESOP activity</t>
  </si>
  <si>
    <t>Veterinary Revenue</t>
  </si>
  <si>
    <t>Rehabilitation Revenue</t>
  </si>
  <si>
    <t>Veterinary</t>
  </si>
  <si>
    <t>Rehabilitation</t>
  </si>
  <si>
    <t xml:space="preserve">Senior notes due fiscal 2018 </t>
  </si>
  <si>
    <t>Senior notes due fiscal 2019</t>
  </si>
  <si>
    <t>Senior notes due fiscal 2022</t>
  </si>
  <si>
    <t>Senior notes due fiscal 2024</t>
  </si>
  <si>
    <t>Senior notes due fiscal 2025</t>
  </si>
  <si>
    <t>Term loan due fiscal 2021</t>
  </si>
  <si>
    <t>Less: Deferred debt issuance costs</t>
  </si>
  <si>
    <t>Total debt</t>
  </si>
  <si>
    <t>Old Reporting</t>
  </si>
  <si>
    <t>Total Gross Profit ($mn)</t>
  </si>
  <si>
    <t>Gross Margin (%)</t>
  </si>
  <si>
    <t>% margin</t>
  </si>
  <si>
    <t>Vested or expected to vest</t>
  </si>
  <si>
    <t>Senior notes due fiscal 2009-Variable</t>
  </si>
  <si>
    <t>Senior notes due fiscal 2009-Fixed</t>
  </si>
  <si>
    <t xml:space="preserve">Senior notes due fiscal 2013 </t>
  </si>
  <si>
    <t xml:space="preserve">Senior notes due fiscal 2015 </t>
  </si>
  <si>
    <t>Other Debt</t>
  </si>
  <si>
    <t>Term loan due fiscal 2013</t>
  </si>
  <si>
    <t>Issuances / (Repayment)</t>
  </si>
  <si>
    <t>Total Issuances/ (Repayment)</t>
  </si>
  <si>
    <t>Invested Capital</t>
  </si>
  <si>
    <t>Accrued payroll expense (% of opex)</t>
  </si>
  <si>
    <t>Long-term receivables, net (% of revenues)</t>
  </si>
  <si>
    <t>Consolidated Dental Revenues</t>
  </si>
  <si>
    <t>Consolidated Animal Health Revenues</t>
  </si>
  <si>
    <t>Consolidated Veterinary Revenues</t>
  </si>
  <si>
    <t>Consolidated Rehabilitation Revenues</t>
  </si>
  <si>
    <t>PDCO.O</t>
  </si>
  <si>
    <t>Patterson Companies, Inc.</t>
  </si>
  <si>
    <t>Currency</t>
  </si>
  <si>
    <t>Current Stock Price</t>
  </si>
  <si>
    <t>Count</t>
  </si>
  <si>
    <t>PDCO.O,mscalc:targetPrice,,,,USD</t>
  </si>
  <si>
    <t>PDCO.O,mscalc:closePriceCurrencyCalc</t>
  </si>
  <si>
    <t>PDCO.O,mscalc:sedolCodeCalc</t>
  </si>
  <si>
    <t>$CB$2</t>
  </si>
  <si>
    <t>Tax rate</t>
  </si>
  <si>
    <t>Options</t>
  </si>
  <si>
    <t>Total</t>
  </si>
  <si>
    <t>Net Issuance/repurchase</t>
  </si>
  <si>
    <t>Options Cancelled</t>
  </si>
  <si>
    <t>Interest income</t>
  </si>
  <si>
    <t>Interest Rate (%)</t>
  </si>
  <si>
    <t>Current portion of long term debt</t>
  </si>
  <si>
    <t>Total Long term Debt</t>
  </si>
  <si>
    <t>SG&amp;A</t>
  </si>
  <si>
    <t>3Q13</t>
  </si>
  <si>
    <t>4Q13</t>
  </si>
  <si>
    <t>1Q14</t>
  </si>
  <si>
    <t>Margin Analysis</t>
  </si>
  <si>
    <t>1Q07</t>
  </si>
  <si>
    <t>2Q07</t>
  </si>
  <si>
    <t>3Q07</t>
  </si>
  <si>
    <t>4Q07</t>
  </si>
  <si>
    <t>1Q08</t>
  </si>
  <si>
    <t>2Q08</t>
  </si>
  <si>
    <t>3Q08</t>
  </si>
  <si>
    <t>4Q08</t>
  </si>
  <si>
    <t>1Q09</t>
  </si>
  <si>
    <t>2Q09</t>
  </si>
  <si>
    <t>3Q09</t>
  </si>
  <si>
    <t>4Q09</t>
  </si>
  <si>
    <t>1Q10</t>
  </si>
  <si>
    <t>2Q10</t>
  </si>
  <si>
    <t>3Q10</t>
  </si>
  <si>
    <t>4Q10</t>
  </si>
  <si>
    <t>1Q11</t>
  </si>
  <si>
    <t>2Q11</t>
  </si>
  <si>
    <t>3Q11</t>
  </si>
  <si>
    <t>4Q11</t>
  </si>
  <si>
    <t>1Q12</t>
  </si>
  <si>
    <t>2Q12</t>
  </si>
  <si>
    <t>3Q12</t>
  </si>
  <si>
    <t>4Q12</t>
  </si>
  <si>
    <t>1Q13</t>
  </si>
  <si>
    <t>2Q13</t>
  </si>
  <si>
    <t>2Q14</t>
  </si>
  <si>
    <t>3Q14</t>
  </si>
  <si>
    <t>4Q14</t>
  </si>
  <si>
    <t>1Q15</t>
  </si>
  <si>
    <t>2Q15</t>
  </si>
  <si>
    <t>3Q15</t>
  </si>
  <si>
    <t>4Q15</t>
  </si>
  <si>
    <t>1Q16</t>
  </si>
  <si>
    <t>2Q16</t>
  </si>
  <si>
    <t>3Q16</t>
  </si>
  <si>
    <t>4Q16</t>
  </si>
  <si>
    <t>1Q17</t>
  </si>
  <si>
    <t>2Q17</t>
  </si>
  <si>
    <t>3Q17</t>
  </si>
  <si>
    <t>4Q17</t>
  </si>
  <si>
    <t>1Q18</t>
  </si>
  <si>
    <t>2Q18</t>
  </si>
  <si>
    <t>3Q18</t>
  </si>
  <si>
    <t>Organic Growth</t>
  </si>
  <si>
    <t>Shareholders Equity</t>
  </si>
  <si>
    <t>Corporate Sales (reported)</t>
  </si>
  <si>
    <t xml:space="preserve"> </t>
  </si>
  <si>
    <t>Operating Margins reported</t>
  </si>
  <si>
    <t>Cost synergies $</t>
  </si>
  <si>
    <t>Organic Operating Margin $</t>
  </si>
  <si>
    <t>Organic Operating Margin %</t>
  </si>
  <si>
    <t xml:space="preserve">  Y/Y Change - Org margin</t>
  </si>
  <si>
    <t xml:space="preserve">  Y/Y Change - Reported margin</t>
  </si>
  <si>
    <t xml:space="preserve">FX impact $ </t>
  </si>
  <si>
    <t>as % of rev</t>
  </si>
  <si>
    <t>Rev synergies OM $</t>
  </si>
  <si>
    <t>Two Year Organic</t>
  </si>
  <si>
    <t>Organic incremental EBIT margin</t>
  </si>
  <si>
    <t>Total Revenue</t>
  </si>
  <si>
    <t>Organic Growth Trends</t>
  </si>
  <si>
    <t>4Q18E</t>
  </si>
  <si>
    <t>Two-Year Growth Momentum</t>
  </si>
  <si>
    <t>Normalized Growth Trend (T2Q 2 Yr Stacked)</t>
  </si>
  <si>
    <t>Revenue $</t>
  </si>
  <si>
    <t>Y-Y Organic $ Revenue Growth</t>
  </si>
  <si>
    <t>2 Year Y-Y Organic $ Revenue</t>
  </si>
  <si>
    <t>T2Q TREND</t>
  </si>
  <si>
    <t>Implied Normalized Gro.</t>
  </si>
  <si>
    <t>T4Q TREND</t>
  </si>
  <si>
    <t>1Q19E</t>
  </si>
  <si>
    <t>2Q19E</t>
  </si>
  <si>
    <t>3Q19E</t>
  </si>
  <si>
    <t>4Q19E</t>
  </si>
  <si>
    <t>2017A</t>
  </si>
  <si>
    <t>Hardcoded</t>
  </si>
  <si>
    <t>North America</t>
  </si>
  <si>
    <t>Revenue Mix Summary</t>
  </si>
  <si>
    <t>Consumables</t>
  </si>
  <si>
    <t>Equipment</t>
  </si>
  <si>
    <t>Corporate/Other</t>
  </si>
  <si>
    <t>Dental EBIT</t>
  </si>
  <si>
    <t>Animal Health EBIT</t>
  </si>
  <si>
    <t>GAAP Segment EBITDA</t>
  </si>
  <si>
    <t>Total non-GAAP Operating Income ($mn)</t>
  </si>
  <si>
    <t>Corporate/Rehab</t>
  </si>
  <si>
    <t>Total GAAP EBITDA</t>
  </si>
  <si>
    <t xml:space="preserve"> % margin</t>
  </si>
  <si>
    <t>Non-GAAP Operating Income</t>
  </si>
  <si>
    <t>Non-GAAP Operating Profit reported</t>
  </si>
  <si>
    <t>% of revenue</t>
  </si>
  <si>
    <t>Depreciation &amp; Amortization</t>
  </si>
  <si>
    <t>Dental GAAP op income</t>
  </si>
  <si>
    <t>Animal Health GAAP op income</t>
  </si>
  <si>
    <t>Corporate/Rehab GAAP op income</t>
  </si>
  <si>
    <t>Total GAAP op income</t>
  </si>
  <si>
    <t>% of segment revenue</t>
  </si>
  <si>
    <t>United States</t>
  </si>
  <si>
    <t>United Kingdom</t>
  </si>
  <si>
    <t>Canada</t>
  </si>
  <si>
    <t>Operating Profit Build</t>
  </si>
  <si>
    <t>Segment Level Operating Profit</t>
  </si>
  <si>
    <t>% Opex margin</t>
  </si>
  <si>
    <t>% Operating margin</t>
  </si>
  <si>
    <t>% segment margin</t>
  </si>
  <si>
    <t>Corporate EBIT</t>
  </si>
  <si>
    <t>% of total revenue</t>
  </si>
  <si>
    <t>CHECK</t>
  </si>
  <si>
    <t>Organic Operating Margin Bridge</t>
  </si>
  <si>
    <t>y/y bps change</t>
  </si>
  <si>
    <t>Dental Segment Gross Margin (%)</t>
  </si>
  <si>
    <t>Animal Health Segment Gross Margin (%)</t>
  </si>
  <si>
    <t>Dental Segment Opex (% of revenue)</t>
  </si>
  <si>
    <t>Animal Segment Opex (% of revenue)</t>
  </si>
  <si>
    <t>Assumed FX drop-through</t>
  </si>
  <si>
    <t>ERP/Others</t>
  </si>
  <si>
    <t>FCF conversion</t>
  </si>
  <si>
    <t>Top 10 suppliers % of Dental COGS</t>
  </si>
  <si>
    <t>Top supplier % of Dental COGS</t>
  </si>
  <si>
    <t>Dental COGS</t>
  </si>
  <si>
    <t>Top 10 suppliers % of Animal COGS</t>
  </si>
  <si>
    <t>Top supplier % of Animal COGS</t>
  </si>
  <si>
    <t>Animal COGS</t>
  </si>
  <si>
    <t>Intra Segment Mix Summary</t>
  </si>
  <si>
    <t>Overall</t>
  </si>
  <si>
    <t>Other/Service</t>
  </si>
  <si>
    <t>UK</t>
  </si>
  <si>
    <t>Geographic Mix</t>
  </si>
  <si>
    <t>Overall Geographic Mix ($)</t>
  </si>
  <si>
    <t>Overall Geographic Mix (%)</t>
  </si>
  <si>
    <t>Dental customers</t>
  </si>
  <si>
    <t>Animal field reps</t>
  </si>
  <si>
    <t>Equipment specialists</t>
  </si>
  <si>
    <t>Telesales % of orders</t>
  </si>
  <si>
    <t>Equipment shipped like consumables</t>
  </si>
  <si>
    <t>Total Dental sales reps</t>
  </si>
  <si>
    <t>Share</t>
  </si>
  <si>
    <t>Practice mgmt Technology market penetration</t>
  </si>
  <si>
    <t>On time delivery</t>
  </si>
  <si>
    <t xml:space="preserve">Dental </t>
  </si>
  <si>
    <t>PTC cusomters</t>
  </si>
  <si>
    <t>Customer service reps</t>
  </si>
  <si>
    <t>Companion Animal</t>
  </si>
  <si>
    <t>Production Animal</t>
  </si>
  <si>
    <t>Overall Companion Animal</t>
  </si>
  <si>
    <t>Overall Production Animal</t>
  </si>
  <si>
    <t>NA Market size</t>
  </si>
  <si>
    <t>as a % of segment revenue</t>
  </si>
  <si>
    <t>Companion animal</t>
  </si>
  <si>
    <t>Equine</t>
  </si>
  <si>
    <t>Production animal</t>
  </si>
  <si>
    <t>UK Market mix</t>
  </si>
  <si>
    <t>UK veterinarians</t>
  </si>
  <si>
    <t>eMagine/online consumables orders</t>
  </si>
  <si>
    <t>US Animal customers</t>
  </si>
  <si>
    <t>UK Animal customers</t>
  </si>
  <si>
    <t>Customers ordering electronically</t>
  </si>
  <si>
    <t>UK field reps</t>
  </si>
  <si>
    <t>Electronic/online orders % of consumables</t>
  </si>
  <si>
    <t>US veterinarians in companion private practice</t>
  </si>
  <si>
    <t>US Companion Animal Market size</t>
  </si>
  <si>
    <t>UK Companion Animal Market Size in euros</t>
  </si>
  <si>
    <t>NA Companion/Production + UK Companion Animal Market Size</t>
  </si>
  <si>
    <t xml:space="preserve">Segment COGS </t>
  </si>
  <si>
    <t>All customers</t>
  </si>
  <si>
    <t>US vet practices</t>
  </si>
  <si>
    <t>All Animal customers</t>
  </si>
  <si>
    <t>Revenue Mix by Product/Geography</t>
  </si>
  <si>
    <t>as a % of total revenues</t>
  </si>
  <si>
    <t>% Organic growth ex-agency sales</t>
  </si>
  <si>
    <t>NA Production Animal</t>
  </si>
  <si>
    <t>NA + UK Companion Animal</t>
  </si>
  <si>
    <t>Animal End Markets Breakdown</t>
  </si>
  <si>
    <t>US Companion growth</t>
  </si>
  <si>
    <t>NA Production</t>
  </si>
  <si>
    <t>NA + UK Companion</t>
  </si>
  <si>
    <t>US Companion</t>
  </si>
  <si>
    <t>UK Companion growth - NVS</t>
  </si>
  <si>
    <t>NA Dental practices</t>
  </si>
  <si>
    <t>% of US vet practices served</t>
  </si>
  <si>
    <t xml:space="preserve">% of NA Dental practices served </t>
  </si>
  <si>
    <t>Market/Customer Data</t>
  </si>
  <si>
    <t>Non-GAAP EBIT ($mn)</t>
  </si>
  <si>
    <t>% Financing of equipment sold</t>
  </si>
  <si>
    <t>2021E</t>
  </si>
  <si>
    <t>1Q20E</t>
  </si>
  <si>
    <t>2Q20E</t>
  </si>
  <si>
    <t>3Q20E</t>
  </si>
  <si>
    <t>4Q20E</t>
  </si>
  <si>
    <t>Stock Based Compensation</t>
  </si>
  <si>
    <t>Total OpEx</t>
  </si>
  <si>
    <t>Stock Comp Expense</t>
  </si>
  <si>
    <t>Comp Exp as a % of OpEx</t>
  </si>
  <si>
    <t>Organic $ Revenue Growth</t>
  </si>
  <si>
    <t>2672689</t>
  </si>
  <si>
    <t>Return on Invested Capital (ROIC)</t>
  </si>
  <si>
    <t xml:space="preserve">Adjusted EBIT </t>
  </si>
  <si>
    <t>Cash Taxes</t>
  </si>
  <si>
    <t>NOPAT (adjusted)</t>
  </si>
  <si>
    <t>NOPAT margin</t>
  </si>
  <si>
    <t>Debt</t>
  </si>
  <si>
    <t>Net Deferred Tax Liabilities</t>
  </si>
  <si>
    <t>Other Long-Term Liabilities</t>
  </si>
  <si>
    <t>Off-balance sheet operating leases</t>
  </si>
  <si>
    <t>Equity</t>
  </si>
  <si>
    <t>Minority Interest</t>
  </si>
  <si>
    <t>Preferred Equity</t>
  </si>
  <si>
    <t>Accumulated Asset write-downs</t>
  </si>
  <si>
    <t>Non-performing Assets</t>
  </si>
  <si>
    <t>(Less cash)</t>
  </si>
  <si>
    <t>(Less unconsolidated investments)</t>
  </si>
  <si>
    <t>(Less Goodwill)</t>
  </si>
  <si>
    <t>Total Invested Capital (inc-Goodwill)</t>
  </si>
  <si>
    <t>Total Invested Capital (ex-Goodwill)</t>
  </si>
  <si>
    <t>ROIC (inc-Goodwill)</t>
  </si>
  <si>
    <t>ROIC (ex-Goodwill)</t>
  </si>
  <si>
    <t>Return on invested Capital (ROIC)(ex-Goodwill)</t>
  </si>
  <si>
    <t>Corporate EBIT (Expense)</t>
  </si>
  <si>
    <t>10yr AVG</t>
  </si>
  <si>
    <t>5yr AVG</t>
  </si>
  <si>
    <t>31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</si>
  <si>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</si>
  <si>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</si>
  <si>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</si>
  <si>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</si>
  <si>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</si>
  <si>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</si>
  <si>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</si>
  <si>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Steve Beuchaw, Zachary Wachter</t>
  </si>
  <si>
    <t>Date: 01 Mar 2018</t>
  </si>
  <si>
    <t>Ticker: PDCO.O</t>
  </si>
  <si>
    <t>Stock Rating: Underweight</t>
  </si>
  <si>
    <t>Industry: Medical Technology</t>
  </si>
  <si>
    <t>Industry View: Attractive</t>
  </si>
  <si>
    <t>Price as of 01 Mar 2018: 24.10</t>
  </si>
  <si>
    <t>Target Price: 20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</si>
  <si>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</si>
  <si>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</si>
  <si>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</si>
  <si>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</si>
  <si>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Patterson Companies, Inc..</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</si>
  <si>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</si>
  <si>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</si>
  <si>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</si>
  <si>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</si>
  <si>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</si>
  <si>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</si>
  <si>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</si>
  <si>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</si>
  <si>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</si>
  <si>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</si>
  <si>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</si>
  <si>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</si>
  <si>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</si>
  <si>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</si>
  <si>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</si>
  <si>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</si>
  <si>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</si>
  <si>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</si>
  <si>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</si>
  <si>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</si>
  <si>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</si>
  <si>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</si>
  <si>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</si>
  <si>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</si>
  <si>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</si>
  <si>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</si>
  <si>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</si>
  <si>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</si>
  <si>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</si>
  <si>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</si>
  <si>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</si>
  <si>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</si>
  <si>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</si>
  <si>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</si>
  <si>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</si>
  <si>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</si>
  <si>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</si>
  <si>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</si>
  <si>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</si>
  <si>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</si>
  <si>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</si>
  <si>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</si>
  <si>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</si>
  <si>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</si>
  <si>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</si>
  <si>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</si>
  <si>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</si>
  <si>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</si>
  <si>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</si>
  <si>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</si>
  <si>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</si>
  <si>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</si>
  <si>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</si>
  <si>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</si>
  <si>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</si>
  <si>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</si>
  <si>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</si>
  <si>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</si>
  <si>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</si>
  <si>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</si>
  <si>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</si>
  <si>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</si>
  <si>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</si>
  <si>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</si>
  <si>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</si>
  <si>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</si>
  <si>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</si>
  <si>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</si>
  <si>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</si>
  <si>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</si>
  <si>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</si>
  <si>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</si>
  <si>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</si>
  <si>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</si>
  <si>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</si>
  <si>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</si>
  <si>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</si>
  <si>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</si>
  <si>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</si>
  <si>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</si>
  <si>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</si>
  <si>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</si>
  <si>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</si>
  <si>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</si>
  <si>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</si>
  <si>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</si>
  <si>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</si>
  <si>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</si>
  <si>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</si>
  <si>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</si>
  <si>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</si>
  <si>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</si>
  <si>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</si>
  <si>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</si>
  <si>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</si>
  <si>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</si>
  <si>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</si>
  <si>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</si>
  <si>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</si>
  <si>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</si>
  <si>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</si>
  <si>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</si>
  <si>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</si>
  <si>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</si>
  <si>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</si>
  <si>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</si>
  <si>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</si>
  <si>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</si>
  <si>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</si>
  <si>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</si>
  <si>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</si>
  <si>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</si>
  <si>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</si>
  <si>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</si>
  <si>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</si>
  <si>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</si>
  <si>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</si>
  <si>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</si>
  <si>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</si>
  <si>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</si>
  <si>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</si>
  <si>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</si>
  <si>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</si>
  <si>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</si>
  <si>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</si>
  <si>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</si>
  <si>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</si>
  <si>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</si>
  <si>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</si>
  <si>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</si>
  <si>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</si>
  <si>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</si>
  <si>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</si>
  <si>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</si>
  <si>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</si>
  <si>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</si>
  <si>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</si>
  <si>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</si>
  <si>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</si>
  <si>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</si>
  <si>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</si>
  <si>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</si>
  <si>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</si>
  <si>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</si>
  <si>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</si>
  <si>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</si>
  <si>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</si>
  <si>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</si>
  <si>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</si>
  <si>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</si>
  <si>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</si>
  <si>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</si>
  <si>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</si>
  <si>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</si>
  <si>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</si>
  <si>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</si>
  <si>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</si>
  <si>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</si>
  <si>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</si>
  <si>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</si>
  <si>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</si>
  <si>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</si>
  <si>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</si>
  <si>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</si>
  <si>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</si>
  <si>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</si>
  <si>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</si>
  <si>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</si>
  <si>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</si>
  <si>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</si>
  <si>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</si>
  <si>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</si>
  <si>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</si>
  <si>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</si>
  <si>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</si>
  <si>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</si>
  <si>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</si>
  <si>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</si>
  <si>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</si>
  <si>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</si>
  <si>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</si>
  <si>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</si>
  <si>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</si>
  <si>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</si>
  <si>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</si>
  <si>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</si>
  <si>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</si>
  <si>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</si>
  <si>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</si>
  <si>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</si>
  <si>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</si>
  <si>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</si>
  <si>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</si>
  <si>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</si>
  <si>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</si>
  <si>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</si>
  <si>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</si>
  <si>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</si>
  <si>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</si>
  <si>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</si>
  <si>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</si>
  <si>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</si>
  <si>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</si>
  <si>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</si>
  <si>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</si>
  <si>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</si>
  <si>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</si>
  <si>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</si>
  <si>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</si>
  <si>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</si>
  <si>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</si>
  <si>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</si>
  <si>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</si>
  <si>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</si>
  <si>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</si>
  <si>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</si>
  <si>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</si>
  <si>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</si>
  <si>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</si>
  <si>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</si>
  <si>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</si>
  <si>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</si>
  <si>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</si>
  <si>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</si>
  <si>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</si>
  <si>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</si>
  <si>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</si>
  <si>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</si>
  <si>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</si>
  <si>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</si>
  <si>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</si>
  <si>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</si>
  <si>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</si>
  <si>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</si>
  <si>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</si>
  <si>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</si>
  <si>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</si>
  <si>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</si>
  <si>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</si>
  <si>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</si>
  <si>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</si>
  <si>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</si>
  <si>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Patterson Companies, Inc..</t>
  </si>
  <si>
    <t>In the next 3 months, Morgan Stanley expects to receive or intends to seek compensation for investment</t>
  </si>
  <si>
    <t>banking services from Patterson Companies,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</si>
  <si>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</si>
  <si>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</si>
  <si>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</si>
  <si>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</si>
  <si>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</si>
  <si>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Steve Beuchaw.</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</si>
  <si>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</si>
  <si>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</si>
  <si>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</si>
  <si>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</si>
  <si>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</si>
  <si>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</si>
  <si>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</si>
  <si>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</si>
  <si>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</si>
  <si>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</si>
  <si>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</si>
  <si>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</si>
  <si>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</si>
  <si>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</si>
  <si>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</si>
  <si>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</si>
  <si>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</si>
  <si>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</si>
  <si>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</si>
  <si>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</si>
  <si>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</si>
  <si>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</si>
  <si>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</si>
  <si>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</si>
  <si>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</si>
  <si>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</si>
  <si>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</si>
  <si>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</si>
  <si>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</si>
  <si>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</si>
  <si>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</si>
  <si>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</si>
  <si>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</si>
  <si>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</si>
  <si>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</si>
  <si>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</si>
  <si>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</si>
  <si>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</si>
  <si>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</si>
  <si>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</si>
  <si>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</si>
  <si>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</si>
  <si>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</si>
  <si>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</si>
  <si>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</si>
  <si>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</si>
  <si>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</si>
  <si>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</si>
  <si>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</si>
  <si>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</si>
  <si>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</si>
  <si>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</si>
  <si>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</si>
  <si>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</si>
  <si>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</si>
  <si>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</si>
  <si>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</si>
  <si>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</si>
  <si>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</si>
  <si>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</si>
  <si>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</si>
  <si>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</si>
  <si>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</si>
  <si>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</si>
  <si>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</si>
  <si>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</si>
  <si>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</si>
  <si>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</si>
  <si>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Attractive</t>
  </si>
  <si>
    <t>Quarterly Update</t>
  </si>
  <si>
    <t>NorthAmerica</t>
  </si>
  <si>
    <t>wachter</t>
  </si>
  <si>
    <t>MSA12974, MSA15NPP</t>
  </si>
  <si>
    <t>L:\HEALTH\Tools\Models\Published models\PDCO_Published.xlsm</t>
  </si>
  <si>
    <t>[BRO MSA]</t>
  </si>
  <si>
    <t>[PRODUCT MODEL]</t>
  </si>
  <si>
    <t>[EMAIL_ALERT YES]</t>
  </si>
  <si>
    <t>[DISCIPLINE Company]</t>
  </si>
  <si>
    <t>[SUPPRESSED NO]</t>
  </si>
  <si>
    <t>[DOCDAT 2018-03-01]</t>
  </si>
  <si>
    <t>[DOCTIME 16:41]</t>
  </si>
  <si>
    <t>[PSYM PDCO.O(S&amp;P) (None)]</t>
  </si>
  <si>
    <t>[COU 1]</t>
  </si>
  <si>
    <t>[ANA MSA15NPP]</t>
  </si>
  <si>
    <t>[HL PDCO.O Model]</t>
  </si>
  <si>
    <t>[IND ]</t>
  </si>
  <si>
    <t>[PANA MSA12974]</t>
  </si>
</sst>
</file>

<file path=xl/styles.xml><?xml version="1.0" encoding="utf-8"?>
<styleSheet xmlns="http://schemas.openxmlformats.org/spreadsheetml/2006/main" xmlns:mc="http://schemas.openxmlformats.org/markup-compatibility/2006" xmlns:x14ac="http://schemas.microsoft.com/office/spreadsheetml/2009/9/ac" mc:Ignorable="x14ac">
  <numFmts count="39">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_-* #,##0.00_-;\-* #,##0.00_-;_-* &quot;-&quot;??_-;_-@_-"/>
    <numFmt numFmtId="165" formatCode="[$-409]mmm\-yy;@"/>
    <numFmt numFmtId="166" formatCode="_(* #,##0.0_);_(* \(#,##0.0\);_(* &quot;-&quot;??_);_(@_)"/>
    <numFmt numFmtId="167" formatCode="_(* #,##0.000_);_(* \(#,##0.000\);_(* &quot;-&quot;??_);_(@_)"/>
    <numFmt numFmtId="168" formatCode="#,##0.0_);\(#,##0.0\)"/>
    <numFmt numFmtId="169" formatCode="0.0%"/>
    <numFmt numFmtId="170" formatCode="0.0\x"/>
    <numFmt numFmtId="171" formatCode="0.0"/>
    <numFmt numFmtId="172" formatCode="0.0_);\(0.0\)"/>
    <numFmt numFmtId="173" formatCode="_(* #,##0.0_);_(* \(#,##0.0\);_(* &quot;-&quot;?_);_(@_)"/>
    <numFmt numFmtId="174" formatCode="#,##0.000_);\(#,##0.000\)"/>
    <numFmt numFmtId="175" formatCode="#,##0.0%_);\(#,##0.0%\)"/>
    <numFmt numFmtId="176" formatCode="&quot;$&quot;#,##0.0_);\(&quot;$&quot;#,##0.0\)"/>
    <numFmt numFmtId="177" formatCode="_(* #,##0_);_(* \(#,##0\);_(* &quot;-&quot;??_);_(@_)"/>
    <numFmt numFmtId="178" formatCode="[&lt;=9999999]###\-####;\(###\)\ ###\-####"/>
    <numFmt numFmtId="179" formatCode="0_)"/>
    <numFmt numFmtId="180" formatCode="#,##0.0"/>
    <numFmt numFmtId="181" formatCode="0.0000_);\(0.0000\)"/>
    <numFmt numFmtId="182" formatCode="0.00000"/>
    <numFmt numFmtId="183" formatCode="_(* #,##0.000000_);_(* \(#,##0.000000\);_(* &quot;-&quot;??_);_(@_)"/>
    <numFmt numFmtId="184" formatCode="0.000"/>
    <numFmt numFmtId="185" formatCode="&quot;$&quot;#,##0.0000_);\(&quot;$&quot;#,##0.0000\)"/>
    <numFmt numFmtId="186" formatCode="_(* #,##0.0000_);_(* \(#,##0.0000\);_(* &quot;-&quot;??_);_(@_)"/>
    <numFmt numFmtId="187" formatCode="#,##0.0;\-#,##0.0"/>
    <numFmt numFmtId="188" formatCode="_-* #,##0.0_-;\-* #,##0.0_-;_-* &quot;-&quot;?_-;_-@_-"/>
    <numFmt numFmtId="189" formatCode="0.00_);\(0.00\)"/>
    <numFmt numFmtId="193" formatCode="&quot;$&quot;#,##0.00"/>
    <numFmt numFmtId="198" formatCode="&quot;$&quot;#,##0"/>
    <numFmt numFmtId="200" formatCode="&quot;$&quot;#,##0.000_);\(&quot;$&quot;#,##0.000\)"/>
    <numFmt numFmtId="202" formatCode="#,##0%_);\(#,##0%\)"/>
    <numFmt numFmtId="205" formatCode="0&quot;A&quot;_);\(0\)&quot;E&quot;"/>
    <numFmt numFmtId="206" formatCode="#,##0.0000000000000000"/>
    <numFmt numFmtId="207" formatCode="0_);\(0\)"/>
    <numFmt numFmtId="217" formatCode="mm/dd/yy\ hh:mm"/>
  </numFmts>
  <fonts count="101" x14ac:knownFonts="1">
    <font>
      <sz val="10"/>
      <name val="Arial"/>
    </font>
    <font>
      <sz val="11"/>
      <color theme="1"/>
      <name val="Calibri"/>
      <family val="2"/>
      <scheme val="minor"/>
    </font>
    <font>
      <sz val="10"/>
      <name val="Arial"/>
      <family val="2"/>
    </font>
    <font>
      <b/>
      <sz val="8"/>
      <name val="Arial"/>
      <family val="2"/>
    </font>
    <font>
      <sz val="10"/>
      <name val="Arial"/>
      <family val="2"/>
    </font>
    <font>
      <sz val="8"/>
      <name val="Arial"/>
      <family val="2"/>
    </font>
    <font>
      <b/>
      <sz val="8"/>
      <color indexed="9"/>
      <name val="Arial"/>
      <family val="2"/>
    </font>
    <font>
      <b/>
      <sz val="8"/>
      <color indexed="12"/>
      <name val="Arial"/>
      <family val="2"/>
    </font>
    <font>
      <sz val="8"/>
      <name val="Tms Rmn"/>
    </font>
    <font>
      <i/>
      <sz val="8"/>
      <color indexed="8"/>
      <name val="Arial"/>
      <family val="2"/>
    </font>
    <font>
      <i/>
      <sz val="8"/>
      <name val="Arial"/>
      <family val="2"/>
    </font>
    <font>
      <sz val="8"/>
      <name val="Arial"/>
      <family val="2"/>
    </font>
    <font>
      <sz val="8"/>
      <color indexed="12"/>
      <name val="Arial"/>
      <family val="2"/>
    </font>
    <font>
      <b/>
      <sz val="8"/>
      <color indexed="81"/>
      <name val="Tahoma"/>
      <family val="2"/>
    </font>
    <font>
      <b/>
      <sz val="10"/>
      <name val="Arial"/>
      <family val="2"/>
    </font>
    <font>
      <sz val="8"/>
      <name val="Times New Roman"/>
      <family val="1"/>
    </font>
    <font>
      <b/>
      <sz val="10"/>
      <name val="Arial"/>
      <family val="2"/>
    </font>
    <font>
      <sz val="10"/>
      <name val="Arial"/>
      <family val="2"/>
    </font>
    <font>
      <sz val="8"/>
      <color indexed="10"/>
      <name val="Arial"/>
      <family val="2"/>
    </font>
    <font>
      <sz val="10"/>
      <color indexed="10"/>
      <name val="Arial"/>
      <family val="2"/>
    </font>
    <font>
      <i/>
      <sz val="10"/>
      <name val="Arial"/>
      <family val="2"/>
    </font>
    <font>
      <i/>
      <sz val="8"/>
      <color indexed="10"/>
      <name val="Arial"/>
      <family val="2"/>
    </font>
    <font>
      <sz val="8"/>
      <color indexed="17"/>
      <name val="Arial"/>
      <family val="2"/>
    </font>
    <font>
      <i/>
      <sz val="8"/>
      <color indexed="12"/>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10"/>
      <color indexed="10"/>
      <name val="Arial"/>
      <family val="2"/>
    </font>
    <font>
      <b/>
      <sz val="8"/>
      <color indexed="10"/>
      <name val="Arial"/>
      <family val="2"/>
    </font>
    <font>
      <sz val="8"/>
      <color indexed="9"/>
      <name val="Arial"/>
      <family val="2"/>
    </font>
    <font>
      <b/>
      <sz val="8"/>
      <color indexed="17"/>
      <name val="Arial"/>
      <family val="2"/>
    </font>
    <font>
      <sz val="8"/>
      <color indexed="10"/>
      <name val="Helvetica"/>
      <family val="2"/>
    </font>
    <font>
      <b/>
      <sz val="8"/>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b/>
      <sz val="8"/>
      <color indexed="18"/>
      <name val="Arial"/>
      <family val="2"/>
    </font>
    <font>
      <sz val="8"/>
      <color indexed="18"/>
      <name val="Arial"/>
      <family val="2"/>
    </font>
    <font>
      <sz val="8"/>
      <color indexed="24"/>
      <name val="Arial"/>
      <family val="2"/>
    </font>
    <font>
      <sz val="10"/>
      <name val="Segoe UI"/>
      <family val="2"/>
    </font>
    <font>
      <sz val="8"/>
      <color indexed="8"/>
      <name val="Arial"/>
      <family val="2"/>
    </font>
    <font>
      <sz val="10"/>
      <name val="Arial"/>
      <family val="2"/>
    </font>
    <font>
      <sz val="8"/>
      <color rgb="FF0070C0"/>
      <name val="Arial"/>
      <family val="2"/>
    </font>
    <font>
      <b/>
      <sz val="8"/>
      <color theme="0"/>
      <name val="Arial"/>
      <family val="2"/>
    </font>
    <font>
      <sz val="8"/>
      <color theme="0"/>
      <name val="Arial"/>
      <family val="2"/>
    </font>
    <font>
      <sz val="8"/>
      <color rgb="FF2270AB"/>
      <name val="Arial"/>
      <family val="2"/>
    </font>
    <font>
      <sz val="8"/>
      <color rgb="FF238B45"/>
      <name val="Arial"/>
      <family val="2"/>
    </font>
    <font>
      <sz val="10"/>
      <color rgb="FFFF0000"/>
      <name val="Arial"/>
      <family val="2"/>
    </font>
    <font>
      <sz val="8"/>
      <color rgb="FFFF0000"/>
      <name val="Arial"/>
      <family val="2"/>
    </font>
    <font>
      <b/>
      <sz val="8"/>
      <color rgb="FF0070C0"/>
      <name val="Arial"/>
      <family val="2"/>
    </font>
    <font>
      <b/>
      <sz val="8"/>
      <color rgb="FF7030A0"/>
      <name val="Arial"/>
      <family val="2"/>
    </font>
    <font>
      <sz val="8"/>
      <color rgb="FF006699"/>
      <name val="Arial"/>
      <family val="2"/>
    </font>
    <font>
      <i/>
      <sz val="8"/>
      <color rgb="FF238B45"/>
      <name val="Arial"/>
      <family val="2"/>
    </font>
    <font>
      <sz val="8"/>
      <color theme="0" tint="-0.249977111117893"/>
      <name val="Arial"/>
      <family val="2"/>
    </font>
    <font>
      <sz val="8"/>
      <color theme="4"/>
      <name val="Arial"/>
      <family val="2"/>
    </font>
    <font>
      <i/>
      <sz val="8"/>
      <color rgb="FFFF0000"/>
      <name val="Arial"/>
      <family val="2"/>
    </font>
    <font>
      <sz val="8"/>
      <color theme="1"/>
      <name val="Arial"/>
      <family val="2"/>
    </font>
    <font>
      <b/>
      <i/>
      <sz val="8"/>
      <name val="Arial"/>
      <family val="2"/>
    </font>
    <font>
      <sz val="8"/>
      <color rgb="FF7030A0"/>
      <name val="Arial"/>
      <family val="2"/>
    </font>
    <font>
      <i/>
      <sz val="8"/>
      <color indexed="17"/>
      <name val="Arial"/>
      <family val="2"/>
    </font>
    <font>
      <i/>
      <sz val="8"/>
      <color rgb="FF0070C0"/>
      <name val="Arial"/>
      <family val="2"/>
    </font>
    <font>
      <b/>
      <i/>
      <u/>
      <sz val="8"/>
      <name val="Arial"/>
      <family val="2"/>
    </font>
    <font>
      <sz val="11"/>
      <name val="Arial"/>
      <family val="2"/>
    </font>
    <font>
      <sz val="8"/>
      <color rgb="FF137CB1"/>
      <name val="Arial"/>
      <family val="2"/>
    </font>
    <font>
      <sz val="8"/>
      <name val="Times"/>
      <family val="1"/>
    </font>
    <font>
      <sz val="8"/>
      <color theme="0" tint="-0.34998626667073579"/>
      <name val="Arial"/>
      <family val="2"/>
    </font>
    <font>
      <b/>
      <sz val="8"/>
      <color theme="7"/>
      <name val="Arial"/>
      <family val="2"/>
    </font>
    <font>
      <b/>
      <sz val="10"/>
      <color rgb="FF0070C0"/>
      <name val="Arial"/>
      <family val="2"/>
    </font>
    <font>
      <sz val="8"/>
      <color rgb="FF00B050"/>
      <name val="Arial"/>
      <family val="2"/>
    </font>
    <font>
      <sz val="8"/>
      <color theme="1" tint="0.499984740745262"/>
      <name val="Arial"/>
      <family val="2"/>
    </font>
    <font>
      <b/>
      <sz val="8"/>
      <color rgb="FF00B050"/>
      <name val="Arial"/>
      <family val="2"/>
    </font>
    <font>
      <b/>
      <sz val="8"/>
      <color rgb="FFFF0000"/>
      <name val="Arial"/>
      <family val="2"/>
    </font>
    <font>
      <sz val="8"/>
      <color theme="0" tint="-0.499984740745262"/>
      <name val="Arial"/>
      <family val="2"/>
    </font>
    <font>
      <b/>
      <sz val="8"/>
      <color rgb="FF137CB1"/>
      <name val="Arial"/>
      <family val="2"/>
    </font>
    <font>
      <i/>
      <sz val="8"/>
      <color rgb="FF7030A0"/>
      <name val="Arial"/>
      <family val="2"/>
    </font>
    <font>
      <i/>
      <sz val="8"/>
      <color rgb="FF137CB1"/>
      <name val="Arial"/>
      <family val="2"/>
    </font>
    <font>
      <sz val="10"/>
      <color rgb="FF137CB1"/>
      <name val="Arial"/>
      <family val="2"/>
    </font>
    <font>
      <i/>
      <sz val="10"/>
      <color rgb="FF137CB1"/>
      <name val="Arial"/>
      <family val="2"/>
    </font>
    <font>
      <sz val="10"/>
      <color rgb="FF0070C0"/>
      <name val="Arial"/>
      <family val="2"/>
    </font>
    <font>
      <u/>
      <sz val="8"/>
      <name val="Arial"/>
      <family val="2"/>
    </font>
    <font>
      <b/>
      <u/>
      <sz val="8"/>
      <name val="Arial"/>
      <family val="2"/>
    </font>
    <font>
      <sz val="10"/>
      <name val="Courier"/>
      <family val="3"/>
    </font>
    <font>
      <sz val="10"/>
      <name val="Arial"/>
    </font>
    <font>
      <sz val="10"/>
      <color rgb="FF000000"/>
      <name val="Arial"/>
      <family val="2"/>
    </font>
    <font>
      <b/>
      <sz val="12"/>
      <color rgb="FF000080"/>
      <name val="Arial"/>
      <family val="2"/>
    </font>
  </fonts>
  <fills count="34">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60"/>
        <bgColor indexed="64"/>
      </patternFill>
    </fill>
    <fill>
      <patternFill patternType="solid">
        <fgColor theme="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bgColor indexed="64"/>
      </patternFill>
    </fill>
    <fill>
      <patternFill patternType="solid">
        <fgColor theme="4" tint="-0.249977111117893"/>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rgb="FFFFFF00"/>
        <bgColor indexed="64"/>
      </patternFill>
    </fill>
    <fill>
      <patternFill patternType="solid">
        <fgColor theme="4"/>
        <bgColor indexed="64"/>
      </patternFill>
    </fill>
    <fill>
      <patternFill patternType="solid">
        <fgColor rgb="FFDBE7ED"/>
        <bgColor indexed="64"/>
      </patternFill>
    </fill>
    <fill>
      <patternFill patternType="solid">
        <fgColor indexed="65"/>
        <bgColor indexed="64"/>
      </patternFill>
    </fill>
  </fills>
  <borders count="54">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bottom style="thin">
        <color indexed="64"/>
      </bottom>
      <diagonal/>
    </border>
    <border>
      <left style="thin">
        <color indexed="64"/>
      </left>
      <right style="thin">
        <color indexed="64"/>
      </right>
      <top/>
      <bottom/>
      <diagonal/>
    </border>
    <border>
      <left/>
      <right/>
      <top/>
      <bottom style="hair">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hair">
        <color indexed="64"/>
      </left>
      <right style="thin">
        <color indexed="64"/>
      </right>
      <top style="thin">
        <color indexed="64"/>
      </top>
      <bottom/>
      <diagonal/>
    </border>
    <border>
      <left style="hair">
        <color indexed="64"/>
      </left>
      <right style="thin">
        <color indexed="64"/>
      </right>
      <top/>
      <bottom/>
      <diagonal/>
    </border>
    <border>
      <left style="hair">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dotted">
        <color indexed="64"/>
      </left>
      <right/>
      <top/>
      <bottom/>
      <diagonal/>
    </border>
    <border>
      <left/>
      <right style="hair">
        <color indexed="64"/>
      </right>
      <top style="thin">
        <color indexed="64"/>
      </top>
      <bottom style="thin">
        <color indexed="64"/>
      </bottom>
      <diagonal/>
    </border>
    <border>
      <left/>
      <right style="hair">
        <color indexed="64"/>
      </right>
      <top style="thin">
        <color indexed="64"/>
      </top>
      <bottom/>
      <diagonal/>
    </border>
    <border>
      <left style="thin">
        <color indexed="64"/>
      </left>
      <right style="thin">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bottom style="medium">
        <color indexed="64"/>
      </bottom>
      <diagonal/>
    </border>
    <border>
      <left style="thin">
        <color auto="1"/>
      </left>
      <right/>
      <top/>
      <bottom/>
      <diagonal/>
    </border>
    <border>
      <left style="thin">
        <color auto="1"/>
      </left>
      <right style="thin">
        <color indexed="64"/>
      </right>
      <top/>
      <bottom/>
      <diagonal/>
    </border>
    <border>
      <left style="thin">
        <color auto="1"/>
      </left>
      <right/>
      <top style="thin">
        <color auto="1"/>
      </top>
      <bottom/>
      <diagonal/>
    </border>
    <border>
      <left/>
      <right/>
      <top style="thin">
        <color indexed="64"/>
      </top>
      <bottom/>
      <diagonal/>
    </border>
    <border>
      <left/>
      <right/>
      <top style="thin">
        <color indexed="64"/>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3">
    <xf numFmtId="0" fontId="0" fillId="0" borderId="0" applyNumberFormat="0" applyFill="0" applyBorder="0" applyAlignment="0" applyProtection="0"/>
    <xf numFmtId="0" fontId="2" fillId="0" borderId="0"/>
    <xf numFmtId="0" fontId="4" fillId="0" borderId="0"/>
    <xf numFmtId="0" fontId="57" fillId="0" borderId="0"/>
    <xf numFmtId="0" fontId="4" fillId="0" borderId="0"/>
    <xf numFmtId="0" fontId="4" fillId="0" borderId="0"/>
    <xf numFmtId="0" fontId="2" fillId="0" borderId="0"/>
    <xf numFmtId="0" fontId="24" fillId="0" borderId="0"/>
    <xf numFmtId="179" fontId="24" fillId="0" borderId="0"/>
    <xf numFmtId="179" fontId="24" fillId="0" borderId="0"/>
    <xf numFmtId="0" fontId="24"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2" borderId="0" applyNumberFormat="0" applyBorder="0" applyAlignment="0" applyProtection="0"/>
    <xf numFmtId="0" fontId="35" fillId="5" borderId="0" applyNumberFormat="0" applyBorder="0" applyAlignment="0" applyProtection="0"/>
    <xf numFmtId="0" fontId="35" fillId="4" borderId="0" applyNumberFormat="0" applyBorder="0" applyAlignment="0" applyProtection="0"/>
    <xf numFmtId="0" fontId="35" fillId="6"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4" borderId="0" applyNumberFormat="0" applyBorder="0" applyAlignment="0" applyProtection="0"/>
    <xf numFmtId="0" fontId="36" fillId="8" borderId="0" applyNumberFormat="0" applyBorder="0" applyAlignment="0" applyProtection="0"/>
    <xf numFmtId="0" fontId="36" fillId="3" borderId="0" applyNumberFormat="0" applyBorder="0" applyAlignment="0" applyProtection="0"/>
    <xf numFmtId="0" fontId="36" fillId="9" borderId="0" applyNumberFormat="0" applyBorder="0" applyAlignment="0" applyProtection="0"/>
    <xf numFmtId="0" fontId="36" fillId="6" borderId="0" applyNumberFormat="0" applyBorder="0" applyAlignment="0" applyProtection="0"/>
    <xf numFmtId="0" fontId="36" fillId="8" borderId="0" applyNumberFormat="0" applyBorder="0" applyAlignment="0" applyProtection="0"/>
    <xf numFmtId="0" fontId="36" fillId="4" borderId="0" applyNumberFormat="0" applyBorder="0" applyAlignment="0" applyProtection="0"/>
    <xf numFmtId="0" fontId="36" fillId="8" borderId="0" applyNumberFormat="0" applyBorder="0" applyAlignment="0" applyProtection="0"/>
    <xf numFmtId="0" fontId="36" fillId="3"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8" borderId="0" applyNumberFormat="0" applyBorder="0" applyAlignment="0" applyProtection="0"/>
    <xf numFmtId="0" fontId="36" fillId="3" borderId="0" applyNumberFormat="0" applyBorder="0" applyAlignment="0" applyProtection="0"/>
    <xf numFmtId="0" fontId="37" fillId="11" borderId="0" applyNumberFormat="0" applyBorder="0" applyAlignment="0" applyProtection="0"/>
    <xf numFmtId="0" fontId="25" fillId="0" borderId="0"/>
    <xf numFmtId="0" fontId="38" fillId="12" borderId="1" applyNumberFormat="0" applyAlignment="0" applyProtection="0"/>
    <xf numFmtId="0" fontId="39" fillId="13" borderId="2" applyNumberFormat="0" applyAlignment="0" applyProtection="0"/>
    <xf numFmtId="43" fontId="2" fillId="0" borderId="0" applyFont="0" applyFill="0" applyBorder="0" applyAlignment="0" applyProtection="0"/>
    <xf numFmtId="43" fontId="4" fillId="0" borderId="0" applyFont="0" applyFill="0" applyBorder="0" applyAlignment="0" applyProtection="0"/>
    <xf numFmtId="44" fontId="2" fillId="0" borderId="0" applyFont="0" applyFill="0" applyBorder="0" applyAlignment="0" applyProtection="0"/>
    <xf numFmtId="0" fontId="40" fillId="0" borderId="0" applyNumberFormat="0" applyFill="0" applyBorder="0" applyAlignment="0" applyProtection="0"/>
    <xf numFmtId="0" fontId="41" fillId="1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4" borderId="1" applyNumberFormat="0" applyAlignment="0" applyProtection="0"/>
    <xf numFmtId="0" fontId="46" fillId="0" borderId="6" applyNumberFormat="0" applyFill="0" applyAlignment="0" applyProtection="0"/>
    <xf numFmtId="0" fontId="47" fillId="4" borderId="0" applyNumberFormat="0" applyBorder="0" applyAlignment="0" applyProtection="0"/>
    <xf numFmtId="0" fontId="8" fillId="0" borderId="0"/>
    <xf numFmtId="0" fontId="8" fillId="0" borderId="0"/>
    <xf numFmtId="0" fontId="15" fillId="0" borderId="0"/>
    <xf numFmtId="0" fontId="2" fillId="0" borderId="0"/>
    <xf numFmtId="0" fontId="2" fillId="4" borderId="7" applyNumberFormat="0" applyFont="0" applyAlignment="0" applyProtection="0"/>
    <xf numFmtId="0" fontId="48" fillId="12" borderId="8" applyNumberFormat="0" applyAlignment="0" applyProtection="0"/>
    <xf numFmtId="0" fontId="26" fillId="0" borderId="0">
      <alignment vertical="center"/>
    </xf>
    <xf numFmtId="9" fontId="2" fillId="0" borderId="0" applyFont="0" applyFill="0" applyBorder="0" applyAlignment="0" applyProtection="0"/>
    <xf numFmtId="0" fontId="27" fillId="0" borderId="0"/>
    <xf numFmtId="0" fontId="27" fillId="0" borderId="9">
      <alignment horizontal="centerContinuous"/>
    </xf>
    <xf numFmtId="0" fontId="28" fillId="0" borderId="9"/>
    <xf numFmtId="0" fontId="49" fillId="0" borderId="0" applyNumberFormat="0" applyFill="0" applyBorder="0" applyAlignment="0" applyProtection="0"/>
    <xf numFmtId="0" fontId="50" fillId="0" borderId="10" applyNumberFormat="0" applyFill="0" applyAlignment="0" applyProtection="0"/>
    <xf numFmtId="0" fontId="51"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applyNumberFormat="0" applyFill="0" applyBorder="0" applyAlignment="0" applyProtection="0"/>
    <xf numFmtId="0" fontId="2" fillId="15" borderId="0" applyNumberFormat="0" applyFont="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applyNumberFormat="0" applyFill="0" applyBorder="0" applyAlignment="0" applyProtection="0"/>
    <xf numFmtId="0" fontId="2" fillId="0" borderId="0"/>
    <xf numFmtId="0" fontId="55" fillId="0" borderId="0"/>
    <xf numFmtId="0" fontId="2" fillId="15" borderId="0" applyNumberFormat="0" applyFont="0" applyBorder="0" applyAlignment="0" applyProtection="0"/>
    <xf numFmtId="0" fontId="2" fillId="0" borderId="0"/>
    <xf numFmtId="0" fontId="2" fillId="0" borderId="0"/>
    <xf numFmtId="0" fontId="2" fillId="0" borderId="0"/>
    <xf numFmtId="0" fontId="2" fillId="0" borderId="0"/>
    <xf numFmtId="0" fontId="24" fillId="0" borderId="0"/>
    <xf numFmtId="0" fontId="2" fillId="0" borderId="0" applyNumberFormat="0" applyFill="0" applyBorder="0" applyAlignment="0" applyProtection="0"/>
    <xf numFmtId="0" fontId="2" fillId="0" borderId="0" applyFont="0" applyFill="0" applyBorder="0" applyAlignment="0" applyProtection="0"/>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97" fillId="0" borderId="0"/>
    <xf numFmtId="0" fontId="98" fillId="0" borderId="0"/>
  </cellStyleXfs>
  <cellXfs count="1438">
    <xf numFmtId="0" fontId="0" fillId="0" borderId="0" xfId="0"/>
    <xf numFmtId="0" fontId="5" fillId="17" borderId="0" xfId="0" applyFont="1" applyFill="1" applyBorder="1"/>
    <xf numFmtId="0" fontId="7" fillId="17" borderId="0" xfId="0" applyFont="1" applyFill="1" applyBorder="1" applyAlignment="1">
      <alignment horizontal="center"/>
    </xf>
    <xf numFmtId="0" fontId="3" fillId="17" borderId="0" xfId="0" applyFont="1" applyFill="1" applyBorder="1"/>
    <xf numFmtId="0" fontId="9" fillId="17" borderId="0" xfId="51" applyFont="1" applyFill="1" applyBorder="1" applyAlignment="1">
      <alignment horizontal="left"/>
    </xf>
    <xf numFmtId="0" fontId="10" fillId="17" borderId="0" xfId="54" applyFont="1" applyFill="1" applyBorder="1" applyAlignment="1">
      <alignment horizontal="left"/>
    </xf>
    <xf numFmtId="0" fontId="0" fillId="0" borderId="0" xfId="0" applyFill="1" applyBorder="1"/>
    <xf numFmtId="0" fontId="14" fillId="0" borderId="0" xfId="0" applyFont="1"/>
    <xf numFmtId="166" fontId="5" fillId="0" borderId="0" xfId="39" applyNumberFormat="1" applyFont="1" applyFill="1" applyBorder="1"/>
    <xf numFmtId="0" fontId="0" fillId="0" borderId="0" xfId="0" applyFill="1"/>
    <xf numFmtId="0" fontId="14" fillId="0" borderId="0" xfId="0" applyFont="1" applyFill="1"/>
    <xf numFmtId="0" fontId="5" fillId="0" borderId="0" xfId="0" applyFont="1" applyFill="1"/>
    <xf numFmtId="0" fontId="19" fillId="0" borderId="0" xfId="0" applyFont="1" applyFill="1"/>
    <xf numFmtId="0" fontId="3" fillId="0" borderId="0" xfId="0" applyFont="1" applyFill="1" applyBorder="1" applyAlignment="1">
      <alignment horizontal="center"/>
    </xf>
    <xf numFmtId="0" fontId="5" fillId="0" borderId="0" xfId="0" applyFont="1"/>
    <xf numFmtId="0" fontId="21" fillId="17" borderId="0" xfId="0" applyFont="1" applyFill="1" applyAlignment="1">
      <alignment horizontal="center"/>
    </xf>
    <xf numFmtId="0" fontId="0" fillId="0" borderId="0" xfId="0" applyBorder="1"/>
    <xf numFmtId="0" fontId="5" fillId="0" borderId="0" xfId="0" applyFont="1" applyFill="1" applyBorder="1"/>
    <xf numFmtId="0" fontId="3" fillId="0" borderId="0" xfId="0" applyFont="1" applyFill="1" applyBorder="1"/>
    <xf numFmtId="168" fontId="5" fillId="0" borderId="0" xfId="0" applyNumberFormat="1" applyFont="1" applyFill="1" applyBorder="1" applyAlignment="1">
      <alignment horizontal="right"/>
    </xf>
    <xf numFmtId="0" fontId="3" fillId="0" borderId="0" xfId="0" applyFont="1" applyFill="1"/>
    <xf numFmtId="0" fontId="4" fillId="0" borderId="0" xfId="0" applyFont="1" applyFill="1"/>
    <xf numFmtId="37" fontId="3" fillId="0" borderId="0" xfId="0" applyNumberFormat="1" applyFont="1" applyFill="1" applyBorder="1" applyAlignment="1">
      <alignment horizontal="right"/>
    </xf>
    <xf numFmtId="0" fontId="0" fillId="17" borderId="0" xfId="0" applyFill="1"/>
    <xf numFmtId="0" fontId="5" fillId="0" borderId="0" xfId="0" applyFont="1" applyBorder="1"/>
    <xf numFmtId="168" fontId="5" fillId="0" borderId="0" xfId="0" applyNumberFormat="1" applyFont="1" applyFill="1" applyAlignment="1">
      <alignment horizontal="right"/>
    </xf>
    <xf numFmtId="0" fontId="5" fillId="0" borderId="0" xfId="0" applyFont="1" applyFill="1" applyBorder="1" applyAlignment="1">
      <alignment horizontal="right"/>
    </xf>
    <xf numFmtId="49" fontId="0" fillId="0" borderId="0" xfId="0" applyNumberFormat="1"/>
    <xf numFmtId="38" fontId="18" fillId="17" borderId="0" xfId="0" applyNumberFormat="1" applyFont="1" applyFill="1" applyBorder="1"/>
    <xf numFmtId="178" fontId="33" fillId="0" borderId="0" xfId="0" applyNumberFormat="1" applyFont="1" applyFill="1" applyBorder="1" applyAlignment="1">
      <alignment horizontal="right"/>
    </xf>
    <xf numFmtId="0" fontId="20" fillId="0" borderId="0" xfId="0" applyFont="1" applyFill="1"/>
    <xf numFmtId="0" fontId="2" fillId="0" borderId="0" xfId="0" applyFont="1" applyFill="1"/>
    <xf numFmtId="176" fontId="5" fillId="0" borderId="0" xfId="39" applyNumberFormat="1" applyFont="1" applyFill="1" applyAlignment="1"/>
    <xf numFmtId="168" fontId="5" fillId="17" borderId="0" xfId="0" applyNumberFormat="1" applyFont="1" applyFill="1" applyBorder="1" applyAlignment="1">
      <alignment horizontal="right"/>
    </xf>
    <xf numFmtId="43" fontId="33" fillId="0" borderId="0" xfId="39" applyFont="1" applyFill="1" applyAlignment="1">
      <alignment horizontal="right"/>
    </xf>
    <xf numFmtId="7" fontId="5" fillId="0" borderId="0" xfId="0" applyNumberFormat="1" applyFont="1" applyFill="1" applyAlignment="1">
      <alignment horizontal="right"/>
    </xf>
    <xf numFmtId="7" fontId="3" fillId="17" borderId="0" xfId="0" applyNumberFormat="1" applyFont="1" applyFill="1" applyBorder="1" applyAlignment="1">
      <alignment horizontal="left" indent="1"/>
    </xf>
    <xf numFmtId="7" fontId="3" fillId="0" borderId="0" xfId="0" applyNumberFormat="1" applyFont="1" applyFill="1" applyBorder="1" applyAlignment="1">
      <alignment horizontal="right"/>
    </xf>
    <xf numFmtId="0" fontId="3" fillId="0" borderId="0" xfId="0" applyFont="1" applyBorder="1" applyAlignment="1">
      <alignment horizontal="center"/>
    </xf>
    <xf numFmtId="0" fontId="3" fillId="0" borderId="0" xfId="0" applyFont="1" applyAlignment="1">
      <alignment horizontal="left" indent="1"/>
    </xf>
    <xf numFmtId="0" fontId="5" fillId="17" borderId="0" xfId="0" applyFont="1" applyFill="1" applyBorder="1" applyAlignment="1">
      <alignment horizontal="right"/>
    </xf>
    <xf numFmtId="168" fontId="3" fillId="0" borderId="0" xfId="0" applyNumberFormat="1" applyFont="1" applyFill="1" applyBorder="1" applyAlignment="1">
      <alignment horizontal="right"/>
    </xf>
    <xf numFmtId="166" fontId="5" fillId="0" borderId="0" xfId="39" applyNumberFormat="1" applyFont="1" applyFill="1" applyBorder="1" applyAlignment="1">
      <alignment horizontal="right"/>
    </xf>
    <xf numFmtId="172" fontId="5" fillId="0" borderId="0" xfId="39" applyNumberFormat="1" applyFont="1" applyFill="1" applyBorder="1" applyAlignment="1">
      <alignment horizontal="right" wrapText="1"/>
    </xf>
    <xf numFmtId="0" fontId="3" fillId="0" borderId="0" xfId="0" applyFont="1" applyFill="1" applyBorder="1" applyAlignment="1">
      <alignment horizontal="right"/>
    </xf>
    <xf numFmtId="0" fontId="3" fillId="17" borderId="0" xfId="0" applyFont="1" applyFill="1" applyBorder="1" applyAlignment="1">
      <alignment horizontal="right"/>
    </xf>
    <xf numFmtId="167" fontId="18" fillId="0" borderId="0" xfId="0" applyNumberFormat="1" applyFont="1" applyFill="1" applyBorder="1"/>
    <xf numFmtId="183" fontId="18" fillId="0" borderId="0" xfId="0" applyNumberFormat="1" applyFont="1" applyFill="1" applyBorder="1"/>
    <xf numFmtId="168" fontId="3" fillId="17" borderId="0" xfId="0" applyNumberFormat="1" applyFont="1" applyFill="1" applyBorder="1" applyAlignment="1">
      <alignment horizontal="right"/>
    </xf>
    <xf numFmtId="0" fontId="5" fillId="0" borderId="11" xfId="0" applyFont="1" applyFill="1" applyBorder="1"/>
    <xf numFmtId="0" fontId="5" fillId="0" borderId="0" xfId="0" applyFont="1" applyAlignment="1">
      <alignment horizontal="right"/>
    </xf>
    <xf numFmtId="166" fontId="5" fillId="0" borderId="0" xfId="39" applyNumberFormat="1" applyFont="1" applyFill="1" applyAlignment="1">
      <alignment horizontal="right"/>
    </xf>
    <xf numFmtId="166" fontId="5" fillId="0" borderId="0" xfId="39" applyNumberFormat="1" applyFont="1" applyBorder="1" applyAlignment="1">
      <alignment horizontal="right"/>
    </xf>
    <xf numFmtId="0" fontId="5" fillId="0" borderId="0" xfId="0" applyFont="1" applyFill="1" applyAlignment="1">
      <alignment horizontal="right"/>
    </xf>
    <xf numFmtId="166" fontId="18" fillId="0" borderId="0" xfId="39" applyNumberFormat="1" applyFont="1" applyAlignment="1">
      <alignment horizontal="right"/>
    </xf>
    <xf numFmtId="0" fontId="3" fillId="0" borderId="0" xfId="0" applyFont="1" applyAlignment="1">
      <alignment horizontal="right"/>
    </xf>
    <xf numFmtId="166" fontId="3" fillId="0" borderId="0" xfId="39" applyNumberFormat="1" applyFont="1" applyFill="1" applyAlignment="1">
      <alignment horizontal="right"/>
    </xf>
    <xf numFmtId="175" fontId="5" fillId="0" borderId="0" xfId="0" applyNumberFormat="1" applyFont="1" applyFill="1" applyAlignment="1">
      <alignment horizontal="right"/>
    </xf>
    <xf numFmtId="175" fontId="5" fillId="0" borderId="0" xfId="0" applyNumberFormat="1" applyFont="1" applyFill="1" applyBorder="1" applyAlignment="1">
      <alignment horizontal="right"/>
    </xf>
    <xf numFmtId="172" fontId="5" fillId="0" borderId="0" xfId="39" applyNumberFormat="1" applyFont="1" applyFill="1" applyAlignment="1">
      <alignment horizontal="right"/>
    </xf>
    <xf numFmtId="7" fontId="5" fillId="0" borderId="0" xfId="39" applyNumberFormat="1" applyFont="1" applyFill="1" applyBorder="1" applyAlignment="1">
      <alignment horizontal="right"/>
    </xf>
    <xf numFmtId="9" fontId="5" fillId="0" borderId="0" xfId="0" applyNumberFormat="1" applyFont="1" applyFill="1" applyAlignment="1">
      <alignment horizontal="right"/>
    </xf>
    <xf numFmtId="168" fontId="5" fillId="0" borderId="0" xfId="0" applyNumberFormat="1" applyFont="1" applyFill="1" applyBorder="1"/>
    <xf numFmtId="168" fontId="0" fillId="17" borderId="0" xfId="0" applyNumberFormat="1" applyFill="1" applyBorder="1"/>
    <xf numFmtId="168" fontId="5" fillId="0" borderId="13" xfId="0" applyNumberFormat="1" applyFont="1" applyFill="1" applyBorder="1" applyAlignment="1">
      <alignment horizontal="right"/>
    </xf>
    <xf numFmtId="168" fontId="14" fillId="0" borderId="0" xfId="0" applyNumberFormat="1" applyFont="1"/>
    <xf numFmtId="168" fontId="16" fillId="0" borderId="0" xfId="0" applyNumberFormat="1" applyFont="1"/>
    <xf numFmtId="168" fontId="14" fillId="17" borderId="0" xfId="0" applyNumberFormat="1" applyFont="1" applyFill="1"/>
    <xf numFmtId="168" fontId="0" fillId="17" borderId="0" xfId="0" applyNumberFormat="1" applyFill="1"/>
    <xf numFmtId="168" fontId="0" fillId="0" borderId="0" xfId="0" applyNumberFormat="1" applyFill="1"/>
    <xf numFmtId="168" fontId="0" fillId="0" borderId="0" xfId="0" applyNumberFormat="1"/>
    <xf numFmtId="168" fontId="4" fillId="0" borderId="0" xfId="0" applyNumberFormat="1" applyFont="1"/>
    <xf numFmtId="168" fontId="14" fillId="0" borderId="0" xfId="0" applyNumberFormat="1" applyFont="1" applyFill="1" applyBorder="1"/>
    <xf numFmtId="168" fontId="14" fillId="17" borderId="0" xfId="0" applyNumberFormat="1" applyFont="1" applyFill="1" applyBorder="1"/>
    <xf numFmtId="168" fontId="4" fillId="17" borderId="0" xfId="0" applyNumberFormat="1" applyFont="1" applyFill="1" applyBorder="1"/>
    <xf numFmtId="169" fontId="0" fillId="17" borderId="0" xfId="58" applyNumberFormat="1" applyFont="1" applyFill="1"/>
    <xf numFmtId="168" fontId="17" fillId="0" borderId="0" xfId="0" applyNumberFormat="1" applyFont="1" applyFill="1" applyBorder="1"/>
    <xf numFmtId="168" fontId="0" fillId="0" borderId="0" xfId="0" applyNumberFormat="1" applyFill="1" applyBorder="1"/>
    <xf numFmtId="43" fontId="21" fillId="0" borderId="0" xfId="39" applyFont="1"/>
    <xf numFmtId="167" fontId="18" fillId="0" borderId="0" xfId="0" applyNumberFormat="1" applyFont="1" applyFill="1" applyAlignment="1">
      <alignment horizontal="right"/>
    </xf>
    <xf numFmtId="168" fontId="5" fillId="0" borderId="0" xfId="0" applyNumberFormat="1" applyFont="1" applyAlignment="1">
      <alignment horizontal="right"/>
    </xf>
    <xf numFmtId="168" fontId="5" fillId="0" borderId="11" xfId="39" applyNumberFormat="1" applyFont="1" applyBorder="1" applyAlignment="1">
      <alignment horizontal="right"/>
    </xf>
    <xf numFmtId="7" fontId="3" fillId="0" borderId="14" xfId="39" applyNumberFormat="1" applyFont="1" applyFill="1" applyBorder="1" applyAlignment="1">
      <alignment horizontal="right" wrapText="1"/>
    </xf>
    <xf numFmtId="0" fontId="3" fillId="17" borderId="0" xfId="0" applyFont="1" applyFill="1"/>
    <xf numFmtId="0" fontId="2" fillId="0" borderId="0" xfId="0" applyFont="1"/>
    <xf numFmtId="169" fontId="5" fillId="0" borderId="0" xfId="58" applyNumberFormat="1" applyFont="1" applyFill="1" applyBorder="1"/>
    <xf numFmtId="169" fontId="0" fillId="17" borderId="0" xfId="0" applyNumberFormat="1" applyFill="1"/>
    <xf numFmtId="169" fontId="0" fillId="0" borderId="0" xfId="58" applyNumberFormat="1" applyFont="1"/>
    <xf numFmtId="173" fontId="18" fillId="0" borderId="0" xfId="0" applyNumberFormat="1" applyFont="1" applyFill="1" applyAlignment="1">
      <alignment horizontal="right"/>
    </xf>
    <xf numFmtId="37" fontId="3" fillId="17" borderId="0" xfId="0" applyNumberFormat="1" applyFont="1" applyFill="1" applyBorder="1" applyAlignment="1">
      <alignment horizontal="right"/>
    </xf>
    <xf numFmtId="37" fontId="3" fillId="0" borderId="0" xfId="39" applyNumberFormat="1" applyFont="1" applyFill="1" applyBorder="1" applyAlignment="1">
      <alignment horizontal="right"/>
    </xf>
    <xf numFmtId="0" fontId="10" fillId="17" borderId="0" xfId="51" applyFont="1" applyFill="1" applyBorder="1" applyAlignment="1">
      <alignment horizontal="left"/>
    </xf>
    <xf numFmtId="165" fontId="5" fillId="0" borderId="11" xfId="0" applyNumberFormat="1" applyFont="1" applyFill="1" applyBorder="1" applyAlignment="1">
      <alignment horizontal="center"/>
    </xf>
    <xf numFmtId="169" fontId="0" fillId="0" borderId="0" xfId="0" applyNumberFormat="1"/>
    <xf numFmtId="165" fontId="31" fillId="16" borderId="11" xfId="0" applyNumberFormat="1" applyFont="1" applyFill="1" applyBorder="1" applyAlignment="1">
      <alignment horizontal="center"/>
    </xf>
    <xf numFmtId="174" fontId="5" fillId="0" borderId="0" xfId="0" applyNumberFormat="1" applyFont="1" applyAlignment="1">
      <alignment horizontal="right"/>
    </xf>
    <xf numFmtId="8" fontId="5" fillId="0" borderId="0" xfId="0" applyNumberFormat="1" applyFont="1" applyFill="1" applyBorder="1" applyAlignment="1">
      <alignment horizontal="right"/>
    </xf>
    <xf numFmtId="168" fontId="3" fillId="0" borderId="0" xfId="0" applyNumberFormat="1" applyFont="1" applyFill="1" applyBorder="1"/>
    <xf numFmtId="0" fontId="3" fillId="0" borderId="0" xfId="0" applyFont="1"/>
    <xf numFmtId="0" fontId="7" fillId="0" borderId="0" xfId="0" applyFont="1" applyFill="1" applyBorder="1" applyAlignment="1">
      <alignment horizontal="center"/>
    </xf>
    <xf numFmtId="0" fontId="18" fillId="0" borderId="0" xfId="0" applyFont="1" applyFill="1"/>
    <xf numFmtId="171" fontId="5" fillId="0" borderId="0" xfId="52" applyNumberFormat="1" applyFont="1" applyFill="1" applyBorder="1"/>
    <xf numFmtId="168" fontId="5" fillId="0" borderId="11" xfId="0" applyNumberFormat="1" applyFont="1" applyFill="1" applyBorder="1" applyAlignment="1">
      <alignment horizontal="right"/>
    </xf>
    <xf numFmtId="169" fontId="5" fillId="17" borderId="0" xfId="0" applyNumberFormat="1" applyFont="1" applyFill="1" applyBorder="1" applyAlignment="1">
      <alignment horizontal="right"/>
    </xf>
    <xf numFmtId="39" fontId="5" fillId="0" borderId="0" xfId="39" applyNumberFormat="1" applyFont="1" applyFill="1" applyAlignment="1">
      <alignment horizontal="right"/>
    </xf>
    <xf numFmtId="37" fontId="32" fillId="0" borderId="0" xfId="39" applyNumberFormat="1" applyFont="1" applyFill="1" applyBorder="1" applyAlignment="1">
      <alignment horizontal="right"/>
    </xf>
    <xf numFmtId="175" fontId="12" fillId="0" borderId="0" xfId="0" applyNumberFormat="1" applyFont="1" applyFill="1" applyBorder="1" applyAlignment="1">
      <alignment horizontal="right"/>
    </xf>
    <xf numFmtId="0" fontId="3" fillId="17" borderId="0" xfId="0" applyFont="1" applyFill="1" applyBorder="1" applyAlignment="1">
      <alignment horizontal="center" vertical="center"/>
    </xf>
    <xf numFmtId="0" fontId="3" fillId="0" borderId="0" xfId="0" applyFont="1" applyAlignment="1">
      <alignment horizontal="center"/>
    </xf>
    <xf numFmtId="0" fontId="3" fillId="0" borderId="0" xfId="0" applyFont="1" applyFill="1" applyAlignment="1">
      <alignment horizontal="center"/>
    </xf>
    <xf numFmtId="0" fontId="30" fillId="0" borderId="0" xfId="0" applyFont="1" applyFill="1" applyAlignment="1">
      <alignment horizontal="center"/>
    </xf>
    <xf numFmtId="0" fontId="3" fillId="0" borderId="0" xfId="0" applyFont="1" applyAlignment="1">
      <alignment horizontal="center"/>
    </xf>
    <xf numFmtId="0" fontId="0" fillId="0" borderId="0" xfId="0"/>
    <xf numFmtId="43" fontId="5" fillId="17" borderId="0" xfId="39" applyFont="1" applyFill="1" applyBorder="1"/>
    <xf numFmtId="0" fontId="2" fillId="0" borderId="0" xfId="0" applyFont="1" applyFill="1" applyBorder="1"/>
    <xf numFmtId="166" fontId="12" fillId="0" borderId="0" xfId="40" applyNumberFormat="1" applyFont="1" applyFill="1" applyBorder="1" applyAlignment="1"/>
    <xf numFmtId="0" fontId="2" fillId="17" borderId="0" xfId="0" applyFont="1" applyFill="1"/>
    <xf numFmtId="0" fontId="64" fillId="0" borderId="0" xfId="0" applyFont="1" applyFill="1" applyBorder="1" applyAlignment="1">
      <alignment horizontal="right"/>
    </xf>
    <xf numFmtId="169" fontId="5" fillId="20" borderId="0" xfId="0" applyNumberFormat="1" applyFont="1" applyFill="1" applyBorder="1" applyAlignment="1">
      <alignment horizontal="right"/>
    </xf>
    <xf numFmtId="168" fontId="64" fillId="0" borderId="0" xfId="0" applyNumberFormat="1" applyFont="1" applyFill="1" applyBorder="1"/>
    <xf numFmtId="169" fontId="64" fillId="0" borderId="0" xfId="0" applyNumberFormat="1" applyFont="1" applyFill="1" applyBorder="1" applyAlignment="1">
      <alignment horizontal="right"/>
    </xf>
    <xf numFmtId="169" fontId="5" fillId="0" borderId="20" xfId="58" applyNumberFormat="1" applyFont="1" applyFill="1" applyBorder="1"/>
    <xf numFmtId="0" fontId="63" fillId="0" borderId="0" xfId="0" applyFont="1"/>
    <xf numFmtId="0" fontId="0" fillId="0" borderId="0" xfId="0"/>
    <xf numFmtId="171" fontId="5" fillId="17" borderId="0" xfId="0" applyNumberFormat="1" applyFont="1" applyFill="1" applyBorder="1"/>
    <xf numFmtId="170" fontId="5" fillId="0" borderId="0" xfId="0" applyNumberFormat="1" applyFont="1" applyFill="1" applyAlignment="1">
      <alignment horizontal="right"/>
    </xf>
    <xf numFmtId="168" fontId="12" fillId="0" borderId="0" xfId="0" applyNumberFormat="1" applyFont="1" applyFill="1" applyBorder="1" applyAlignment="1">
      <alignment horizontal="right"/>
    </xf>
    <xf numFmtId="9" fontId="12" fillId="0" borderId="0" xfId="0" applyNumberFormat="1" applyFont="1" applyFill="1" applyAlignment="1">
      <alignment horizontal="right"/>
    </xf>
    <xf numFmtId="0" fontId="0" fillId="0" borderId="0" xfId="0"/>
    <xf numFmtId="166" fontId="65" fillId="24" borderId="20" xfId="39" applyNumberFormat="1" applyFont="1" applyFill="1" applyBorder="1"/>
    <xf numFmtId="166" fontId="65" fillId="24" borderId="0" xfId="39" applyNumberFormat="1" applyFont="1" applyFill="1" applyBorder="1"/>
    <xf numFmtId="166" fontId="3" fillId="24" borderId="20" xfId="39" applyNumberFormat="1" applyFont="1" applyFill="1" applyBorder="1"/>
    <xf numFmtId="166" fontId="3" fillId="24" borderId="0" xfId="39" applyNumberFormat="1" applyFont="1" applyFill="1" applyBorder="1"/>
    <xf numFmtId="166" fontId="65" fillId="23" borderId="20" xfId="39" applyNumberFormat="1" applyFont="1" applyFill="1" applyBorder="1"/>
    <xf numFmtId="166" fontId="65" fillId="23" borderId="0" xfId="39" applyNumberFormat="1" applyFont="1" applyFill="1" applyBorder="1"/>
    <xf numFmtId="166" fontId="3" fillId="23" borderId="0" xfId="39" applyNumberFormat="1" applyFont="1" applyFill="1" applyBorder="1"/>
    <xf numFmtId="166" fontId="3" fillId="0" borderId="0" xfId="39" applyNumberFormat="1" applyFont="1" applyFill="1" applyBorder="1"/>
    <xf numFmtId="175" fontId="7" fillId="0" borderId="0" xfId="0" applyNumberFormat="1" applyFont="1" applyFill="1" applyBorder="1" applyAlignment="1">
      <alignment horizontal="right"/>
    </xf>
    <xf numFmtId="0" fontId="3" fillId="0" borderId="0" xfId="0" applyFont="1" applyAlignment="1">
      <alignment horizontal="center"/>
    </xf>
    <xf numFmtId="169" fontId="58" fillId="0" borderId="0" xfId="58" applyNumberFormat="1" applyFont="1" applyFill="1" applyBorder="1"/>
    <xf numFmtId="0" fontId="2" fillId="0" borderId="0" xfId="0" applyFont="1" applyBorder="1"/>
    <xf numFmtId="169" fontId="5" fillId="0" borderId="0" xfId="0" applyNumberFormat="1" applyFont="1" applyFill="1" applyBorder="1" applyAlignment="1">
      <alignment horizontal="right"/>
    </xf>
    <xf numFmtId="166" fontId="3" fillId="0" borderId="0" xfId="39" applyNumberFormat="1" applyFont="1" applyBorder="1" applyAlignment="1">
      <alignment horizontal="right"/>
    </xf>
    <xf numFmtId="169" fontId="5" fillId="20" borderId="20" xfId="0" applyNumberFormat="1" applyFont="1" applyFill="1" applyBorder="1" applyAlignment="1">
      <alignment horizontal="right"/>
    </xf>
    <xf numFmtId="0" fontId="21" fillId="17" borderId="22" xfId="0" applyFont="1" applyFill="1" applyBorder="1" applyAlignment="1">
      <alignment horizontal="center"/>
    </xf>
    <xf numFmtId="0" fontId="21" fillId="17" borderId="16" xfId="0" applyFont="1" applyFill="1" applyBorder="1" applyAlignment="1">
      <alignment horizontal="center"/>
    </xf>
    <xf numFmtId="169" fontId="61" fillId="20" borderId="20" xfId="58" applyNumberFormat="1" applyFont="1" applyFill="1" applyBorder="1"/>
    <xf numFmtId="169" fontId="58" fillId="20" borderId="0" xfId="58" applyNumberFormat="1" applyFont="1" applyFill="1" applyBorder="1" applyAlignment="1">
      <alignment horizontal="right" wrapText="1"/>
    </xf>
    <xf numFmtId="169" fontId="61" fillId="20" borderId="0" xfId="58" applyNumberFormat="1" applyFont="1" applyFill="1" applyBorder="1"/>
    <xf numFmtId="166" fontId="3" fillId="20" borderId="0" xfId="39" applyNumberFormat="1" applyFont="1" applyFill="1" applyBorder="1"/>
    <xf numFmtId="166" fontId="5" fillId="20" borderId="0" xfId="39" applyNumberFormat="1" applyFont="1" applyFill="1" applyBorder="1"/>
    <xf numFmtId="166" fontId="5" fillId="20" borderId="20" xfId="39" applyNumberFormat="1" applyFont="1" applyFill="1" applyBorder="1"/>
    <xf numFmtId="169" fontId="5" fillId="20" borderId="20" xfId="58" applyNumberFormat="1" applyFont="1" applyFill="1" applyBorder="1"/>
    <xf numFmtId="169" fontId="5" fillId="20" borderId="0" xfId="58" applyNumberFormat="1" applyFont="1" applyFill="1" applyBorder="1"/>
    <xf numFmtId="169" fontId="71" fillId="0" borderId="0" xfId="58" applyNumberFormat="1" applyFont="1" applyBorder="1" applyAlignment="1">
      <alignment horizontal="left" indent="1"/>
    </xf>
    <xf numFmtId="166" fontId="5" fillId="0" borderId="0" xfId="0" applyNumberFormat="1" applyFont="1"/>
    <xf numFmtId="0" fontId="59" fillId="0" borderId="0" xfId="0" applyFont="1" applyFill="1" applyAlignment="1">
      <alignment horizontal="left"/>
    </xf>
    <xf numFmtId="166" fontId="3" fillId="0" borderId="0" xfId="39" applyNumberFormat="1" applyFont="1" applyFill="1" applyBorder="1" applyAlignment="1">
      <alignment horizontal="right"/>
    </xf>
    <xf numFmtId="186" fontId="18" fillId="0" borderId="0" xfId="39" applyNumberFormat="1" applyFont="1" applyAlignment="1">
      <alignment horizontal="right"/>
    </xf>
    <xf numFmtId="166" fontId="3" fillId="0" borderId="0" xfId="39" applyNumberFormat="1" applyFont="1" applyAlignment="1">
      <alignment horizontal="right"/>
    </xf>
    <xf numFmtId="10" fontId="12" fillId="0" borderId="0" xfId="58" applyNumberFormat="1" applyFont="1" applyBorder="1" applyAlignment="1">
      <alignment horizontal="right"/>
    </xf>
    <xf numFmtId="10" fontId="12" fillId="0" borderId="0" xfId="39" applyNumberFormat="1" applyFont="1" applyBorder="1" applyAlignment="1">
      <alignment horizontal="right"/>
    </xf>
    <xf numFmtId="168" fontId="3" fillId="0" borderId="0" xfId="58" applyNumberFormat="1" applyFont="1" applyAlignment="1">
      <alignment horizontal="left" indent="1"/>
    </xf>
    <xf numFmtId="168" fontId="5" fillId="0" borderId="0" xfId="0" applyNumberFormat="1" applyFont="1"/>
    <xf numFmtId="10" fontId="5" fillId="0" borderId="0" xfId="58" applyNumberFormat="1" applyFont="1" applyBorder="1" applyAlignment="1">
      <alignment horizontal="right"/>
    </xf>
    <xf numFmtId="10" fontId="5" fillId="0" borderId="0" xfId="58" applyNumberFormat="1" applyFont="1" applyFill="1" applyBorder="1" applyAlignment="1">
      <alignment horizontal="right"/>
    </xf>
    <xf numFmtId="168" fontId="53" fillId="0" borderId="20" xfId="39" applyNumberFormat="1" applyFont="1" applyFill="1" applyBorder="1" applyAlignment="1">
      <alignment horizontal="right"/>
    </xf>
    <xf numFmtId="169" fontId="10" fillId="0" borderId="0" xfId="39" applyNumberFormat="1" applyFont="1" applyFill="1" applyBorder="1" applyAlignment="1">
      <alignment horizontal="right"/>
    </xf>
    <xf numFmtId="169" fontId="10" fillId="0" borderId="0" xfId="0" applyNumberFormat="1" applyFont="1" applyFill="1" applyBorder="1" applyAlignment="1">
      <alignment horizontal="right"/>
    </xf>
    <xf numFmtId="169" fontId="73" fillId="0" borderId="0" xfId="0" applyNumberFormat="1" applyFont="1" applyFill="1" applyBorder="1" applyAlignment="1">
      <alignment horizontal="right"/>
    </xf>
    <xf numFmtId="0" fontId="10" fillId="0" borderId="0" xfId="0" applyFont="1" applyFill="1" applyBorder="1" applyAlignment="1">
      <alignment horizontal="right"/>
    </xf>
    <xf numFmtId="168" fontId="10" fillId="0" borderId="0" xfId="39" applyNumberFormat="1" applyFont="1" applyFill="1" applyBorder="1" applyAlignment="1">
      <alignment horizontal="right"/>
    </xf>
    <xf numFmtId="168" fontId="12" fillId="0" borderId="13" xfId="39" applyNumberFormat="1" applyFont="1" applyFill="1" applyBorder="1" applyAlignment="1">
      <alignment horizontal="right"/>
    </xf>
    <xf numFmtId="168" fontId="5" fillId="0" borderId="13" xfId="39" applyNumberFormat="1" applyFont="1" applyFill="1" applyBorder="1" applyAlignment="1">
      <alignment horizontal="right"/>
    </xf>
    <xf numFmtId="168" fontId="62" fillId="0" borderId="13" xfId="39" applyNumberFormat="1" applyFont="1" applyFill="1" applyBorder="1" applyAlignment="1">
      <alignment horizontal="right"/>
    </xf>
    <xf numFmtId="168" fontId="5" fillId="0" borderId="20" xfId="39" applyNumberFormat="1" applyFont="1" applyFill="1" applyBorder="1" applyAlignment="1">
      <alignment horizontal="right"/>
    </xf>
    <xf numFmtId="168" fontId="22" fillId="0" borderId="20" xfId="39" applyNumberFormat="1" applyFont="1" applyFill="1" applyBorder="1" applyAlignment="1">
      <alignment horizontal="right"/>
    </xf>
    <xf numFmtId="169" fontId="5" fillId="17" borderId="0" xfId="0" applyNumberFormat="1" applyFont="1" applyFill="1" applyAlignment="1">
      <alignment horizontal="right"/>
    </xf>
    <xf numFmtId="169" fontId="75" fillId="0" borderId="0" xfId="0" applyNumberFormat="1" applyFont="1" applyFill="1" applyBorder="1" applyAlignment="1">
      <alignment horizontal="right"/>
    </xf>
    <xf numFmtId="168" fontId="56" fillId="0" borderId="11" xfId="39" applyNumberFormat="1" applyFont="1" applyFill="1" applyBorder="1" applyAlignment="1">
      <alignment horizontal="right"/>
    </xf>
    <xf numFmtId="169" fontId="18" fillId="0" borderId="0" xfId="39" applyNumberFormat="1" applyFont="1" applyFill="1" applyBorder="1" applyAlignment="1">
      <alignment horizontal="right"/>
    </xf>
    <xf numFmtId="169" fontId="5" fillId="20" borderId="0" xfId="58" applyNumberFormat="1" applyFont="1" applyFill="1" applyBorder="1" applyAlignment="1">
      <alignment horizontal="right"/>
    </xf>
    <xf numFmtId="169" fontId="5" fillId="0" borderId="0" xfId="0" applyNumberFormat="1" applyFont="1" applyFill="1" applyAlignment="1">
      <alignment horizontal="right"/>
    </xf>
    <xf numFmtId="169" fontId="77" fillId="0" borderId="0" xfId="0" applyNumberFormat="1" applyFont="1" applyFill="1" applyBorder="1" applyAlignment="1">
      <alignment horizontal="right"/>
    </xf>
    <xf numFmtId="169" fontId="10" fillId="0" borderId="0" xfId="58" applyNumberFormat="1" applyFont="1" applyFill="1" applyBorder="1" applyAlignment="1">
      <alignment horizontal="right"/>
    </xf>
    <xf numFmtId="168" fontId="74" fillId="0" borderId="0" xfId="39" applyNumberFormat="1" applyFont="1" applyFill="1" applyBorder="1" applyAlignment="1">
      <alignment horizontal="right"/>
    </xf>
    <xf numFmtId="169" fontId="74" fillId="20" borderId="20" xfId="0" applyNumberFormat="1" applyFont="1" applyFill="1" applyBorder="1" applyAlignment="1">
      <alignment horizontal="right"/>
    </xf>
    <xf numFmtId="168" fontId="69" fillId="0" borderId="0" xfId="39" applyNumberFormat="1" applyFont="1" applyFill="1" applyBorder="1" applyAlignment="1">
      <alignment horizontal="right"/>
    </xf>
    <xf numFmtId="169" fontId="5" fillId="0" borderId="0" xfId="39" applyNumberFormat="1" applyFont="1" applyFill="1" applyBorder="1" applyAlignment="1">
      <alignment horizontal="right"/>
    </xf>
    <xf numFmtId="168" fontId="62" fillId="0" borderId="0" xfId="39" applyNumberFormat="1" applyFont="1" applyFill="1" applyBorder="1" applyAlignment="1">
      <alignment horizontal="right"/>
    </xf>
    <xf numFmtId="168" fontId="53" fillId="0" borderId="0" xfId="39" applyNumberFormat="1" applyFont="1" applyFill="1" applyBorder="1" applyAlignment="1">
      <alignment horizontal="right"/>
    </xf>
    <xf numFmtId="169" fontId="74" fillId="20" borderId="0" xfId="0" applyNumberFormat="1" applyFont="1" applyFill="1" applyBorder="1" applyAlignment="1">
      <alignment horizontal="right"/>
    </xf>
    <xf numFmtId="169" fontId="10" fillId="0" borderId="0" xfId="58" applyNumberFormat="1" applyFont="1" applyFill="1" applyAlignment="1">
      <alignment horizontal="right"/>
    </xf>
    <xf numFmtId="168" fontId="12" fillId="17" borderId="0" xfId="39" applyNumberFormat="1" applyFont="1" applyFill="1" applyBorder="1" applyAlignment="1">
      <alignment horizontal="right"/>
    </xf>
    <xf numFmtId="168" fontId="12" fillId="0" borderId="0" xfId="39" applyNumberFormat="1" applyFont="1" applyFill="1" applyBorder="1" applyAlignment="1">
      <alignment horizontal="right" wrapText="1"/>
    </xf>
    <xf numFmtId="168" fontId="5" fillId="0" borderId="0" xfId="39" applyNumberFormat="1" applyFont="1" applyFill="1" applyBorder="1" applyAlignment="1">
      <alignment horizontal="right" wrapText="1"/>
    </xf>
    <xf numFmtId="168" fontId="12" fillId="17" borderId="0" xfId="39" applyNumberFormat="1" applyFont="1" applyFill="1" applyAlignment="1">
      <alignment horizontal="right"/>
    </xf>
    <xf numFmtId="168" fontId="5" fillId="0" borderId="0" xfId="39" applyNumberFormat="1" applyFont="1" applyAlignment="1">
      <alignment horizontal="right"/>
    </xf>
    <xf numFmtId="168" fontId="5" fillId="0" borderId="0" xfId="39" applyNumberFormat="1" applyFont="1" applyFill="1" applyAlignment="1">
      <alignment horizontal="right"/>
    </xf>
    <xf numFmtId="168" fontId="5" fillId="0" borderId="0" xfId="39" applyNumberFormat="1" applyFont="1" applyFill="1" applyBorder="1" applyAlignment="1">
      <alignment horizontal="right"/>
    </xf>
    <xf numFmtId="168" fontId="12" fillId="0" borderId="0" xfId="39" applyNumberFormat="1" applyFont="1" applyFill="1" applyBorder="1" applyAlignment="1">
      <alignment horizontal="right"/>
    </xf>
    <xf numFmtId="168" fontId="3" fillId="0" borderId="0" xfId="39" applyNumberFormat="1" applyFont="1" applyAlignment="1">
      <alignment horizontal="right"/>
    </xf>
    <xf numFmtId="168" fontId="3" fillId="17" borderId="0" xfId="39" applyNumberFormat="1" applyFont="1" applyFill="1" applyBorder="1" applyAlignment="1">
      <alignment horizontal="right"/>
    </xf>
    <xf numFmtId="168" fontId="3" fillId="0" borderId="0" xfId="39" applyNumberFormat="1" applyFont="1" applyFill="1" applyBorder="1" applyAlignment="1">
      <alignment horizontal="right"/>
    </xf>
    <xf numFmtId="168" fontId="7" fillId="17" borderId="0" xfId="39" applyNumberFormat="1" applyFont="1" applyFill="1" applyBorder="1" applyAlignment="1">
      <alignment horizontal="right"/>
    </xf>
    <xf numFmtId="168" fontId="3" fillId="0" borderId="0" xfId="39" applyNumberFormat="1" applyFont="1" applyFill="1" applyAlignment="1">
      <alignment horizontal="right"/>
    </xf>
    <xf numFmtId="168" fontId="3" fillId="17" borderId="16" xfId="39" applyNumberFormat="1" applyFont="1" applyFill="1" applyBorder="1" applyAlignment="1">
      <alignment horizontal="right"/>
    </xf>
    <xf numFmtId="169" fontId="5" fillId="0" borderId="0" xfId="58" applyNumberFormat="1" applyFont="1" applyFill="1" applyAlignment="1">
      <alignment horizontal="right"/>
    </xf>
    <xf numFmtId="166" fontId="18" fillId="0" borderId="0" xfId="39" applyNumberFormat="1" applyFont="1" applyFill="1" applyBorder="1" applyAlignment="1">
      <alignment horizontal="right"/>
    </xf>
    <xf numFmtId="167" fontId="18" fillId="0" borderId="0" xfId="39" applyNumberFormat="1" applyFont="1" applyFill="1" applyBorder="1" applyAlignment="1">
      <alignment horizontal="right"/>
    </xf>
    <xf numFmtId="183" fontId="18" fillId="0" borderId="0" xfId="39" applyNumberFormat="1" applyFont="1" applyFill="1" applyBorder="1" applyAlignment="1">
      <alignment horizontal="right"/>
    </xf>
    <xf numFmtId="168" fontId="3" fillId="0" borderId="0" xfId="39" applyNumberFormat="1" applyFont="1" applyFill="1" applyBorder="1" applyAlignment="1">
      <alignment horizontal="right" wrapText="1"/>
    </xf>
    <xf numFmtId="169" fontId="5" fillId="0" borderId="0" xfId="58" applyNumberFormat="1" applyFont="1" applyFill="1" applyBorder="1" applyAlignment="1">
      <alignment horizontal="right"/>
    </xf>
    <xf numFmtId="168" fontId="3" fillId="17" borderId="18" xfId="39" applyNumberFormat="1" applyFont="1" applyFill="1" applyBorder="1" applyAlignment="1">
      <alignment horizontal="right"/>
    </xf>
    <xf numFmtId="169" fontId="10" fillId="17" borderId="0" xfId="58" applyNumberFormat="1" applyFont="1" applyFill="1" applyBorder="1" applyAlignment="1">
      <alignment horizontal="right"/>
    </xf>
    <xf numFmtId="168" fontId="22" fillId="0" borderId="0" xfId="39" applyNumberFormat="1" applyFont="1" applyFill="1" applyBorder="1" applyAlignment="1">
      <alignment horizontal="right"/>
    </xf>
    <xf numFmtId="168" fontId="5" fillId="17" borderId="0" xfId="39" applyNumberFormat="1" applyFont="1" applyFill="1" applyBorder="1" applyAlignment="1">
      <alignment horizontal="right"/>
    </xf>
    <xf numFmtId="168" fontId="7" fillId="0" borderId="0" xfId="39" applyNumberFormat="1" applyFont="1" applyFill="1" applyBorder="1" applyAlignment="1">
      <alignment horizontal="right"/>
    </xf>
    <xf numFmtId="168" fontId="3" fillId="0" borderId="16" xfId="39" applyNumberFormat="1" applyFont="1" applyFill="1" applyBorder="1" applyAlignment="1">
      <alignment horizontal="right"/>
    </xf>
    <xf numFmtId="168" fontId="3" fillId="0" borderId="18" xfId="39" applyNumberFormat="1" applyFont="1" applyFill="1" applyBorder="1" applyAlignment="1">
      <alignment horizontal="right"/>
    </xf>
    <xf numFmtId="168" fontId="3" fillId="0" borderId="11" xfId="39" applyNumberFormat="1" applyFont="1" applyFill="1" applyBorder="1" applyAlignment="1">
      <alignment horizontal="right" wrapText="1"/>
    </xf>
    <xf numFmtId="168" fontId="56" fillId="0" borderId="0" xfId="39" applyNumberFormat="1" applyFont="1" applyFill="1" applyBorder="1" applyAlignment="1">
      <alignment horizontal="right"/>
    </xf>
    <xf numFmtId="176" fontId="3" fillId="0" borderId="11" xfId="39" applyNumberFormat="1" applyFont="1" applyFill="1" applyBorder="1" applyAlignment="1">
      <alignment horizontal="right"/>
    </xf>
    <xf numFmtId="168" fontId="3" fillId="0" borderId="20" xfId="39" applyNumberFormat="1" applyFont="1" applyFill="1" applyBorder="1" applyAlignment="1">
      <alignment horizontal="right" wrapText="1"/>
    </xf>
    <xf numFmtId="169" fontId="5" fillId="0" borderId="12" xfId="58" applyNumberFormat="1" applyFont="1" applyFill="1" applyBorder="1"/>
    <xf numFmtId="168" fontId="52" fillId="0" borderId="0" xfId="39" applyNumberFormat="1" applyFont="1" applyFill="1" applyBorder="1" applyAlignment="1">
      <alignment horizontal="right" wrapText="1"/>
    </xf>
    <xf numFmtId="168" fontId="53" fillId="0" borderId="0" xfId="39" applyNumberFormat="1" applyFont="1" applyFill="1" applyBorder="1" applyAlignment="1">
      <alignment horizontal="right" wrapText="1"/>
    </xf>
    <xf numFmtId="168" fontId="5" fillId="0" borderId="20" xfId="39" applyNumberFormat="1" applyFont="1" applyFill="1" applyBorder="1" applyAlignment="1">
      <alignment horizontal="right" wrapText="1"/>
    </xf>
    <xf numFmtId="169" fontId="61" fillId="0" borderId="20" xfId="58" applyNumberFormat="1" applyFont="1" applyFill="1" applyBorder="1"/>
    <xf numFmtId="169" fontId="58" fillId="0" borderId="0" xfId="58" applyNumberFormat="1" applyFont="1" applyFill="1" applyBorder="1" applyAlignment="1">
      <alignment horizontal="right" wrapText="1"/>
    </xf>
    <xf numFmtId="168" fontId="74" fillId="0" borderId="0" xfId="39" applyNumberFormat="1" applyFont="1" applyFill="1" applyBorder="1" applyAlignment="1">
      <alignment horizontal="right" wrapText="1"/>
    </xf>
    <xf numFmtId="168" fontId="66" fillId="0" borderId="0" xfId="39" applyNumberFormat="1" applyFont="1" applyFill="1" applyBorder="1" applyAlignment="1">
      <alignment horizontal="right" wrapText="1"/>
    </xf>
    <xf numFmtId="169" fontId="10" fillId="0" borderId="0" xfId="39" applyNumberFormat="1" applyFont="1" applyFill="1" applyAlignment="1">
      <alignment horizontal="right"/>
    </xf>
    <xf numFmtId="168" fontId="3" fillId="0" borderId="21" xfId="39" applyNumberFormat="1" applyFont="1" applyFill="1" applyBorder="1" applyAlignment="1">
      <alignment horizontal="right" wrapText="1"/>
    </xf>
    <xf numFmtId="168" fontId="5" fillId="0" borderId="16" xfId="39" applyNumberFormat="1" applyFont="1" applyFill="1" applyBorder="1" applyAlignment="1">
      <alignment horizontal="right" wrapText="1"/>
    </xf>
    <xf numFmtId="168" fontId="53" fillId="0" borderId="20" xfId="39" applyNumberFormat="1" applyFont="1" applyFill="1" applyBorder="1" applyAlignment="1">
      <alignment horizontal="right" wrapText="1"/>
    </xf>
    <xf numFmtId="168" fontId="52" fillId="0" borderId="20" xfId="39" applyNumberFormat="1" applyFont="1" applyFill="1" applyBorder="1" applyAlignment="1">
      <alignment horizontal="right" wrapText="1"/>
    </xf>
    <xf numFmtId="169" fontId="10" fillId="17" borderId="20" xfId="58" applyNumberFormat="1" applyFont="1" applyFill="1" applyBorder="1" applyAlignment="1">
      <alignment horizontal="right"/>
    </xf>
    <xf numFmtId="168" fontId="5" fillId="0" borderId="22" xfId="39" applyNumberFormat="1" applyFont="1" applyFill="1" applyBorder="1" applyAlignment="1">
      <alignment horizontal="right" wrapText="1"/>
    </xf>
    <xf numFmtId="169" fontId="61" fillId="0" borderId="0" xfId="58" applyNumberFormat="1" applyFont="1" applyFill="1" applyBorder="1"/>
    <xf numFmtId="9" fontId="5" fillId="0" borderId="0" xfId="0" applyNumberFormat="1" applyFont="1" applyFill="1" applyBorder="1"/>
    <xf numFmtId="0" fontId="10" fillId="0" borderId="0" xfId="0" applyFont="1" applyFill="1"/>
    <xf numFmtId="0" fontId="2" fillId="0" borderId="0" xfId="66"/>
    <xf numFmtId="9" fontId="5" fillId="0" borderId="0" xfId="58" applyFont="1" applyFill="1" applyBorder="1"/>
    <xf numFmtId="0" fontId="5" fillId="0" borderId="0" xfId="0" applyFont="1"/>
    <xf numFmtId="169" fontId="2" fillId="0" borderId="0" xfId="0" applyNumberFormat="1" applyFont="1"/>
    <xf numFmtId="169" fontId="5" fillId="0" borderId="0" xfId="39" applyNumberFormat="1" applyFont="1" applyFill="1" applyAlignment="1">
      <alignment horizontal="right"/>
    </xf>
    <xf numFmtId="0" fontId="34" fillId="0" borderId="0" xfId="51" applyFont="1" applyFill="1" applyBorder="1" applyAlignment="1" applyProtection="1">
      <alignment horizontal="left"/>
    </xf>
    <xf numFmtId="9" fontId="5" fillId="0" borderId="0" xfId="58" applyFont="1" applyFill="1"/>
    <xf numFmtId="9" fontId="5" fillId="0" borderId="0" xfId="58" applyFont="1"/>
    <xf numFmtId="169" fontId="5" fillId="0" borderId="0" xfId="58" applyNumberFormat="1" applyFont="1" applyBorder="1"/>
    <xf numFmtId="169" fontId="5" fillId="0" borderId="22" xfId="58" applyNumberFormat="1" applyFont="1" applyFill="1" applyBorder="1" applyAlignment="1">
      <alignment horizontal="right"/>
    </xf>
    <xf numFmtId="169" fontId="5" fillId="0" borderId="16" xfId="58" applyNumberFormat="1" applyFont="1" applyFill="1" applyBorder="1" applyAlignment="1">
      <alignment horizontal="right"/>
    </xf>
    <xf numFmtId="169" fontId="5" fillId="0" borderId="26" xfId="58" applyNumberFormat="1" applyFont="1" applyFill="1" applyBorder="1" applyAlignment="1">
      <alignment horizontal="right"/>
    </xf>
    <xf numFmtId="169" fontId="5" fillId="0" borderId="20" xfId="58" applyNumberFormat="1" applyFont="1" applyFill="1" applyBorder="1" applyAlignment="1">
      <alignment horizontal="right"/>
    </xf>
    <xf numFmtId="169" fontId="5" fillId="0" borderId="27" xfId="58" applyNumberFormat="1" applyFont="1" applyFill="1" applyBorder="1" applyAlignment="1">
      <alignment horizontal="right"/>
    </xf>
    <xf numFmtId="165" fontId="6" fillId="16" borderId="14" xfId="0" applyNumberFormat="1" applyFont="1" applyFill="1" applyBorder="1" applyAlignment="1">
      <alignment horizontal="center"/>
    </xf>
    <xf numFmtId="169" fontId="3" fillId="0" borderId="20" xfId="58" applyNumberFormat="1" applyFont="1" applyFill="1" applyBorder="1"/>
    <xf numFmtId="169" fontId="5" fillId="21" borderId="0" xfId="58" applyNumberFormat="1" applyFont="1" applyFill="1" applyBorder="1"/>
    <xf numFmtId="169" fontId="3" fillId="20" borderId="0" xfId="58" applyNumberFormat="1" applyFont="1" applyFill="1" applyBorder="1"/>
    <xf numFmtId="0" fontId="2" fillId="0" borderId="0" xfId="66" applyFont="1"/>
    <xf numFmtId="0" fontId="5" fillId="17" borderId="0" xfId="0" applyFont="1" applyFill="1"/>
    <xf numFmtId="168" fontId="5" fillId="0" borderId="12" xfId="0" applyNumberFormat="1" applyFont="1" applyFill="1" applyBorder="1"/>
    <xf numFmtId="187" fontId="5" fillId="0" borderId="26" xfId="39" applyNumberFormat="1" applyFont="1" applyFill="1" applyBorder="1" applyAlignment="1">
      <alignment horizontal="right" wrapText="1"/>
    </xf>
    <xf numFmtId="169" fontId="5" fillId="0" borderId="20" xfId="0" applyNumberFormat="1" applyFont="1" applyFill="1" applyBorder="1" applyAlignment="1">
      <alignment horizontal="right"/>
    </xf>
    <xf numFmtId="169" fontId="5" fillId="0" borderId="27" xfId="0" applyNumberFormat="1" applyFont="1" applyFill="1" applyBorder="1" applyAlignment="1">
      <alignment horizontal="right"/>
    </xf>
    <xf numFmtId="10" fontId="5" fillId="0" borderId="0" xfId="0" applyNumberFormat="1" applyFont="1" applyFill="1" applyBorder="1" applyAlignment="1">
      <alignment horizontal="right"/>
    </xf>
    <xf numFmtId="169" fontId="5" fillId="0" borderId="12" xfId="58" applyNumberFormat="1" applyFont="1" applyFill="1" applyBorder="1" applyAlignment="1">
      <alignment horizontal="left" indent="1"/>
    </xf>
    <xf numFmtId="166" fontId="12" fillId="0" borderId="20" xfId="74" applyNumberFormat="1" applyFont="1" applyFill="1" applyBorder="1" applyAlignment="1"/>
    <xf numFmtId="166" fontId="12" fillId="0" borderId="0" xfId="74" applyNumberFormat="1" applyFont="1" applyFill="1" applyAlignment="1"/>
    <xf numFmtId="168" fontId="5" fillId="0" borderId="27" xfId="0" applyNumberFormat="1" applyFont="1" applyFill="1" applyBorder="1" applyAlignment="1">
      <alignment horizontal="right"/>
    </xf>
    <xf numFmtId="169" fontId="81" fillId="0" borderId="12" xfId="58" applyNumberFormat="1" applyFont="1" applyFill="1" applyBorder="1" applyAlignment="1">
      <alignment horizontal="left" indent="2"/>
    </xf>
    <xf numFmtId="169" fontId="81" fillId="0" borderId="20" xfId="58" applyNumberFormat="1" applyFont="1" applyFill="1" applyBorder="1" applyAlignment="1">
      <alignment horizontal="right"/>
    </xf>
    <xf numFmtId="169" fontId="81" fillId="0" borderId="0" xfId="58" applyNumberFormat="1" applyFont="1" applyFill="1" applyAlignment="1"/>
    <xf numFmtId="169" fontId="81" fillId="0" borderId="27" xfId="58" applyNumberFormat="1" applyFont="1" applyFill="1" applyBorder="1" applyAlignment="1">
      <alignment horizontal="right"/>
    </xf>
    <xf numFmtId="187" fontId="5" fillId="0" borderId="27" xfId="39" applyNumberFormat="1" applyFont="1" applyFill="1" applyBorder="1" applyAlignment="1">
      <alignment horizontal="right" wrapText="1"/>
    </xf>
    <xf numFmtId="168" fontId="3" fillId="0" borderId="12" xfId="0" applyNumberFormat="1" applyFont="1" applyFill="1" applyBorder="1"/>
    <xf numFmtId="169" fontId="3" fillId="0" borderId="20" xfId="58" applyNumberFormat="1" applyFont="1" applyFill="1" applyBorder="1" applyAlignment="1">
      <alignment horizontal="right"/>
    </xf>
    <xf numFmtId="169" fontId="3" fillId="0" borderId="27" xfId="58" applyNumberFormat="1" applyFont="1" applyFill="1" applyBorder="1" applyAlignment="1">
      <alignment horizontal="right"/>
    </xf>
    <xf numFmtId="169" fontId="3" fillId="0" borderId="0" xfId="58" applyNumberFormat="1" applyFont="1" applyFill="1" applyBorder="1" applyAlignment="1">
      <alignment horizontal="right"/>
    </xf>
    <xf numFmtId="169" fontId="5" fillId="20" borderId="19" xfId="58" applyNumberFormat="1" applyFont="1" applyFill="1" applyBorder="1"/>
    <xf numFmtId="169" fontId="5" fillId="20" borderId="20" xfId="58" applyNumberFormat="1" applyFont="1" applyFill="1" applyBorder="1" applyAlignment="1">
      <alignment horizontal="right"/>
    </xf>
    <xf numFmtId="169" fontId="5" fillId="20" borderId="21" xfId="58" applyNumberFormat="1" applyFont="1" applyFill="1" applyBorder="1" applyAlignment="1">
      <alignment horizontal="right"/>
    </xf>
    <xf numFmtId="169" fontId="5" fillId="20" borderId="11" xfId="58" applyNumberFormat="1" applyFont="1" applyFill="1" applyBorder="1" applyAlignment="1">
      <alignment horizontal="right"/>
    </xf>
    <xf numFmtId="169" fontId="5" fillId="20" borderId="28" xfId="58" applyNumberFormat="1" applyFont="1" applyFill="1" applyBorder="1" applyAlignment="1">
      <alignment horizontal="right"/>
    </xf>
    <xf numFmtId="0" fontId="3" fillId="0" borderId="17" xfId="0" applyFont="1" applyBorder="1" applyAlignment="1">
      <alignment horizontal="left"/>
    </xf>
    <xf numFmtId="169" fontId="3" fillId="0" borderId="15" xfId="58" applyNumberFormat="1" applyFont="1" applyBorder="1"/>
    <xf numFmtId="169" fontId="3" fillId="0" borderId="14" xfId="58" applyNumberFormat="1" applyFont="1" applyBorder="1"/>
    <xf numFmtId="169" fontId="82" fillId="0" borderId="0" xfId="0" applyNumberFormat="1" applyFont="1" applyFill="1" applyBorder="1"/>
    <xf numFmtId="169" fontId="3" fillId="0" borderId="21" xfId="58" applyNumberFormat="1" applyFont="1" applyBorder="1"/>
    <xf numFmtId="169" fontId="3" fillId="0" borderId="11" xfId="58" applyNumberFormat="1" applyFont="1" applyBorder="1"/>
    <xf numFmtId="169" fontId="3" fillId="0" borderId="28" xfId="58" applyNumberFormat="1" applyFont="1" applyBorder="1"/>
    <xf numFmtId="166" fontId="5" fillId="0" borderId="0" xfId="74" applyNumberFormat="1" applyFont="1" applyFill="1" applyBorder="1" applyAlignment="1"/>
    <xf numFmtId="0" fontId="2" fillId="0" borderId="0" xfId="86" applyFill="1"/>
    <xf numFmtId="205" fontId="30" fillId="0" borderId="0" xfId="86" applyNumberFormat="1" applyFont="1" applyFill="1" applyBorder="1" applyAlignment="1">
      <alignment horizontal="left"/>
    </xf>
    <xf numFmtId="205" fontId="3" fillId="0" borderId="0" xfId="86" applyNumberFormat="1" applyFont="1" applyFill="1" applyBorder="1" applyAlignment="1">
      <alignment horizontal="center"/>
    </xf>
    <xf numFmtId="0" fontId="5" fillId="0" borderId="0" xfId="86" applyFont="1" applyFill="1"/>
    <xf numFmtId="0" fontId="29" fillId="0" borderId="0" xfId="86" applyFont="1" applyFill="1" applyBorder="1" applyAlignment="1"/>
    <xf numFmtId="205" fontId="30" fillId="0" borderId="0" xfId="86" applyNumberFormat="1" applyFont="1" applyFill="1" applyBorder="1" applyAlignment="1">
      <alignment horizontal="center"/>
    </xf>
    <xf numFmtId="0" fontId="2" fillId="0" borderId="0" xfId="86" applyFont="1" applyFill="1" applyBorder="1" applyAlignment="1"/>
    <xf numFmtId="0" fontId="83" fillId="0" borderId="0" xfId="51" applyFont="1" applyFill="1" applyBorder="1" applyAlignment="1" applyProtection="1">
      <alignment horizontal="left"/>
    </xf>
    <xf numFmtId="165" fontId="6" fillId="26" borderId="0" xfId="86" applyNumberFormat="1" applyFont="1" applyFill="1" applyBorder="1" applyAlignment="1">
      <alignment horizontal="center"/>
    </xf>
    <xf numFmtId="165" fontId="6" fillId="26" borderId="30" xfId="86" applyNumberFormat="1" applyFont="1" applyFill="1" applyBorder="1" applyAlignment="1">
      <alignment horizontal="center"/>
    </xf>
    <xf numFmtId="0" fontId="2" fillId="0" borderId="0" xfId="86" applyFill="1" applyBorder="1"/>
    <xf numFmtId="0" fontId="5" fillId="0" borderId="0" xfId="86" applyFont="1" applyFill="1" applyBorder="1" applyAlignment="1">
      <alignment horizontal="left"/>
    </xf>
    <xf numFmtId="0" fontId="85" fillId="21" borderId="0" xfId="86" applyFont="1" applyFill="1" applyBorder="1" applyAlignment="1">
      <alignment horizontal="left" indent="1"/>
    </xf>
    <xf numFmtId="175" fontId="58" fillId="21" borderId="0" xfId="86" applyNumberFormat="1" applyFont="1" applyFill="1" applyBorder="1" applyAlignment="1">
      <alignment horizontal="right"/>
    </xf>
    <xf numFmtId="175" fontId="58" fillId="21" borderId="30" xfId="86" applyNumberFormat="1" applyFont="1" applyFill="1" applyBorder="1" applyAlignment="1">
      <alignment horizontal="right"/>
    </xf>
    <xf numFmtId="0" fontId="85" fillId="0" borderId="0" xfId="86" applyFont="1" applyFill="1" applyBorder="1" applyAlignment="1">
      <alignment horizontal="left" indent="1"/>
    </xf>
    <xf numFmtId="0" fontId="3" fillId="20" borderId="0" xfId="86" applyFont="1" applyFill="1" applyBorder="1" applyAlignment="1"/>
    <xf numFmtId="0" fontId="5" fillId="21" borderId="0" xfId="86" applyFont="1" applyFill="1" applyBorder="1" applyAlignment="1">
      <alignment horizontal="left" indent="1"/>
    </xf>
    <xf numFmtId="0" fontId="2" fillId="0" borderId="0" xfId="86" applyBorder="1"/>
    <xf numFmtId="0" fontId="14" fillId="0" borderId="0" xfId="86" applyFont="1" applyBorder="1"/>
    <xf numFmtId="0" fontId="34" fillId="0" borderId="0" xfId="51" applyFont="1" applyFill="1" applyBorder="1" applyAlignment="1" applyProtection="1">
      <alignment horizontal="left" indent="1"/>
    </xf>
    <xf numFmtId="0" fontId="2" fillId="0" borderId="0" xfId="86" applyFont="1" applyBorder="1" applyAlignment="1"/>
    <xf numFmtId="175" fontId="5" fillId="0" borderId="30" xfId="86" applyNumberFormat="1" applyFont="1" applyFill="1" applyBorder="1" applyAlignment="1">
      <alignment horizontal="right"/>
    </xf>
    <xf numFmtId="175" fontId="5" fillId="0" borderId="0" xfId="86" applyNumberFormat="1" applyFont="1" applyFill="1" applyBorder="1" applyAlignment="1">
      <alignment horizontal="right"/>
    </xf>
    <xf numFmtId="0" fontId="2" fillId="21" borderId="0" xfId="86" applyFill="1" applyBorder="1"/>
    <xf numFmtId="175" fontId="5" fillId="21" borderId="30" xfId="86" applyNumberFormat="1" applyFont="1" applyFill="1" applyBorder="1" applyAlignment="1">
      <alignment horizontal="right"/>
    </xf>
    <xf numFmtId="175" fontId="5" fillId="21" borderId="0" xfId="86" applyNumberFormat="1" applyFont="1" applyFill="1" applyBorder="1" applyAlignment="1">
      <alignment horizontal="right"/>
    </xf>
    <xf numFmtId="175" fontId="3" fillId="20" borderId="0" xfId="86" applyNumberFormat="1" applyFont="1" applyFill="1" applyBorder="1" applyAlignment="1">
      <alignment horizontal="right"/>
    </xf>
    <xf numFmtId="175" fontId="3" fillId="20" borderId="30" xfId="86" applyNumberFormat="1" applyFont="1" applyFill="1" applyBorder="1" applyAlignment="1">
      <alignment horizontal="right"/>
    </xf>
    <xf numFmtId="175" fontId="5" fillId="21" borderId="0" xfId="86" quotePrefix="1" applyNumberFormat="1" applyFont="1" applyFill="1" applyBorder="1" applyAlignment="1">
      <alignment horizontal="right"/>
    </xf>
    <xf numFmtId="175" fontId="5" fillId="21" borderId="30" xfId="86" quotePrefix="1" applyNumberFormat="1" applyFont="1" applyFill="1" applyBorder="1" applyAlignment="1">
      <alignment horizontal="right"/>
    </xf>
    <xf numFmtId="0" fontId="5" fillId="0" borderId="0" xfId="86" applyFont="1" applyBorder="1"/>
    <xf numFmtId="175" fontId="5" fillId="0" borderId="0" xfId="86" applyNumberFormat="1" applyFont="1" applyBorder="1"/>
    <xf numFmtId="0" fontId="5" fillId="0" borderId="0" xfId="86" applyFont="1" applyFill="1" applyBorder="1"/>
    <xf numFmtId="171" fontId="3" fillId="0" borderId="0" xfId="86" applyNumberFormat="1" applyFont="1" applyFill="1" applyBorder="1"/>
    <xf numFmtId="9" fontId="5" fillId="0" borderId="30" xfId="58" applyFont="1" applyFill="1" applyBorder="1"/>
    <xf numFmtId="169" fontId="5" fillId="0" borderId="30" xfId="58" applyNumberFormat="1" applyFont="1" applyFill="1" applyBorder="1"/>
    <xf numFmtId="9" fontId="5" fillId="21" borderId="0" xfId="58" applyFont="1" applyFill="1" applyBorder="1"/>
    <xf numFmtId="9" fontId="5" fillId="21" borderId="30" xfId="58" applyFont="1" applyFill="1" applyBorder="1"/>
    <xf numFmtId="171" fontId="58" fillId="21" borderId="30" xfId="86" applyNumberFormat="1" applyFont="1" applyFill="1" applyBorder="1" applyAlignment="1">
      <alignment horizontal="right"/>
    </xf>
    <xf numFmtId="171" fontId="58" fillId="21" borderId="0" xfId="86" applyNumberFormat="1" applyFont="1" applyFill="1" applyBorder="1" applyAlignment="1">
      <alignment horizontal="right"/>
    </xf>
    <xf numFmtId="169" fontId="5" fillId="21" borderId="30" xfId="58" applyNumberFormat="1" applyFont="1" applyFill="1" applyBorder="1"/>
    <xf numFmtId="171" fontId="58" fillId="0" borderId="30" xfId="86" applyNumberFormat="1" applyFont="1" applyFill="1" applyBorder="1" applyAlignment="1">
      <alignment horizontal="right"/>
    </xf>
    <xf numFmtId="171" fontId="58" fillId="0" borderId="0" xfId="86" applyNumberFormat="1" applyFont="1" applyFill="1" applyBorder="1" applyAlignment="1">
      <alignment horizontal="right"/>
    </xf>
    <xf numFmtId="9" fontId="3" fillId="20" borderId="0" xfId="58" applyFont="1" applyFill="1" applyBorder="1"/>
    <xf numFmtId="9" fontId="3" fillId="20" borderId="30" xfId="58" applyFont="1" applyFill="1" applyBorder="1"/>
    <xf numFmtId="169" fontId="3" fillId="20" borderId="30" xfId="58" applyNumberFormat="1" applyFont="1" applyFill="1" applyBorder="1"/>
    <xf numFmtId="171" fontId="84" fillId="0" borderId="0" xfId="86" applyNumberFormat="1" applyFont="1" applyFill="1" applyBorder="1"/>
    <xf numFmtId="171" fontId="84" fillId="0" borderId="30" xfId="86" applyNumberFormat="1" applyFont="1" applyFill="1" applyBorder="1"/>
    <xf numFmtId="171" fontId="84" fillId="21" borderId="30" xfId="86" applyNumberFormat="1" applyFont="1" applyFill="1" applyBorder="1" applyAlignment="1">
      <alignment horizontal="right"/>
    </xf>
    <xf numFmtId="171" fontId="84" fillId="21" borderId="0" xfId="86" applyNumberFormat="1" applyFont="1" applyFill="1" applyBorder="1" applyAlignment="1">
      <alignment horizontal="right"/>
    </xf>
    <xf numFmtId="171" fontId="84" fillId="0" borderId="30" xfId="86" applyNumberFormat="1" applyFont="1" applyFill="1" applyBorder="1" applyAlignment="1">
      <alignment horizontal="right"/>
    </xf>
    <xf numFmtId="171" fontId="84" fillId="0" borderId="0" xfId="86" applyNumberFormat="1" applyFont="1" applyFill="1" applyBorder="1" applyAlignment="1">
      <alignment horizontal="right"/>
    </xf>
    <xf numFmtId="0" fontId="3" fillId="20" borderId="0" xfId="86" applyFont="1" applyFill="1" applyBorder="1" applyAlignment="1">
      <alignment horizontal="left"/>
    </xf>
    <xf numFmtId="171" fontId="86" fillId="20" borderId="0" xfId="86" applyNumberFormat="1" applyFont="1" applyFill="1" applyBorder="1"/>
    <xf numFmtId="171" fontId="86" fillId="20" borderId="30" xfId="86" applyNumberFormat="1" applyFont="1" applyFill="1" applyBorder="1"/>
    <xf numFmtId="0" fontId="3" fillId="0" borderId="0" xfId="86" applyFont="1" applyFill="1" applyBorder="1" applyAlignment="1">
      <alignment horizontal="left"/>
    </xf>
    <xf numFmtId="171" fontId="84" fillId="21" borderId="0" xfId="86" applyNumberFormat="1" applyFont="1" applyFill="1" applyBorder="1"/>
    <xf numFmtId="175" fontId="5" fillId="0" borderId="0" xfId="86" applyNumberFormat="1" applyFont="1" applyFill="1"/>
    <xf numFmtId="171" fontId="87" fillId="0" borderId="0" xfId="86" applyNumberFormat="1" applyFont="1" applyFill="1" applyBorder="1"/>
    <xf numFmtId="171" fontId="5" fillId="0" borderId="30" xfId="86" applyNumberFormat="1" applyFont="1" applyFill="1" applyBorder="1"/>
    <xf numFmtId="171" fontId="5" fillId="0" borderId="0" xfId="86" applyNumberFormat="1" applyFont="1" applyFill="1" applyBorder="1"/>
    <xf numFmtId="0" fontId="5" fillId="21" borderId="0" xfId="86" applyFont="1" applyFill="1" applyBorder="1" applyAlignment="1">
      <alignment horizontal="left"/>
    </xf>
    <xf numFmtId="0" fontId="5" fillId="21" borderId="0" xfId="86" applyFont="1" applyFill="1" applyBorder="1"/>
    <xf numFmtId="0" fontId="5" fillId="21" borderId="30" xfId="86" applyFont="1" applyFill="1" applyBorder="1"/>
    <xf numFmtId="171" fontId="5" fillId="21" borderId="0" xfId="86" applyNumberFormat="1" applyFont="1" applyFill="1" applyBorder="1"/>
    <xf numFmtId="171" fontId="5" fillId="21" borderId="30" xfId="86" applyNumberFormat="1" applyFont="1" applyFill="1" applyBorder="1"/>
    <xf numFmtId="9" fontId="0" fillId="0" borderId="0" xfId="58" applyFont="1" applyFill="1"/>
    <xf numFmtId="0" fontId="85" fillId="0" borderId="0" xfId="86" applyFont="1" applyFill="1" applyBorder="1" applyAlignment="1">
      <alignment horizontal="left"/>
    </xf>
    <xf numFmtId="165" fontId="5" fillId="0" borderId="0" xfId="86" applyNumberFormat="1" applyFont="1" applyFill="1"/>
    <xf numFmtId="171" fontId="3" fillId="0" borderId="30" xfId="86" applyNumberFormat="1" applyFont="1" applyFill="1" applyBorder="1"/>
    <xf numFmtId="0" fontId="3" fillId="27" borderId="0" xfId="86" applyFont="1" applyFill="1" applyBorder="1"/>
    <xf numFmtId="0" fontId="5" fillId="27" borderId="0" xfId="86" applyFont="1" applyFill="1" applyBorder="1"/>
    <xf numFmtId="0" fontId="5" fillId="27" borderId="30" xfId="86" applyFont="1" applyFill="1" applyBorder="1"/>
    <xf numFmtId="169" fontId="5" fillId="27" borderId="30" xfId="58" applyNumberFormat="1" applyFont="1" applyFill="1" applyBorder="1"/>
    <xf numFmtId="169" fontId="5" fillId="27" borderId="0" xfId="58" applyNumberFormat="1" applyFont="1" applyFill="1" applyBorder="1"/>
    <xf numFmtId="0" fontId="3" fillId="21" borderId="0" xfId="86" applyFont="1" applyFill="1" applyBorder="1" applyAlignment="1">
      <alignment horizontal="left"/>
    </xf>
    <xf numFmtId="0" fontId="14" fillId="21" borderId="0" xfId="86" applyFont="1" applyFill="1" applyBorder="1"/>
    <xf numFmtId="175" fontId="3" fillId="21" borderId="30" xfId="86" quotePrefix="1" applyNumberFormat="1" applyFont="1" applyFill="1" applyBorder="1" applyAlignment="1">
      <alignment horizontal="right"/>
    </xf>
    <xf numFmtId="175" fontId="3" fillId="21" borderId="0" xfId="86" quotePrefix="1" applyNumberFormat="1" applyFont="1" applyFill="1" applyBorder="1" applyAlignment="1">
      <alignment horizontal="right"/>
    </xf>
    <xf numFmtId="175" fontId="3" fillId="0" borderId="30" xfId="86" quotePrefix="1" applyNumberFormat="1" applyFont="1" applyFill="1" applyBorder="1" applyAlignment="1">
      <alignment horizontal="right"/>
    </xf>
    <xf numFmtId="175" fontId="3" fillId="0" borderId="0" xfId="86" quotePrefix="1" applyNumberFormat="1" applyFont="1" applyFill="1" applyBorder="1" applyAlignment="1">
      <alignment horizontal="right"/>
    </xf>
    <xf numFmtId="0" fontId="14" fillId="0" borderId="0" xfId="86" applyFont="1" applyFill="1" applyBorder="1"/>
    <xf numFmtId="175" fontId="3" fillId="0" borderId="30" xfId="86" applyNumberFormat="1" applyFont="1" applyFill="1" applyBorder="1" applyAlignment="1">
      <alignment horizontal="right"/>
    </xf>
    <xf numFmtId="175" fontId="3" fillId="0" borderId="0" xfId="86" applyNumberFormat="1" applyFont="1" applyFill="1" applyBorder="1" applyAlignment="1">
      <alignment horizontal="right"/>
    </xf>
    <xf numFmtId="165" fontId="6" fillId="26" borderId="0" xfId="86" applyNumberFormat="1" applyFont="1" applyFill="1" applyBorder="1" applyAlignment="1">
      <alignment horizontal="right"/>
    </xf>
    <xf numFmtId="9" fontId="3" fillId="0" borderId="0" xfId="58" applyFont="1" applyFill="1" applyBorder="1"/>
    <xf numFmtId="9" fontId="3" fillId="0" borderId="30" xfId="58" applyFont="1" applyFill="1" applyBorder="1"/>
    <xf numFmtId="169" fontId="3" fillId="0" borderId="30" xfId="58" applyNumberFormat="1" applyFont="1" applyFill="1" applyBorder="1"/>
    <xf numFmtId="169" fontId="3" fillId="0" borderId="0" xfId="58" applyNumberFormat="1" applyFont="1" applyFill="1" applyBorder="1"/>
    <xf numFmtId="171" fontId="86" fillId="0" borderId="0" xfId="86" applyNumberFormat="1" applyFont="1" applyFill="1" applyBorder="1"/>
    <xf numFmtId="171" fontId="86" fillId="0" borderId="30" xfId="86" applyNumberFormat="1" applyFont="1" applyFill="1" applyBorder="1"/>
    <xf numFmtId="171" fontId="84" fillId="21" borderId="30" xfId="86" applyNumberFormat="1" applyFont="1" applyFill="1" applyBorder="1"/>
    <xf numFmtId="169" fontId="58" fillId="21" borderId="0" xfId="58" applyNumberFormat="1" applyFont="1" applyFill="1" applyBorder="1" applyAlignment="1">
      <alignment horizontal="right"/>
    </xf>
    <xf numFmtId="169" fontId="58" fillId="0" borderId="0" xfId="58" applyNumberFormat="1" applyFont="1" applyFill="1" applyBorder="1" applyAlignment="1">
      <alignment horizontal="right"/>
    </xf>
    <xf numFmtId="165" fontId="6" fillId="26" borderId="20" xfId="86" applyNumberFormat="1" applyFont="1" applyFill="1" applyBorder="1" applyAlignment="1">
      <alignment horizontal="right"/>
    </xf>
    <xf numFmtId="165" fontId="6" fillId="26" borderId="20" xfId="86" applyNumberFormat="1" applyFont="1" applyFill="1" applyBorder="1" applyAlignment="1">
      <alignment horizontal="center"/>
    </xf>
    <xf numFmtId="0" fontId="14" fillId="0" borderId="20" xfId="86" applyFont="1" applyFill="1" applyBorder="1"/>
    <xf numFmtId="0" fontId="2" fillId="0" borderId="20" xfId="86" applyFill="1" applyBorder="1"/>
    <xf numFmtId="0" fontId="14" fillId="21" borderId="20" xfId="86" applyFont="1" applyFill="1" applyBorder="1"/>
    <xf numFmtId="0" fontId="2" fillId="21" borderId="20" xfId="86" applyFill="1" applyBorder="1"/>
    <xf numFmtId="175" fontId="3" fillId="20" borderId="20" xfId="86" applyNumberFormat="1" applyFont="1" applyFill="1" applyBorder="1" applyAlignment="1">
      <alignment horizontal="right"/>
    </xf>
    <xf numFmtId="9" fontId="3" fillId="0" borderId="20" xfId="58" applyFont="1" applyFill="1" applyBorder="1"/>
    <xf numFmtId="9" fontId="5" fillId="21" borderId="20" xfId="58" applyFont="1" applyFill="1" applyBorder="1"/>
    <xf numFmtId="9" fontId="5" fillId="0" borderId="20" xfId="58" applyFont="1" applyFill="1" applyBorder="1"/>
    <xf numFmtId="9" fontId="3" fillId="20" borderId="20" xfId="58" applyFont="1" applyFill="1" applyBorder="1"/>
    <xf numFmtId="171" fontId="86" fillId="0" borderId="20" xfId="86" applyNumberFormat="1" applyFont="1" applyFill="1" applyBorder="1"/>
    <xf numFmtId="171" fontId="84" fillId="21" borderId="20" xfId="86" applyNumberFormat="1" applyFont="1" applyFill="1" applyBorder="1" applyAlignment="1">
      <alignment horizontal="right"/>
    </xf>
    <xf numFmtId="171" fontId="84" fillId="0" borderId="20" xfId="86" applyNumberFormat="1" applyFont="1" applyFill="1" applyBorder="1" applyAlignment="1">
      <alignment horizontal="right"/>
    </xf>
    <xf numFmtId="171" fontId="58" fillId="0" borderId="20" xfId="86" applyNumberFormat="1" applyFont="1" applyFill="1" applyBorder="1" applyAlignment="1">
      <alignment horizontal="right"/>
    </xf>
    <xf numFmtId="171" fontId="58" fillId="21" borderId="20" xfId="86" applyNumberFormat="1" applyFont="1" applyFill="1" applyBorder="1" applyAlignment="1">
      <alignment horizontal="right"/>
    </xf>
    <xf numFmtId="171" fontId="86" fillId="20" borderId="20" xfId="86" applyNumberFormat="1" applyFont="1" applyFill="1" applyBorder="1"/>
    <xf numFmtId="171" fontId="84" fillId="0" borderId="20" xfId="86" applyNumberFormat="1" applyFont="1" applyFill="1" applyBorder="1"/>
    <xf numFmtId="171" fontId="84" fillId="21" borderId="20" xfId="86" applyNumberFormat="1" applyFont="1" applyFill="1" applyBorder="1"/>
    <xf numFmtId="0" fontId="5" fillId="0" borderId="20" xfId="86" applyFont="1" applyBorder="1"/>
    <xf numFmtId="0" fontId="5" fillId="21" borderId="20" xfId="86" applyFont="1" applyFill="1" applyBorder="1"/>
    <xf numFmtId="0" fontId="5" fillId="0" borderId="20" xfId="86" applyFont="1" applyFill="1" applyBorder="1"/>
    <xf numFmtId="0" fontId="5" fillId="27" borderId="20" xfId="86" applyFont="1" applyFill="1" applyBorder="1"/>
    <xf numFmtId="0" fontId="3" fillId="17" borderId="0" xfId="0" applyFont="1" applyFill="1" applyAlignment="1">
      <alignment wrapText="1"/>
    </xf>
    <xf numFmtId="0" fontId="5" fillId="0" borderId="0" xfId="0" applyFont="1" applyBorder="1" applyAlignment="1">
      <alignment horizontal="right"/>
    </xf>
    <xf numFmtId="5" fontId="5" fillId="0" borderId="0" xfId="0" applyNumberFormat="1" applyFont="1" applyFill="1" applyBorder="1" applyAlignment="1">
      <alignment horizontal="right"/>
    </xf>
    <xf numFmtId="0" fontId="34" fillId="17" borderId="0" xfId="51" applyFont="1" applyFill="1" applyBorder="1" applyAlignment="1">
      <alignment horizontal="left"/>
    </xf>
    <xf numFmtId="167" fontId="5" fillId="0" borderId="0" xfId="39" applyNumberFormat="1" applyFont="1" applyFill="1" applyAlignment="1">
      <alignment horizontal="right"/>
    </xf>
    <xf numFmtId="7" fontId="5" fillId="0" borderId="0" xfId="0" applyNumberFormat="1" applyFont="1" applyFill="1" applyBorder="1" applyAlignment="1">
      <alignment horizontal="right"/>
    </xf>
    <xf numFmtId="7" fontId="5" fillId="0" borderId="0" xfId="0" applyNumberFormat="1" applyFont="1" applyAlignment="1">
      <alignment horizontal="right"/>
    </xf>
    <xf numFmtId="182" fontId="5" fillId="0" borderId="0" xfId="0" applyNumberFormat="1" applyFont="1" applyAlignment="1">
      <alignment horizontal="right"/>
    </xf>
    <xf numFmtId="39" fontId="5" fillId="0" borderId="0" xfId="0" applyNumberFormat="1" applyFont="1" applyAlignment="1">
      <alignment horizontal="right"/>
    </xf>
    <xf numFmtId="168" fontId="5" fillId="0" borderId="0" xfId="0" applyNumberFormat="1" applyFont="1" applyBorder="1" applyAlignment="1">
      <alignment horizontal="right"/>
    </xf>
    <xf numFmtId="174" fontId="5" fillId="0" borderId="0" xfId="0" applyNumberFormat="1" applyFont="1" applyBorder="1" applyAlignment="1">
      <alignment horizontal="right"/>
    </xf>
    <xf numFmtId="184" fontId="5" fillId="0" borderId="0" xfId="0" applyNumberFormat="1" applyFont="1"/>
    <xf numFmtId="7" fontId="5" fillId="0" borderId="0" xfId="0" applyNumberFormat="1" applyFont="1"/>
    <xf numFmtId="9" fontId="5" fillId="0" borderId="0" xfId="58" applyFont="1" applyBorder="1" applyAlignment="1">
      <alignment horizontal="right"/>
    </xf>
    <xf numFmtId="168" fontId="12" fillId="0" borderId="20" xfId="39" applyNumberFormat="1" applyFont="1" applyFill="1" applyBorder="1" applyAlignment="1">
      <alignment horizontal="right"/>
    </xf>
    <xf numFmtId="168" fontId="12" fillId="0" borderId="20" xfId="39" applyNumberFormat="1" applyFont="1" applyFill="1" applyBorder="1" applyAlignment="1">
      <alignment horizontal="right" wrapText="1"/>
    </xf>
    <xf numFmtId="37" fontId="5" fillId="0" borderId="0" xfId="0" applyNumberFormat="1" applyFont="1" applyFill="1" applyBorder="1" applyAlignment="1">
      <alignment horizontal="right"/>
    </xf>
    <xf numFmtId="172" fontId="5" fillId="0" borderId="0" xfId="0" applyNumberFormat="1" applyFont="1" applyFill="1" applyBorder="1" applyAlignment="1">
      <alignment horizontal="right"/>
    </xf>
    <xf numFmtId="7" fontId="5" fillId="0" borderId="0" xfId="0" applyNumberFormat="1" applyFont="1" applyFill="1" applyBorder="1"/>
    <xf numFmtId="7" fontId="30" fillId="0" borderId="0" xfId="0" applyNumberFormat="1" applyFont="1" applyFill="1" applyBorder="1"/>
    <xf numFmtId="7" fontId="3" fillId="18" borderId="21" xfId="39" applyNumberFormat="1" applyFont="1" applyFill="1" applyBorder="1" applyAlignment="1">
      <alignment horizontal="right"/>
    </xf>
    <xf numFmtId="7" fontId="3" fillId="18" borderId="11" xfId="39" applyNumberFormat="1" applyFont="1" applyFill="1" applyBorder="1" applyAlignment="1">
      <alignment horizontal="right"/>
    </xf>
    <xf numFmtId="185" fontId="3" fillId="17" borderId="0" xfId="39" applyNumberFormat="1" applyFont="1" applyFill="1" applyBorder="1" applyAlignment="1">
      <alignment horizontal="right"/>
    </xf>
    <xf numFmtId="169" fontId="5" fillId="17" borderId="20" xfId="0" applyNumberFormat="1" applyFont="1" applyFill="1" applyBorder="1" applyAlignment="1">
      <alignment horizontal="right"/>
    </xf>
    <xf numFmtId="169" fontId="12" fillId="0" borderId="0" xfId="39" applyNumberFormat="1" applyFont="1" applyFill="1" applyBorder="1" applyAlignment="1">
      <alignment horizontal="right"/>
    </xf>
    <xf numFmtId="169" fontId="5" fillId="17" borderId="21" xfId="0" applyNumberFormat="1" applyFont="1" applyFill="1" applyBorder="1" applyAlignment="1">
      <alignment horizontal="right"/>
    </xf>
    <xf numFmtId="169" fontId="5" fillId="17" borderId="11" xfId="0" applyNumberFormat="1" applyFont="1" applyFill="1" applyBorder="1" applyAlignment="1">
      <alignment horizontal="right"/>
    </xf>
    <xf numFmtId="0" fontId="5" fillId="0" borderId="16" xfId="0" applyFont="1" applyBorder="1"/>
    <xf numFmtId="169" fontId="5" fillId="0" borderId="0" xfId="0" applyNumberFormat="1" applyFont="1"/>
    <xf numFmtId="169" fontId="5" fillId="17" borderId="22" xfId="0" applyNumberFormat="1" applyFont="1" applyFill="1" applyBorder="1" applyAlignment="1">
      <alignment horizontal="right"/>
    </xf>
    <xf numFmtId="169" fontId="5" fillId="17" borderId="16" xfId="0" applyNumberFormat="1" applyFont="1" applyFill="1" applyBorder="1" applyAlignment="1">
      <alignment horizontal="right"/>
    </xf>
    <xf numFmtId="7" fontId="3" fillId="0" borderId="21" xfId="39" applyNumberFormat="1" applyFont="1" applyFill="1" applyBorder="1" applyAlignment="1">
      <alignment horizontal="right"/>
    </xf>
    <xf numFmtId="7" fontId="3" fillId="0" borderId="11" xfId="39" applyNumberFormat="1" applyFont="1" applyFill="1" applyBorder="1" applyAlignment="1">
      <alignment horizontal="right"/>
    </xf>
    <xf numFmtId="169" fontId="5" fillId="17" borderId="0" xfId="0" applyNumberFormat="1" applyFont="1" applyFill="1"/>
    <xf numFmtId="1" fontId="64" fillId="0" borderId="0" xfId="0" applyNumberFormat="1" applyFont="1"/>
    <xf numFmtId="43" fontId="5" fillId="0" borderId="0" xfId="0" applyNumberFormat="1" applyFont="1" applyFill="1" applyAlignment="1">
      <alignment horizontal="right"/>
    </xf>
    <xf numFmtId="43" fontId="5" fillId="0" borderId="0" xfId="39" applyFont="1" applyFill="1" applyAlignment="1">
      <alignment horizontal="right"/>
    </xf>
    <xf numFmtId="0" fontId="30" fillId="0" borderId="0" xfId="0" applyFont="1" applyFill="1" applyAlignment="1">
      <alignment horizontal="left"/>
    </xf>
    <xf numFmtId="9" fontId="5" fillId="0" borderId="0" xfId="58" applyFont="1" applyFill="1" applyAlignment="1">
      <alignment horizontal="right"/>
    </xf>
    <xf numFmtId="0" fontId="5" fillId="25" borderId="0" xfId="0" applyFont="1" applyFill="1"/>
    <xf numFmtId="43" fontId="5" fillId="25" borderId="0" xfId="0" applyNumberFormat="1" applyFont="1" applyFill="1" applyAlignment="1">
      <alignment horizontal="right"/>
    </xf>
    <xf numFmtId="169" fontId="5" fillId="25" borderId="0" xfId="58" applyNumberFormat="1" applyFont="1" applyFill="1" applyAlignment="1">
      <alignment horizontal="right"/>
    </xf>
    <xf numFmtId="0" fontId="5" fillId="25" borderId="0" xfId="0" applyFont="1" applyFill="1" applyAlignment="1">
      <alignment horizontal="right"/>
    </xf>
    <xf numFmtId="169" fontId="5" fillId="25" borderId="0" xfId="0" applyNumberFormat="1" applyFont="1" applyFill="1" applyAlignment="1">
      <alignment horizontal="right"/>
    </xf>
    <xf numFmtId="10" fontId="5" fillId="0" borderId="0" xfId="0" applyNumberFormat="1" applyFont="1" applyFill="1"/>
    <xf numFmtId="10" fontId="5" fillId="0" borderId="0" xfId="58" applyNumberFormat="1" applyFont="1" applyFill="1"/>
    <xf numFmtId="37" fontId="5" fillId="0" borderId="0" xfId="0" applyNumberFormat="1" applyFont="1"/>
    <xf numFmtId="43" fontId="5" fillId="0" borderId="0" xfId="39" applyFont="1"/>
    <xf numFmtId="176" fontId="12" fillId="0" borderId="0" xfId="0" applyNumberFormat="1" applyFont="1" applyFill="1" applyAlignment="1">
      <alignment horizontal="right"/>
    </xf>
    <xf numFmtId="0" fontId="74" fillId="0" borderId="0" xfId="0" applyFont="1"/>
    <xf numFmtId="176" fontId="74" fillId="0" borderId="0" xfId="0" applyNumberFormat="1" applyFont="1"/>
    <xf numFmtId="176" fontId="5" fillId="0" borderId="0" xfId="0" applyNumberFormat="1" applyFont="1" applyFill="1"/>
    <xf numFmtId="168" fontId="12" fillId="0" borderId="0" xfId="39" applyNumberFormat="1" applyFont="1" applyAlignment="1">
      <alignment horizontal="right"/>
    </xf>
    <xf numFmtId="176" fontId="5" fillId="0" borderId="0" xfId="0" applyNumberFormat="1" applyFont="1"/>
    <xf numFmtId="166" fontId="5" fillId="0" borderId="0" xfId="0" applyNumberFormat="1" applyFont="1" applyFill="1"/>
    <xf numFmtId="177" fontId="5" fillId="0" borderId="0" xfId="0" applyNumberFormat="1" applyFont="1" applyFill="1" applyAlignment="1">
      <alignment horizontal="right"/>
    </xf>
    <xf numFmtId="181" fontId="5" fillId="0" borderId="0" xfId="0" applyNumberFormat="1" applyFont="1" applyFill="1" applyAlignment="1">
      <alignment horizontal="right"/>
    </xf>
    <xf numFmtId="180" fontId="5" fillId="0" borderId="0" xfId="0" applyNumberFormat="1" applyFont="1" applyFill="1" applyAlignment="1">
      <alignment horizontal="right"/>
    </xf>
    <xf numFmtId="169" fontId="5" fillId="0" borderId="0" xfId="58" applyNumberFormat="1" applyFont="1"/>
    <xf numFmtId="183" fontId="18" fillId="0" borderId="0" xfId="0" applyNumberFormat="1" applyFont="1" applyFill="1" applyAlignment="1">
      <alignment horizontal="right"/>
    </xf>
    <xf numFmtId="43" fontId="5" fillId="0" borderId="0" xfId="0" applyNumberFormat="1" applyFont="1"/>
    <xf numFmtId="9" fontId="5" fillId="0" borderId="0" xfId="58" applyFont="1" applyAlignment="1">
      <alignment horizontal="right"/>
    </xf>
    <xf numFmtId="170" fontId="5" fillId="0" borderId="0" xfId="0" applyNumberFormat="1" applyFont="1" applyFill="1" applyBorder="1" applyAlignment="1">
      <alignment horizontal="right"/>
    </xf>
    <xf numFmtId="0" fontId="3" fillId="0" borderId="0" xfId="0" applyFont="1" applyBorder="1"/>
    <xf numFmtId="168" fontId="74" fillId="0" borderId="20" xfId="39" applyNumberFormat="1" applyFont="1" applyFill="1" applyBorder="1" applyAlignment="1">
      <alignment horizontal="right"/>
    </xf>
    <xf numFmtId="168" fontId="56" fillId="0" borderId="20" xfId="39" applyNumberFormat="1" applyFont="1" applyFill="1" applyBorder="1" applyAlignment="1">
      <alignment horizontal="right"/>
    </xf>
    <xf numFmtId="168" fontId="56" fillId="0" borderId="21" xfId="39" applyNumberFormat="1" applyFont="1" applyFill="1" applyBorder="1" applyAlignment="1">
      <alignment horizontal="right"/>
    </xf>
    <xf numFmtId="168" fontId="5" fillId="0" borderId="0" xfId="0" applyNumberFormat="1" applyFont="1" applyBorder="1"/>
    <xf numFmtId="169" fontId="3" fillId="0" borderId="0" xfId="39" applyNumberFormat="1" applyFont="1" applyFill="1" applyBorder="1" applyAlignment="1">
      <alignment horizontal="right"/>
    </xf>
    <xf numFmtId="7" fontId="12" fillId="0" borderId="0" xfId="0" applyNumberFormat="1" applyFont="1" applyFill="1" applyBorder="1" applyAlignment="1"/>
    <xf numFmtId="37" fontId="5" fillId="0" borderId="0" xfId="39" applyNumberFormat="1" applyFont="1" applyFill="1" applyBorder="1" applyAlignment="1">
      <alignment horizontal="right"/>
    </xf>
    <xf numFmtId="165" fontId="3" fillId="0" borderId="0" xfId="0" applyNumberFormat="1" applyFont="1" applyFill="1" applyBorder="1" applyAlignment="1">
      <alignment horizontal="center"/>
    </xf>
    <xf numFmtId="168" fontId="3" fillId="17" borderId="0" xfId="0" applyNumberFormat="1" applyFont="1" applyFill="1" applyBorder="1"/>
    <xf numFmtId="169" fontId="10" fillId="0" borderId="0" xfId="58" applyNumberFormat="1" applyFont="1" applyFill="1" applyBorder="1"/>
    <xf numFmtId="174" fontId="5" fillId="0" borderId="0" xfId="0" applyNumberFormat="1" applyFont="1" applyFill="1" applyBorder="1"/>
    <xf numFmtId="7" fontId="0" fillId="0" borderId="0" xfId="0" applyNumberFormat="1" applyBorder="1"/>
    <xf numFmtId="169" fontId="5" fillId="17" borderId="0" xfId="0" applyNumberFormat="1" applyFont="1" applyFill="1" applyBorder="1"/>
    <xf numFmtId="0" fontId="14" fillId="0" borderId="0" xfId="0" applyFont="1" applyFill="1" applyBorder="1"/>
    <xf numFmtId="168" fontId="5" fillId="0" borderId="12" xfId="0" applyNumberFormat="1" applyFont="1" applyFill="1" applyBorder="1" applyAlignment="1">
      <alignment horizontal="left" vertical="top" wrapText="1" indent="1"/>
    </xf>
    <xf numFmtId="168" fontId="5" fillId="17" borderId="12" xfId="0" applyNumberFormat="1" applyFont="1" applyFill="1" applyBorder="1" applyAlignment="1">
      <alignment horizontal="left" indent="1"/>
    </xf>
    <xf numFmtId="0" fontId="21" fillId="17" borderId="26" xfId="0" applyFont="1" applyFill="1" applyBorder="1" applyAlignment="1">
      <alignment horizontal="center"/>
    </xf>
    <xf numFmtId="168" fontId="3" fillId="0" borderId="27" xfId="39" applyNumberFormat="1" applyFont="1" applyFill="1" applyBorder="1" applyAlignment="1">
      <alignment horizontal="right" wrapText="1"/>
    </xf>
    <xf numFmtId="168" fontId="5" fillId="0" borderId="27" xfId="39" applyNumberFormat="1" applyFont="1" applyFill="1" applyBorder="1" applyAlignment="1">
      <alignment horizontal="right" wrapText="1"/>
    </xf>
    <xf numFmtId="169" fontId="10" fillId="17" borderId="27" xfId="58" applyNumberFormat="1" applyFont="1" applyFill="1" applyBorder="1" applyAlignment="1">
      <alignment horizontal="right"/>
    </xf>
    <xf numFmtId="168" fontId="53" fillId="0" borderId="27" xfId="39" applyNumberFormat="1" applyFont="1" applyFill="1" applyBorder="1" applyAlignment="1">
      <alignment horizontal="right"/>
    </xf>
    <xf numFmtId="7" fontId="3" fillId="18" borderId="28" xfId="39" applyNumberFormat="1" applyFont="1" applyFill="1" applyBorder="1" applyAlignment="1">
      <alignment horizontal="right"/>
    </xf>
    <xf numFmtId="165" fontId="31" fillId="16" borderId="15" xfId="0" applyNumberFormat="1" applyFont="1" applyFill="1" applyBorder="1" applyAlignment="1">
      <alignment horizontal="center"/>
    </xf>
    <xf numFmtId="165" fontId="31" fillId="16" borderId="14" xfId="0" applyNumberFormat="1" applyFont="1" applyFill="1" applyBorder="1" applyAlignment="1">
      <alignment horizontal="center"/>
    </xf>
    <xf numFmtId="0" fontId="21" fillId="17" borderId="22" xfId="0" applyFont="1" applyFill="1" applyBorder="1" applyAlignment="1">
      <alignment horizontal="left" indent="1"/>
    </xf>
    <xf numFmtId="168" fontId="3" fillId="0" borderId="20" xfId="0" applyNumberFormat="1" applyFont="1" applyFill="1" applyBorder="1" applyAlignment="1">
      <alignment horizontal="left" vertical="top" wrapText="1"/>
    </xf>
    <xf numFmtId="168" fontId="5" fillId="0" borderId="20" xfId="0" applyNumberFormat="1" applyFont="1" applyFill="1" applyBorder="1" applyAlignment="1">
      <alignment horizontal="left" vertical="top" wrapText="1" indent="1"/>
    </xf>
    <xf numFmtId="168" fontId="3" fillId="17" borderId="20" xfId="0" applyNumberFormat="1" applyFont="1" applyFill="1" applyBorder="1" applyAlignment="1">
      <alignment horizontal="left"/>
    </xf>
    <xf numFmtId="168" fontId="5" fillId="0" borderId="20" xfId="0" applyNumberFormat="1" applyFont="1" applyFill="1" applyBorder="1" applyAlignment="1">
      <alignment horizontal="left" vertical="top" wrapText="1"/>
    </xf>
    <xf numFmtId="168" fontId="5" fillId="17" borderId="20" xfId="0" applyNumberFormat="1" applyFont="1" applyFill="1" applyBorder="1" applyAlignment="1">
      <alignment horizontal="left" vertical="distributed" indent="1"/>
    </xf>
    <xf numFmtId="169" fontId="10" fillId="17" borderId="20" xfId="58" applyNumberFormat="1" applyFont="1" applyFill="1" applyBorder="1" applyAlignment="1">
      <alignment horizontal="left" indent="1"/>
    </xf>
    <xf numFmtId="0" fontId="5" fillId="0" borderId="20" xfId="0" applyFont="1" applyFill="1" applyBorder="1" applyAlignment="1">
      <alignment wrapText="1"/>
    </xf>
    <xf numFmtId="168" fontId="5" fillId="17" borderId="20" xfId="0" applyNumberFormat="1" applyFont="1" applyFill="1" applyBorder="1" applyAlignment="1">
      <alignment horizontal="left" indent="1"/>
    </xf>
    <xf numFmtId="7" fontId="3" fillId="18" borderId="21" xfId="0" applyNumberFormat="1" applyFont="1" applyFill="1" applyBorder="1" applyAlignment="1">
      <alignment horizontal="left" indent="1"/>
    </xf>
    <xf numFmtId="165" fontId="6" fillId="16" borderId="15" xfId="0" applyNumberFormat="1" applyFont="1" applyFill="1" applyBorder="1" applyAlignment="1">
      <alignment horizontal="center"/>
    </xf>
    <xf numFmtId="0" fontId="3" fillId="0" borderId="26" xfId="0" applyFont="1" applyBorder="1" applyAlignment="1">
      <alignment horizontal="center" wrapText="1"/>
    </xf>
    <xf numFmtId="0" fontId="31" fillId="17" borderId="28" xfId="0" applyFont="1" applyFill="1" applyBorder="1" applyAlignment="1">
      <alignment horizontal="center"/>
    </xf>
    <xf numFmtId="165" fontId="31" fillId="16" borderId="21" xfId="0" applyNumberFormat="1" applyFont="1" applyFill="1" applyBorder="1" applyAlignment="1">
      <alignment horizontal="center"/>
    </xf>
    <xf numFmtId="0" fontId="6" fillId="17" borderId="28" xfId="0" applyFont="1" applyFill="1" applyBorder="1" applyAlignment="1">
      <alignment horizontal="center"/>
    </xf>
    <xf numFmtId="37" fontId="5" fillId="0" borderId="27" xfId="39" applyNumberFormat="1" applyFont="1" applyFill="1" applyBorder="1" applyAlignment="1">
      <alignment horizontal="right" wrapText="1"/>
    </xf>
    <xf numFmtId="165" fontId="5" fillId="0" borderId="21" xfId="0" applyNumberFormat="1" applyFont="1" applyFill="1" applyBorder="1" applyAlignment="1">
      <alignment horizontal="center"/>
    </xf>
    <xf numFmtId="0" fontId="31" fillId="0" borderId="28" xfId="0" applyFont="1" applyFill="1" applyBorder="1" applyAlignment="1">
      <alignment horizontal="center"/>
    </xf>
    <xf numFmtId="0" fontId="21" fillId="17" borderId="20" xfId="0" applyFont="1" applyFill="1" applyBorder="1" applyAlignment="1">
      <alignment horizontal="center"/>
    </xf>
    <xf numFmtId="0" fontId="21" fillId="17" borderId="0" xfId="0" applyFont="1" applyFill="1" applyBorder="1" applyAlignment="1">
      <alignment horizontal="center"/>
    </xf>
    <xf numFmtId="168" fontId="66" fillId="0" borderId="20" xfId="39" applyNumberFormat="1" applyFont="1" applyFill="1" applyBorder="1" applyAlignment="1">
      <alignment horizontal="right" wrapText="1"/>
    </xf>
    <xf numFmtId="168" fontId="74" fillId="0" borderId="20" xfId="39" applyNumberFormat="1" applyFont="1" applyFill="1" applyBorder="1" applyAlignment="1">
      <alignment horizontal="right" wrapText="1"/>
    </xf>
    <xf numFmtId="169" fontId="75" fillId="0" borderId="20" xfId="0" applyNumberFormat="1" applyFont="1" applyFill="1" applyBorder="1" applyAlignment="1">
      <alignment horizontal="right"/>
    </xf>
    <xf numFmtId="172" fontId="5" fillId="0" borderId="20" xfId="0" applyNumberFormat="1" applyFont="1" applyFill="1" applyBorder="1" applyAlignment="1">
      <alignment horizontal="right"/>
    </xf>
    <xf numFmtId="172" fontId="5" fillId="0" borderId="0" xfId="39" applyNumberFormat="1" applyFont="1" applyFill="1" applyBorder="1" applyAlignment="1">
      <alignment horizontal="right"/>
    </xf>
    <xf numFmtId="172" fontId="5" fillId="0" borderId="16" xfId="39" applyNumberFormat="1" applyFont="1" applyFill="1" applyBorder="1" applyAlignment="1">
      <alignment horizontal="right" wrapText="1"/>
    </xf>
    <xf numFmtId="169" fontId="5" fillId="17" borderId="26" xfId="0" applyNumberFormat="1" applyFont="1" applyFill="1" applyBorder="1" applyAlignment="1">
      <alignment horizontal="right"/>
    </xf>
    <xf numFmtId="169" fontId="5" fillId="17" borderId="27" xfId="0" applyNumberFormat="1" applyFont="1" applyFill="1" applyBorder="1" applyAlignment="1">
      <alignment horizontal="right"/>
    </xf>
    <xf numFmtId="169" fontId="5" fillId="17" borderId="28" xfId="0" applyNumberFormat="1" applyFont="1" applyFill="1" applyBorder="1" applyAlignment="1">
      <alignment horizontal="right"/>
    </xf>
    <xf numFmtId="0" fontId="5" fillId="17" borderId="24" xfId="0" applyFont="1" applyFill="1" applyBorder="1" applyAlignment="1">
      <alignment horizontal="left"/>
    </xf>
    <xf numFmtId="0" fontId="5" fillId="17" borderId="12" xfId="0" applyFont="1" applyFill="1" applyBorder="1"/>
    <xf numFmtId="0" fontId="5" fillId="17" borderId="12" xfId="0" applyFont="1" applyFill="1" applyBorder="1" applyAlignment="1">
      <alignment horizontal="left"/>
    </xf>
    <xf numFmtId="0" fontId="5" fillId="17" borderId="19" xfId="0" applyFont="1" applyFill="1" applyBorder="1"/>
    <xf numFmtId="169" fontId="74" fillId="20" borderId="27" xfId="0" applyNumberFormat="1" applyFont="1" applyFill="1" applyBorder="1" applyAlignment="1">
      <alignment horizontal="right"/>
    </xf>
    <xf numFmtId="169" fontId="5" fillId="20" borderId="27" xfId="0" applyNumberFormat="1" applyFont="1" applyFill="1" applyBorder="1" applyAlignment="1">
      <alignment horizontal="right"/>
    </xf>
    <xf numFmtId="169" fontId="5" fillId="0" borderId="28" xfId="0" applyNumberFormat="1" applyFont="1" applyFill="1" applyBorder="1" applyAlignment="1">
      <alignment horizontal="right"/>
    </xf>
    <xf numFmtId="0" fontId="5" fillId="17" borderId="24" xfId="0" applyFont="1" applyFill="1" applyBorder="1"/>
    <xf numFmtId="0" fontId="5" fillId="20" borderId="12" xfId="0" applyFont="1" applyFill="1" applyBorder="1"/>
    <xf numFmtId="0" fontId="5" fillId="20" borderId="12" xfId="0" applyFont="1" applyFill="1" applyBorder="1" applyAlignment="1">
      <alignment horizontal="left" indent="1"/>
    </xf>
    <xf numFmtId="0" fontId="5" fillId="0" borderId="24" xfId="0" applyFont="1" applyFill="1" applyBorder="1"/>
    <xf numFmtId="7" fontId="3" fillId="17" borderId="17" xfId="0" applyNumberFormat="1" applyFont="1" applyFill="1" applyBorder="1" applyAlignment="1">
      <alignment horizontal="left"/>
    </xf>
    <xf numFmtId="168" fontId="5" fillId="0" borderId="26" xfId="39" applyNumberFormat="1" applyFont="1" applyFill="1" applyBorder="1" applyAlignment="1">
      <alignment horizontal="right" wrapText="1"/>
    </xf>
    <xf numFmtId="168" fontId="3" fillId="0" borderId="28" xfId="39" applyNumberFormat="1" applyFont="1" applyFill="1" applyBorder="1" applyAlignment="1">
      <alignment horizontal="right" wrapText="1"/>
    </xf>
    <xf numFmtId="7" fontId="3" fillId="0" borderId="28" xfId="39" applyNumberFormat="1" applyFont="1" applyFill="1" applyBorder="1" applyAlignment="1">
      <alignment horizontal="right"/>
    </xf>
    <xf numFmtId="168" fontId="5" fillId="0" borderId="24" xfId="0" applyNumberFormat="1" applyFont="1" applyFill="1" applyBorder="1"/>
    <xf numFmtId="168" fontId="5" fillId="0" borderId="19" xfId="0" applyNumberFormat="1" applyFont="1" applyFill="1" applyBorder="1"/>
    <xf numFmtId="168" fontId="12" fillId="0" borderId="22" xfId="39" applyNumberFormat="1" applyFont="1" applyFill="1" applyBorder="1" applyAlignment="1">
      <alignment horizontal="right" wrapText="1"/>
    </xf>
    <xf numFmtId="168" fontId="5" fillId="0" borderId="21" xfId="39" applyNumberFormat="1" applyFont="1" applyFill="1" applyBorder="1" applyAlignment="1">
      <alignment horizontal="right" wrapText="1"/>
    </xf>
    <xf numFmtId="168" fontId="5" fillId="0" borderId="11" xfId="39" applyNumberFormat="1" applyFont="1" applyFill="1" applyBorder="1" applyAlignment="1">
      <alignment horizontal="right" wrapText="1"/>
    </xf>
    <xf numFmtId="168" fontId="5" fillId="0" borderId="28" xfId="39" applyNumberFormat="1" applyFont="1" applyFill="1" applyBorder="1" applyAlignment="1">
      <alignment horizontal="right" wrapText="1"/>
    </xf>
    <xf numFmtId="169" fontId="5" fillId="0" borderId="24" xfId="58" applyNumberFormat="1" applyFont="1" applyFill="1" applyBorder="1"/>
    <xf numFmtId="168" fontId="3" fillId="0" borderId="12" xfId="0" applyNumberFormat="1" applyFont="1" applyFill="1" applyBorder="1" applyAlignment="1">
      <alignment horizontal="left"/>
    </xf>
    <xf numFmtId="168" fontId="56" fillId="0" borderId="12" xfId="0" applyNumberFormat="1" applyFont="1" applyFill="1" applyBorder="1"/>
    <xf numFmtId="168" fontId="56" fillId="0" borderId="19" xfId="0" applyNumberFormat="1" applyFont="1" applyFill="1" applyBorder="1"/>
    <xf numFmtId="169" fontId="12" fillId="0" borderId="27" xfId="58" applyNumberFormat="1" applyFont="1" applyFill="1" applyBorder="1" applyAlignment="1">
      <alignment horizontal="right"/>
    </xf>
    <xf numFmtId="168" fontId="12" fillId="0" borderId="27" xfId="39" applyNumberFormat="1" applyFont="1" applyFill="1" applyBorder="1" applyAlignment="1">
      <alignment horizontal="right"/>
    </xf>
    <xf numFmtId="168" fontId="74" fillId="0" borderId="27" xfId="39" applyNumberFormat="1" applyFont="1" applyFill="1" applyBorder="1" applyAlignment="1">
      <alignment horizontal="right"/>
    </xf>
    <xf numFmtId="168" fontId="56" fillId="0" borderId="27" xfId="39" applyNumberFormat="1" applyFont="1" applyFill="1" applyBorder="1" applyAlignment="1">
      <alignment horizontal="right"/>
    </xf>
    <xf numFmtId="168" fontId="56" fillId="0" borderId="28" xfId="39" applyNumberFormat="1" applyFont="1" applyFill="1" applyBorder="1" applyAlignment="1">
      <alignment horizontal="right"/>
    </xf>
    <xf numFmtId="169" fontId="62" fillId="0" borderId="27" xfId="58" applyNumberFormat="1" applyFont="1" applyFill="1" applyBorder="1" applyAlignment="1">
      <alignment horizontal="right"/>
    </xf>
    <xf numFmtId="168" fontId="62" fillId="0" borderId="27" xfId="39" applyNumberFormat="1" applyFont="1" applyFill="1" applyBorder="1" applyAlignment="1">
      <alignment horizontal="right"/>
    </xf>
    <xf numFmtId="168" fontId="62" fillId="0" borderId="20" xfId="39" applyNumberFormat="1" applyFont="1" applyFill="1" applyBorder="1" applyAlignment="1">
      <alignment horizontal="right"/>
    </xf>
    <xf numFmtId="0" fontId="3" fillId="0" borderId="0" xfId="0" applyFont="1" applyFill="1" applyBorder="1" applyAlignment="1">
      <alignment horizontal="left"/>
    </xf>
    <xf numFmtId="37" fontId="5" fillId="29" borderId="20" xfId="0" applyNumberFormat="1" applyFont="1" applyFill="1" applyBorder="1"/>
    <xf numFmtId="37" fontId="5" fillId="29" borderId="0" xfId="0" applyNumberFormat="1" applyFont="1" applyFill="1" applyBorder="1"/>
    <xf numFmtId="37" fontId="5" fillId="29" borderId="27" xfId="0" applyNumberFormat="1" applyFont="1" applyFill="1" applyBorder="1"/>
    <xf numFmtId="168" fontId="5" fillId="0" borderId="24" xfId="0" applyNumberFormat="1" applyFont="1" applyFill="1" applyBorder="1" applyAlignment="1">
      <alignment horizontal="left" vertical="top" wrapText="1" indent="1"/>
    </xf>
    <xf numFmtId="0" fontId="5" fillId="0" borderId="12" xfId="0" applyFont="1" applyFill="1" applyBorder="1"/>
    <xf numFmtId="0" fontId="3" fillId="29" borderId="12" xfId="0" applyFont="1" applyFill="1" applyBorder="1" applyAlignment="1">
      <alignment horizontal="left"/>
    </xf>
    <xf numFmtId="168" fontId="5" fillId="0" borderId="19" xfId="0" applyNumberFormat="1" applyFont="1" applyFill="1" applyBorder="1" applyAlignment="1">
      <alignment horizontal="left" vertical="top" wrapText="1" indent="1"/>
    </xf>
    <xf numFmtId="168" fontId="53" fillId="0" borderId="22" xfId="39" applyNumberFormat="1" applyFont="1" applyFill="1" applyBorder="1" applyAlignment="1">
      <alignment horizontal="right" wrapText="1"/>
    </xf>
    <xf numFmtId="168" fontId="53" fillId="0" borderId="16" xfId="39" applyNumberFormat="1" applyFont="1" applyFill="1" applyBorder="1" applyAlignment="1">
      <alignment horizontal="right" wrapText="1"/>
    </xf>
    <xf numFmtId="0" fontId="5" fillId="0" borderId="20" xfId="0" applyFont="1" applyFill="1" applyBorder="1"/>
    <xf numFmtId="168" fontId="53" fillId="0" borderId="27" xfId="39" applyNumberFormat="1" applyFont="1" applyFill="1" applyBorder="1" applyAlignment="1">
      <alignment horizontal="right" wrapText="1"/>
    </xf>
    <xf numFmtId="0" fontId="5" fillId="0" borderId="27" xfId="0" applyFont="1" applyFill="1" applyBorder="1"/>
    <xf numFmtId="0" fontId="5" fillId="0" borderId="16" xfId="0" applyFont="1" applyFill="1" applyBorder="1"/>
    <xf numFmtId="0" fontId="3" fillId="0" borderId="0" xfId="0" applyFont="1" applyFill="1" applyBorder="1" applyAlignment="1">
      <alignment horizontal="center" vertical="center"/>
    </xf>
    <xf numFmtId="166" fontId="65" fillId="0" borderId="20" xfId="39" applyNumberFormat="1" applyFont="1" applyFill="1" applyBorder="1"/>
    <xf numFmtId="169" fontId="5" fillId="0" borderId="0" xfId="0" applyNumberFormat="1" applyFont="1" applyFill="1" applyBorder="1"/>
    <xf numFmtId="166" fontId="3" fillId="0" borderId="20" xfId="39" applyNumberFormat="1" applyFont="1" applyFill="1" applyBorder="1"/>
    <xf numFmtId="164" fontId="5" fillId="0" borderId="0" xfId="0" applyNumberFormat="1" applyFont="1" applyFill="1" applyBorder="1"/>
    <xf numFmtId="166" fontId="3" fillId="23" borderId="20" xfId="39" applyNumberFormat="1" applyFont="1" applyFill="1" applyBorder="1"/>
    <xf numFmtId="166" fontId="3" fillId="20" borderId="20" xfId="39" applyNumberFormat="1" applyFont="1" applyFill="1" applyBorder="1"/>
    <xf numFmtId="166" fontId="5" fillId="0" borderId="20" xfId="39" applyNumberFormat="1" applyFont="1" applyFill="1" applyBorder="1"/>
    <xf numFmtId="169" fontId="70" fillId="0" borderId="20" xfId="58" applyNumberFormat="1" applyFont="1" applyFill="1" applyBorder="1"/>
    <xf numFmtId="166" fontId="12" fillId="0" borderId="0" xfId="74" applyNumberFormat="1" applyFont="1" applyFill="1" applyBorder="1" applyAlignment="1"/>
    <xf numFmtId="166" fontId="65" fillId="0" borderId="0" xfId="39" applyNumberFormat="1" applyFont="1" applyFill="1" applyBorder="1"/>
    <xf numFmtId="0" fontId="81" fillId="0" borderId="0" xfId="0" applyFont="1" applyFill="1" applyBorder="1"/>
    <xf numFmtId="166" fontId="3" fillId="24" borderId="27" xfId="39" applyNumberFormat="1" applyFont="1" applyFill="1" applyBorder="1"/>
    <xf numFmtId="166" fontId="3" fillId="23" borderId="27" xfId="39" applyNumberFormat="1" applyFont="1" applyFill="1" applyBorder="1"/>
    <xf numFmtId="169" fontId="5" fillId="0" borderId="27" xfId="58" applyNumberFormat="1" applyFont="1" applyFill="1" applyBorder="1"/>
    <xf numFmtId="169" fontId="5" fillId="20" borderId="27" xfId="58" applyNumberFormat="1" applyFont="1" applyFill="1" applyBorder="1"/>
    <xf numFmtId="166" fontId="3" fillId="20" borderId="27" xfId="39" applyNumberFormat="1" applyFont="1" applyFill="1" applyBorder="1"/>
    <xf numFmtId="166" fontId="5" fillId="0" borderId="27" xfId="39" applyNumberFormat="1" applyFont="1" applyFill="1" applyBorder="1"/>
    <xf numFmtId="166" fontId="5" fillId="20" borderId="27" xfId="39" applyNumberFormat="1" applyFont="1" applyFill="1" applyBorder="1"/>
    <xf numFmtId="166" fontId="3" fillId="0" borderId="27" xfId="39" applyNumberFormat="1" applyFont="1" applyFill="1" applyBorder="1"/>
    <xf numFmtId="169" fontId="62" fillId="0" borderId="20" xfId="58" applyNumberFormat="1" applyFont="1" applyFill="1" applyBorder="1"/>
    <xf numFmtId="169" fontId="62" fillId="0" borderId="0" xfId="58" applyNumberFormat="1" applyFont="1" applyFill="1" applyBorder="1"/>
    <xf numFmtId="169" fontId="62" fillId="20" borderId="20" xfId="58" applyNumberFormat="1" applyFont="1" applyFill="1" applyBorder="1"/>
    <xf numFmtId="169" fontId="62" fillId="20" borderId="0" xfId="58" applyNumberFormat="1" applyFont="1" applyFill="1" applyBorder="1"/>
    <xf numFmtId="169" fontId="70" fillId="0" borderId="0" xfId="58" applyNumberFormat="1" applyFont="1" applyFill="1" applyBorder="1"/>
    <xf numFmtId="169" fontId="58" fillId="0" borderId="20" xfId="58" applyNumberFormat="1" applyFont="1" applyFill="1" applyBorder="1"/>
    <xf numFmtId="169" fontId="70" fillId="20" borderId="20" xfId="58" applyNumberFormat="1" applyFont="1" applyFill="1" applyBorder="1"/>
    <xf numFmtId="169" fontId="70" fillId="20" borderId="0" xfId="58" applyNumberFormat="1" applyFont="1" applyFill="1" applyBorder="1"/>
    <xf numFmtId="169" fontId="61" fillId="0" borderId="27" xfId="58" applyNumberFormat="1" applyFont="1" applyFill="1" applyBorder="1"/>
    <xf numFmtId="169" fontId="61" fillId="20" borderId="27" xfId="58" applyNumberFormat="1" applyFont="1" applyFill="1" applyBorder="1"/>
    <xf numFmtId="169" fontId="70" fillId="0" borderId="27" xfId="58" applyNumberFormat="1" applyFont="1" applyFill="1" applyBorder="1"/>
    <xf numFmtId="0" fontId="3" fillId="23" borderId="12" xfId="0" applyFont="1" applyFill="1" applyBorder="1" applyAlignment="1">
      <alignment horizontal="left"/>
    </xf>
    <xf numFmtId="169" fontId="5" fillId="0" borderId="12" xfId="58" applyNumberFormat="1" applyFont="1" applyBorder="1" applyAlignment="1">
      <alignment horizontal="left" indent="1"/>
    </xf>
    <xf numFmtId="0" fontId="3" fillId="24" borderId="12" xfId="0" applyFont="1" applyFill="1" applyBorder="1" applyAlignment="1">
      <alignment horizontal="left"/>
    </xf>
    <xf numFmtId="169" fontId="5" fillId="20" borderId="12" xfId="58" applyNumberFormat="1" applyFont="1" applyFill="1" applyBorder="1" applyAlignment="1">
      <alignment horizontal="left" indent="1"/>
    </xf>
    <xf numFmtId="0" fontId="5" fillId="20" borderId="12" xfId="0" applyFont="1" applyFill="1" applyBorder="1" applyAlignment="1">
      <alignment horizontal="left"/>
    </xf>
    <xf numFmtId="0" fontId="3" fillId="20" borderId="12" xfId="0" applyFont="1" applyFill="1" applyBorder="1" applyAlignment="1">
      <alignment horizontal="left"/>
    </xf>
    <xf numFmtId="169" fontId="3" fillId="0" borderId="12" xfId="58" applyNumberFormat="1" applyFont="1" applyBorder="1" applyAlignment="1"/>
    <xf numFmtId="0" fontId="3" fillId="0" borderId="19" xfId="0" applyFont="1" applyFill="1" applyBorder="1" applyAlignment="1">
      <alignment horizontal="left"/>
    </xf>
    <xf numFmtId="0" fontId="3" fillId="29" borderId="24" xfId="0" applyFont="1" applyFill="1" applyBorder="1" applyAlignment="1">
      <alignment horizontal="left"/>
    </xf>
    <xf numFmtId="166" fontId="65" fillId="29" borderId="20" xfId="39" applyNumberFormat="1" applyFont="1" applyFill="1" applyBorder="1"/>
    <xf numFmtId="166" fontId="65" fillId="29" borderId="0" xfId="39" applyNumberFormat="1" applyFont="1" applyFill="1" applyBorder="1"/>
    <xf numFmtId="166" fontId="3" fillId="29" borderId="27" xfId="39" applyNumberFormat="1" applyFont="1" applyFill="1" applyBorder="1"/>
    <xf numFmtId="166" fontId="3" fillId="29" borderId="20" xfId="39" applyNumberFormat="1" applyFont="1" applyFill="1" applyBorder="1"/>
    <xf numFmtId="166" fontId="3" fillId="29" borderId="0" xfId="39" applyNumberFormat="1" applyFont="1" applyFill="1" applyBorder="1"/>
    <xf numFmtId="0" fontId="3" fillId="0" borderId="12" xfId="0" applyFont="1" applyFill="1" applyBorder="1" applyAlignment="1">
      <alignment horizontal="left"/>
    </xf>
    <xf numFmtId="169" fontId="3" fillId="0" borderId="27" xfId="58" applyNumberFormat="1" applyFont="1" applyFill="1" applyBorder="1"/>
    <xf numFmtId="169" fontId="3" fillId="0" borderId="0" xfId="0" applyNumberFormat="1" applyFont="1" applyFill="1" applyBorder="1"/>
    <xf numFmtId="169" fontId="59" fillId="28" borderId="12" xfId="58" applyNumberFormat="1" applyFont="1" applyFill="1" applyBorder="1" applyAlignment="1"/>
    <xf numFmtId="169" fontId="60" fillId="28" borderId="20" xfId="58" applyNumberFormat="1" applyFont="1" applyFill="1" applyBorder="1"/>
    <xf numFmtId="169" fontId="60" fillId="28" borderId="0" xfId="58" applyNumberFormat="1" applyFont="1" applyFill="1" applyBorder="1"/>
    <xf numFmtId="169" fontId="60" fillId="28" borderId="0" xfId="58" applyNumberFormat="1" applyFont="1" applyFill="1" applyBorder="1" applyAlignment="1">
      <alignment horizontal="right" wrapText="1"/>
    </xf>
    <xf numFmtId="169" fontId="60" fillId="28" borderId="27" xfId="58" applyNumberFormat="1" applyFont="1" applyFill="1" applyBorder="1"/>
    <xf numFmtId="175" fontId="60" fillId="28" borderId="0" xfId="0" applyNumberFormat="1" applyFont="1" applyFill="1" applyBorder="1" applyAlignment="1">
      <alignment horizontal="right"/>
    </xf>
    <xf numFmtId="169" fontId="3" fillId="0" borderId="21" xfId="58" applyNumberFormat="1" applyFont="1" applyFill="1" applyBorder="1"/>
    <xf numFmtId="169" fontId="3" fillId="0" borderId="11" xfId="58" applyNumberFormat="1" applyFont="1" applyFill="1" applyBorder="1"/>
    <xf numFmtId="169" fontId="3" fillId="0" borderId="28" xfId="58" applyNumberFormat="1" applyFont="1" applyFill="1" applyBorder="1"/>
    <xf numFmtId="169" fontId="5" fillId="0" borderId="19" xfId="58" applyNumberFormat="1" applyFont="1" applyBorder="1" applyAlignment="1">
      <alignment horizontal="left" indent="1"/>
    </xf>
    <xf numFmtId="169" fontId="61" fillId="0" borderId="21" xfId="58" applyNumberFormat="1" applyFont="1" applyFill="1" applyBorder="1"/>
    <xf numFmtId="169" fontId="61" fillId="0" borderId="11" xfId="58" applyNumberFormat="1" applyFont="1" applyFill="1" applyBorder="1"/>
    <xf numFmtId="169" fontId="58" fillId="0" borderId="11" xfId="58" applyNumberFormat="1" applyFont="1" applyFill="1" applyBorder="1" applyAlignment="1">
      <alignment horizontal="right" wrapText="1"/>
    </xf>
    <xf numFmtId="169" fontId="5" fillId="0" borderId="28" xfId="58" applyNumberFormat="1" applyFont="1" applyFill="1" applyBorder="1"/>
    <xf numFmtId="169" fontId="62" fillId="0" borderId="21" xfId="58" applyNumberFormat="1" applyFont="1" applyFill="1" applyBorder="1"/>
    <xf numFmtId="169" fontId="62" fillId="0" borderId="11" xfId="58" applyNumberFormat="1" applyFont="1" applyFill="1" applyBorder="1"/>
    <xf numFmtId="169" fontId="58" fillId="0" borderId="21" xfId="58" applyNumberFormat="1" applyFont="1" applyFill="1" applyBorder="1" applyAlignment="1">
      <alignment horizontal="right" wrapText="1"/>
    </xf>
    <xf numFmtId="169" fontId="5" fillId="0" borderId="19" xfId="58" applyNumberFormat="1" applyFont="1" applyFill="1" applyBorder="1" applyAlignment="1">
      <alignment horizontal="left" indent="1"/>
    </xf>
    <xf numFmtId="164" fontId="87" fillId="0" borderId="0" xfId="0" applyNumberFormat="1" applyFont="1"/>
    <xf numFmtId="164" fontId="87" fillId="0" borderId="0" xfId="0" applyNumberFormat="1" applyFont="1" applyFill="1" applyBorder="1"/>
    <xf numFmtId="164" fontId="87" fillId="0" borderId="0" xfId="0" applyNumberFormat="1" applyFont="1" applyBorder="1"/>
    <xf numFmtId="169" fontId="62" fillId="0" borderId="0" xfId="0" applyNumberFormat="1" applyFont="1" applyFill="1" applyBorder="1" applyAlignment="1">
      <alignment horizontal="right"/>
    </xf>
    <xf numFmtId="0" fontId="3" fillId="0" borderId="24" xfId="0" applyFont="1" applyFill="1" applyBorder="1" applyAlignment="1">
      <alignment horizontal="left"/>
    </xf>
    <xf numFmtId="0" fontId="5" fillId="0" borderId="12" xfId="0" applyFont="1" applyFill="1" applyBorder="1" applyAlignment="1">
      <alignment horizontal="left"/>
    </xf>
    <xf numFmtId="166" fontId="3" fillId="0" borderId="22" xfId="39" applyNumberFormat="1" applyFont="1" applyFill="1" applyBorder="1"/>
    <xf numFmtId="166" fontId="3" fillId="0" borderId="16" xfId="39" applyNumberFormat="1" applyFont="1" applyFill="1" applyBorder="1"/>
    <xf numFmtId="166" fontId="3" fillId="0" borderId="26" xfId="39" applyNumberFormat="1" applyFont="1" applyFill="1" applyBorder="1"/>
    <xf numFmtId="169" fontId="62" fillId="0" borderId="20" xfId="0" applyNumberFormat="1" applyFont="1" applyFill="1" applyBorder="1" applyAlignment="1">
      <alignment horizontal="right"/>
    </xf>
    <xf numFmtId="169" fontId="81" fillId="0" borderId="0" xfId="58" applyNumberFormat="1" applyFont="1" applyFill="1" applyBorder="1" applyAlignment="1"/>
    <xf numFmtId="169" fontId="5" fillId="20" borderId="27" xfId="58" applyNumberFormat="1" applyFont="1" applyFill="1" applyBorder="1" applyAlignment="1">
      <alignment horizontal="right"/>
    </xf>
    <xf numFmtId="169" fontId="3" fillId="0" borderId="29" xfId="58" applyNumberFormat="1" applyFont="1" applyBorder="1"/>
    <xf numFmtId="168" fontId="5" fillId="22" borderId="0" xfId="39" applyNumberFormat="1" applyFont="1" applyFill="1" applyBorder="1" applyAlignment="1">
      <alignment horizontal="right"/>
    </xf>
    <xf numFmtId="0" fontId="5" fillId="17" borderId="12" xfId="0" applyFont="1" applyFill="1" applyBorder="1" applyAlignment="1">
      <alignment horizontal="left" indent="1"/>
    </xf>
    <xf numFmtId="0" fontId="5" fillId="0" borderId="12" xfId="0" applyFont="1" applyFill="1" applyBorder="1" applyAlignment="1">
      <alignment horizontal="left" indent="2"/>
    </xf>
    <xf numFmtId="168" fontId="5" fillId="0" borderId="12" xfId="0" applyNumberFormat="1" applyFont="1" applyFill="1" applyBorder="1" applyAlignment="1">
      <alignment horizontal="left" indent="2"/>
    </xf>
    <xf numFmtId="0" fontId="5" fillId="0" borderId="12" xfId="0" applyFont="1" applyFill="1" applyBorder="1" applyAlignment="1">
      <alignment horizontal="left" indent="1"/>
    </xf>
    <xf numFmtId="0" fontId="5" fillId="0" borderId="19" xfId="0" applyFont="1" applyFill="1" applyBorder="1"/>
    <xf numFmtId="0" fontId="5" fillId="0" borderId="33" xfId="0" applyFont="1" applyFill="1" applyBorder="1"/>
    <xf numFmtId="0" fontId="5" fillId="0" borderId="19" xfId="0" applyFont="1" applyFill="1" applyBorder="1" applyAlignment="1">
      <alignment horizontal="left" indent="2"/>
    </xf>
    <xf numFmtId="0" fontId="5" fillId="0" borderId="19" xfId="0" applyFont="1" applyFill="1" applyBorder="1" applyAlignment="1">
      <alignment horizontal="left" indent="1"/>
    </xf>
    <xf numFmtId="177" fontId="5" fillId="0" borderId="0" xfId="0" applyNumberFormat="1" applyFont="1" applyFill="1" applyBorder="1" applyAlignment="1">
      <alignment horizontal="right"/>
    </xf>
    <xf numFmtId="169" fontId="12" fillId="0" borderId="0" xfId="0" applyNumberFormat="1" applyFont="1" applyFill="1" applyBorder="1" applyAlignment="1">
      <alignment horizontal="right"/>
    </xf>
    <xf numFmtId="0" fontId="21" fillId="17" borderId="27" xfId="0" applyFont="1" applyFill="1" applyBorder="1" applyAlignment="1">
      <alignment horizontal="center"/>
    </xf>
    <xf numFmtId="176" fontId="5" fillId="17" borderId="27" xfId="39" applyNumberFormat="1" applyFont="1" applyFill="1" applyBorder="1" applyAlignment="1">
      <alignment horizontal="right"/>
    </xf>
    <xf numFmtId="168" fontId="5" fillId="17" borderId="27" xfId="39" applyNumberFormat="1" applyFont="1" applyFill="1" applyBorder="1" applyAlignment="1">
      <alignment horizontal="right"/>
    </xf>
    <xf numFmtId="168" fontId="3" fillId="0" borderId="27" xfId="39" applyNumberFormat="1" applyFont="1" applyBorder="1" applyAlignment="1">
      <alignment horizontal="right"/>
    </xf>
    <xf numFmtId="168" fontId="5" fillId="0" borderId="27" xfId="39" applyNumberFormat="1" applyFont="1" applyBorder="1" applyAlignment="1">
      <alignment horizontal="right"/>
    </xf>
    <xf numFmtId="168" fontId="3" fillId="17" borderId="34" xfId="39" applyNumberFormat="1" applyFont="1" applyFill="1" applyBorder="1" applyAlignment="1">
      <alignment horizontal="right"/>
    </xf>
    <xf numFmtId="168" fontId="3" fillId="0" borderId="27" xfId="39" applyNumberFormat="1" applyFont="1" applyFill="1" applyBorder="1" applyAlignment="1">
      <alignment horizontal="right"/>
    </xf>
    <xf numFmtId="168" fontId="3" fillId="0" borderId="26" xfId="39" applyNumberFormat="1" applyFont="1" applyFill="1" applyBorder="1" applyAlignment="1">
      <alignment horizontal="right"/>
    </xf>
    <xf numFmtId="168" fontId="5" fillId="0" borderId="27" xfId="0" applyNumberFormat="1" applyFont="1" applyBorder="1" applyAlignment="1">
      <alignment horizontal="right"/>
    </xf>
    <xf numFmtId="168" fontId="3" fillId="17" borderId="27" xfId="39" applyNumberFormat="1" applyFont="1" applyFill="1" applyBorder="1" applyAlignment="1">
      <alignment horizontal="right"/>
    </xf>
    <xf numFmtId="168" fontId="3" fillId="0" borderId="34" xfId="39" applyNumberFormat="1" applyFont="1" applyFill="1" applyBorder="1" applyAlignment="1">
      <alignment horizontal="right"/>
    </xf>
    <xf numFmtId="176" fontId="12" fillId="0" borderId="20" xfId="0" applyNumberFormat="1" applyFont="1" applyFill="1" applyBorder="1" applyAlignment="1">
      <alignment horizontal="right"/>
    </xf>
    <xf numFmtId="168" fontId="12" fillId="17" borderId="20" xfId="39" applyNumberFormat="1" applyFont="1" applyFill="1" applyBorder="1" applyAlignment="1">
      <alignment horizontal="right"/>
    </xf>
    <xf numFmtId="168" fontId="12" fillId="0" borderId="20" xfId="39" applyNumberFormat="1" applyFont="1" applyBorder="1" applyAlignment="1">
      <alignment horizontal="right"/>
    </xf>
    <xf numFmtId="168" fontId="3" fillId="0" borderId="20" xfId="39" applyNumberFormat="1" applyFont="1" applyBorder="1" applyAlignment="1">
      <alignment horizontal="right"/>
    </xf>
    <xf numFmtId="168" fontId="5" fillId="0" borderId="20" xfId="39" applyNumberFormat="1" applyFont="1" applyBorder="1" applyAlignment="1">
      <alignment horizontal="right"/>
    </xf>
    <xf numFmtId="168" fontId="3" fillId="17" borderId="35" xfId="39" applyNumberFormat="1" applyFont="1" applyFill="1" applyBorder="1" applyAlignment="1">
      <alignment horizontal="right"/>
    </xf>
    <xf numFmtId="168" fontId="3" fillId="0" borderId="20" xfId="39" applyNumberFormat="1" applyFont="1" applyFill="1" applyBorder="1" applyAlignment="1">
      <alignment horizontal="right"/>
    </xf>
    <xf numFmtId="168" fontId="3" fillId="0" borderId="22" xfId="39" applyNumberFormat="1" applyFont="1" applyFill="1" applyBorder="1" applyAlignment="1">
      <alignment horizontal="right"/>
    </xf>
    <xf numFmtId="168" fontId="5" fillId="0" borderId="20" xfId="0" applyNumberFormat="1" applyFont="1" applyBorder="1" applyAlignment="1">
      <alignment horizontal="right"/>
    </xf>
    <xf numFmtId="168" fontId="3" fillId="17" borderId="20" xfId="39" applyNumberFormat="1" applyFont="1" applyFill="1" applyBorder="1" applyAlignment="1">
      <alignment horizontal="right"/>
    </xf>
    <xf numFmtId="168" fontId="3" fillId="0" borderId="35" xfId="39" applyNumberFormat="1" applyFont="1" applyFill="1" applyBorder="1" applyAlignment="1">
      <alignment horizontal="right"/>
    </xf>
    <xf numFmtId="176" fontId="12" fillId="0" borderId="0" xfId="0" applyNumberFormat="1" applyFont="1" applyFill="1" applyBorder="1" applyAlignment="1">
      <alignment horizontal="right"/>
    </xf>
    <xf numFmtId="176" fontId="74" fillId="0" borderId="0" xfId="39" applyNumberFormat="1" applyFont="1" applyFill="1" applyBorder="1" applyAlignment="1">
      <alignment horizontal="right"/>
    </xf>
    <xf numFmtId="176" fontId="5" fillId="0" borderId="0" xfId="39" applyNumberFormat="1" applyFont="1" applyFill="1" applyBorder="1" applyAlignment="1">
      <alignment horizontal="right"/>
    </xf>
    <xf numFmtId="168" fontId="54" fillId="0" borderId="20" xfId="39" applyNumberFormat="1" applyFont="1" applyFill="1" applyBorder="1" applyAlignment="1">
      <alignment horizontal="right"/>
    </xf>
    <xf numFmtId="168" fontId="54" fillId="0" borderId="0" xfId="39" applyNumberFormat="1" applyFont="1" applyFill="1" applyBorder="1" applyAlignment="1">
      <alignment horizontal="right"/>
    </xf>
    <xf numFmtId="168" fontId="5" fillId="0" borderId="20" xfId="0" applyNumberFormat="1" applyFont="1" applyFill="1" applyBorder="1" applyAlignment="1">
      <alignment horizontal="right"/>
    </xf>
    <xf numFmtId="176" fontId="74" fillId="0" borderId="20" xfId="39" applyNumberFormat="1" applyFont="1" applyFill="1" applyBorder="1" applyAlignment="1">
      <alignment horizontal="right"/>
    </xf>
    <xf numFmtId="176" fontId="5" fillId="0" borderId="27" xfId="39" applyNumberFormat="1" applyFont="1" applyFill="1" applyBorder="1" applyAlignment="1">
      <alignment horizontal="right"/>
    </xf>
    <xf numFmtId="168" fontId="5" fillId="0" borderId="27" xfId="39" applyNumberFormat="1" applyFont="1" applyFill="1" applyBorder="1" applyAlignment="1">
      <alignment horizontal="right"/>
    </xf>
    <xf numFmtId="167" fontId="18" fillId="20" borderId="11" xfId="0" applyNumberFormat="1" applyFont="1" applyFill="1" applyBorder="1"/>
    <xf numFmtId="166" fontId="18" fillId="20" borderId="11" xfId="0" applyNumberFormat="1" applyFont="1" applyFill="1" applyBorder="1"/>
    <xf numFmtId="167" fontId="18" fillId="20" borderId="15" xfId="0" applyNumberFormat="1" applyFont="1" applyFill="1" applyBorder="1"/>
    <xf numFmtId="0" fontId="3" fillId="0" borderId="33" xfId="0" applyFont="1" applyFill="1" applyBorder="1" applyAlignment="1">
      <alignment horizontal="left" indent="3"/>
    </xf>
    <xf numFmtId="0" fontId="3" fillId="0" borderId="12" xfId="0" applyFont="1" applyFill="1" applyBorder="1" applyAlignment="1">
      <alignment horizontal="left" indent="3"/>
    </xf>
    <xf numFmtId="0" fontId="3" fillId="0" borderId="12" xfId="0" applyFont="1" applyFill="1" applyBorder="1" applyAlignment="1">
      <alignment horizontal="left" indent="1"/>
    </xf>
    <xf numFmtId="169" fontId="5" fillId="0" borderId="24" xfId="0" applyNumberFormat="1" applyFont="1" applyFill="1" applyBorder="1"/>
    <xf numFmtId="169" fontId="5" fillId="0" borderId="12" xfId="0" applyNumberFormat="1" applyFont="1" applyFill="1" applyBorder="1"/>
    <xf numFmtId="171" fontId="5" fillId="17" borderId="24" xfId="0" applyNumberFormat="1" applyFont="1" applyFill="1" applyBorder="1"/>
    <xf numFmtId="171" fontId="5" fillId="17" borderId="12" xfId="0" applyNumberFormat="1" applyFont="1" applyFill="1" applyBorder="1"/>
    <xf numFmtId="171" fontId="5" fillId="17" borderId="19" xfId="0" applyNumberFormat="1" applyFont="1" applyFill="1" applyBorder="1"/>
    <xf numFmtId="168" fontId="5" fillId="0" borderId="22" xfId="0" applyNumberFormat="1" applyFont="1" applyFill="1" applyBorder="1" applyAlignment="1">
      <alignment horizontal="right"/>
    </xf>
    <xf numFmtId="168" fontId="5" fillId="0" borderId="16" xfId="0" applyNumberFormat="1" applyFont="1" applyFill="1" applyBorder="1" applyAlignment="1">
      <alignment horizontal="right"/>
    </xf>
    <xf numFmtId="7" fontId="5" fillId="0" borderId="21" xfId="0" applyNumberFormat="1" applyFont="1" applyFill="1" applyBorder="1" applyAlignment="1">
      <alignment horizontal="right"/>
    </xf>
    <xf numFmtId="7" fontId="5" fillId="0" borderId="11" xfId="0" applyNumberFormat="1" applyFont="1" applyFill="1" applyBorder="1" applyAlignment="1">
      <alignment horizontal="right"/>
    </xf>
    <xf numFmtId="168" fontId="5" fillId="0" borderId="21" xfId="0" applyNumberFormat="1" applyFont="1" applyFill="1" applyBorder="1" applyAlignment="1">
      <alignment horizontal="right"/>
    </xf>
    <xf numFmtId="170" fontId="5" fillId="0" borderId="22" xfId="0" applyNumberFormat="1" applyFont="1" applyFill="1" applyBorder="1" applyAlignment="1">
      <alignment horizontal="right"/>
    </xf>
    <xf numFmtId="170" fontId="5" fillId="0" borderId="16" xfId="0" applyNumberFormat="1" applyFont="1" applyFill="1" applyBorder="1" applyAlignment="1">
      <alignment horizontal="right"/>
    </xf>
    <xf numFmtId="170" fontId="5" fillId="0" borderId="20" xfId="0" applyNumberFormat="1" applyFont="1" applyFill="1" applyBorder="1" applyAlignment="1">
      <alignment horizontal="right"/>
    </xf>
    <xf numFmtId="170" fontId="5" fillId="0" borderId="21" xfId="0" applyNumberFormat="1" applyFont="1" applyFill="1" applyBorder="1" applyAlignment="1">
      <alignment horizontal="right"/>
    </xf>
    <xf numFmtId="170" fontId="5" fillId="0" borderId="11" xfId="0" applyNumberFormat="1" applyFont="1" applyFill="1" applyBorder="1" applyAlignment="1">
      <alignment horizontal="right"/>
    </xf>
    <xf numFmtId="170" fontId="5" fillId="17" borderId="24" xfId="0" applyNumberFormat="1" applyFont="1" applyFill="1" applyBorder="1"/>
    <xf numFmtId="171" fontId="5" fillId="17" borderId="12" xfId="52" applyNumberFormat="1" applyFont="1" applyFill="1" applyBorder="1"/>
    <xf numFmtId="171" fontId="5" fillId="0" borderId="12" xfId="52" applyNumberFormat="1" applyFont="1" applyFill="1" applyBorder="1"/>
    <xf numFmtId="171" fontId="5" fillId="17" borderId="19" xfId="52" applyNumberFormat="1" applyFont="1" applyFill="1" applyBorder="1"/>
    <xf numFmtId="171" fontId="5" fillId="17" borderId="24" xfId="52" applyNumberFormat="1" applyFont="1" applyFill="1" applyBorder="1"/>
    <xf numFmtId="168" fontId="5" fillId="0" borderId="22" xfId="39" applyNumberFormat="1" applyFont="1" applyFill="1" applyBorder="1" applyAlignment="1">
      <alignment horizontal="right"/>
    </xf>
    <xf numFmtId="168" fontId="5" fillId="0" borderId="16" xfId="39" applyNumberFormat="1" applyFont="1" applyFill="1" applyBorder="1" applyAlignment="1">
      <alignment horizontal="right"/>
    </xf>
    <xf numFmtId="168" fontId="5" fillId="0" borderId="26" xfId="0" applyNumberFormat="1" applyFont="1" applyFill="1" applyBorder="1" applyAlignment="1">
      <alignment horizontal="right"/>
    </xf>
    <xf numFmtId="7" fontId="5" fillId="0" borderId="28" xfId="0" applyNumberFormat="1" applyFont="1" applyFill="1" applyBorder="1" applyAlignment="1">
      <alignment horizontal="right"/>
    </xf>
    <xf numFmtId="168" fontId="5" fillId="0" borderId="28" xfId="0" applyNumberFormat="1" applyFont="1" applyFill="1" applyBorder="1" applyAlignment="1">
      <alignment horizontal="right"/>
    </xf>
    <xf numFmtId="170" fontId="5" fillId="0" borderId="26" xfId="0" applyNumberFormat="1" applyFont="1" applyFill="1" applyBorder="1" applyAlignment="1">
      <alignment horizontal="right"/>
    </xf>
    <xf numFmtId="170" fontId="5" fillId="0" borderId="27" xfId="0" applyNumberFormat="1" applyFont="1" applyFill="1" applyBorder="1" applyAlignment="1">
      <alignment horizontal="right"/>
    </xf>
    <xf numFmtId="170" fontId="5" fillId="0" borderId="28" xfId="0" applyNumberFormat="1" applyFont="1" applyFill="1" applyBorder="1" applyAlignment="1">
      <alignment horizontal="right"/>
    </xf>
    <xf numFmtId="168" fontId="5" fillId="0" borderId="26" xfId="39" applyNumberFormat="1" applyFont="1" applyFill="1" applyBorder="1" applyAlignment="1">
      <alignment horizontal="right"/>
    </xf>
    <xf numFmtId="168" fontId="22" fillId="0" borderId="16" xfId="40" applyNumberFormat="1" applyFont="1" applyFill="1" applyBorder="1" applyAlignment="1">
      <alignment horizontal="right"/>
    </xf>
    <xf numFmtId="168" fontId="22" fillId="0" borderId="0" xfId="40" applyNumberFormat="1" applyFont="1" applyFill="1" applyBorder="1" applyAlignment="1">
      <alignment horizontal="right"/>
    </xf>
    <xf numFmtId="168" fontId="22" fillId="0" borderId="20" xfId="40" applyNumberFormat="1" applyFont="1" applyFill="1" applyBorder="1" applyAlignment="1">
      <alignment horizontal="right"/>
    </xf>
    <xf numFmtId="7" fontId="5" fillId="0" borderId="22" xfId="0" applyNumberFormat="1" applyFont="1" applyFill="1" applyBorder="1" applyAlignment="1">
      <alignment horizontal="right"/>
    </xf>
    <xf numFmtId="7" fontId="5" fillId="0" borderId="16" xfId="0" applyNumberFormat="1" applyFont="1" applyFill="1" applyBorder="1" applyAlignment="1">
      <alignment horizontal="right"/>
    </xf>
    <xf numFmtId="169" fontId="5" fillId="0" borderId="21" xfId="58" applyNumberFormat="1" applyFont="1" applyFill="1" applyBorder="1" applyAlignment="1">
      <alignment horizontal="right"/>
    </xf>
    <xf numFmtId="169" fontId="5" fillId="0" borderId="11" xfId="58" applyNumberFormat="1" applyFont="1" applyFill="1" applyBorder="1" applyAlignment="1">
      <alignment horizontal="right"/>
    </xf>
    <xf numFmtId="171" fontId="5" fillId="22" borderId="24" xfId="52" applyNumberFormat="1" applyFont="1" applyFill="1" applyBorder="1"/>
    <xf numFmtId="171" fontId="5" fillId="22" borderId="12" xfId="52" applyNumberFormat="1" applyFont="1" applyFill="1" applyBorder="1"/>
    <xf numFmtId="171" fontId="5" fillId="22" borderId="19" xfId="52" applyNumberFormat="1" applyFont="1" applyFill="1" applyBorder="1"/>
    <xf numFmtId="168" fontId="5" fillId="22" borderId="22" xfId="39" applyNumberFormat="1" applyFont="1" applyFill="1" applyBorder="1" applyAlignment="1">
      <alignment horizontal="right"/>
    </xf>
    <xf numFmtId="168" fontId="5" fillId="22" borderId="16" xfId="39" applyNumberFormat="1" applyFont="1" applyFill="1" applyBorder="1" applyAlignment="1">
      <alignment horizontal="right"/>
    </xf>
    <xf numFmtId="168" fontId="5" fillId="22" borderId="20" xfId="39" applyNumberFormat="1" applyFont="1" applyFill="1" applyBorder="1" applyAlignment="1">
      <alignment horizontal="right"/>
    </xf>
    <xf numFmtId="39" fontId="5" fillId="22" borderId="21" xfId="39" applyNumberFormat="1" applyFont="1" applyFill="1" applyBorder="1" applyAlignment="1">
      <alignment horizontal="right"/>
    </xf>
    <xf numFmtId="39" fontId="5" fillId="22" borderId="11" xfId="39" applyNumberFormat="1" applyFont="1" applyFill="1" applyBorder="1" applyAlignment="1">
      <alignment horizontal="right"/>
    </xf>
    <xf numFmtId="168" fontId="12" fillId="0" borderId="22" xfId="0" applyNumberFormat="1" applyFont="1" applyFill="1" applyBorder="1" applyAlignment="1">
      <alignment horizontal="right"/>
    </xf>
    <xf numFmtId="168" fontId="5" fillId="0" borderId="16" xfId="39" quotePrefix="1" applyNumberFormat="1" applyFont="1" applyFill="1" applyBorder="1" applyAlignment="1">
      <alignment horizontal="right"/>
    </xf>
    <xf numFmtId="168" fontId="12" fillId="0" borderId="20" xfId="0" applyNumberFormat="1" applyFont="1" applyFill="1" applyBorder="1" applyAlignment="1">
      <alignment horizontal="right"/>
    </xf>
    <xf numFmtId="168" fontId="5" fillId="0" borderId="36" xfId="0" applyNumberFormat="1" applyFont="1" applyFill="1" applyBorder="1" applyAlignment="1">
      <alignment horizontal="right"/>
    </xf>
    <xf numFmtId="168" fontId="5" fillId="17" borderId="24" xfId="0" applyNumberFormat="1" applyFont="1" applyFill="1" applyBorder="1"/>
    <xf numFmtId="168" fontId="5" fillId="17" borderId="19" xfId="0" applyNumberFormat="1" applyFont="1" applyFill="1" applyBorder="1"/>
    <xf numFmtId="168" fontId="5" fillId="0" borderId="22" xfId="39" quotePrefix="1" applyNumberFormat="1" applyFont="1" applyFill="1" applyBorder="1" applyAlignment="1">
      <alignment horizontal="right"/>
    </xf>
    <xf numFmtId="168" fontId="5" fillId="22" borderId="26" xfId="39" applyNumberFormat="1" applyFont="1" applyFill="1" applyBorder="1" applyAlignment="1">
      <alignment horizontal="right"/>
    </xf>
    <xf numFmtId="168" fontId="5" fillId="22" borderId="27" xfId="39" applyNumberFormat="1" applyFont="1" applyFill="1" applyBorder="1" applyAlignment="1">
      <alignment horizontal="right"/>
    </xf>
    <xf numFmtId="39" fontId="5" fillId="22" borderId="28" xfId="39" applyNumberFormat="1" applyFont="1" applyFill="1" applyBorder="1" applyAlignment="1">
      <alignment horizontal="right"/>
    </xf>
    <xf numFmtId="7" fontId="5" fillId="0" borderId="26" xfId="0" applyNumberFormat="1" applyFont="1" applyFill="1" applyBorder="1" applyAlignment="1">
      <alignment horizontal="right"/>
    </xf>
    <xf numFmtId="169" fontId="5" fillId="0" borderId="28" xfId="58" applyNumberFormat="1" applyFont="1" applyFill="1" applyBorder="1" applyAlignment="1">
      <alignment horizontal="right"/>
    </xf>
    <xf numFmtId="168" fontId="5" fillId="0" borderId="26" xfId="39" quotePrefix="1" applyNumberFormat="1" applyFont="1" applyFill="1" applyBorder="1" applyAlignment="1">
      <alignment horizontal="right"/>
    </xf>
    <xf numFmtId="168" fontId="5" fillId="0" borderId="37" xfId="0" applyNumberFormat="1" applyFont="1" applyFill="1" applyBorder="1" applyAlignment="1">
      <alignment horizontal="right"/>
    </xf>
    <xf numFmtId="169" fontId="22" fillId="0" borderId="0" xfId="0" applyNumberFormat="1" applyFont="1" applyFill="1" applyBorder="1" applyAlignment="1">
      <alignment horizontal="right"/>
    </xf>
    <xf numFmtId="169" fontId="22" fillId="0" borderId="11" xfId="0" applyNumberFormat="1" applyFont="1" applyFill="1" applyBorder="1" applyAlignment="1">
      <alignment horizontal="right"/>
    </xf>
    <xf numFmtId="169" fontId="22" fillId="0" borderId="20" xfId="0" applyNumberFormat="1" applyFont="1" applyFill="1" applyBorder="1" applyAlignment="1">
      <alignment horizontal="right"/>
    </xf>
    <xf numFmtId="169" fontId="22" fillId="0" borderId="21" xfId="0" applyNumberFormat="1" applyFont="1" applyFill="1" applyBorder="1" applyAlignment="1">
      <alignment horizontal="right"/>
    </xf>
    <xf numFmtId="168" fontId="5" fillId="17" borderId="38" xfId="0" applyNumberFormat="1" applyFont="1" applyFill="1" applyBorder="1" applyAlignment="1">
      <alignment horizontal="left" indent="1"/>
    </xf>
    <xf numFmtId="169" fontId="10" fillId="0" borderId="12" xfId="58" applyNumberFormat="1" applyFont="1" applyFill="1" applyBorder="1" applyAlignment="1">
      <alignment horizontal="left" indent="2"/>
    </xf>
    <xf numFmtId="172" fontId="5" fillId="0" borderId="12" xfId="0" applyNumberFormat="1" applyFont="1" applyFill="1" applyBorder="1" applyAlignment="1">
      <alignment horizontal="left" indent="1"/>
    </xf>
    <xf numFmtId="169" fontId="10" fillId="0" borderId="12" xfId="0" applyNumberFormat="1" applyFont="1" applyFill="1" applyBorder="1" applyAlignment="1">
      <alignment horizontal="left" indent="2"/>
    </xf>
    <xf numFmtId="166" fontId="18" fillId="0" borderId="12" xfId="0" applyNumberFormat="1" applyFont="1" applyFill="1" applyBorder="1"/>
    <xf numFmtId="169" fontId="5" fillId="0" borderId="12" xfId="0" applyNumberFormat="1" applyFont="1" applyFill="1" applyBorder="1" applyAlignment="1">
      <alignment horizontal="left" indent="2"/>
    </xf>
    <xf numFmtId="167" fontId="18" fillId="0" borderId="12" xfId="0" applyNumberFormat="1" applyFont="1" applyFill="1" applyBorder="1"/>
    <xf numFmtId="183" fontId="18" fillId="0" borderId="19" xfId="0" applyNumberFormat="1" applyFont="1" applyFill="1" applyBorder="1"/>
    <xf numFmtId="166" fontId="3" fillId="29" borderId="22" xfId="39" applyNumberFormat="1" applyFont="1" applyFill="1" applyBorder="1"/>
    <xf numFmtId="166" fontId="3" fillId="29" borderId="16" xfId="39" applyNumberFormat="1" applyFont="1" applyFill="1" applyBorder="1"/>
    <xf numFmtId="166" fontId="3" fillId="29" borderId="26" xfId="39" applyNumberFormat="1" applyFont="1" applyFill="1" applyBorder="1"/>
    <xf numFmtId="169" fontId="10" fillId="0" borderId="20" xfId="58" applyNumberFormat="1" applyFont="1" applyFill="1" applyBorder="1" applyAlignment="1">
      <alignment horizontal="right"/>
    </xf>
    <xf numFmtId="168" fontId="12" fillId="0" borderId="36" xfId="39" applyNumberFormat="1" applyFont="1" applyFill="1" applyBorder="1" applyAlignment="1">
      <alignment horizontal="right"/>
    </xf>
    <xf numFmtId="0" fontId="5" fillId="0" borderId="20" xfId="0" applyFont="1" applyFill="1" applyBorder="1" applyAlignment="1">
      <alignment horizontal="right"/>
    </xf>
    <xf numFmtId="169" fontId="10" fillId="0" borderId="20" xfId="39" applyNumberFormat="1" applyFont="1" applyFill="1" applyBorder="1" applyAlignment="1">
      <alignment horizontal="right"/>
    </xf>
    <xf numFmtId="168" fontId="5" fillId="0" borderId="36" xfId="39" applyNumberFormat="1" applyFont="1" applyFill="1" applyBorder="1" applyAlignment="1">
      <alignment horizontal="right"/>
    </xf>
    <xf numFmtId="166" fontId="18" fillId="0" borderId="20" xfId="39" applyNumberFormat="1" applyFont="1" applyFill="1" applyBorder="1" applyAlignment="1">
      <alignment horizontal="right"/>
    </xf>
    <xf numFmtId="167" fontId="18" fillId="0" borderId="20" xfId="39" applyNumberFormat="1" applyFont="1" applyFill="1" applyBorder="1" applyAlignment="1">
      <alignment horizontal="right"/>
    </xf>
    <xf numFmtId="183" fontId="18" fillId="0" borderId="21" xfId="39" applyNumberFormat="1" applyFont="1" applyFill="1" applyBorder="1" applyAlignment="1">
      <alignment horizontal="right"/>
    </xf>
    <xf numFmtId="183" fontId="18" fillId="0" borderId="11" xfId="39" applyNumberFormat="1" applyFont="1" applyFill="1" applyBorder="1" applyAlignment="1">
      <alignment horizontal="right"/>
    </xf>
    <xf numFmtId="167" fontId="18" fillId="0" borderId="20" xfId="0" applyNumberFormat="1" applyFont="1" applyFill="1" applyBorder="1" applyAlignment="1">
      <alignment horizontal="right"/>
    </xf>
    <xf numFmtId="167" fontId="18" fillId="0" borderId="0" xfId="0" applyNumberFormat="1" applyFont="1" applyFill="1" applyBorder="1" applyAlignment="1">
      <alignment horizontal="right"/>
    </xf>
    <xf numFmtId="168" fontId="67" fillId="0" borderId="0" xfId="39" applyNumberFormat="1" applyFont="1" applyFill="1" applyBorder="1" applyAlignment="1">
      <alignment horizontal="right"/>
    </xf>
    <xf numFmtId="166" fontId="18" fillId="0" borderId="20" xfId="0" applyNumberFormat="1" applyFont="1" applyFill="1" applyBorder="1" applyAlignment="1">
      <alignment horizontal="right"/>
    </xf>
    <xf numFmtId="166" fontId="18" fillId="0" borderId="0" xfId="0" applyNumberFormat="1" applyFont="1" applyFill="1" applyBorder="1" applyAlignment="1">
      <alignment horizontal="right"/>
    </xf>
    <xf numFmtId="169" fontId="68" fillId="0" borderId="0" xfId="58" applyNumberFormat="1" applyFont="1" applyFill="1" applyBorder="1" applyAlignment="1">
      <alignment horizontal="right"/>
    </xf>
    <xf numFmtId="169" fontId="68" fillId="0" borderId="0" xfId="39" applyNumberFormat="1" applyFont="1" applyFill="1" applyBorder="1" applyAlignment="1">
      <alignment horizontal="right"/>
    </xf>
    <xf numFmtId="169" fontId="68" fillId="0" borderId="20" xfId="58" applyNumberFormat="1" applyFont="1" applyFill="1" applyBorder="1" applyAlignment="1">
      <alignment horizontal="right"/>
    </xf>
    <xf numFmtId="169" fontId="68" fillId="0" borderId="20" xfId="39" applyNumberFormat="1" applyFont="1" applyFill="1" applyBorder="1" applyAlignment="1">
      <alignment horizontal="right"/>
    </xf>
    <xf numFmtId="168" fontId="62" fillId="0" borderId="36" xfId="39" applyNumberFormat="1" applyFont="1" applyFill="1" applyBorder="1" applyAlignment="1">
      <alignment horizontal="right"/>
    </xf>
    <xf numFmtId="169" fontId="10" fillId="0" borderId="27" xfId="58" applyNumberFormat="1" applyFont="1" applyFill="1" applyBorder="1" applyAlignment="1">
      <alignment horizontal="right"/>
    </xf>
    <xf numFmtId="168" fontId="5" fillId="0" borderId="37" xfId="39" applyNumberFormat="1" applyFont="1" applyFill="1" applyBorder="1" applyAlignment="1">
      <alignment horizontal="right"/>
    </xf>
    <xf numFmtId="0" fontId="5" fillId="0" borderId="27" xfId="0" applyFont="1" applyFill="1" applyBorder="1" applyAlignment="1">
      <alignment horizontal="right"/>
    </xf>
    <xf numFmtId="169" fontId="10" fillId="0" borderId="27" xfId="39" applyNumberFormat="1" applyFont="1" applyFill="1" applyBorder="1" applyAlignment="1">
      <alignment horizontal="right"/>
    </xf>
    <xf numFmtId="166" fontId="18" fillId="0" borderId="27" xfId="39" applyNumberFormat="1" applyFont="1" applyFill="1" applyBorder="1" applyAlignment="1">
      <alignment horizontal="right"/>
    </xf>
    <xf numFmtId="167" fontId="18" fillId="0" borderId="27" xfId="39" applyNumberFormat="1" applyFont="1" applyFill="1" applyBorder="1" applyAlignment="1">
      <alignment horizontal="right"/>
    </xf>
    <xf numFmtId="167" fontId="18" fillId="0" borderId="27" xfId="0" applyNumberFormat="1" applyFont="1" applyFill="1" applyBorder="1" applyAlignment="1">
      <alignment horizontal="right"/>
    </xf>
    <xf numFmtId="183" fontId="18" fillId="0" borderId="28" xfId="39" applyNumberFormat="1" applyFont="1" applyFill="1" applyBorder="1" applyAlignment="1">
      <alignment horizontal="right"/>
    </xf>
    <xf numFmtId="188" fontId="5" fillId="0" borderId="27" xfId="0" applyNumberFormat="1" applyFont="1" applyFill="1" applyBorder="1" applyAlignment="1">
      <alignment horizontal="right"/>
    </xf>
    <xf numFmtId="166" fontId="18" fillId="0" borderId="27" xfId="0" applyNumberFormat="1" applyFont="1" applyFill="1" applyBorder="1" applyAlignment="1">
      <alignment horizontal="right"/>
    </xf>
    <xf numFmtId="168" fontId="10" fillId="0" borderId="27" xfId="39" applyNumberFormat="1" applyFont="1" applyFill="1" applyBorder="1" applyAlignment="1">
      <alignment horizontal="right"/>
    </xf>
    <xf numFmtId="173" fontId="5" fillId="0" borderId="27" xfId="0" applyNumberFormat="1" applyFont="1" applyFill="1" applyBorder="1" applyAlignment="1">
      <alignment horizontal="right"/>
    </xf>
    <xf numFmtId="169" fontId="12" fillId="0" borderId="20" xfId="0" applyNumberFormat="1" applyFont="1" applyFill="1" applyBorder="1" applyAlignment="1">
      <alignment horizontal="right"/>
    </xf>
    <xf numFmtId="169" fontId="12" fillId="0" borderId="27" xfId="0" applyNumberFormat="1" applyFont="1" applyFill="1" applyBorder="1" applyAlignment="1">
      <alignment horizontal="right"/>
    </xf>
    <xf numFmtId="175" fontId="5" fillId="0" borderId="21" xfId="0" applyNumberFormat="1" applyFont="1" applyFill="1" applyBorder="1" applyAlignment="1">
      <alignment horizontal="right"/>
    </xf>
    <xf numFmtId="175" fontId="5" fillId="0" borderId="11" xfId="0" applyNumberFormat="1" applyFont="1" applyFill="1" applyBorder="1" applyAlignment="1">
      <alignment horizontal="right"/>
    </xf>
    <xf numFmtId="175" fontId="5" fillId="0" borderId="28" xfId="0" applyNumberFormat="1" applyFont="1" applyFill="1" applyBorder="1" applyAlignment="1">
      <alignment horizontal="right"/>
    </xf>
    <xf numFmtId="0" fontId="5" fillId="17" borderId="19" xfId="0" applyFont="1" applyFill="1" applyBorder="1" applyAlignment="1">
      <alignment horizontal="left"/>
    </xf>
    <xf numFmtId="169" fontId="5" fillId="0" borderId="19" xfId="0" applyNumberFormat="1" applyFont="1" applyFill="1" applyBorder="1" applyAlignment="1">
      <alignment horizontal="left" indent="2"/>
    </xf>
    <xf numFmtId="169" fontId="62" fillId="0" borderId="21" xfId="39" applyNumberFormat="1" applyFont="1" applyFill="1" applyBorder="1" applyAlignment="1">
      <alignment horizontal="right"/>
    </xf>
    <xf numFmtId="169" fontId="62" fillId="0" borderId="11" xfId="39" applyNumberFormat="1" applyFont="1" applyFill="1" applyBorder="1" applyAlignment="1">
      <alignment horizontal="right"/>
    </xf>
    <xf numFmtId="169" fontId="62" fillId="0" borderId="27" xfId="0" applyNumberFormat="1" applyFont="1" applyFill="1" applyBorder="1" applyAlignment="1">
      <alignment horizontal="right"/>
    </xf>
    <xf numFmtId="0" fontId="65" fillId="17" borderId="24" xfId="0" applyFont="1" applyFill="1" applyBorder="1"/>
    <xf numFmtId="0" fontId="65" fillId="0" borderId="12" xfId="0" applyFont="1" applyFill="1" applyBorder="1"/>
    <xf numFmtId="0" fontId="65" fillId="0" borderId="12" xfId="0" applyFont="1" applyFill="1" applyBorder="1" applyAlignment="1">
      <alignment horizontal="left" indent="1"/>
    </xf>
    <xf numFmtId="168" fontId="80" fillId="0" borderId="0" xfId="0" applyNumberFormat="1" applyFont="1" applyFill="1" applyBorder="1" applyAlignment="1">
      <alignment horizontal="right" wrapText="1"/>
    </xf>
    <xf numFmtId="43" fontId="5" fillId="0" borderId="0" xfId="39" applyFont="1" applyFill="1" applyBorder="1" applyAlignment="1">
      <alignment horizontal="right"/>
    </xf>
    <xf numFmtId="43" fontId="21" fillId="20" borderId="14" xfId="39" applyFont="1" applyFill="1" applyBorder="1"/>
    <xf numFmtId="43" fontId="21" fillId="20" borderId="14" xfId="39" applyFont="1" applyFill="1" applyBorder="1" applyAlignment="1">
      <alignment horizontal="right"/>
    </xf>
    <xf numFmtId="176" fontId="5" fillId="0" borderId="12" xfId="39" applyNumberFormat="1" applyFont="1" applyFill="1" applyBorder="1" applyAlignment="1"/>
    <xf numFmtId="168" fontId="5" fillId="0" borderId="12" xfId="0" applyNumberFormat="1" applyFont="1" applyFill="1" applyBorder="1" applyAlignment="1">
      <alignment horizontal="left" indent="1"/>
    </xf>
    <xf numFmtId="168" fontId="5" fillId="0" borderId="12" xfId="0" applyNumberFormat="1" applyFont="1" applyFill="1" applyBorder="1" applyAlignment="1">
      <alignment horizontal="left" wrapText="1" indent="2"/>
    </xf>
    <xf numFmtId="168" fontId="5" fillId="0" borderId="12" xfId="0" applyNumberFormat="1" applyFont="1" applyFill="1" applyBorder="1" applyAlignment="1">
      <alignment horizontal="left" wrapText="1" indent="1"/>
    </xf>
    <xf numFmtId="168" fontId="5" fillId="0" borderId="19" xfId="0" applyNumberFormat="1" applyFont="1" applyFill="1" applyBorder="1" applyAlignment="1">
      <alignment horizontal="left" wrapText="1" indent="1"/>
    </xf>
    <xf numFmtId="168" fontId="5" fillId="0" borderId="12" xfId="0" applyNumberFormat="1" applyFont="1" applyFill="1" applyBorder="1" applyAlignment="1">
      <alignment horizontal="left" wrapText="1"/>
    </xf>
    <xf numFmtId="168" fontId="5" fillId="0" borderId="12" xfId="0" applyNumberFormat="1" applyFont="1" applyFill="1" applyBorder="1" applyAlignment="1">
      <alignment horizontal="left"/>
    </xf>
    <xf numFmtId="168" fontId="5" fillId="0" borderId="19" xfId="0" applyNumberFormat="1" applyFont="1" applyFill="1" applyBorder="1" applyAlignment="1">
      <alignment horizontal="left" wrapText="1"/>
    </xf>
    <xf numFmtId="168" fontId="5" fillId="17" borderId="19" xfId="39" applyNumberFormat="1" applyFont="1" applyFill="1" applyBorder="1" applyAlignment="1">
      <alignment horizontal="left"/>
    </xf>
    <xf numFmtId="168" fontId="5" fillId="17" borderId="12" xfId="0" applyNumberFormat="1" applyFont="1" applyFill="1" applyBorder="1"/>
    <xf numFmtId="168" fontId="5" fillId="17" borderId="33" xfId="0" applyNumberFormat="1" applyFont="1" applyFill="1" applyBorder="1"/>
    <xf numFmtId="0" fontId="21" fillId="0" borderId="16" xfId="0" applyFont="1" applyFill="1" applyBorder="1" applyAlignment="1">
      <alignment horizontal="center"/>
    </xf>
    <xf numFmtId="0" fontId="21" fillId="0" borderId="0" xfId="0" applyFont="1" applyFill="1" applyBorder="1" applyAlignment="1">
      <alignment horizontal="center"/>
    </xf>
    <xf numFmtId="176" fontId="12" fillId="0" borderId="20" xfId="39" applyNumberFormat="1" applyFont="1" applyFill="1" applyBorder="1" applyAlignment="1">
      <alignment horizontal="right"/>
    </xf>
    <xf numFmtId="176" fontId="12" fillId="0" borderId="0" xfId="39" applyNumberFormat="1" applyFont="1" applyFill="1" applyBorder="1" applyAlignment="1">
      <alignment horizontal="right"/>
    </xf>
    <xf numFmtId="168" fontId="5" fillId="0" borderId="0" xfId="39" applyNumberFormat="1" applyFont="1" applyBorder="1" applyAlignment="1">
      <alignment horizontal="right"/>
    </xf>
    <xf numFmtId="168" fontId="3" fillId="17" borderId="22" xfId="39" applyNumberFormat="1" applyFont="1" applyFill="1" applyBorder="1" applyAlignment="1">
      <alignment horizontal="right"/>
    </xf>
    <xf numFmtId="168" fontId="5" fillId="17" borderId="20" xfId="39" applyNumberFormat="1" applyFont="1" applyFill="1" applyBorder="1" applyAlignment="1">
      <alignment horizontal="right"/>
    </xf>
    <xf numFmtId="168" fontId="5" fillId="0" borderId="21" xfId="39" applyNumberFormat="1" applyFont="1" applyBorder="1" applyAlignment="1">
      <alignment horizontal="right"/>
    </xf>
    <xf numFmtId="168" fontId="5" fillId="0" borderId="27" xfId="58" applyNumberFormat="1" applyFont="1" applyBorder="1" applyAlignment="1">
      <alignment horizontal="right"/>
    </xf>
    <xf numFmtId="168" fontId="5" fillId="0" borderId="28" xfId="39" applyNumberFormat="1" applyFont="1" applyBorder="1" applyAlignment="1">
      <alignment horizontal="right"/>
    </xf>
    <xf numFmtId="168" fontId="5" fillId="0" borderId="27" xfId="58" applyNumberFormat="1" applyFont="1" applyFill="1" applyBorder="1" applyAlignment="1">
      <alignment horizontal="right"/>
    </xf>
    <xf numFmtId="176" fontId="67" fillId="0" borderId="0" xfId="39" applyNumberFormat="1" applyFont="1" applyFill="1" applyBorder="1" applyAlignment="1">
      <alignment horizontal="right"/>
    </xf>
    <xf numFmtId="168" fontId="58" fillId="17" borderId="0" xfId="39" applyNumberFormat="1" applyFont="1" applyFill="1" applyBorder="1" applyAlignment="1">
      <alignment horizontal="right"/>
    </xf>
    <xf numFmtId="168" fontId="58" fillId="0" borderId="0" xfId="39" applyNumberFormat="1" applyFont="1" applyFill="1" applyBorder="1" applyAlignment="1">
      <alignment horizontal="right"/>
    </xf>
    <xf numFmtId="168" fontId="62" fillId="17" borderId="0" xfId="39" applyNumberFormat="1" applyFont="1" applyFill="1" applyBorder="1" applyAlignment="1">
      <alignment horizontal="right"/>
    </xf>
    <xf numFmtId="176" fontId="67" fillId="0" borderId="20" xfId="39" applyNumberFormat="1" applyFont="1" applyFill="1" applyBorder="1" applyAlignment="1">
      <alignment horizontal="right"/>
    </xf>
    <xf numFmtId="168" fontId="67" fillId="0" borderId="20" xfId="39" applyNumberFormat="1" applyFont="1" applyFill="1" applyBorder="1" applyAlignment="1">
      <alignment horizontal="right"/>
    </xf>
    <xf numFmtId="168" fontId="58" fillId="17" borderId="20" xfId="39" applyNumberFormat="1" applyFont="1" applyFill="1" applyBorder="1" applyAlignment="1">
      <alignment horizontal="right"/>
    </xf>
    <xf numFmtId="168" fontId="58" fillId="0" borderId="20" xfId="39" applyNumberFormat="1" applyFont="1" applyFill="1" applyBorder="1" applyAlignment="1">
      <alignment horizontal="right"/>
    </xf>
    <xf numFmtId="176" fontId="5" fillId="0" borderId="20" xfId="39" applyNumberFormat="1" applyFont="1" applyFill="1" applyBorder="1" applyAlignment="1">
      <alignment horizontal="right"/>
    </xf>
    <xf numFmtId="168" fontId="62" fillId="17" borderId="20" xfId="39" applyNumberFormat="1" applyFont="1" applyFill="1" applyBorder="1" applyAlignment="1">
      <alignment horizontal="right"/>
    </xf>
    <xf numFmtId="0" fontId="3" fillId="29" borderId="24" xfId="0" applyFont="1" applyFill="1" applyBorder="1"/>
    <xf numFmtId="0" fontId="60" fillId="29" borderId="22" xfId="0" applyFont="1" applyFill="1" applyBorder="1" applyAlignment="1">
      <alignment horizontal="right"/>
    </xf>
    <xf numFmtId="0" fontId="60" fillId="29" borderId="16" xfId="0" applyFont="1" applyFill="1" applyBorder="1" applyAlignment="1">
      <alignment horizontal="right"/>
    </xf>
    <xf numFmtId="0" fontId="60" fillId="29" borderId="26" xfId="0" applyFont="1" applyFill="1" applyBorder="1" applyAlignment="1">
      <alignment horizontal="right"/>
    </xf>
    <xf numFmtId="0" fontId="5" fillId="29" borderId="22" xfId="0" applyFont="1" applyFill="1" applyBorder="1" applyAlignment="1">
      <alignment horizontal="right"/>
    </xf>
    <xf numFmtId="0" fontId="5" fillId="29" borderId="16" xfId="0" applyFont="1" applyFill="1" applyBorder="1" applyAlignment="1">
      <alignment horizontal="right"/>
    </xf>
    <xf numFmtId="0" fontId="5" fillId="29" borderId="26" xfId="0" applyFont="1" applyFill="1" applyBorder="1" applyAlignment="1">
      <alignment horizontal="right"/>
    </xf>
    <xf numFmtId="0" fontId="3" fillId="29" borderId="12" xfId="0" applyFont="1" applyFill="1" applyBorder="1"/>
    <xf numFmtId="0" fontId="60" fillId="29" borderId="20" xfId="0" applyFont="1" applyFill="1" applyBorder="1" applyAlignment="1">
      <alignment horizontal="right"/>
    </xf>
    <xf numFmtId="0" fontId="60" fillId="29" borderId="0" xfId="0" applyFont="1" applyFill="1" applyBorder="1" applyAlignment="1">
      <alignment horizontal="right"/>
    </xf>
    <xf numFmtId="0" fontId="60" fillId="29" borderId="27" xfId="0" applyFont="1" applyFill="1" applyBorder="1" applyAlignment="1">
      <alignment horizontal="right"/>
    </xf>
    <xf numFmtId="0" fontId="5" fillId="29" borderId="20" xfId="0" applyFont="1" applyFill="1" applyBorder="1" applyAlignment="1">
      <alignment horizontal="right"/>
    </xf>
    <xf numFmtId="0" fontId="5" fillId="29" borderId="0" xfId="0" applyFont="1" applyFill="1" applyBorder="1" applyAlignment="1">
      <alignment horizontal="right"/>
    </xf>
    <xf numFmtId="0" fontId="5" fillId="29" borderId="27" xfId="0" applyFont="1" applyFill="1" applyBorder="1" applyAlignment="1">
      <alignment horizontal="right"/>
    </xf>
    <xf numFmtId="7" fontId="64" fillId="0" borderId="0" xfId="0" applyNumberFormat="1" applyFont="1" applyFill="1" applyBorder="1" applyAlignment="1">
      <alignment horizontal="right"/>
    </xf>
    <xf numFmtId="44" fontId="64" fillId="0" borderId="0" xfId="41" applyFont="1" applyFill="1" applyBorder="1" applyAlignment="1">
      <alignment horizontal="right"/>
    </xf>
    <xf numFmtId="9" fontId="64" fillId="0" borderId="0" xfId="0" applyNumberFormat="1" applyFont="1" applyFill="1" applyBorder="1" applyAlignment="1">
      <alignment horizontal="right"/>
    </xf>
    <xf numFmtId="9" fontId="5" fillId="0" borderId="0" xfId="0" applyNumberFormat="1" applyFont="1" applyFill="1" applyBorder="1" applyAlignment="1">
      <alignment horizontal="right"/>
    </xf>
    <xf numFmtId="168" fontId="5" fillId="0" borderId="0" xfId="0" applyNumberFormat="1" applyFont="1" applyFill="1"/>
    <xf numFmtId="43" fontId="21" fillId="0" borderId="0" xfId="39" applyFont="1" applyFill="1"/>
    <xf numFmtId="43" fontId="5" fillId="0" borderId="0" xfId="39" applyFont="1" applyFill="1"/>
    <xf numFmtId="43" fontId="0" fillId="0" borderId="0" xfId="39" applyFont="1" applyFill="1"/>
    <xf numFmtId="9" fontId="5" fillId="0" borderId="0" xfId="0" applyNumberFormat="1" applyFont="1" applyFill="1"/>
    <xf numFmtId="9" fontId="5" fillId="17" borderId="19" xfId="58" applyFont="1" applyFill="1" applyBorder="1"/>
    <xf numFmtId="0" fontId="10" fillId="0" borderId="12" xfId="0" applyFont="1" applyFill="1" applyBorder="1" applyAlignment="1">
      <alignment horizontal="left" indent="1"/>
    </xf>
    <xf numFmtId="0" fontId="10" fillId="0" borderId="19" xfId="0" applyFont="1" applyFill="1" applyBorder="1" applyAlignment="1">
      <alignment horizontal="left" indent="1"/>
    </xf>
    <xf numFmtId="7" fontId="5" fillId="0" borderId="20" xfId="39" applyNumberFormat="1" applyFont="1" applyFill="1" applyBorder="1" applyAlignment="1">
      <alignment horizontal="right"/>
    </xf>
    <xf numFmtId="7" fontId="79" fillId="0" borderId="22" xfId="39" applyNumberFormat="1" applyFont="1" applyFill="1" applyBorder="1" applyAlignment="1">
      <alignment horizontal="right"/>
    </xf>
    <xf numFmtId="7" fontId="79" fillId="0" borderId="16" xfId="39" applyNumberFormat="1" applyFont="1" applyFill="1" applyBorder="1" applyAlignment="1">
      <alignment horizontal="right"/>
    </xf>
    <xf numFmtId="169" fontId="10" fillId="0" borderId="20" xfId="0" applyNumberFormat="1" applyFont="1" applyFill="1" applyBorder="1" applyAlignment="1">
      <alignment horizontal="right"/>
    </xf>
    <xf numFmtId="169" fontId="10" fillId="0" borderId="21" xfId="58" applyNumberFormat="1" applyFont="1" applyFill="1" applyBorder="1" applyAlignment="1">
      <alignment horizontal="right"/>
    </xf>
    <xf numFmtId="169" fontId="10" fillId="0" borderId="11" xfId="58" applyNumberFormat="1" applyFont="1" applyFill="1" applyBorder="1" applyAlignment="1">
      <alignment horizontal="right"/>
    </xf>
    <xf numFmtId="7" fontId="56" fillId="17" borderId="16" xfId="39" applyNumberFormat="1" applyFont="1" applyFill="1" applyBorder="1" applyAlignment="1">
      <alignment horizontal="right"/>
    </xf>
    <xf numFmtId="7" fontId="56" fillId="17" borderId="22" xfId="39" applyNumberFormat="1" applyFont="1" applyFill="1" applyBorder="1" applyAlignment="1">
      <alignment horizontal="right"/>
    </xf>
    <xf numFmtId="7" fontId="5" fillId="0" borderId="27" xfId="39" applyNumberFormat="1" applyFont="1" applyFill="1" applyBorder="1" applyAlignment="1">
      <alignment horizontal="right"/>
    </xf>
    <xf numFmtId="7" fontId="56" fillId="17" borderId="26" xfId="39" applyNumberFormat="1" applyFont="1" applyFill="1" applyBorder="1" applyAlignment="1">
      <alignment horizontal="right"/>
    </xf>
    <xf numFmtId="169" fontId="10" fillId="0" borderId="28" xfId="58" applyNumberFormat="1" applyFont="1" applyFill="1" applyBorder="1" applyAlignment="1">
      <alignment horizontal="right"/>
    </xf>
    <xf numFmtId="7" fontId="56" fillId="0" borderId="26" xfId="39" applyNumberFormat="1" applyFont="1" applyFill="1" applyBorder="1" applyAlignment="1">
      <alignment horizontal="right"/>
    </xf>
    <xf numFmtId="169" fontId="10" fillId="0" borderId="27" xfId="0" applyNumberFormat="1" applyFont="1" applyFill="1" applyBorder="1" applyAlignment="1">
      <alignment horizontal="right"/>
    </xf>
    <xf numFmtId="169" fontId="64" fillId="0" borderId="0" xfId="58" applyNumberFormat="1" applyFont="1" applyFill="1" applyBorder="1" applyAlignment="1">
      <alignment horizontal="right"/>
    </xf>
    <xf numFmtId="172" fontId="5" fillId="0" borderId="12" xfId="0" applyNumberFormat="1" applyFont="1" applyFill="1" applyBorder="1"/>
    <xf numFmtId="0" fontId="10" fillId="0" borderId="12" xfId="0" applyFont="1" applyFill="1" applyBorder="1"/>
    <xf numFmtId="0" fontId="5" fillId="17" borderId="12" xfId="0" applyFont="1" applyFill="1" applyBorder="1" applyAlignment="1"/>
    <xf numFmtId="0" fontId="64" fillId="0" borderId="19" xfId="0" applyFont="1" applyFill="1" applyBorder="1"/>
    <xf numFmtId="168" fontId="58" fillId="0" borderId="27" xfId="39" applyNumberFormat="1" applyFont="1" applyBorder="1" applyAlignment="1">
      <alignment horizontal="right"/>
    </xf>
    <xf numFmtId="8" fontId="58" fillId="0" borderId="27" xfId="0" applyNumberFormat="1" applyFont="1" applyFill="1" applyBorder="1" applyAlignment="1">
      <alignment horizontal="right"/>
    </xf>
    <xf numFmtId="0" fontId="10" fillId="0" borderId="20" xfId="0" applyFont="1" applyFill="1" applyBorder="1" applyAlignment="1">
      <alignment horizontal="right"/>
    </xf>
    <xf numFmtId="166" fontId="76" fillId="0" borderId="27" xfId="39" applyNumberFormat="1" applyFont="1" applyBorder="1" applyAlignment="1">
      <alignment horizontal="right"/>
    </xf>
    <xf numFmtId="168" fontId="58" fillId="0" borderId="20" xfId="39" applyNumberFormat="1" applyFont="1" applyBorder="1" applyAlignment="1">
      <alignment horizontal="right"/>
    </xf>
    <xf numFmtId="168" fontId="58" fillId="0" borderId="0" xfId="39" applyNumberFormat="1" applyFont="1" applyBorder="1" applyAlignment="1">
      <alignment horizontal="right"/>
    </xf>
    <xf numFmtId="7" fontId="5" fillId="0" borderId="20" xfId="0" applyNumberFormat="1" applyFont="1" applyFill="1" applyBorder="1" applyAlignment="1">
      <alignment horizontal="right"/>
    </xf>
    <xf numFmtId="7" fontId="5" fillId="0" borderId="27" xfId="0" applyNumberFormat="1" applyFont="1" applyFill="1" applyBorder="1" applyAlignment="1">
      <alignment horizontal="right"/>
    </xf>
    <xf numFmtId="169" fontId="64" fillId="0" borderId="21" xfId="58" applyNumberFormat="1" applyFont="1" applyFill="1" applyBorder="1" applyAlignment="1">
      <alignment horizontal="right"/>
    </xf>
    <xf numFmtId="169" fontId="64" fillId="0" borderId="11" xfId="58" applyNumberFormat="1" applyFont="1" applyFill="1" applyBorder="1" applyAlignment="1">
      <alignment horizontal="right"/>
    </xf>
    <xf numFmtId="169" fontId="64" fillId="0" borderId="28" xfId="58" applyNumberFormat="1" applyFont="1" applyFill="1" applyBorder="1" applyAlignment="1">
      <alignment horizontal="right"/>
    </xf>
    <xf numFmtId="8" fontId="5" fillId="0" borderId="20" xfId="0" applyNumberFormat="1" applyFont="1" applyFill="1" applyBorder="1" applyAlignment="1">
      <alignment horizontal="right"/>
    </xf>
    <xf numFmtId="169" fontId="23" fillId="0" borderId="20" xfId="58" applyNumberFormat="1" applyFont="1" applyFill="1" applyBorder="1" applyAlignment="1">
      <alignment horizontal="right"/>
    </xf>
    <xf numFmtId="169" fontId="23" fillId="0" borderId="0" xfId="58" applyNumberFormat="1" applyFont="1" applyFill="1" applyBorder="1" applyAlignment="1">
      <alignment horizontal="right"/>
    </xf>
    <xf numFmtId="169" fontId="23" fillId="0" borderId="0" xfId="0" applyNumberFormat="1" applyFont="1" applyFill="1" applyBorder="1" applyAlignment="1">
      <alignment horizontal="right"/>
    </xf>
    <xf numFmtId="169" fontId="23" fillId="0" borderId="20" xfId="0" applyNumberFormat="1" applyFont="1" applyFill="1" applyBorder="1" applyAlignment="1">
      <alignment horizontal="right"/>
    </xf>
    <xf numFmtId="9" fontId="64" fillId="0" borderId="27" xfId="0" applyNumberFormat="1" applyFont="1" applyFill="1" applyBorder="1" applyAlignment="1">
      <alignment horizontal="right"/>
    </xf>
    <xf numFmtId="8" fontId="5" fillId="0" borderId="27" xfId="0" applyNumberFormat="1" applyFont="1" applyFill="1" applyBorder="1" applyAlignment="1">
      <alignment horizontal="right"/>
    </xf>
    <xf numFmtId="0" fontId="5" fillId="0" borderId="20" xfId="0" applyFont="1" applyBorder="1"/>
    <xf numFmtId="39" fontId="5" fillId="0" borderId="27" xfId="0" applyNumberFormat="1" applyFont="1" applyFill="1" applyBorder="1" applyAlignment="1">
      <alignment horizontal="right"/>
    </xf>
    <xf numFmtId="7" fontId="12" fillId="0" borderId="0" xfId="0" applyNumberFormat="1" applyFont="1" applyFill="1" applyBorder="1" applyAlignment="1">
      <alignment horizontal="right"/>
    </xf>
    <xf numFmtId="0" fontId="64" fillId="0" borderId="20" xfId="0" applyFont="1" applyFill="1" applyBorder="1" applyAlignment="1">
      <alignment horizontal="right"/>
    </xf>
    <xf numFmtId="7" fontId="12" fillId="0" borderId="20" xfId="0" applyNumberFormat="1" applyFont="1" applyFill="1" applyBorder="1" applyAlignment="1">
      <alignment horizontal="right"/>
    </xf>
    <xf numFmtId="168" fontId="65" fillId="0" borderId="12" xfId="53" applyNumberFormat="1" applyFont="1" applyFill="1" applyBorder="1" applyAlignment="1" applyProtection="1">
      <alignment horizontal="left"/>
    </xf>
    <xf numFmtId="0" fontId="65" fillId="0" borderId="24" xfId="53" applyNumberFormat="1" applyFont="1" applyFill="1" applyBorder="1" applyAlignment="1" applyProtection="1">
      <alignment horizontal="left"/>
    </xf>
    <xf numFmtId="0" fontId="3" fillId="0" borderId="16" xfId="0" applyFont="1" applyFill="1" applyBorder="1"/>
    <xf numFmtId="10" fontId="5" fillId="0" borderId="0" xfId="0" applyNumberFormat="1" applyFont="1" applyBorder="1" applyAlignment="1">
      <alignment horizontal="right"/>
    </xf>
    <xf numFmtId="168" fontId="3" fillId="0" borderId="0" xfId="39" applyNumberFormat="1" applyFont="1" applyBorder="1" applyAlignment="1">
      <alignment horizontal="right"/>
    </xf>
    <xf numFmtId="168" fontId="3" fillId="0" borderId="0" xfId="0" applyNumberFormat="1" applyFont="1" applyBorder="1" applyAlignment="1">
      <alignment horizontal="right"/>
    </xf>
    <xf numFmtId="0" fontId="12" fillId="0" borderId="0" xfId="0" applyFont="1" applyBorder="1" applyAlignment="1">
      <alignment horizontal="right"/>
    </xf>
    <xf numFmtId="10" fontId="12" fillId="0" borderId="0" xfId="0" applyNumberFormat="1" applyFont="1" applyBorder="1" applyAlignment="1">
      <alignment horizontal="right"/>
    </xf>
    <xf numFmtId="166" fontId="18" fillId="0" borderId="0" xfId="39" applyNumberFormat="1" applyFont="1" applyBorder="1" applyAlignment="1">
      <alignment horizontal="right"/>
    </xf>
    <xf numFmtId="43" fontId="5" fillId="0" borderId="0" xfId="39" applyFont="1" applyBorder="1" applyAlignment="1">
      <alignment horizontal="right"/>
    </xf>
    <xf numFmtId="0" fontId="5" fillId="0" borderId="24" xfId="0" applyFont="1" applyBorder="1" applyAlignment="1">
      <alignment horizontal="left" indent="1"/>
    </xf>
    <xf numFmtId="0" fontId="5" fillId="0" borderId="12" xfId="0" applyFont="1" applyBorder="1" applyAlignment="1">
      <alignment horizontal="left" indent="1"/>
    </xf>
    <xf numFmtId="0" fontId="3" fillId="0" borderId="12" xfId="0" applyFont="1" applyBorder="1" applyAlignment="1">
      <alignment horizontal="left" indent="1"/>
    </xf>
    <xf numFmtId="0" fontId="3" fillId="0" borderId="17" xfId="0" applyFont="1" applyFill="1" applyBorder="1" applyAlignment="1">
      <alignment horizontal="left"/>
    </xf>
    <xf numFmtId="166" fontId="5" fillId="0" borderId="22" xfId="39" applyNumberFormat="1" applyFont="1" applyBorder="1" applyAlignment="1">
      <alignment horizontal="right"/>
    </xf>
    <xf numFmtId="166" fontId="5" fillId="0" borderId="16" xfId="39" applyNumberFormat="1" applyFont="1" applyBorder="1" applyAlignment="1">
      <alignment horizontal="right"/>
    </xf>
    <xf numFmtId="166" fontId="5" fillId="0" borderId="16" xfId="39" applyNumberFormat="1" applyFont="1" applyFill="1" applyBorder="1" applyAlignment="1">
      <alignment horizontal="right"/>
    </xf>
    <xf numFmtId="166" fontId="5" fillId="0" borderId="20" xfId="39" applyNumberFormat="1" applyFont="1" applyBorder="1" applyAlignment="1">
      <alignment horizontal="right"/>
    </xf>
    <xf numFmtId="166" fontId="3" fillId="0" borderId="20" xfId="39" applyNumberFormat="1" applyFont="1" applyFill="1" applyBorder="1" applyAlignment="1">
      <alignment horizontal="right"/>
    </xf>
    <xf numFmtId="166" fontId="5" fillId="0" borderId="20" xfId="39" applyNumberFormat="1" applyFont="1" applyFill="1" applyBorder="1" applyAlignment="1">
      <alignment horizontal="right"/>
    </xf>
    <xf numFmtId="166" fontId="3" fillId="0" borderId="15" xfId="39" applyNumberFormat="1" applyFont="1" applyFill="1" applyBorder="1" applyAlignment="1">
      <alignment horizontal="right"/>
    </xf>
    <xf numFmtId="166" fontId="3" fillId="0" borderId="14" xfId="39" applyNumberFormat="1" applyFont="1" applyFill="1" applyBorder="1" applyAlignment="1">
      <alignment horizontal="right"/>
    </xf>
    <xf numFmtId="166" fontId="3" fillId="0" borderId="20" xfId="39" applyNumberFormat="1" applyFont="1" applyBorder="1" applyAlignment="1">
      <alignment horizontal="right"/>
    </xf>
    <xf numFmtId="166" fontId="12" fillId="0" borderId="26" xfId="39" applyNumberFormat="1" applyFont="1" applyFill="1" applyBorder="1" applyAlignment="1">
      <alignment horizontal="right"/>
    </xf>
    <xf numFmtId="166" fontId="12" fillId="0" borderId="27" xfId="39" applyNumberFormat="1" applyFont="1" applyFill="1" applyBorder="1" applyAlignment="1">
      <alignment horizontal="right"/>
    </xf>
    <xf numFmtId="166" fontId="3" fillId="0" borderId="27" xfId="39" applyNumberFormat="1" applyFont="1" applyBorder="1" applyAlignment="1">
      <alignment horizontal="right"/>
    </xf>
    <xf numFmtId="166" fontId="3" fillId="0" borderId="29" xfId="39" applyNumberFormat="1" applyFont="1" applyFill="1" applyBorder="1" applyAlignment="1">
      <alignment horizontal="right"/>
    </xf>
    <xf numFmtId="166" fontId="5" fillId="0" borderId="27" xfId="39" applyNumberFormat="1" applyFont="1" applyBorder="1" applyAlignment="1">
      <alignment horizontal="right"/>
    </xf>
    <xf numFmtId="0" fontId="3" fillId="0" borderId="17" xfId="0" applyFont="1" applyBorder="1" applyAlignment="1">
      <alignment horizontal="left" indent="1"/>
    </xf>
    <xf numFmtId="166" fontId="22" fillId="0" borderId="22" xfId="0" applyNumberFormat="1" applyFont="1" applyBorder="1" applyAlignment="1">
      <alignment horizontal="right"/>
    </xf>
    <xf numFmtId="166" fontId="22" fillId="0" borderId="16" xfId="0" applyNumberFormat="1" applyFont="1" applyBorder="1" applyAlignment="1">
      <alignment horizontal="right"/>
    </xf>
    <xf numFmtId="166" fontId="72" fillId="0" borderId="16" xfId="0" applyNumberFormat="1" applyFont="1" applyBorder="1" applyAlignment="1">
      <alignment horizontal="right"/>
    </xf>
    <xf numFmtId="166" fontId="22" fillId="0" borderId="20" xfId="0" applyNumberFormat="1" applyFont="1" applyBorder="1" applyAlignment="1">
      <alignment horizontal="right"/>
    </xf>
    <xf numFmtId="166" fontId="22" fillId="0" borderId="0" xfId="0" applyNumberFormat="1" applyFont="1" applyBorder="1" applyAlignment="1">
      <alignment horizontal="right"/>
    </xf>
    <xf numFmtId="166" fontId="72" fillId="0" borderId="0" xfId="0" applyNumberFormat="1" applyFont="1" applyBorder="1" applyAlignment="1">
      <alignment horizontal="right"/>
    </xf>
    <xf numFmtId="166" fontId="5" fillId="0" borderId="26" xfId="0" applyNumberFormat="1" applyFont="1" applyBorder="1" applyAlignment="1">
      <alignment horizontal="right"/>
    </xf>
    <xf numFmtId="166" fontId="5" fillId="0" borderId="27" xfId="0" applyNumberFormat="1" applyFont="1" applyBorder="1" applyAlignment="1">
      <alignment horizontal="right"/>
    </xf>
    <xf numFmtId="166" fontId="12" fillId="0" borderId="0" xfId="39" applyNumberFormat="1" applyFont="1" applyFill="1" applyBorder="1" applyAlignment="1">
      <alignment horizontal="right"/>
    </xf>
    <xf numFmtId="10" fontId="12" fillId="0" borderId="16" xfId="58" applyNumberFormat="1" applyFont="1" applyBorder="1" applyAlignment="1">
      <alignment horizontal="right"/>
    </xf>
    <xf numFmtId="168" fontId="3" fillId="0" borderId="11" xfId="39" applyNumberFormat="1" applyFont="1" applyBorder="1" applyAlignment="1">
      <alignment horizontal="right"/>
    </xf>
    <xf numFmtId="10" fontId="12" fillId="0" borderId="26" xfId="58" applyNumberFormat="1" applyFont="1" applyFill="1" applyBorder="1" applyAlignment="1">
      <alignment horizontal="right"/>
    </xf>
    <xf numFmtId="10" fontId="12" fillId="0" borderId="27" xfId="58" applyNumberFormat="1" applyFont="1" applyFill="1" applyBorder="1" applyAlignment="1">
      <alignment horizontal="right"/>
    </xf>
    <xf numFmtId="10" fontId="5" fillId="0" borderId="27" xfId="39" applyNumberFormat="1" applyFont="1" applyFill="1" applyBorder="1" applyAlignment="1">
      <alignment horizontal="right"/>
    </xf>
    <xf numFmtId="166" fontId="5" fillId="0" borderId="27" xfId="39" applyNumberFormat="1" applyFont="1" applyFill="1" applyBorder="1" applyAlignment="1">
      <alignment horizontal="right"/>
    </xf>
    <xf numFmtId="168" fontId="5" fillId="0" borderId="28" xfId="39" applyNumberFormat="1" applyFont="1" applyFill="1" applyBorder="1" applyAlignment="1">
      <alignment horizontal="right"/>
    </xf>
    <xf numFmtId="168" fontId="3" fillId="0" borderId="28" xfId="39" applyNumberFormat="1" applyFont="1" applyBorder="1" applyAlignment="1">
      <alignment horizontal="right"/>
    </xf>
    <xf numFmtId="10" fontId="5" fillId="0" borderId="24" xfId="58" applyNumberFormat="1" applyFont="1" applyBorder="1" applyAlignment="1">
      <alignment horizontal="left" indent="1"/>
    </xf>
    <xf numFmtId="10" fontId="5" fillId="0" borderId="12" xfId="58" applyNumberFormat="1" applyFont="1" applyBorder="1" applyAlignment="1">
      <alignment horizontal="left" indent="1"/>
    </xf>
    <xf numFmtId="0" fontId="3" fillId="0" borderId="12" xfId="0" applyFont="1" applyBorder="1"/>
    <xf numFmtId="168" fontId="5" fillId="0" borderId="12" xfId="58" applyNumberFormat="1" applyFont="1" applyBorder="1" applyAlignment="1">
      <alignment horizontal="left" indent="1"/>
    </xf>
    <xf numFmtId="168" fontId="5" fillId="0" borderId="19" xfId="58" applyNumberFormat="1" applyFont="1" applyBorder="1" applyAlignment="1">
      <alignment horizontal="left" indent="1"/>
    </xf>
    <xf numFmtId="168" fontId="3" fillId="0" borderId="12" xfId="58" applyNumberFormat="1" applyFont="1" applyBorder="1" applyAlignment="1">
      <alignment horizontal="left" indent="1"/>
    </xf>
    <xf numFmtId="168" fontId="5" fillId="0" borderId="12" xfId="0" applyNumberFormat="1" applyFont="1" applyBorder="1"/>
    <xf numFmtId="168" fontId="3" fillId="0" borderId="19" xfId="58" applyNumberFormat="1" applyFont="1" applyBorder="1" applyAlignment="1">
      <alignment horizontal="left" indent="1"/>
    </xf>
    <xf numFmtId="10" fontId="12" fillId="0" borderId="22" xfId="58" applyNumberFormat="1" applyFont="1" applyBorder="1" applyAlignment="1">
      <alignment horizontal="right"/>
    </xf>
    <xf numFmtId="10" fontId="12" fillId="0" borderId="20" xfId="58" applyNumberFormat="1" applyFont="1" applyBorder="1" applyAlignment="1">
      <alignment horizontal="right"/>
    </xf>
    <xf numFmtId="10" fontId="12" fillId="0" borderId="20" xfId="39" applyNumberFormat="1" applyFont="1" applyBorder="1" applyAlignment="1">
      <alignment horizontal="right"/>
    </xf>
    <xf numFmtId="168" fontId="3" fillId="0" borderId="21" xfId="39" applyNumberFormat="1" applyFont="1" applyBorder="1" applyAlignment="1">
      <alignment horizontal="right"/>
    </xf>
    <xf numFmtId="10" fontId="12" fillId="0" borderId="26" xfId="58" applyNumberFormat="1" applyFont="1" applyBorder="1" applyAlignment="1">
      <alignment horizontal="right"/>
    </xf>
    <xf numFmtId="10" fontId="12" fillId="0" borderId="27" xfId="58" applyNumberFormat="1" applyFont="1" applyBorder="1" applyAlignment="1">
      <alignment horizontal="right"/>
    </xf>
    <xf numFmtId="10" fontId="12" fillId="0" borderId="0" xfId="58" applyNumberFormat="1" applyFont="1" applyFill="1" applyBorder="1" applyAlignment="1">
      <alignment horizontal="right"/>
    </xf>
    <xf numFmtId="10" fontId="5" fillId="0" borderId="22" xfId="58" applyNumberFormat="1" applyFont="1" applyBorder="1" applyAlignment="1">
      <alignment horizontal="right"/>
    </xf>
    <xf numFmtId="10" fontId="5" fillId="0" borderId="16" xfId="58" applyNumberFormat="1" applyFont="1" applyBorder="1" applyAlignment="1">
      <alignment horizontal="right"/>
    </xf>
    <xf numFmtId="10" fontId="5" fillId="0" borderId="20" xfId="58" applyNumberFormat="1" applyFont="1" applyBorder="1" applyAlignment="1">
      <alignment horizontal="right"/>
    </xf>
    <xf numFmtId="10" fontId="5" fillId="0" borderId="20" xfId="58" applyNumberFormat="1" applyFont="1" applyFill="1" applyBorder="1" applyAlignment="1">
      <alignment horizontal="right"/>
    </xf>
    <xf numFmtId="10" fontId="62" fillId="0" borderId="26" xfId="58" applyNumberFormat="1" applyFont="1" applyFill="1" applyBorder="1" applyAlignment="1">
      <alignment horizontal="right"/>
    </xf>
    <xf numFmtId="10" fontId="62" fillId="0" borderId="27" xfId="58" applyNumberFormat="1" applyFont="1" applyFill="1" applyBorder="1" applyAlignment="1">
      <alignment horizontal="right"/>
    </xf>
    <xf numFmtId="169" fontId="65" fillId="0" borderId="20" xfId="58" applyNumberFormat="1" applyFont="1" applyFill="1" applyBorder="1"/>
    <xf numFmtId="168" fontId="72" fillId="0" borderId="0" xfId="39" applyNumberFormat="1" applyFont="1" applyFill="1" applyBorder="1" applyAlignment="1">
      <alignment horizontal="right" wrapText="1"/>
    </xf>
    <xf numFmtId="174" fontId="5" fillId="0" borderId="0" xfId="39" applyNumberFormat="1" applyFont="1" applyFill="1" applyBorder="1" applyAlignment="1">
      <alignment horizontal="right"/>
    </xf>
    <xf numFmtId="7" fontId="18" fillId="23" borderId="39" xfId="0" applyNumberFormat="1" applyFont="1" applyFill="1" applyBorder="1" applyAlignment="1">
      <alignment horizontal="right"/>
    </xf>
    <xf numFmtId="169" fontId="5" fillId="0" borderId="0" xfId="0" applyNumberFormat="1" applyFont="1" applyFill="1" applyBorder="1"/>
    <xf numFmtId="0" fontId="64" fillId="0" borderId="0" xfId="0" applyFont="1" applyFill="1" applyBorder="1"/>
    <xf numFmtId="169" fontId="10" fillId="0" borderId="27" xfId="58" applyNumberFormat="1" applyFont="1" applyFill="1" applyBorder="1"/>
    <xf numFmtId="169" fontId="5" fillId="0" borderId="40" xfId="58" applyNumberFormat="1" applyFont="1" applyFill="1" applyBorder="1"/>
    <xf numFmtId="169" fontId="74" fillId="0" borderId="27" xfId="58" applyNumberFormat="1" applyFont="1" applyFill="1" applyBorder="1"/>
    <xf numFmtId="169" fontId="74" fillId="0" borderId="0" xfId="58" applyNumberFormat="1" applyFont="1" applyFill="1" applyBorder="1"/>
    <xf numFmtId="169" fontId="74" fillId="0" borderId="40" xfId="58" applyNumberFormat="1" applyFont="1" applyFill="1" applyBorder="1"/>
    <xf numFmtId="169" fontId="5" fillId="0" borderId="0" xfId="0" applyNumberFormat="1" applyFont="1" applyFill="1" applyBorder="1"/>
    <xf numFmtId="168" fontId="3" fillId="0" borderId="40" xfId="39" applyNumberFormat="1" applyFont="1" applyFill="1" applyBorder="1" applyAlignment="1" applyProtection="1">
      <alignment horizontal="right"/>
      <protection locked="0"/>
    </xf>
    <xf numFmtId="168" fontId="5" fillId="0" borderId="40" xfId="39" applyNumberFormat="1" applyFont="1" applyFill="1" applyBorder="1" applyAlignment="1" applyProtection="1">
      <alignment horizontal="right"/>
      <protection locked="0"/>
    </xf>
    <xf numFmtId="169" fontId="3" fillId="0" borderId="40" xfId="58" applyNumberFormat="1" applyFont="1" applyFill="1" applyBorder="1" applyAlignment="1" applyProtection="1">
      <alignment horizontal="right"/>
      <protection locked="0"/>
    </xf>
    <xf numFmtId="166" fontId="3" fillId="0" borderId="40" xfId="39" applyNumberFormat="1" applyFont="1" applyFill="1" applyBorder="1"/>
    <xf numFmtId="9" fontId="3" fillId="0" borderId="22" xfId="58" applyFont="1" applyFill="1" applyBorder="1"/>
    <xf numFmtId="9" fontId="3" fillId="0" borderId="16" xfId="58" applyFont="1" applyFill="1" applyBorder="1"/>
    <xf numFmtId="9" fontId="3" fillId="0" borderId="26" xfId="58" applyFont="1" applyFill="1" applyBorder="1"/>
    <xf numFmtId="9" fontId="3" fillId="0" borderId="40" xfId="58" applyFont="1" applyFill="1" applyBorder="1"/>
    <xf numFmtId="9" fontId="3" fillId="0" borderId="27" xfId="58" applyFont="1" applyFill="1" applyBorder="1"/>
    <xf numFmtId="9" fontId="3" fillId="0" borderId="21" xfId="58" applyNumberFormat="1" applyFont="1" applyFill="1" applyBorder="1"/>
    <xf numFmtId="9" fontId="3" fillId="0" borderId="11" xfId="58" applyNumberFormat="1" applyFont="1" applyFill="1" applyBorder="1"/>
    <xf numFmtId="9" fontId="3" fillId="0" borderId="28" xfId="58" applyNumberFormat="1" applyFont="1" applyFill="1" applyBorder="1"/>
    <xf numFmtId="9" fontId="5" fillId="0" borderId="40" xfId="58" applyFont="1" applyFill="1" applyBorder="1"/>
    <xf numFmtId="9" fontId="5" fillId="0" borderId="27" xfId="58" applyFont="1" applyFill="1" applyBorder="1"/>
    <xf numFmtId="169" fontId="62" fillId="0" borderId="40" xfId="0" applyNumberFormat="1" applyFont="1" applyFill="1" applyBorder="1" applyAlignment="1">
      <alignment horizontal="right"/>
    </xf>
    <xf numFmtId="166" fontId="89" fillId="0" borderId="26" xfId="39" applyNumberFormat="1" applyFont="1" applyFill="1" applyBorder="1"/>
    <xf numFmtId="166" fontId="89" fillId="0" borderId="27" xfId="39" applyNumberFormat="1" applyFont="1" applyFill="1" applyBorder="1"/>
    <xf numFmtId="43" fontId="5" fillId="0" borderId="40" xfId="39" applyFont="1" applyFill="1" applyBorder="1"/>
    <xf numFmtId="43" fontId="5" fillId="0" borderId="0" xfId="39" applyFont="1" applyFill="1" applyBorder="1"/>
    <xf numFmtId="43" fontId="5" fillId="0" borderId="27" xfId="39" applyFont="1" applyFill="1" applyBorder="1"/>
    <xf numFmtId="166" fontId="5" fillId="0" borderId="40" xfId="39" applyNumberFormat="1" applyFont="1" applyFill="1" applyBorder="1"/>
    <xf numFmtId="166" fontId="5" fillId="0" borderId="0" xfId="58" applyNumberFormat="1" applyFont="1" applyFill="1" applyBorder="1"/>
    <xf numFmtId="166" fontId="79" fillId="0" borderId="27" xfId="39" applyNumberFormat="1" applyFont="1" applyFill="1" applyBorder="1"/>
    <xf numFmtId="166" fontId="3" fillId="0" borderId="0" xfId="58" applyNumberFormat="1" applyFont="1" applyFill="1" applyBorder="1"/>
    <xf numFmtId="166" fontId="66" fillId="0" borderId="0" xfId="39" applyNumberFormat="1" applyFont="1" applyFill="1" applyBorder="1"/>
    <xf numFmtId="166" fontId="5" fillId="0" borderId="22" xfId="39" applyNumberFormat="1" applyFont="1" applyFill="1" applyBorder="1"/>
    <xf numFmtId="166" fontId="61" fillId="0" borderId="22" xfId="39" applyNumberFormat="1" applyFont="1" applyFill="1" applyBorder="1"/>
    <xf numFmtId="166" fontId="61" fillId="0" borderId="40" xfId="39" applyNumberFormat="1" applyFont="1" applyFill="1" applyBorder="1"/>
    <xf numFmtId="166" fontId="61" fillId="0" borderId="0" xfId="39" applyNumberFormat="1" applyFont="1" applyFill="1" applyBorder="1"/>
    <xf numFmtId="166" fontId="61" fillId="0" borderId="16" xfId="39" applyNumberFormat="1" applyFont="1" applyFill="1" applyBorder="1"/>
    <xf numFmtId="166" fontId="5" fillId="0" borderId="32" xfId="39" applyNumberFormat="1" applyFont="1" applyFill="1" applyBorder="1"/>
    <xf numFmtId="166" fontId="5" fillId="0" borderId="16" xfId="39" applyNumberFormat="1" applyFont="1" applyFill="1" applyBorder="1"/>
    <xf numFmtId="0" fontId="59" fillId="19" borderId="0" xfId="0" applyFont="1" applyFill="1" applyBorder="1" applyAlignment="1">
      <alignment horizontal="left"/>
    </xf>
    <xf numFmtId="37" fontId="60" fillId="19" borderId="0" xfId="0" applyNumberFormat="1" applyFont="1" applyFill="1" applyBorder="1"/>
    <xf numFmtId="37" fontId="60" fillId="19" borderId="25" xfId="0" applyNumberFormat="1" applyFont="1" applyFill="1" applyBorder="1"/>
    <xf numFmtId="7" fontId="59" fillId="19" borderId="0" xfId="0" applyNumberFormat="1" applyFont="1" applyFill="1" applyBorder="1" applyAlignment="1"/>
    <xf numFmtId="7" fontId="59" fillId="19" borderId="0" xfId="39" applyNumberFormat="1" applyFont="1" applyFill="1" applyBorder="1" applyAlignment="1">
      <alignment horizontal="right"/>
    </xf>
    <xf numFmtId="7" fontId="59" fillId="19" borderId="0" xfId="0" applyNumberFormat="1" applyFont="1" applyFill="1" applyBorder="1" applyAlignment="1">
      <alignment horizontal="right"/>
    </xf>
    <xf numFmtId="0" fontId="59" fillId="19" borderId="0" xfId="0" applyFont="1" applyFill="1" applyBorder="1"/>
    <xf numFmtId="0" fontId="60" fillId="19" borderId="0" xfId="0" applyFont="1" applyFill="1" applyBorder="1" applyAlignment="1">
      <alignment horizontal="right"/>
    </xf>
    <xf numFmtId="0" fontId="60" fillId="19" borderId="0" xfId="0" applyFont="1" applyFill="1" applyBorder="1"/>
    <xf numFmtId="166" fontId="60" fillId="19" borderId="0" xfId="39" applyNumberFormat="1" applyFont="1" applyFill="1" applyBorder="1" applyAlignment="1">
      <alignment horizontal="right"/>
    </xf>
    <xf numFmtId="168" fontId="60" fillId="19" borderId="0" xfId="0" applyNumberFormat="1" applyFont="1" applyFill="1" applyBorder="1" applyAlignment="1">
      <alignment horizontal="right"/>
    </xf>
    <xf numFmtId="206" fontId="60" fillId="19" borderId="0" xfId="0" applyNumberFormat="1" applyFont="1" applyFill="1" applyBorder="1" applyAlignment="1">
      <alignment horizontal="right"/>
    </xf>
    <xf numFmtId="7" fontId="60" fillId="19" borderId="0" xfId="0" applyNumberFormat="1" applyFont="1" applyFill="1" applyBorder="1"/>
    <xf numFmtId="10" fontId="60" fillId="19" borderId="0" xfId="0" applyNumberFormat="1" applyFont="1" applyFill="1" applyBorder="1" applyAlignment="1">
      <alignment horizontal="right"/>
    </xf>
    <xf numFmtId="9" fontId="60" fillId="19" borderId="0" xfId="0" applyNumberFormat="1" applyFont="1" applyFill="1" applyBorder="1" applyAlignment="1">
      <alignment horizontal="right"/>
    </xf>
    <xf numFmtId="37" fontId="60" fillId="19" borderId="22" xfId="0" applyNumberFormat="1" applyFont="1" applyFill="1" applyBorder="1"/>
    <xf numFmtId="37" fontId="60" fillId="19" borderId="16" xfId="0" applyNumberFormat="1" applyFont="1" applyFill="1" applyBorder="1"/>
    <xf numFmtId="37" fontId="60" fillId="19" borderId="23" xfId="0" applyNumberFormat="1" applyFont="1" applyFill="1" applyBorder="1"/>
    <xf numFmtId="0" fontId="5" fillId="0" borderId="0" xfId="0" applyFont="1" applyFill="1" applyBorder="1" applyAlignment="1">
      <alignment horizontal="center"/>
    </xf>
    <xf numFmtId="10" fontId="5" fillId="0" borderId="27" xfId="0" applyNumberFormat="1" applyFont="1" applyFill="1" applyBorder="1" applyAlignment="1">
      <alignment horizontal="right"/>
    </xf>
    <xf numFmtId="10" fontId="5" fillId="0" borderId="0" xfId="0" applyNumberFormat="1" applyFont="1" applyFill="1" applyBorder="1"/>
    <xf numFmtId="10" fontId="5" fillId="0" borderId="20" xfId="0" applyNumberFormat="1" applyFont="1" applyFill="1" applyBorder="1" applyAlignment="1">
      <alignment horizontal="right"/>
    </xf>
    <xf numFmtId="10" fontId="5" fillId="0" borderId="0" xfId="0" applyNumberFormat="1" applyFont="1" applyFill="1" applyAlignment="1">
      <alignment horizontal="right"/>
    </xf>
    <xf numFmtId="10" fontId="81" fillId="0" borderId="27" xfId="58" applyNumberFormat="1" applyFont="1" applyFill="1" applyBorder="1" applyAlignment="1">
      <alignment horizontal="right"/>
    </xf>
    <xf numFmtId="10" fontId="81" fillId="0" borderId="0" xfId="0" applyNumberFormat="1" applyFont="1" applyFill="1" applyBorder="1"/>
    <xf numFmtId="10" fontId="81" fillId="0" borderId="20" xfId="58" applyNumberFormat="1" applyFont="1" applyFill="1" applyBorder="1" applyAlignment="1">
      <alignment horizontal="right"/>
    </xf>
    <xf numFmtId="10" fontId="81" fillId="0" borderId="0" xfId="58" applyNumberFormat="1" applyFont="1" applyFill="1" applyAlignment="1"/>
    <xf numFmtId="10" fontId="3" fillId="0" borderId="27" xfId="58" applyNumberFormat="1" applyFont="1" applyFill="1" applyBorder="1" applyAlignment="1">
      <alignment horizontal="right"/>
    </xf>
    <xf numFmtId="10" fontId="3" fillId="0" borderId="0" xfId="58" applyNumberFormat="1" applyFont="1" applyFill="1" applyBorder="1" applyAlignment="1">
      <alignment horizontal="right"/>
    </xf>
    <xf numFmtId="10" fontId="3" fillId="0" borderId="20" xfId="58" applyNumberFormat="1" applyFont="1" applyFill="1" applyBorder="1" applyAlignment="1">
      <alignment horizontal="right"/>
    </xf>
    <xf numFmtId="169" fontId="3" fillId="0" borderId="40" xfId="58" applyNumberFormat="1" applyFont="1" applyFill="1" applyBorder="1"/>
    <xf numFmtId="169" fontId="66" fillId="0" borderId="0" xfId="58" applyNumberFormat="1" applyFont="1" applyFill="1" applyBorder="1"/>
    <xf numFmtId="0" fontId="59" fillId="19" borderId="22" xfId="0" applyFont="1" applyFill="1" applyBorder="1" applyAlignment="1">
      <alignment horizontal="left"/>
    </xf>
    <xf numFmtId="0" fontId="59" fillId="19" borderId="16" xfId="0" applyFont="1" applyFill="1" applyBorder="1" applyAlignment="1">
      <alignment horizontal="left"/>
    </xf>
    <xf numFmtId="166" fontId="58" fillId="0" borderId="27" xfId="39" applyNumberFormat="1" applyFont="1" applyFill="1" applyBorder="1"/>
    <xf numFmtId="169" fontId="3" fillId="0" borderId="19" xfId="58" applyNumberFormat="1" applyFont="1" applyBorder="1" applyAlignment="1"/>
    <xf numFmtId="166" fontId="3" fillId="0" borderId="21" xfId="58" applyNumberFormat="1" applyFont="1" applyFill="1" applyBorder="1"/>
    <xf numFmtId="166" fontId="3" fillId="0" borderId="11" xfId="58" applyNumberFormat="1" applyFont="1" applyFill="1" applyBorder="1"/>
    <xf numFmtId="166" fontId="3" fillId="0" borderId="28" xfId="58" applyNumberFormat="1" applyFont="1" applyFill="1" applyBorder="1"/>
    <xf numFmtId="166" fontId="3" fillId="0" borderId="11" xfId="39" applyNumberFormat="1" applyFont="1" applyFill="1" applyBorder="1"/>
    <xf numFmtId="166" fontId="64" fillId="0" borderId="0" xfId="0" applyNumberFormat="1" applyFont="1"/>
    <xf numFmtId="0" fontId="88" fillId="0" borderId="0" xfId="0" applyFont="1"/>
    <xf numFmtId="169" fontId="3" fillId="0" borderId="0" xfId="39" applyNumberFormat="1" applyFont="1" applyFill="1" applyBorder="1"/>
    <xf numFmtId="169" fontId="5" fillId="0" borderId="0" xfId="0" applyNumberFormat="1" applyFont="1" applyFill="1"/>
    <xf numFmtId="169" fontId="0" fillId="0" borderId="0" xfId="0" applyNumberFormat="1" applyFill="1" applyBorder="1"/>
    <xf numFmtId="169" fontId="0" fillId="0" borderId="0" xfId="0" applyNumberFormat="1" applyBorder="1"/>
    <xf numFmtId="169" fontId="58" fillId="0" borderId="27" xfId="58" applyNumberFormat="1" applyFont="1" applyFill="1" applyBorder="1"/>
    <xf numFmtId="0" fontId="5" fillId="0" borderId="0" xfId="0" applyFont="1" applyFill="1" applyBorder="1" applyAlignment="1">
      <alignment horizontal="left"/>
    </xf>
    <xf numFmtId="168" fontId="74" fillId="0" borderId="27" xfId="39" applyNumberFormat="1" applyFont="1" applyFill="1" applyBorder="1" applyAlignment="1">
      <alignment horizontal="right" wrapText="1"/>
    </xf>
    <xf numFmtId="0" fontId="5" fillId="17" borderId="41" xfId="0" applyFont="1" applyFill="1" applyBorder="1"/>
    <xf numFmtId="169" fontId="5" fillId="17" borderId="40" xfId="0" applyNumberFormat="1" applyFont="1" applyFill="1" applyBorder="1" applyAlignment="1">
      <alignment horizontal="right"/>
    </xf>
    <xf numFmtId="0" fontId="59" fillId="19" borderId="24" xfId="0" applyFont="1" applyFill="1" applyBorder="1" applyAlignment="1" applyProtection="1">
      <protection locked="0"/>
    </xf>
    <xf numFmtId="207" fontId="59" fillId="19" borderId="0" xfId="0" applyNumberFormat="1" applyFont="1" applyFill="1" applyBorder="1" applyAlignment="1" applyProtection="1">
      <protection locked="0"/>
    </xf>
    <xf numFmtId="168" fontId="59" fillId="19" borderId="24" xfId="39" applyNumberFormat="1" applyFont="1" applyFill="1" applyBorder="1" applyAlignment="1" applyProtection="1">
      <alignment horizontal="right"/>
      <protection locked="0"/>
    </xf>
    <xf numFmtId="168" fontId="59" fillId="19" borderId="0" xfId="39" applyNumberFormat="1" applyFont="1" applyFill="1" applyBorder="1" applyAlignment="1" applyProtection="1">
      <alignment horizontal="right"/>
      <protection locked="0"/>
    </xf>
    <xf numFmtId="168" fontId="59" fillId="19" borderId="42" xfId="39" applyNumberFormat="1" applyFont="1" applyFill="1" applyBorder="1" applyAlignment="1" applyProtection="1">
      <alignment horizontal="right"/>
      <protection locked="0"/>
    </xf>
    <xf numFmtId="168" fontId="59" fillId="19" borderId="43" xfId="39" applyNumberFormat="1" applyFont="1" applyFill="1" applyBorder="1" applyAlignment="1" applyProtection="1">
      <alignment horizontal="right"/>
      <protection locked="0"/>
    </xf>
    <xf numFmtId="0" fontId="3" fillId="0" borderId="41" xfId="0" applyFont="1" applyFill="1" applyBorder="1" applyAlignment="1" applyProtection="1">
      <protection locked="0"/>
    </xf>
    <xf numFmtId="168" fontId="59" fillId="0" borderId="0" xfId="39" applyNumberFormat="1" applyFont="1" applyFill="1" applyBorder="1" applyAlignment="1" applyProtection="1">
      <alignment horizontal="right"/>
      <protection locked="0"/>
    </xf>
    <xf numFmtId="0" fontId="10" fillId="0" borderId="41" xfId="0" applyFont="1" applyFill="1" applyBorder="1" applyAlignment="1">
      <alignment horizontal="left" indent="1"/>
    </xf>
    <xf numFmtId="169" fontId="10" fillId="0" borderId="40" xfId="58" applyNumberFormat="1" applyFont="1" applyFill="1" applyBorder="1"/>
    <xf numFmtId="0" fontId="20" fillId="0" borderId="0" xfId="0" applyFont="1" applyFill="1" applyBorder="1"/>
    <xf numFmtId="169" fontId="68" fillId="0" borderId="40" xfId="0" applyNumberFormat="1" applyFont="1" applyFill="1" applyBorder="1" applyAlignment="1">
      <alignment horizontal="right"/>
    </xf>
    <xf numFmtId="169" fontId="68" fillId="0" borderId="0" xfId="0" applyNumberFormat="1" applyFont="1" applyFill="1" applyBorder="1" applyAlignment="1">
      <alignment horizontal="right"/>
    </xf>
    <xf numFmtId="166" fontId="73" fillId="0" borderId="20" xfId="39" applyNumberFormat="1" applyFont="1" applyFill="1" applyBorder="1"/>
    <xf numFmtId="166" fontId="73" fillId="0" borderId="0" xfId="39" applyNumberFormat="1" applyFont="1" applyFill="1" applyBorder="1"/>
    <xf numFmtId="166" fontId="73" fillId="0" borderId="27" xfId="39" applyNumberFormat="1" applyFont="1" applyFill="1" applyBorder="1"/>
    <xf numFmtId="0" fontId="10" fillId="0" borderId="19" xfId="0" applyFont="1" applyFill="1" applyBorder="1" applyAlignment="1">
      <alignment horizontal="left"/>
    </xf>
    <xf numFmtId="169" fontId="10" fillId="0" borderId="21" xfId="58" applyNumberFormat="1" applyFont="1" applyFill="1" applyBorder="1"/>
    <xf numFmtId="169" fontId="10" fillId="0" borderId="11" xfId="58" applyNumberFormat="1" applyFont="1" applyFill="1" applyBorder="1"/>
    <xf numFmtId="169" fontId="10" fillId="0" borderId="28" xfId="58" applyNumberFormat="1" applyFont="1" applyFill="1" applyBorder="1"/>
    <xf numFmtId="169" fontId="20" fillId="0" borderId="0" xfId="58" applyNumberFormat="1" applyFont="1" applyFill="1"/>
    <xf numFmtId="169" fontId="20" fillId="0" borderId="0" xfId="58" applyNumberFormat="1" applyFont="1" applyFill="1" applyBorder="1"/>
    <xf numFmtId="169" fontId="90" fillId="0" borderId="27" xfId="58" applyNumberFormat="1" applyFont="1" applyFill="1" applyBorder="1"/>
    <xf numFmtId="0" fontId="10" fillId="0" borderId="12" xfId="0" applyFont="1" applyFill="1" applyBorder="1" applyAlignment="1">
      <alignment horizontal="left"/>
    </xf>
    <xf numFmtId="166" fontId="73" fillId="0" borderId="40" xfId="39" applyNumberFormat="1" applyFont="1" applyFill="1" applyBorder="1"/>
    <xf numFmtId="169" fontId="10" fillId="0" borderId="20" xfId="58" applyNumberFormat="1" applyFont="1" applyFill="1" applyBorder="1"/>
    <xf numFmtId="169" fontId="90" fillId="0" borderId="20" xfId="58" applyNumberFormat="1" applyFont="1" applyFill="1" applyBorder="1"/>
    <xf numFmtId="169" fontId="90" fillId="0" borderId="0" xfId="58" applyNumberFormat="1" applyFont="1" applyFill="1" applyBorder="1"/>
    <xf numFmtId="10" fontId="90" fillId="0" borderId="0" xfId="58" applyNumberFormat="1" applyFont="1" applyFill="1" applyBorder="1"/>
    <xf numFmtId="0" fontId="10" fillId="0" borderId="0" xfId="0" applyFont="1" applyFill="1" applyBorder="1"/>
    <xf numFmtId="169" fontId="90" fillId="0" borderId="28" xfId="58" applyNumberFormat="1" applyFont="1" applyFill="1" applyBorder="1"/>
    <xf numFmtId="169" fontId="90" fillId="0" borderId="21" xfId="58" applyNumberFormat="1" applyFont="1" applyFill="1" applyBorder="1"/>
    <xf numFmtId="169" fontId="90" fillId="0" borderId="11" xfId="58" applyNumberFormat="1" applyFont="1" applyFill="1" applyBorder="1"/>
    <xf numFmtId="169" fontId="90" fillId="0" borderId="40" xfId="58" applyNumberFormat="1" applyFont="1" applyFill="1" applyBorder="1"/>
    <xf numFmtId="169" fontId="68" fillId="0" borderId="21" xfId="58" applyNumberFormat="1" applyFont="1" applyFill="1" applyBorder="1"/>
    <xf numFmtId="169" fontId="68" fillId="0" borderId="11" xfId="58" applyNumberFormat="1" applyFont="1" applyFill="1" applyBorder="1"/>
    <xf numFmtId="169" fontId="10" fillId="0" borderId="12" xfId="58" applyNumberFormat="1" applyFont="1" applyFill="1" applyBorder="1" applyAlignment="1">
      <alignment horizontal="left" indent="1"/>
    </xf>
    <xf numFmtId="169" fontId="68" fillId="0" borderId="27" xfId="58" applyNumberFormat="1" applyFont="1" applyFill="1" applyBorder="1"/>
    <xf numFmtId="169" fontId="68" fillId="0" borderId="0" xfId="58" applyNumberFormat="1" applyFont="1" applyFill="1" applyBorder="1"/>
    <xf numFmtId="169" fontId="68" fillId="0" borderId="40" xfId="58" applyNumberFormat="1" applyFont="1" applyFill="1" applyBorder="1"/>
    <xf numFmtId="0" fontId="71" fillId="0" borderId="19" xfId="0" applyFont="1" applyFill="1" applyBorder="1" applyAlignment="1">
      <alignment horizontal="left" indent="1"/>
    </xf>
    <xf numFmtId="169" fontId="71" fillId="0" borderId="21" xfId="58" applyNumberFormat="1" applyFont="1" applyFill="1" applyBorder="1"/>
    <xf numFmtId="169" fontId="71" fillId="0" borderId="11" xfId="58" applyNumberFormat="1" applyFont="1" applyFill="1" applyBorder="1"/>
    <xf numFmtId="169" fontId="71" fillId="0" borderId="0" xfId="58" applyNumberFormat="1" applyFont="1" applyFill="1" applyBorder="1"/>
    <xf numFmtId="0" fontId="3" fillId="0" borderId="41" xfId="0" applyFont="1" applyFill="1" applyBorder="1" applyAlignment="1">
      <alignment horizontal="left"/>
    </xf>
    <xf numFmtId="166" fontId="71" fillId="0" borderId="28" xfId="39" applyNumberFormat="1" applyFont="1" applyFill="1" applyBorder="1"/>
    <xf numFmtId="166" fontId="71" fillId="0" borderId="0" xfId="39" applyNumberFormat="1" applyFont="1" applyFill="1" applyBorder="1"/>
    <xf numFmtId="166" fontId="71" fillId="0" borderId="21" xfId="39" applyNumberFormat="1" applyFont="1" applyFill="1" applyBorder="1"/>
    <xf numFmtId="166" fontId="71" fillId="0" borderId="11" xfId="39" applyNumberFormat="1" applyFont="1" applyFill="1" applyBorder="1"/>
    <xf numFmtId="169" fontId="91" fillId="0" borderId="0" xfId="58" applyNumberFormat="1" applyFont="1" applyFill="1" applyBorder="1"/>
    <xf numFmtId="169" fontId="91" fillId="0" borderId="40" xfId="58" applyNumberFormat="1" applyFont="1" applyFill="1" applyBorder="1"/>
    <xf numFmtId="9" fontId="91" fillId="0" borderId="0" xfId="58" applyFont="1" applyFill="1" applyBorder="1"/>
    <xf numFmtId="9" fontId="91" fillId="0" borderId="40" xfId="58" applyFont="1" applyFill="1" applyBorder="1"/>
    <xf numFmtId="9" fontId="79" fillId="0" borderId="0" xfId="58" applyFont="1" applyFill="1" applyBorder="1"/>
    <xf numFmtId="9" fontId="92" fillId="0" borderId="0" xfId="58" applyFont="1" applyFill="1" applyBorder="1"/>
    <xf numFmtId="0" fontId="5" fillId="0" borderId="41" xfId="0" applyFont="1" applyFill="1" applyBorder="1" applyAlignment="1">
      <alignment horizontal="left"/>
    </xf>
    <xf numFmtId="177" fontId="91" fillId="0" borderId="27" xfId="39" applyNumberFormat="1" applyFont="1" applyFill="1" applyBorder="1"/>
    <xf numFmtId="177" fontId="91" fillId="0" borderId="0" xfId="39" applyNumberFormat="1" applyFont="1" applyFill="1" applyBorder="1"/>
    <xf numFmtId="177" fontId="91" fillId="0" borderId="40" xfId="39" applyNumberFormat="1" applyFont="1" applyFill="1" applyBorder="1"/>
    <xf numFmtId="177" fontId="10" fillId="0" borderId="41" xfId="39" applyNumberFormat="1" applyFont="1" applyFill="1" applyBorder="1" applyAlignment="1">
      <alignment horizontal="left" indent="1"/>
    </xf>
    <xf numFmtId="177" fontId="20" fillId="0" borderId="0" xfId="39" applyNumberFormat="1" applyFont="1" applyFill="1"/>
    <xf numFmtId="177" fontId="93" fillId="0" borderId="0" xfId="39" applyNumberFormat="1" applyFont="1" applyFill="1" applyBorder="1"/>
    <xf numFmtId="177" fontId="20" fillId="0" borderId="0" xfId="39" applyNumberFormat="1" applyFont="1" applyFill="1" applyBorder="1"/>
    <xf numFmtId="169" fontId="89" fillId="0" borderId="22" xfId="58" applyNumberFormat="1" applyFont="1" applyFill="1" applyBorder="1"/>
    <xf numFmtId="169" fontId="89" fillId="0" borderId="16" xfId="58" applyNumberFormat="1" applyFont="1" applyFill="1" applyBorder="1"/>
    <xf numFmtId="169" fontId="89" fillId="0" borderId="0" xfId="58" applyNumberFormat="1" applyFont="1" applyFill="1" applyBorder="1"/>
    <xf numFmtId="169" fontId="79" fillId="0" borderId="0" xfId="58" applyNumberFormat="1" applyFont="1" applyFill="1" applyBorder="1"/>
    <xf numFmtId="169" fontId="92" fillId="0" borderId="0" xfId="58" applyNumberFormat="1" applyFont="1" applyFill="1" applyBorder="1"/>
    <xf numFmtId="169" fontId="5" fillId="0" borderId="26" xfId="58" applyNumberFormat="1" applyFont="1" applyFill="1" applyBorder="1"/>
    <xf numFmtId="169" fontId="5" fillId="0" borderId="22" xfId="58" applyNumberFormat="1" applyFont="1" applyFill="1" applyBorder="1"/>
    <xf numFmtId="169" fontId="5" fillId="0" borderId="16" xfId="58" applyNumberFormat="1" applyFont="1" applyFill="1" applyBorder="1"/>
    <xf numFmtId="169" fontId="79" fillId="0" borderId="22" xfId="58" applyNumberFormat="1" applyFont="1" applyFill="1" applyBorder="1"/>
    <xf numFmtId="169" fontId="79" fillId="0" borderId="16" xfId="58" applyNumberFormat="1" applyFont="1" applyFill="1" applyBorder="1"/>
    <xf numFmtId="169" fontId="79" fillId="0" borderId="27" xfId="58" applyNumberFormat="1" applyFont="1" applyFill="1" applyBorder="1"/>
    <xf numFmtId="177" fontId="68" fillId="0" borderId="27" xfId="39" applyNumberFormat="1" applyFont="1" applyFill="1" applyBorder="1"/>
    <xf numFmtId="177" fontId="10" fillId="0" borderId="27" xfId="39" applyNumberFormat="1" applyFont="1" applyFill="1" applyBorder="1"/>
    <xf numFmtId="169" fontId="89" fillId="0" borderId="40" xfId="58" applyNumberFormat="1" applyFont="1" applyFill="1" applyBorder="1"/>
    <xf numFmtId="169" fontId="79" fillId="0" borderId="40" xfId="58" applyNumberFormat="1" applyFont="1" applyFill="1" applyBorder="1"/>
    <xf numFmtId="177" fontId="5" fillId="0" borderId="0" xfId="39" applyNumberFormat="1" applyFont="1" applyFill="1" applyBorder="1"/>
    <xf numFmtId="166" fontId="66" fillId="0" borderId="40" xfId="39" applyNumberFormat="1" applyFont="1" applyFill="1" applyBorder="1"/>
    <xf numFmtId="177" fontId="10" fillId="0" borderId="41" xfId="39" applyNumberFormat="1" applyFont="1" applyFill="1" applyBorder="1" applyAlignment="1">
      <alignment horizontal="left" indent="2"/>
    </xf>
    <xf numFmtId="177" fontId="10" fillId="0" borderId="40" xfId="39" applyNumberFormat="1" applyFont="1" applyFill="1" applyBorder="1"/>
    <xf numFmtId="177" fontId="10" fillId="0" borderId="0" xfId="39" applyNumberFormat="1" applyFont="1" applyFill="1" applyBorder="1"/>
    <xf numFmtId="0" fontId="5" fillId="0" borderId="0" xfId="0" applyFont="1" applyFill="1" applyAlignment="1">
      <alignment horizontal="left"/>
    </xf>
    <xf numFmtId="0" fontId="94" fillId="0" borderId="0" xfId="0" applyFont="1" applyFill="1"/>
    <xf numFmtId="169" fontId="76" fillId="0" borderId="0" xfId="58" applyNumberFormat="1" applyFont="1" applyFill="1" applyBorder="1"/>
    <xf numFmtId="0" fontId="94" fillId="0" borderId="0" xfId="0" applyFont="1" applyFill="1" applyBorder="1"/>
    <xf numFmtId="166" fontId="5" fillId="0" borderId="20" xfId="74" applyNumberFormat="1" applyFont="1" applyFill="1" applyBorder="1" applyAlignment="1"/>
    <xf numFmtId="43" fontId="10" fillId="0" borderId="28" xfId="39" applyFont="1" applyFill="1" applyBorder="1"/>
    <xf numFmtId="177" fontId="68" fillId="0" borderId="40" xfId="39" applyNumberFormat="1" applyFont="1" applyFill="1" applyBorder="1"/>
    <xf numFmtId="177" fontId="68" fillId="0" borderId="0" xfId="39" applyNumberFormat="1" applyFont="1" applyFill="1" applyBorder="1"/>
    <xf numFmtId="9" fontId="5" fillId="0" borderId="40" xfId="58" applyFont="1" applyFill="1" applyBorder="1" applyAlignment="1">
      <alignment horizontal="left"/>
    </xf>
    <xf numFmtId="9" fontId="61" fillId="0" borderId="40" xfId="58" applyFont="1" applyFill="1" applyBorder="1"/>
    <xf numFmtId="9" fontId="61" fillId="0" borderId="0" xfId="58" applyFont="1" applyFill="1" applyBorder="1"/>
    <xf numFmtId="9" fontId="58" fillId="0" borderId="27" xfId="58" applyFont="1" applyFill="1" applyBorder="1"/>
    <xf numFmtId="9" fontId="58" fillId="0" borderId="0" xfId="58" applyFont="1" applyFill="1" applyBorder="1" applyAlignment="1">
      <alignment horizontal="right"/>
    </xf>
    <xf numFmtId="9" fontId="58" fillId="0" borderId="40" xfId="58" applyFont="1" applyFill="1" applyBorder="1"/>
    <xf numFmtId="9" fontId="58" fillId="0" borderId="0" xfId="58" applyFont="1" applyFill="1" applyBorder="1"/>
    <xf numFmtId="9" fontId="58" fillId="17" borderId="0" xfId="58" applyFont="1" applyFill="1"/>
    <xf numFmtId="9" fontId="58" fillId="0" borderId="0" xfId="58" applyFont="1"/>
    <xf numFmtId="198" fontId="74" fillId="0" borderId="0" xfId="0" applyNumberFormat="1" applyFont="1"/>
    <xf numFmtId="198" fontId="5" fillId="0" borderId="41" xfId="58" applyNumberFormat="1" applyFont="1" applyFill="1" applyBorder="1" applyAlignment="1">
      <alignment horizontal="left"/>
    </xf>
    <xf numFmtId="198" fontId="74" fillId="0" borderId="40" xfId="58" applyNumberFormat="1" applyFont="1" applyFill="1" applyBorder="1"/>
    <xf numFmtId="198" fontId="74" fillId="0" borderId="0" xfId="58" applyNumberFormat="1" applyFont="1" applyFill="1" applyBorder="1"/>
    <xf numFmtId="198" fontId="74" fillId="0" borderId="27" xfId="58" applyNumberFormat="1" applyFont="1" applyFill="1" applyBorder="1"/>
    <xf numFmtId="198" fontId="74" fillId="0" borderId="0" xfId="39" applyNumberFormat="1" applyFont="1" applyFill="1" applyBorder="1" applyAlignment="1">
      <alignment horizontal="right"/>
    </xf>
    <xf numFmtId="198" fontId="74" fillId="17" borderId="0" xfId="0" applyNumberFormat="1" applyFont="1" applyFill="1"/>
    <xf numFmtId="169" fontId="10" fillId="0" borderId="19" xfId="58" applyNumberFormat="1" applyFont="1" applyFill="1" applyBorder="1" applyAlignment="1">
      <alignment horizontal="left" indent="1"/>
    </xf>
    <xf numFmtId="169" fontId="5" fillId="17" borderId="0" xfId="58" applyNumberFormat="1" applyFont="1" applyFill="1"/>
    <xf numFmtId="10" fontId="5" fillId="0" borderId="0" xfId="58" applyNumberFormat="1" applyFont="1"/>
    <xf numFmtId="9" fontId="3" fillId="0" borderId="0" xfId="58" applyNumberFormat="1" applyFont="1" applyFill="1" applyBorder="1"/>
    <xf numFmtId="9" fontId="5" fillId="0" borderId="21" xfId="58" applyNumberFormat="1" applyFont="1" applyFill="1" applyBorder="1"/>
    <xf numFmtId="9" fontId="5" fillId="0" borderId="11" xfId="58" applyNumberFormat="1" applyFont="1" applyFill="1" applyBorder="1"/>
    <xf numFmtId="9" fontId="5" fillId="0" borderId="28" xfId="58" applyNumberFormat="1" applyFont="1" applyFill="1" applyBorder="1"/>
    <xf numFmtId="0" fontId="5" fillId="0" borderId="41" xfId="0" applyFont="1" applyFill="1" applyBorder="1" applyAlignment="1">
      <alignment horizontal="left" indent="1"/>
    </xf>
    <xf numFmtId="0" fontId="3" fillId="0" borderId="41" xfId="0" applyFont="1" applyFill="1" applyBorder="1" applyAlignment="1">
      <alignment horizontal="left" indent="1"/>
    </xf>
    <xf numFmtId="177" fontId="58" fillId="0" borderId="0" xfId="39" applyNumberFormat="1" applyFont="1"/>
    <xf numFmtId="0" fontId="58" fillId="0" borderId="0" xfId="0" applyFont="1" applyFill="1"/>
    <xf numFmtId="177" fontId="5" fillId="0" borderId="0" xfId="39" applyNumberFormat="1" applyFont="1"/>
    <xf numFmtId="9" fontId="5" fillId="0" borderId="40" xfId="58" applyNumberFormat="1" applyFont="1" applyFill="1" applyBorder="1"/>
    <xf numFmtId="9" fontId="5" fillId="0" borderId="0" xfId="58" applyNumberFormat="1" applyFont="1" applyFill="1" applyBorder="1"/>
    <xf numFmtId="9" fontId="5" fillId="0" borderId="27" xfId="58" applyNumberFormat="1" applyFont="1" applyFill="1" applyBorder="1"/>
    <xf numFmtId="9" fontId="58" fillId="0" borderId="27" xfId="58" applyNumberFormat="1" applyFont="1" applyFill="1" applyBorder="1"/>
    <xf numFmtId="9" fontId="58" fillId="0" borderId="0" xfId="0" applyNumberFormat="1" applyFont="1" applyFill="1"/>
    <xf numFmtId="177" fontId="58" fillId="0" borderId="0" xfId="39" applyNumberFormat="1" applyFont="1" applyFill="1"/>
    <xf numFmtId="177" fontId="5" fillId="0" borderId="0" xfId="39" applyNumberFormat="1" applyFont="1" applyFill="1"/>
    <xf numFmtId="0" fontId="5" fillId="0" borderId="41" xfId="0" applyFont="1" applyFill="1" applyBorder="1" applyAlignment="1">
      <alignment horizontal="left" indent="2"/>
    </xf>
    <xf numFmtId="9" fontId="3" fillId="0" borderId="40" xfId="58" applyNumberFormat="1" applyFont="1" applyFill="1" applyBorder="1"/>
    <xf numFmtId="9" fontId="3" fillId="0" borderId="27" xfId="58" applyNumberFormat="1" applyFont="1" applyFill="1" applyBorder="1"/>
    <xf numFmtId="9" fontId="65" fillId="0" borderId="27" xfId="58" applyFont="1" applyFill="1" applyBorder="1"/>
    <xf numFmtId="9" fontId="65" fillId="0" borderId="27" xfId="58" applyNumberFormat="1" applyFont="1" applyFill="1" applyBorder="1"/>
    <xf numFmtId="9" fontId="58" fillId="0" borderId="28" xfId="58" applyNumberFormat="1" applyFont="1" applyFill="1" applyBorder="1"/>
    <xf numFmtId="169" fontId="74" fillId="0" borderId="0" xfId="0" applyNumberFormat="1" applyFont="1"/>
    <xf numFmtId="169" fontId="5" fillId="0" borderId="41" xfId="58" applyNumberFormat="1" applyFont="1" applyFill="1" applyBorder="1" applyAlignment="1">
      <alignment horizontal="left"/>
    </xf>
    <xf numFmtId="169" fontId="74" fillId="0" borderId="0" xfId="39" applyNumberFormat="1" applyFont="1" applyFill="1" applyBorder="1" applyAlignment="1">
      <alignment horizontal="right"/>
    </xf>
    <xf numFmtId="177" fontId="10" fillId="0" borderId="28" xfId="39" applyNumberFormat="1" applyFont="1" applyFill="1" applyBorder="1"/>
    <xf numFmtId="0" fontId="59" fillId="31" borderId="0" xfId="0" applyFont="1" applyFill="1" applyBorder="1" applyAlignment="1">
      <alignment horizontal="left"/>
    </xf>
    <xf numFmtId="37" fontId="60" fillId="31" borderId="0" xfId="0" applyNumberFormat="1" applyFont="1" applyFill="1" applyBorder="1"/>
    <xf numFmtId="37" fontId="60" fillId="31" borderId="25" xfId="0" applyNumberFormat="1" applyFont="1" applyFill="1" applyBorder="1"/>
    <xf numFmtId="169" fontId="65" fillId="0" borderId="0" xfId="58" applyNumberFormat="1" applyFont="1" applyFill="1" applyBorder="1"/>
    <xf numFmtId="175" fontId="58" fillId="21" borderId="40" xfId="86" applyNumberFormat="1" applyFont="1" applyFill="1" applyBorder="1" applyAlignment="1">
      <alignment horizontal="right"/>
    </xf>
    <xf numFmtId="0" fontId="2" fillId="21" borderId="40" xfId="86" applyFill="1" applyBorder="1"/>
    <xf numFmtId="169" fontId="65" fillId="0" borderId="11" xfId="58" applyNumberFormat="1" applyFont="1" applyFill="1" applyBorder="1"/>
    <xf numFmtId="0" fontId="74" fillId="0" borderId="0" xfId="0" applyFont="1" applyFill="1" applyBorder="1" applyAlignment="1">
      <alignment wrapText="1"/>
    </xf>
    <xf numFmtId="0" fontId="3" fillId="0" borderId="0" xfId="0" applyFont="1" applyFill="1" applyAlignment="1">
      <alignment wrapText="1"/>
    </xf>
    <xf numFmtId="0" fontId="5" fillId="0" borderId="41" xfId="0" applyFont="1" applyFill="1" applyBorder="1"/>
    <xf numFmtId="0" fontId="96" fillId="0" borderId="41" xfId="0" applyFont="1" applyFill="1" applyBorder="1"/>
    <xf numFmtId="0" fontId="5" fillId="0" borderId="38" xfId="0" applyFont="1" applyFill="1" applyBorder="1" applyAlignment="1">
      <alignment horizontal="left" indent="1"/>
    </xf>
    <xf numFmtId="0" fontId="5" fillId="17" borderId="38" xfId="0" applyFont="1" applyFill="1" applyBorder="1" applyAlignment="1">
      <alignment horizontal="left" indent="1"/>
    </xf>
    <xf numFmtId="0" fontId="3" fillId="29" borderId="41" xfId="0" applyFont="1" applyFill="1" applyBorder="1" applyAlignment="1">
      <alignment horizontal="left"/>
    </xf>
    <xf numFmtId="0" fontId="5" fillId="0" borderId="41" xfId="0" applyFont="1" applyBorder="1"/>
    <xf numFmtId="0" fontId="2" fillId="0" borderId="41" xfId="0" applyFont="1" applyFill="1" applyBorder="1"/>
    <xf numFmtId="0" fontId="96" fillId="0" borderId="41" xfId="0" applyFont="1" applyBorder="1"/>
    <xf numFmtId="0" fontId="5" fillId="0" borderId="40" xfId="0" applyFont="1" applyFill="1" applyBorder="1"/>
    <xf numFmtId="166" fontId="3" fillId="29" borderId="40" xfId="39" applyNumberFormat="1" applyFont="1" applyFill="1" applyBorder="1"/>
    <xf numFmtId="0" fontId="2" fillId="0" borderId="40" xfId="0" applyFont="1" applyFill="1" applyBorder="1"/>
    <xf numFmtId="0" fontId="5" fillId="0" borderId="40" xfId="0" applyFont="1" applyBorder="1"/>
    <xf numFmtId="0" fontId="0" fillId="0" borderId="40" xfId="0" applyBorder="1"/>
    <xf numFmtId="0" fontId="2" fillId="0" borderId="21" xfId="0" applyFont="1" applyBorder="1"/>
    <xf numFmtId="0" fontId="2" fillId="0" borderId="11" xfId="0" applyFont="1" applyBorder="1"/>
    <xf numFmtId="0" fontId="74" fillId="0" borderId="40" xfId="0" applyFont="1" applyFill="1" applyBorder="1" applyAlignment="1">
      <alignment wrapText="1"/>
    </xf>
    <xf numFmtId="0" fontId="58" fillId="0" borderId="0" xfId="0" applyFont="1" applyFill="1" applyBorder="1"/>
    <xf numFmtId="177" fontId="5" fillId="0" borderId="40" xfId="39" applyNumberFormat="1" applyFont="1" applyFill="1" applyBorder="1"/>
    <xf numFmtId="0" fontId="58" fillId="0" borderId="40" xfId="0" applyFont="1" applyFill="1" applyBorder="1"/>
    <xf numFmtId="0" fontId="5" fillId="0" borderId="40" xfId="0" applyFont="1" applyBorder="1" applyAlignment="1">
      <alignment horizontal="right"/>
    </xf>
    <xf numFmtId="0" fontId="5" fillId="0" borderId="21" xfId="0" applyFont="1" applyBorder="1"/>
    <xf numFmtId="0" fontId="5" fillId="0" borderId="11" xfId="0" applyFont="1" applyBorder="1"/>
    <xf numFmtId="198" fontId="58" fillId="0" borderId="27" xfId="0" applyNumberFormat="1" applyFont="1" applyFill="1" applyBorder="1"/>
    <xf numFmtId="9" fontId="58" fillId="0" borderId="27" xfId="0" applyNumberFormat="1" applyFont="1" applyFill="1" applyBorder="1"/>
    <xf numFmtId="9" fontId="5" fillId="0" borderId="27" xfId="0" applyNumberFormat="1" applyFont="1" applyFill="1" applyBorder="1"/>
    <xf numFmtId="177" fontId="74" fillId="0" borderId="27" xfId="39" applyNumberFormat="1" applyFont="1" applyFill="1" applyBorder="1" applyAlignment="1">
      <alignment wrapText="1"/>
    </xf>
    <xf numFmtId="177" fontId="58" fillId="0" borderId="27" xfId="39" applyNumberFormat="1" applyFont="1" applyFill="1" applyBorder="1" applyAlignment="1">
      <alignment wrapText="1"/>
    </xf>
    <xf numFmtId="9" fontId="5" fillId="0" borderId="27" xfId="58" applyFont="1" applyFill="1" applyBorder="1" applyAlignment="1">
      <alignment wrapText="1"/>
    </xf>
    <xf numFmtId="177" fontId="58" fillId="0" borderId="27" xfId="39" applyNumberFormat="1" applyFont="1" applyFill="1" applyBorder="1"/>
    <xf numFmtId="0" fontId="58" fillId="0" borderId="27" xfId="0" applyFont="1" applyFill="1" applyBorder="1"/>
    <xf numFmtId="177" fontId="74" fillId="0" borderId="27" xfId="39" applyNumberFormat="1" applyFont="1" applyFill="1" applyBorder="1"/>
    <xf numFmtId="177" fontId="5" fillId="0" borderId="27" xfId="0" applyNumberFormat="1" applyFont="1" applyFill="1" applyBorder="1"/>
    <xf numFmtId="9" fontId="58" fillId="0" borderId="27" xfId="0" applyNumberFormat="1" applyFont="1" applyBorder="1"/>
    <xf numFmtId="0" fontId="2" fillId="0" borderId="27" xfId="0" applyFont="1" applyFill="1" applyBorder="1"/>
    <xf numFmtId="0" fontId="0" fillId="0" borderId="27" xfId="0" applyBorder="1"/>
    <xf numFmtId="0" fontId="5" fillId="0" borderId="27" xfId="0" applyFont="1" applyBorder="1"/>
    <xf numFmtId="0" fontId="2" fillId="0" borderId="28" xfId="0" applyFont="1" applyBorder="1"/>
    <xf numFmtId="177" fontId="5" fillId="0" borderId="28" xfId="39" applyNumberFormat="1" applyFont="1" applyBorder="1" applyAlignment="1">
      <alignment wrapText="1"/>
    </xf>
    <xf numFmtId="9" fontId="58" fillId="0" borderId="27" xfId="0" applyNumberFormat="1" applyFont="1" applyBorder="1" applyAlignment="1">
      <alignment horizontal="right"/>
    </xf>
    <xf numFmtId="177" fontId="58" fillId="0" borderId="27" xfId="39" applyNumberFormat="1" applyFont="1" applyBorder="1" applyAlignment="1">
      <alignment horizontal="right"/>
    </xf>
    <xf numFmtId="177" fontId="58" fillId="0" borderId="27" xfId="39" applyNumberFormat="1" applyFont="1" applyBorder="1"/>
    <xf numFmtId="0" fontId="5" fillId="0" borderId="28" xfId="0" applyFont="1" applyBorder="1"/>
    <xf numFmtId="0" fontId="3" fillId="0" borderId="19" xfId="0" applyFont="1" applyFill="1" applyBorder="1"/>
    <xf numFmtId="177" fontId="58" fillId="0" borderId="27" xfId="39" applyNumberFormat="1" applyFont="1" applyFill="1" applyBorder="1" applyAlignment="1">
      <alignment horizontal="right"/>
    </xf>
    <xf numFmtId="168" fontId="65" fillId="0" borderId="20" xfId="39" applyNumberFormat="1" applyFont="1" applyFill="1" applyBorder="1" applyAlignment="1">
      <alignment horizontal="right" wrapText="1"/>
    </xf>
    <xf numFmtId="168" fontId="58" fillId="0" borderId="20" xfId="39" applyNumberFormat="1" applyFont="1" applyFill="1" applyBorder="1" applyAlignment="1">
      <alignment horizontal="right" wrapText="1"/>
    </xf>
    <xf numFmtId="168" fontId="58" fillId="0" borderId="27" xfId="39" applyNumberFormat="1" applyFont="1" applyFill="1" applyBorder="1" applyAlignment="1">
      <alignment horizontal="right"/>
    </xf>
    <xf numFmtId="168" fontId="58" fillId="0" borderId="0" xfId="0" applyNumberFormat="1" applyFont="1" applyFill="1" applyBorder="1" applyAlignment="1">
      <alignment horizontal="right"/>
    </xf>
    <xf numFmtId="168" fontId="58" fillId="0" borderId="0" xfId="39" applyNumberFormat="1" applyFont="1" applyFill="1" applyBorder="1" applyAlignment="1">
      <alignment horizontal="right" wrapText="1"/>
    </xf>
    <xf numFmtId="168" fontId="65" fillId="0" borderId="0" xfId="39" applyNumberFormat="1" applyFont="1" applyFill="1" applyBorder="1" applyAlignment="1">
      <alignment horizontal="right" wrapText="1"/>
    </xf>
    <xf numFmtId="169" fontId="58" fillId="0" borderId="27" xfId="58" applyNumberFormat="1" applyFont="1" applyFill="1" applyBorder="1" applyAlignment="1">
      <alignment horizontal="right"/>
    </xf>
    <xf numFmtId="168" fontId="58" fillId="0" borderId="26" xfId="39" applyNumberFormat="1" applyFont="1" applyFill="1" applyBorder="1" applyAlignment="1">
      <alignment horizontal="right" wrapText="1"/>
    </xf>
    <xf numFmtId="168" fontId="58" fillId="0" borderId="22" xfId="39" applyNumberFormat="1" applyFont="1" applyFill="1" applyBorder="1" applyAlignment="1">
      <alignment horizontal="right" wrapText="1"/>
    </xf>
    <xf numFmtId="168" fontId="58" fillId="0" borderId="16" xfId="39" applyNumberFormat="1" applyFont="1" applyFill="1" applyBorder="1" applyAlignment="1">
      <alignment horizontal="right" wrapText="1"/>
    </xf>
    <xf numFmtId="168" fontId="58" fillId="0" borderId="27" xfId="39" applyNumberFormat="1" applyFont="1" applyFill="1" applyBorder="1" applyAlignment="1">
      <alignment horizontal="right" wrapText="1"/>
    </xf>
    <xf numFmtId="165" fontId="60" fillId="19" borderId="21" xfId="0" applyNumberFormat="1" applyFont="1" applyFill="1" applyBorder="1" applyAlignment="1">
      <alignment horizontal="center"/>
    </xf>
    <xf numFmtId="43" fontId="61" fillId="0" borderId="20" xfId="39" applyFont="1" applyFill="1" applyBorder="1"/>
    <xf numFmtId="200" fontId="5" fillId="0" borderId="0" xfId="0" applyNumberFormat="1" applyFont="1" applyAlignment="1">
      <alignment horizontal="right"/>
    </xf>
    <xf numFmtId="171" fontId="21" fillId="17" borderId="20" xfId="0" applyNumberFormat="1" applyFont="1" applyFill="1" applyBorder="1" applyAlignment="1">
      <alignment horizontal="center"/>
    </xf>
    <xf numFmtId="168" fontId="60" fillId="19" borderId="0" xfId="0" applyNumberFormat="1" applyFont="1" applyFill="1" applyAlignment="1">
      <alignment horizontal="right"/>
    </xf>
    <xf numFmtId="168" fontId="60" fillId="19" borderId="0" xfId="58" applyNumberFormat="1" applyFont="1" applyFill="1" applyAlignment="1">
      <alignment horizontal="right"/>
    </xf>
    <xf numFmtId="168" fontId="5" fillId="0" borderId="40" xfId="39" applyNumberFormat="1" applyFont="1" applyFill="1" applyBorder="1" applyAlignment="1">
      <alignment horizontal="right"/>
    </xf>
    <xf numFmtId="175" fontId="62" fillId="0" borderId="11" xfId="0" applyNumberFormat="1" applyFont="1" applyFill="1" applyBorder="1" applyAlignment="1">
      <alignment horizontal="right"/>
    </xf>
    <xf numFmtId="175" fontId="62" fillId="0" borderId="21" xfId="0" applyNumberFormat="1" applyFont="1" applyFill="1" applyBorder="1" applyAlignment="1">
      <alignment horizontal="right"/>
    </xf>
    <xf numFmtId="168" fontId="74" fillId="0" borderId="22" xfId="39" applyNumberFormat="1" applyFont="1" applyFill="1" applyBorder="1" applyAlignment="1">
      <alignment horizontal="right"/>
    </xf>
    <xf numFmtId="168" fontId="74" fillId="0" borderId="44" xfId="39" applyNumberFormat="1" applyFont="1" applyFill="1" applyBorder="1" applyAlignment="1">
      <alignment horizontal="right"/>
    </xf>
    <xf numFmtId="168" fontId="74" fillId="0" borderId="26" xfId="39" applyNumberFormat="1" applyFont="1" applyFill="1" applyBorder="1" applyAlignment="1">
      <alignment horizontal="right"/>
    </xf>
    <xf numFmtId="168" fontId="74" fillId="0" borderId="0" xfId="0" applyNumberFormat="1" applyFont="1" applyFill="1"/>
    <xf numFmtId="168" fontId="74" fillId="0" borderId="40" xfId="39" applyNumberFormat="1" applyFont="1" applyFill="1" applyBorder="1" applyAlignment="1">
      <alignment horizontal="right"/>
    </xf>
    <xf numFmtId="9" fontId="5" fillId="0" borderId="0" xfId="58" applyFont="1" applyFill="1" applyBorder="1" applyAlignment="1">
      <alignment horizontal="right"/>
    </xf>
    <xf numFmtId="9" fontId="58" fillId="0" borderId="27" xfId="58" applyFont="1" applyFill="1" applyBorder="1" applyAlignment="1">
      <alignment wrapText="1"/>
    </xf>
    <xf numFmtId="39" fontId="3" fillId="0" borderId="27" xfId="39" applyNumberFormat="1" applyFont="1" applyFill="1" applyBorder="1" applyAlignment="1">
      <alignment horizontal="right"/>
    </xf>
    <xf numFmtId="175" fontId="85" fillId="0" borderId="20" xfId="86" applyNumberFormat="1" applyFont="1" applyFill="1" applyBorder="1" applyAlignment="1">
      <alignment horizontal="right"/>
    </xf>
    <xf numFmtId="175" fontId="85" fillId="0" borderId="0" xfId="86" applyNumberFormat="1" applyFont="1" applyFill="1" applyBorder="1" applyAlignment="1">
      <alignment horizontal="right"/>
    </xf>
    <xf numFmtId="175" fontId="85" fillId="0" borderId="30" xfId="86" applyNumberFormat="1" applyFont="1" applyFill="1" applyBorder="1" applyAlignment="1">
      <alignment horizontal="right"/>
    </xf>
    <xf numFmtId="175" fontId="85" fillId="21" borderId="20" xfId="86" applyNumberFormat="1" applyFont="1" applyFill="1" applyBorder="1" applyAlignment="1">
      <alignment horizontal="right"/>
    </xf>
    <xf numFmtId="175" fontId="85" fillId="21" borderId="0" xfId="86" applyNumberFormat="1" applyFont="1" applyFill="1" applyBorder="1" applyAlignment="1">
      <alignment horizontal="right"/>
    </xf>
    <xf numFmtId="175" fontId="85" fillId="21" borderId="30" xfId="86" applyNumberFormat="1" applyFont="1" applyFill="1" applyBorder="1" applyAlignment="1">
      <alignment horizontal="right"/>
    </xf>
    <xf numFmtId="175" fontId="85" fillId="21" borderId="30" xfId="86" quotePrefix="1" applyNumberFormat="1" applyFont="1" applyFill="1" applyBorder="1" applyAlignment="1">
      <alignment horizontal="right"/>
    </xf>
    <xf numFmtId="175" fontId="85" fillId="21" borderId="0" xfId="86" quotePrefix="1" applyNumberFormat="1" applyFont="1" applyFill="1" applyBorder="1" applyAlignment="1">
      <alignment horizontal="right"/>
    </xf>
    <xf numFmtId="175" fontId="3" fillId="0" borderId="20" xfId="86" applyNumberFormat="1" applyFont="1" applyFill="1" applyBorder="1" applyAlignment="1">
      <alignment horizontal="right"/>
    </xf>
    <xf numFmtId="175" fontId="3" fillId="21" borderId="20" xfId="86" quotePrefix="1" applyNumberFormat="1" applyFont="1" applyFill="1" applyBorder="1" applyAlignment="1">
      <alignment horizontal="right"/>
    </xf>
    <xf numFmtId="175" fontId="3" fillId="0" borderId="20" xfId="86" quotePrefix="1" applyNumberFormat="1" applyFont="1" applyFill="1" applyBorder="1" applyAlignment="1">
      <alignment horizontal="right"/>
    </xf>
    <xf numFmtId="10" fontId="62" fillId="30" borderId="27" xfId="58" applyNumberFormat="1" applyFont="1" applyFill="1" applyBorder="1" applyAlignment="1">
      <alignment horizontal="right"/>
    </xf>
    <xf numFmtId="165" fontId="60" fillId="19" borderId="11" xfId="0" applyNumberFormat="1" applyFont="1" applyFill="1" applyBorder="1" applyAlignment="1">
      <alignment horizontal="center"/>
    </xf>
    <xf numFmtId="166" fontId="60" fillId="19" borderId="0" xfId="39" applyNumberFormat="1" applyFont="1" applyFill="1" applyBorder="1" applyAlignment="1" applyProtection="1">
      <alignment horizontal="right"/>
    </xf>
    <xf numFmtId="166" fontId="60" fillId="19" borderId="0" xfId="39" applyNumberFormat="1" applyFont="1" applyFill="1" applyBorder="1" applyProtection="1"/>
    <xf numFmtId="0" fontId="5" fillId="0" borderId="41" xfId="0" applyFont="1" applyFill="1" applyBorder="1" applyAlignment="1" applyProtection="1">
      <protection locked="0"/>
    </xf>
    <xf numFmtId="168" fontId="74" fillId="0" borderId="40" xfId="39" applyNumberFormat="1" applyFont="1" applyFill="1" applyBorder="1" applyAlignment="1" applyProtection="1">
      <alignment horizontal="right"/>
      <protection locked="0"/>
    </xf>
    <xf numFmtId="168" fontId="74" fillId="0" borderId="16" xfId="39" applyNumberFormat="1" applyFont="1" applyFill="1" applyBorder="1" applyAlignment="1" applyProtection="1">
      <alignment horizontal="right"/>
    </xf>
    <xf numFmtId="168" fontId="74" fillId="0" borderId="24" xfId="39" applyNumberFormat="1" applyFont="1" applyFill="1" applyBorder="1" applyProtection="1"/>
    <xf numFmtId="170" fontId="5" fillId="0" borderId="0" xfId="39" applyNumberFormat="1" applyFont="1" applyFill="1" applyBorder="1" applyProtection="1"/>
    <xf numFmtId="168" fontId="74" fillId="0" borderId="0" xfId="39" applyNumberFormat="1" applyFont="1" applyFill="1" applyBorder="1" applyAlignment="1" applyProtection="1">
      <alignment horizontal="right"/>
    </xf>
    <xf numFmtId="168" fontId="74" fillId="0" borderId="41" xfId="39" applyNumberFormat="1" applyFont="1" applyFill="1" applyBorder="1" applyProtection="1"/>
    <xf numFmtId="169" fontId="74" fillId="0" borderId="40" xfId="58" applyNumberFormat="1" applyFont="1" applyFill="1" applyBorder="1" applyAlignment="1" applyProtection="1">
      <alignment horizontal="right"/>
      <protection locked="0"/>
    </xf>
    <xf numFmtId="169" fontId="74" fillId="0" borderId="0" xfId="58" applyNumberFormat="1" applyFont="1" applyFill="1" applyBorder="1" applyAlignment="1" applyProtection="1">
      <alignment horizontal="right"/>
    </xf>
    <xf numFmtId="169" fontId="74" fillId="0" borderId="41" xfId="58" applyNumberFormat="1" applyFont="1" applyFill="1" applyBorder="1" applyProtection="1"/>
    <xf numFmtId="169" fontId="5" fillId="0" borderId="0" xfId="58" applyNumberFormat="1" applyFont="1" applyFill="1" applyBorder="1" applyProtection="1"/>
    <xf numFmtId="168" fontId="5" fillId="0" borderId="0" xfId="58" applyNumberFormat="1" applyFont="1" applyFill="1" applyBorder="1" applyAlignment="1" applyProtection="1">
      <alignment horizontal="right"/>
    </xf>
    <xf numFmtId="168" fontId="5" fillId="0" borderId="41" xfId="58" applyNumberFormat="1" applyFont="1" applyFill="1" applyBorder="1" applyProtection="1"/>
    <xf numFmtId="168" fontId="3" fillId="0" borderId="0" xfId="58" applyNumberFormat="1" applyFont="1" applyFill="1" applyBorder="1" applyAlignment="1" applyProtection="1">
      <alignment horizontal="right"/>
    </xf>
    <xf numFmtId="168" fontId="3" fillId="0" borderId="41" xfId="58" applyNumberFormat="1" applyFont="1" applyFill="1" applyBorder="1" applyProtection="1"/>
    <xf numFmtId="169" fontId="3" fillId="0" borderId="0" xfId="58" applyNumberFormat="1" applyFont="1" applyFill="1" applyBorder="1" applyProtection="1"/>
    <xf numFmtId="169" fontId="3" fillId="0" borderId="0" xfId="58" applyNumberFormat="1" applyFont="1" applyFill="1" applyBorder="1" applyAlignment="1" applyProtection="1">
      <alignment horizontal="right"/>
    </xf>
    <xf numFmtId="169" fontId="3" fillId="0" borderId="41" xfId="58" applyNumberFormat="1" applyFont="1" applyFill="1" applyBorder="1" applyProtection="1"/>
    <xf numFmtId="9" fontId="3" fillId="0" borderId="0" xfId="58" applyFont="1" applyFill="1" applyBorder="1" applyProtection="1"/>
    <xf numFmtId="9" fontId="5" fillId="0" borderId="40" xfId="58" applyFont="1" applyFill="1" applyBorder="1" applyAlignment="1" applyProtection="1">
      <alignment horizontal="right"/>
    </xf>
    <xf numFmtId="9" fontId="5" fillId="0" borderId="0" xfId="58" applyFont="1" applyFill="1" applyBorder="1" applyAlignment="1" applyProtection="1">
      <alignment horizontal="right"/>
    </xf>
    <xf numFmtId="9" fontId="5" fillId="0" borderId="41" xfId="58" applyFont="1" applyFill="1" applyBorder="1" applyProtection="1"/>
    <xf numFmtId="9" fontId="5" fillId="0" borderId="0" xfId="58" applyFont="1" applyFill="1" applyBorder="1" applyProtection="1"/>
    <xf numFmtId="9" fontId="74" fillId="0" borderId="40" xfId="58" applyFont="1" applyFill="1" applyBorder="1" applyAlignment="1" applyProtection="1">
      <alignment horizontal="right"/>
    </xf>
    <xf numFmtId="9" fontId="74" fillId="0" borderId="0" xfId="58" applyFont="1" applyFill="1" applyBorder="1" applyAlignment="1" applyProtection="1">
      <alignment horizontal="right"/>
    </xf>
    <xf numFmtId="166" fontId="5" fillId="0" borderId="40" xfId="39" applyNumberFormat="1" applyFont="1" applyFill="1" applyBorder="1" applyAlignment="1" applyProtection="1">
      <alignment horizontal="right"/>
      <protection locked="0"/>
    </xf>
    <xf numFmtId="166" fontId="5" fillId="0" borderId="0" xfId="39" applyNumberFormat="1" applyFont="1" applyFill="1" applyBorder="1" applyAlignment="1" applyProtection="1">
      <alignment horizontal="right"/>
    </xf>
    <xf numFmtId="166" fontId="5" fillId="0" borderId="41" xfId="39" applyNumberFormat="1" applyFont="1" applyFill="1" applyBorder="1" applyProtection="1"/>
    <xf numFmtId="0" fontId="10" fillId="0" borderId="41" xfId="0" applyFont="1" applyFill="1" applyBorder="1" applyAlignment="1" applyProtection="1">
      <protection locked="0"/>
    </xf>
    <xf numFmtId="177" fontId="5" fillId="0" borderId="0" xfId="58" applyNumberFormat="1" applyFont="1" applyFill="1" applyBorder="1" applyProtection="1"/>
    <xf numFmtId="166" fontId="3" fillId="0" borderId="40" xfId="39" applyNumberFormat="1" applyFont="1" applyFill="1" applyBorder="1" applyAlignment="1" applyProtection="1">
      <alignment horizontal="right"/>
      <protection locked="0"/>
    </xf>
    <xf numFmtId="166" fontId="3" fillId="0" borderId="0" xfId="39" applyNumberFormat="1" applyFont="1" applyFill="1" applyBorder="1" applyAlignment="1" applyProtection="1">
      <alignment horizontal="right"/>
    </xf>
    <xf numFmtId="166" fontId="3" fillId="0" borderId="41" xfId="39" applyNumberFormat="1" applyFont="1" applyFill="1" applyBorder="1" applyProtection="1"/>
    <xf numFmtId="177" fontId="3" fillId="0" borderId="40" xfId="39" applyNumberFormat="1" applyFont="1" applyFill="1" applyBorder="1" applyAlignment="1" applyProtection="1">
      <alignment horizontal="right"/>
      <protection locked="0"/>
    </xf>
    <xf numFmtId="177" fontId="3" fillId="0" borderId="0" xfId="39" applyNumberFormat="1" applyFont="1" applyFill="1" applyBorder="1" applyAlignment="1" applyProtection="1">
      <alignment horizontal="right"/>
    </xf>
    <xf numFmtId="177" fontId="3" fillId="0" borderId="41" xfId="39" applyNumberFormat="1" applyFont="1" applyFill="1" applyBorder="1" applyProtection="1"/>
    <xf numFmtId="168" fontId="5" fillId="0" borderId="40" xfId="39" applyNumberFormat="1" applyFont="1" applyFill="1" applyBorder="1" applyAlignment="1" applyProtection="1">
      <alignment horizontal="right"/>
    </xf>
    <xf numFmtId="168" fontId="5" fillId="0" borderId="0" xfId="39" applyNumberFormat="1" applyFont="1" applyFill="1" applyBorder="1" applyAlignment="1" applyProtection="1">
      <alignment horizontal="right"/>
    </xf>
    <xf numFmtId="168" fontId="5" fillId="0" borderId="41" xfId="39" applyNumberFormat="1" applyFont="1" applyFill="1" applyBorder="1" applyProtection="1"/>
    <xf numFmtId="168" fontId="5" fillId="0" borderId="0" xfId="39" applyNumberFormat="1" applyFont="1" applyFill="1" applyBorder="1" applyProtection="1"/>
    <xf numFmtId="168" fontId="74" fillId="0" borderId="40" xfId="39" applyNumberFormat="1" applyFont="1" applyFill="1" applyBorder="1" applyAlignment="1" applyProtection="1">
      <alignment horizontal="right"/>
    </xf>
    <xf numFmtId="169" fontId="3" fillId="0" borderId="40" xfId="58" applyNumberFormat="1" applyFont="1" applyFill="1" applyBorder="1" applyAlignment="1" applyProtection="1">
      <alignment horizontal="right"/>
    </xf>
    <xf numFmtId="0" fontId="5" fillId="0" borderId="45" xfId="0" applyFont="1" applyFill="1" applyBorder="1" applyAlignment="1" applyProtection="1">
      <protection locked="0"/>
    </xf>
    <xf numFmtId="169" fontId="5" fillId="0" borderId="46" xfId="58" applyNumberFormat="1" applyFont="1" applyFill="1" applyBorder="1" applyAlignment="1" applyProtection="1">
      <alignment horizontal="right"/>
    </xf>
    <xf numFmtId="169" fontId="5" fillId="0" borderId="47" xfId="58" applyNumberFormat="1" applyFont="1" applyFill="1" applyBorder="1" applyAlignment="1" applyProtection="1">
      <alignment horizontal="right"/>
    </xf>
    <xf numFmtId="169" fontId="5" fillId="0" borderId="45" xfId="58" applyNumberFormat="1" applyFont="1" applyFill="1" applyBorder="1" applyProtection="1"/>
    <xf numFmtId="169" fontId="74" fillId="0" borderId="46" xfId="58" applyNumberFormat="1" applyFont="1" applyFill="1" applyBorder="1" applyAlignment="1" applyProtection="1">
      <alignment horizontal="right"/>
    </xf>
    <xf numFmtId="169" fontId="74" fillId="0" borderId="47" xfId="58" applyNumberFormat="1" applyFont="1" applyFill="1" applyBorder="1" applyAlignment="1" applyProtection="1">
      <alignment horizontal="right"/>
    </xf>
    <xf numFmtId="193" fontId="5" fillId="0" borderId="27" xfId="39" applyNumberFormat="1" applyFont="1" applyFill="1" applyBorder="1" applyAlignment="1">
      <alignment horizontal="right" wrapText="1"/>
    </xf>
    <xf numFmtId="193" fontId="22" fillId="0" borderId="0" xfId="39" applyNumberFormat="1" applyFont="1" applyFill="1" applyBorder="1" applyAlignment="1">
      <alignment horizontal="right"/>
    </xf>
    <xf numFmtId="193" fontId="53" fillId="0" borderId="20" xfId="39" applyNumberFormat="1" applyFont="1" applyFill="1" applyBorder="1" applyAlignment="1">
      <alignment horizontal="right" wrapText="1"/>
    </xf>
    <xf numFmtId="193" fontId="53" fillId="0" borderId="0" xfId="39" applyNumberFormat="1" applyFont="1" applyFill="1" applyBorder="1" applyAlignment="1">
      <alignment horizontal="right" wrapText="1"/>
    </xf>
    <xf numFmtId="193" fontId="58" fillId="0" borderId="27" xfId="39" applyNumberFormat="1" applyFont="1" applyFill="1" applyBorder="1" applyAlignment="1">
      <alignment horizontal="right" wrapText="1"/>
    </xf>
    <xf numFmtId="193" fontId="58" fillId="0" borderId="0" xfId="39" applyNumberFormat="1" applyFont="1" applyFill="1" applyBorder="1" applyAlignment="1">
      <alignment horizontal="right"/>
    </xf>
    <xf numFmtId="193" fontId="58" fillId="0" borderId="20" xfId="39" applyNumberFormat="1" applyFont="1" applyFill="1" applyBorder="1" applyAlignment="1">
      <alignment horizontal="right" wrapText="1"/>
    </xf>
    <xf numFmtId="193" fontId="58" fillId="0" borderId="0" xfId="39" applyNumberFormat="1" applyFont="1" applyFill="1" applyBorder="1" applyAlignment="1">
      <alignment horizontal="right" wrapText="1"/>
    </xf>
    <xf numFmtId="169" fontId="67" fillId="0" borderId="0" xfId="58" applyNumberFormat="1" applyFont="1" applyFill="1" applyBorder="1"/>
    <xf numFmtId="0" fontId="96" fillId="32" borderId="41" xfId="0" applyFont="1" applyFill="1" applyBorder="1" applyAlignment="1">
      <alignment horizontal="left"/>
    </xf>
    <xf numFmtId="169" fontId="3" fillId="32" borderId="40" xfId="58" applyNumberFormat="1" applyFont="1" applyFill="1" applyBorder="1"/>
    <xf numFmtId="169" fontId="3" fillId="32" borderId="0" xfId="58" applyNumberFormat="1" applyFont="1" applyFill="1" applyBorder="1"/>
    <xf numFmtId="169" fontId="3" fillId="32" borderId="27" xfId="58" applyNumberFormat="1" applyFont="1" applyFill="1" applyBorder="1"/>
    <xf numFmtId="169" fontId="3" fillId="32" borderId="0" xfId="0" applyNumberFormat="1" applyFont="1" applyFill="1" applyBorder="1"/>
    <xf numFmtId="0" fontId="3" fillId="32" borderId="41" xfId="0" applyFont="1" applyFill="1" applyBorder="1" applyAlignment="1">
      <alignment horizontal="left"/>
    </xf>
    <xf numFmtId="166" fontId="3" fillId="32" borderId="40" xfId="39" applyNumberFormat="1" applyFont="1" applyFill="1" applyBorder="1"/>
    <xf numFmtId="166" fontId="3" fillId="32" borderId="0" xfId="39" applyNumberFormat="1" applyFont="1" applyFill="1" applyBorder="1"/>
    <xf numFmtId="166" fontId="3" fillId="32" borderId="27" xfId="39" applyNumberFormat="1" applyFont="1" applyFill="1" applyBorder="1"/>
    <xf numFmtId="169" fontId="5" fillId="32" borderId="12" xfId="58" applyNumberFormat="1" applyFont="1" applyFill="1" applyBorder="1" applyAlignment="1">
      <alignment horizontal="left" indent="1"/>
    </xf>
    <xf numFmtId="169" fontId="5" fillId="32" borderId="40" xfId="58" applyNumberFormat="1" applyFont="1" applyFill="1" applyBorder="1"/>
    <xf numFmtId="169" fontId="5" fillId="32" borderId="0" xfId="58" applyNumberFormat="1" applyFont="1" applyFill="1" applyBorder="1"/>
    <xf numFmtId="169" fontId="5" fillId="32" borderId="27" xfId="58" applyNumberFormat="1" applyFont="1" applyFill="1" applyBorder="1"/>
    <xf numFmtId="169" fontId="58" fillId="32" borderId="40" xfId="58" applyNumberFormat="1" applyFont="1" applyFill="1" applyBorder="1"/>
    <xf numFmtId="169" fontId="58" fillId="32" borderId="0" xfId="58" applyNumberFormat="1" applyFont="1" applyFill="1" applyBorder="1"/>
    <xf numFmtId="169" fontId="62" fillId="32" borderId="0" xfId="58" applyNumberFormat="1" applyFont="1" applyFill="1" applyBorder="1"/>
    <xf numFmtId="169" fontId="62" fillId="32" borderId="40" xfId="58" applyNumberFormat="1" applyFont="1" applyFill="1" applyBorder="1"/>
    <xf numFmtId="0" fontId="3" fillId="32" borderId="12" xfId="0" applyFont="1" applyFill="1" applyBorder="1" applyAlignment="1">
      <alignment horizontal="left"/>
    </xf>
    <xf numFmtId="169" fontId="65" fillId="32" borderId="40" xfId="58" applyNumberFormat="1" applyFont="1" applyFill="1" applyBorder="1"/>
    <xf numFmtId="169" fontId="65" fillId="32" borderId="0" xfId="58" applyNumberFormat="1" applyFont="1" applyFill="1" applyBorder="1"/>
    <xf numFmtId="166" fontId="65" fillId="32" borderId="40" xfId="39" applyNumberFormat="1" applyFont="1" applyFill="1" applyBorder="1"/>
    <xf numFmtId="166" fontId="65" fillId="32" borderId="0" xfId="39" applyNumberFormat="1" applyFont="1" applyFill="1" applyBorder="1"/>
    <xf numFmtId="169" fontId="65" fillId="32" borderId="27" xfId="58" applyNumberFormat="1" applyFont="1" applyFill="1" applyBorder="1"/>
    <xf numFmtId="166" fontId="64" fillId="0" borderId="0" xfId="0" applyNumberFormat="1" applyFont="1" applyFill="1"/>
    <xf numFmtId="0" fontId="95" fillId="0" borderId="0" xfId="0" applyFont="1" applyFill="1"/>
    <xf numFmtId="0" fontId="95" fillId="30" borderId="0" xfId="0" applyFont="1" applyFill="1"/>
    <xf numFmtId="169" fontId="73" fillId="0" borderId="40" xfId="58" applyNumberFormat="1" applyFont="1" applyFill="1" applyBorder="1"/>
    <xf numFmtId="168" fontId="3" fillId="30" borderId="0" xfId="39" applyNumberFormat="1" applyFont="1" applyFill="1" applyBorder="1" applyAlignment="1">
      <alignment horizontal="right" wrapText="1"/>
    </xf>
    <xf numFmtId="0" fontId="3" fillId="0" borderId="15" xfId="0" applyFont="1" applyBorder="1" applyAlignment="1">
      <alignment horizontal="center" wrapText="1"/>
    </xf>
    <xf numFmtId="0" fontId="3" fillId="0" borderId="14" xfId="0" applyFont="1" applyBorder="1" applyAlignment="1">
      <alignment horizontal="center" wrapText="1"/>
    </xf>
    <xf numFmtId="0" fontId="3" fillId="0" borderId="31" xfId="0" applyFont="1" applyBorder="1" applyAlignment="1">
      <alignment horizontal="center" wrapText="1"/>
    </xf>
    <xf numFmtId="0" fontId="3" fillId="0" borderId="22" xfId="0" applyFont="1" applyBorder="1" applyAlignment="1">
      <alignment horizontal="center" wrapText="1"/>
    </xf>
    <xf numFmtId="0" fontId="3" fillId="0" borderId="16" xfId="0" applyFont="1" applyBorder="1" applyAlignment="1">
      <alignment horizontal="center" wrapText="1"/>
    </xf>
    <xf numFmtId="0" fontId="3" fillId="0" borderId="32" xfId="0" applyFont="1" applyBorder="1" applyAlignment="1">
      <alignment horizontal="center" wrapText="1"/>
    </xf>
    <xf numFmtId="0" fontId="3" fillId="0" borderId="44" xfId="0" applyFont="1" applyBorder="1" applyAlignment="1">
      <alignment horizontal="center" wrapText="1"/>
    </xf>
    <xf numFmtId="202" fontId="3" fillId="0" borderId="0" xfId="86" quotePrefix="1" applyNumberFormat="1" applyFont="1" applyFill="1" applyBorder="1" applyAlignment="1">
      <alignment horizontal="right"/>
    </xf>
    <xf numFmtId="9" fontId="90" fillId="0" borderId="0" xfId="58" applyNumberFormat="1" applyFont="1" applyFill="1" applyBorder="1"/>
    <xf numFmtId="189" fontId="5" fillId="0" borderId="16" xfId="39" applyNumberFormat="1" applyFont="1" applyFill="1" applyBorder="1" applyAlignment="1">
      <alignment horizontal="right" wrapText="1"/>
    </xf>
    <xf numFmtId="176" fontId="21" fillId="17" borderId="0" xfId="0" applyNumberFormat="1" applyFont="1" applyFill="1" applyBorder="1" applyAlignment="1">
      <alignment horizontal="center"/>
    </xf>
    <xf numFmtId="9" fontId="89" fillId="0" borderId="26" xfId="58" applyFont="1" applyFill="1" applyBorder="1"/>
    <xf numFmtId="0" fontId="2" fillId="33" borderId="0" xfId="91" applyFont="1" applyFill="1" applyAlignment="1">
      <alignment vertical="top"/>
    </xf>
    <xf numFmtId="0" fontId="98" fillId="33" borderId="0" xfId="92" applyFill="1" applyAlignment="1">
      <alignment vertical="top"/>
    </xf>
    <xf numFmtId="0" fontId="98" fillId="33" borderId="0" xfId="92" applyFill="1"/>
    <xf numFmtId="0" fontId="78" fillId="33" borderId="0" xfId="91" applyFont="1" applyFill="1" applyAlignment="1">
      <alignment horizontal="left" vertical="top"/>
    </xf>
    <xf numFmtId="0" fontId="2" fillId="33" borderId="0" xfId="92" applyFont="1" applyFill="1" applyAlignment="1">
      <alignment vertical="top"/>
    </xf>
    <xf numFmtId="0" fontId="20" fillId="33" borderId="0" xfId="91" applyFont="1" applyFill="1" applyAlignment="1">
      <alignment vertical="top"/>
    </xf>
    <xf numFmtId="0" fontId="0" fillId="33" borderId="0" xfId="0" applyFill="1" applyAlignment="1">
      <alignment vertical="top"/>
    </xf>
    <xf numFmtId="0" fontId="99" fillId="33" borderId="0" xfId="0" applyFont="1" applyFill="1" applyAlignment="1">
      <alignment vertical="top"/>
    </xf>
    <xf numFmtId="0" fontId="100" fillId="33" borderId="0" xfId="0" applyFont="1" applyFill="1" applyAlignment="1">
      <alignment vertical="top"/>
    </xf>
    <xf numFmtId="0" fontId="100" fillId="33" borderId="0" xfId="0" applyFont="1" applyFill="1" applyAlignment="1">
      <alignment vertical="top"/>
    </xf>
    <xf numFmtId="0" fontId="99" fillId="33" borderId="0" xfId="0" applyFont="1" applyFill="1" applyAlignment="1">
      <alignment vertical="top"/>
    </xf>
    <xf numFmtId="0" fontId="0" fillId="33" borderId="0" xfId="0" applyFill="1" applyAlignment="1">
      <alignment vertical="top"/>
    </xf>
    <xf numFmtId="0" fontId="0" fillId="33" borderId="52" xfId="0" applyFill="1" applyBorder="1" applyAlignment="1">
      <alignment vertical="top"/>
    </xf>
    <xf numFmtId="0" fontId="99" fillId="33" borderId="48" xfId="0" applyFont="1" applyFill="1" applyBorder="1" applyAlignment="1">
      <alignment vertical="top"/>
    </xf>
    <xf numFmtId="0" fontId="99" fillId="33" borderId="49" xfId="0" applyFont="1" applyFill="1" applyBorder="1" applyAlignment="1">
      <alignment vertical="top"/>
    </xf>
    <xf numFmtId="0" fontId="99" fillId="33" borderId="50" xfId="0" applyFont="1" applyFill="1" applyBorder="1" applyAlignment="1">
      <alignment vertical="top"/>
    </xf>
    <xf numFmtId="0" fontId="99" fillId="33" borderId="51" xfId="0" applyFont="1" applyFill="1" applyBorder="1" applyAlignment="1">
      <alignment vertical="top"/>
    </xf>
    <xf numFmtId="9" fontId="99" fillId="33" borderId="48" xfId="0" applyNumberFormat="1" applyFont="1" applyFill="1" applyBorder="1" applyAlignment="1">
      <alignment vertical="top"/>
    </xf>
    <xf numFmtId="3" fontId="99" fillId="33" borderId="48" xfId="0" applyNumberFormat="1" applyFont="1" applyFill="1" applyBorder="1" applyAlignment="1">
      <alignment vertical="top"/>
    </xf>
    <xf numFmtId="0" fontId="0" fillId="33" borderId="53" xfId="0" applyFill="1" applyBorder="1" applyAlignment="1">
      <alignment vertical="top"/>
    </xf>
    <xf numFmtId="2" fontId="2" fillId="0" borderId="0" xfId="66" applyNumberFormat="1" applyAlignment="1">
      <alignment horizontal="left"/>
    </xf>
    <xf numFmtId="0" fontId="2" fillId="0" borderId="0" xfId="66" applyNumberFormat="1" applyAlignment="1">
      <alignment horizontal="left"/>
    </xf>
    <xf numFmtId="1" fontId="2" fillId="0" borderId="0" xfId="66" applyNumberFormat="1" applyAlignment="1">
      <alignment horizontal="left"/>
    </xf>
    <xf numFmtId="217" fontId="2" fillId="0" borderId="0" xfId="66" applyNumberFormat="1" applyAlignment="1">
      <alignment horizontal="left"/>
    </xf>
    <xf numFmtId="49" fontId="2" fillId="0" borderId="0" xfId="66" applyNumberFormat="1"/>
  </cellXfs>
  <cellStyles count="93">
    <cellStyle name=" 1" xfId="1"/>
    <cellStyle name=" 1 2" xfId="2"/>
    <cellStyle name=" 1 2 2" xfId="68"/>
    <cellStyle name=" 1 2 3" xfId="81"/>
    <cellStyle name=" 1 3" xfId="3"/>
    <cellStyle name=" 1 3 2" xfId="4"/>
    <cellStyle name=" 1 3 2 2" xfId="70"/>
    <cellStyle name=" 1 3 2 3" xfId="83"/>
    <cellStyle name=" 1 3 3" xfId="69"/>
    <cellStyle name=" 1 3 4" xfId="82"/>
    <cellStyle name=" 1 4" xfId="5"/>
    <cellStyle name=" 1 4 2" xfId="71"/>
    <cellStyle name=" 1 4 3" xfId="84"/>
    <cellStyle name="_COV 2" xfId="72"/>
    <cellStyle name="_COV_A_Nov20 2 2" xfId="67"/>
    <cellStyle name="_SUMMARY " xfId="6"/>
    <cellStyle name="0_Capex &amp; Depreciation " xfId="7"/>
    <cellStyle name="0_Pension_UTX Example_Acute Care " xfId="8"/>
    <cellStyle name="0_Quarterly " xfId="85"/>
    <cellStyle name="0_TPP.N Ver 15_Acute Care " xfId="9"/>
    <cellStyle name="0_Valuing BP " xfId="10"/>
    <cellStyle name="20% - Accent1" xfId="11" builtinId="30" customBuiltin="1"/>
    <cellStyle name="20% - Accent2" xfId="12" builtinId="34" customBuiltin="1"/>
    <cellStyle name="20% - Accent3" xfId="13" builtinId="38" customBuiltin="1"/>
    <cellStyle name="20% - Accent4" xfId="14" builtinId="42" customBuiltin="1"/>
    <cellStyle name="20% - Accent5" xfId="15" builtinId="46" customBuiltin="1"/>
    <cellStyle name="20% - Accent6" xfId="16" builtinId="50" customBuiltin="1"/>
    <cellStyle name="40% - Accent1" xfId="17" builtinId="31" customBuiltin="1"/>
    <cellStyle name="40% - Accent2" xfId="18" builtinId="35" customBuiltin="1"/>
    <cellStyle name="40% - Accent3" xfId="19" builtinId="39" customBuiltin="1"/>
    <cellStyle name="40% - Accent4" xfId="20" builtinId="43" customBuiltin="1"/>
    <cellStyle name="40% - Accent5" xfId="21" builtinId="47" customBuiltin="1"/>
    <cellStyle name="40% - Accent6" xfId="22" builtinId="51" customBuiltin="1"/>
    <cellStyle name="60% - Accent1" xfId="23" builtinId="32" customBuiltin="1"/>
    <cellStyle name="60% - Accent2" xfId="24" builtinId="36" customBuiltin="1"/>
    <cellStyle name="60% - Accent3" xfId="25" builtinId="40" customBuiltin="1"/>
    <cellStyle name="60% - Accent4" xfId="26" builtinId="44" customBuiltin="1"/>
    <cellStyle name="60% - Accent5" xfId="27" builtinId="48" customBuiltin="1"/>
    <cellStyle name="60% - Accent6" xfId="28" builtinId="52" customBuiltin="1"/>
    <cellStyle name="Accent1" xfId="29" builtinId="29" customBuiltin="1"/>
    <cellStyle name="Accent2" xfId="30" builtinId="33" customBuiltin="1"/>
    <cellStyle name="Accent3" xfId="31" builtinId="37" customBuiltin="1"/>
    <cellStyle name="Accent4" xfId="32" builtinId="41" customBuiltin="1"/>
    <cellStyle name="Accent5" xfId="33" builtinId="45" customBuiltin="1"/>
    <cellStyle name="Accent6" xfId="34" builtinId="49" customBuiltin="1"/>
    <cellStyle name="Bad" xfId="35" builtinId="27" customBuiltin="1"/>
    <cellStyle name="c_HardInc " xfId="36"/>
    <cellStyle name="Calculation" xfId="37" builtinId="22" customBuiltin="1"/>
    <cellStyle name="Check Cell" xfId="38" builtinId="23" customBuiltin="1"/>
    <cellStyle name="Comma" xfId="39" builtinId="3"/>
    <cellStyle name="Comma 2" xfId="40"/>
    <cellStyle name="Comma 2 2" xfId="74"/>
    <cellStyle name="Currency" xfId="41" builtinId="4"/>
    <cellStyle name="Currency 5 2 2" xfId="75"/>
    <cellStyle name="Explanatory Text" xfId="42" builtinId="53" customBuiltin="1"/>
    <cellStyle name="Good" xfId="43" builtinId="26" customBuiltin="1"/>
    <cellStyle name="Heading 1" xfId="44" builtinId="16" customBuiltin="1"/>
    <cellStyle name="Heading 2" xfId="45" builtinId="17" customBuiltin="1"/>
    <cellStyle name="Heading 3" xfId="46" builtinId="18" customBuiltin="1"/>
    <cellStyle name="Heading 4" xfId="47" builtinId="19" customBuiltin="1"/>
    <cellStyle name="Input" xfId="48" builtinId="20" customBuiltin="1"/>
    <cellStyle name="Linked Cell" xfId="49" builtinId="24" customBuiltin="1"/>
    <cellStyle name="Neutral" xfId="50" builtinId="28" customBuiltin="1"/>
    <cellStyle name="Normal" xfId="0" builtinId="0"/>
    <cellStyle name="Normal 1" xfId="66"/>
    <cellStyle name="Normal 12" xfId="88"/>
    <cellStyle name="Normal 2" xfId="92"/>
    <cellStyle name="Normal 2 2" xfId="76"/>
    <cellStyle name="Normal 29" xfId="90"/>
    <cellStyle name="Normal 3 2 2" xfId="78"/>
    <cellStyle name="Normal 3 3" xfId="77"/>
    <cellStyle name="Normal 31" xfId="89"/>
    <cellStyle name="Normal 6 2" xfId="79"/>
    <cellStyle name="Normal 6 2 2" xfId="87"/>
    <cellStyle name="Normal 7 2" xfId="86"/>
    <cellStyle name="Normal 9" xfId="65"/>
    <cellStyle name="Normal_bec" xfId="51"/>
    <cellStyle name="Normal_BS" xfId="52"/>
    <cellStyle name="Normal_CYTC" xfId="53"/>
    <cellStyle name="Normal_DisclaimerSheet Samples" xfId="91"/>
    <cellStyle name="Normal_HOLXcurrent" xfId="54"/>
    <cellStyle name="Note" xfId="55" builtinId="10" customBuiltin="1"/>
    <cellStyle name="Output" xfId="56" builtinId="21" customBuiltin="1"/>
    <cellStyle name="p " xfId="57"/>
    <cellStyle name="Percent" xfId="58" builtinId="5"/>
    <cellStyle name="RRSInstruction" xfId="73"/>
    <cellStyle name="RRSInstruction 2 2" xfId="80"/>
    <cellStyle name="s_HardInc " xfId="59"/>
    <cellStyle name="s_Valuation " xfId="60"/>
    <cellStyle name="ssp " xfId="61"/>
    <cellStyle name="Title" xfId="62" builtinId="15" customBuiltin="1"/>
    <cellStyle name="Total" xfId="63" builtinId="25" customBuiltin="1"/>
    <cellStyle name="Warning Text" xfId="64"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DBE7ED"/>
      <color rgb="FFC6D9E2"/>
      <color rgb="FF238B45"/>
      <color rgb="FF006699"/>
      <color rgb="FF137CB1"/>
      <color rgb="FF0073B1"/>
      <color rgb="FF2270AB"/>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externalLinks/externalLink2.xml" Type="http://schemas.openxmlformats.org/officeDocument/2006/relationships/externalLink"/>
<Relationship Id="rId15" Target="externalLinks/externalLink3.xml" Type="http://schemas.openxmlformats.org/officeDocument/2006/relationships/externalLink"/>
<Relationship Id="rId16" Target="externalLinks/externalLink4.xml" Type="http://schemas.openxmlformats.org/officeDocument/2006/relationships/externalLink"/>
<Relationship Id="rId17" Target="externalLinks/externalLink5.xml" Type="http://schemas.openxmlformats.org/officeDocument/2006/relationships/externalLink"/>
<Relationship Id="rId18" Target="externalLinks/externalLink6.xml" Type="http://schemas.openxmlformats.org/officeDocument/2006/relationships/externalLink"/>
<Relationship Id="rId19" Target="externalLinks/externalLink7.xml" Type="http://schemas.openxmlformats.org/officeDocument/2006/relationships/externalLink"/>
<Relationship Id="rId2" Target="worksheets/sheet2.xml" Type="http://schemas.openxmlformats.org/officeDocument/2006/relationships/worksheet"/>
<Relationship Id="rId20" Target="externalLinks/externalLink8.xml" Type="http://schemas.openxmlformats.org/officeDocument/2006/relationships/externalLink"/>
<Relationship Id="rId21" Target="externalLinks/externalLink9.xml" Type="http://schemas.openxmlformats.org/officeDocument/2006/relationships/externalLink"/>
<Relationship Id="rId22" Target="externalLinks/externalLink10.xml" Type="http://schemas.openxmlformats.org/officeDocument/2006/relationships/externalLink"/>
<Relationship Id="rId23" Target="externalLinks/externalLink11.xml" Type="http://schemas.openxmlformats.org/officeDocument/2006/relationships/externalLink"/>
<Relationship Id="rId24" Target="externalLinks/externalLink12.xml" Type="http://schemas.openxmlformats.org/officeDocument/2006/relationships/externalLink"/>
<Relationship Id="rId25" Target="externalLinks/externalLink13.xml" Type="http://schemas.openxmlformats.org/officeDocument/2006/relationships/externalLink"/>
<Relationship Id="rId26" Target="externalLinks/externalLink14.xml" Type="http://schemas.openxmlformats.org/officeDocument/2006/relationships/externalLink"/>
<Relationship Id="rId27" Target="externalLinks/externalLink15.xml" Type="http://schemas.openxmlformats.org/officeDocument/2006/relationships/externalLink"/>
<Relationship Id="rId28" Target="externalLinks/externalLink16.xml" Type="http://schemas.openxmlformats.org/officeDocument/2006/relationships/externalLink"/>
<Relationship Id="rId29" Target="externalLinks/externalLink17.xml" Type="http://schemas.openxmlformats.org/officeDocument/2006/relationships/externalLink"/>
<Relationship Id="rId3" Target="worksheets/sheet3.xml" Type="http://schemas.openxmlformats.org/officeDocument/2006/relationships/worksheet"/>
<Relationship Id="rId30" Target="externalLinks/externalLink18.xml" Type="http://schemas.openxmlformats.org/officeDocument/2006/relationships/externalLink"/>
<Relationship Id="rId31" Target="externalLinks/externalLink19.xml" Type="http://schemas.openxmlformats.org/officeDocument/2006/relationships/externalLink"/>
<Relationship Id="rId32" Target="externalLinks/externalLink20.xml" Type="http://schemas.openxmlformats.org/officeDocument/2006/relationships/externalLink"/>
<Relationship Id="rId33" Target="externalLinks/externalLink21.xml" Type="http://schemas.openxmlformats.org/officeDocument/2006/relationships/externalLink"/>
<Relationship Id="rId34" Target="externalLinks/externalLink22.xml" Type="http://schemas.openxmlformats.org/officeDocument/2006/relationships/externalLink"/>
<Relationship Id="rId35" Target="externalLinks/externalLink23.xml" Type="http://schemas.openxmlformats.org/officeDocument/2006/relationships/externalLink"/>
<Relationship Id="rId36" Target="externalLinks/externalLink24.xml" Type="http://schemas.openxmlformats.org/officeDocument/2006/relationships/externalLink"/>
<Relationship Id="rId37" Target="externalLinks/externalLink25.xml" Type="http://schemas.openxmlformats.org/officeDocument/2006/relationships/externalLink"/>
<Relationship Id="rId38" Target="externalLinks/externalLink26.xml" Type="http://schemas.openxmlformats.org/officeDocument/2006/relationships/externalLink"/>
<Relationship Id="rId39" Target="externalLinks/externalLink27.xml" Type="http://schemas.openxmlformats.org/officeDocument/2006/relationships/externalLink"/>
<Relationship Id="rId4" Target="worksheets/sheet4.xml" Type="http://schemas.openxmlformats.org/officeDocument/2006/relationships/worksheet"/>
<Relationship Id="rId40" Target="externalLinks/externalLink28.xml" Type="http://schemas.openxmlformats.org/officeDocument/2006/relationships/externalLink"/>
<Relationship Id="rId41" Target="externalLinks/externalLink29.xml" Type="http://schemas.openxmlformats.org/officeDocument/2006/relationships/externalLink"/>
<Relationship Id="rId42" Target="externalLinks/externalLink30.xml" Type="http://schemas.openxmlformats.org/officeDocument/2006/relationships/externalLink"/>
<Relationship Id="rId43" Target="externalLinks/externalLink31.xml" Type="http://schemas.openxmlformats.org/officeDocument/2006/relationships/externalLink"/>
<Relationship Id="rId44" Target="externalLinks/externalLink32.xml" Type="http://schemas.openxmlformats.org/officeDocument/2006/relationships/externalLink"/>
<Relationship Id="rId45" Target="externalLinks/externalLink33.xml" Type="http://schemas.openxmlformats.org/officeDocument/2006/relationships/externalLink"/>
<Relationship Id="rId46" Target="externalLinks/externalLink34.xml" Type="http://schemas.openxmlformats.org/officeDocument/2006/relationships/externalLink"/>
<Relationship Id="rId47" Target="externalLinks/externalLink35.xml" Type="http://schemas.openxmlformats.org/officeDocument/2006/relationships/externalLink"/>
<Relationship Id="rId48" Target="externalLinks/externalLink36.xml" Type="http://schemas.openxmlformats.org/officeDocument/2006/relationships/externalLink"/>
<Relationship Id="rId49" Target="externalLinks/externalLink37.xml" Type="http://schemas.openxmlformats.org/officeDocument/2006/relationships/externalLink"/>
<Relationship Id="rId5" Target="worksheets/sheet5.xml" Type="http://schemas.openxmlformats.org/officeDocument/2006/relationships/worksheet"/>
<Relationship Id="rId50" Target="externalLinks/externalLink38.xml" Type="http://schemas.openxmlformats.org/officeDocument/2006/relationships/externalLink"/>
<Relationship Id="rId51" Target="externalLinks/externalLink39.xml" Type="http://schemas.openxmlformats.org/officeDocument/2006/relationships/externalLink"/>
<Relationship Id="rId52" Target="externalLinks/externalLink40.xml" Type="http://schemas.openxmlformats.org/officeDocument/2006/relationships/externalLink"/>
<Relationship Id="rId53" Target="externalLinks/externalLink41.xml" Type="http://schemas.openxmlformats.org/officeDocument/2006/relationships/externalLink"/>
<Relationship Id="rId54" Target="externalLinks/externalLink42.xml" Type="http://schemas.openxmlformats.org/officeDocument/2006/relationships/externalLink"/>
<Relationship Id="rId55" Target="externalLinks/externalLink43.xml" Type="http://schemas.openxmlformats.org/officeDocument/2006/relationships/externalLink"/>
<Relationship Id="rId56" Target="externalLinks/externalLink44.xml" Type="http://schemas.openxmlformats.org/officeDocument/2006/relationships/externalLink"/>
<Relationship Id="rId57" Target="externalLinks/externalLink45.xml" Type="http://schemas.openxmlformats.org/officeDocument/2006/relationships/externalLink"/>
<Relationship Id="rId58" Target="externalLinks/externalLink46.xml" Type="http://schemas.openxmlformats.org/officeDocument/2006/relationships/externalLink"/>
<Relationship Id="rId59" Target="externalLinks/externalLink47.xml" Type="http://schemas.openxmlformats.org/officeDocument/2006/relationships/externalLink"/>
<Relationship Id="rId6" Target="worksheets/sheet6.xml" Type="http://schemas.openxmlformats.org/officeDocument/2006/relationships/worksheet"/>
<Relationship Id="rId60" Target="externalLinks/externalLink48.xml" Type="http://schemas.openxmlformats.org/officeDocument/2006/relationships/externalLink"/>
<Relationship Id="rId61" Target="externalLinks/externalLink49.xml" Type="http://schemas.openxmlformats.org/officeDocument/2006/relationships/externalLink"/>
<Relationship Id="rId62" Target="externalLinks/externalLink50.xml" Type="http://schemas.openxmlformats.org/officeDocument/2006/relationships/externalLink"/>
<Relationship Id="rId63" Target="externalLinks/externalLink51.xml" Type="http://schemas.openxmlformats.org/officeDocument/2006/relationships/externalLink"/>
<Relationship Id="rId64" Target="externalLinks/externalLink52.xml" Type="http://schemas.openxmlformats.org/officeDocument/2006/relationships/externalLink"/>
<Relationship Id="rId65" Target="externalLinks/externalLink53.xml" Type="http://schemas.openxmlformats.org/officeDocument/2006/relationships/externalLink"/>
<Relationship Id="rId66" Target="externalLinks/externalLink54.xml" Type="http://schemas.openxmlformats.org/officeDocument/2006/relationships/externalLink"/>
<Relationship Id="rId67" Target="externalLinks/externalLink55.xml" Type="http://schemas.openxmlformats.org/officeDocument/2006/relationships/externalLink"/>
<Relationship Id="rId68" Target="externalLinks/externalLink56.xml" Type="http://schemas.openxmlformats.org/officeDocument/2006/relationships/externalLink"/>
<Relationship Id="rId69" Target="externalLinks/externalLink57.xml" Type="http://schemas.openxmlformats.org/officeDocument/2006/relationships/externalLink"/>
<Relationship Id="rId7" Target="worksheets/sheet7.xml" Type="http://schemas.openxmlformats.org/officeDocument/2006/relationships/worksheet"/>
<Relationship Id="rId70" Target="externalLinks/externalLink58.xml" Type="http://schemas.openxmlformats.org/officeDocument/2006/relationships/externalLink"/>
<Relationship Id="rId71" Target="externalLinks/externalLink59.xml" Type="http://schemas.openxmlformats.org/officeDocument/2006/relationships/externalLink"/>
<Relationship Id="rId72" Target="externalLinks/externalLink60.xml" Type="http://schemas.openxmlformats.org/officeDocument/2006/relationships/externalLink"/>
<Relationship Id="rId73" Target="externalLinks/externalLink61.xml" Type="http://schemas.openxmlformats.org/officeDocument/2006/relationships/externalLink"/>
<Relationship Id="rId74" Target="externalLinks/externalLink62.xml" Type="http://schemas.openxmlformats.org/officeDocument/2006/relationships/externalLink"/>
<Relationship Id="rId75" Target="externalLinks/externalLink63.xml" Type="http://schemas.openxmlformats.org/officeDocument/2006/relationships/externalLink"/>
<Relationship Id="rId76" Target="externalLinks/externalLink64.xml" Type="http://schemas.openxmlformats.org/officeDocument/2006/relationships/externalLink"/>
<Relationship Id="rId77" Target="externalLinks/externalLink65.xml" Type="http://schemas.openxmlformats.org/officeDocument/2006/relationships/externalLink"/>
<Relationship Id="rId78" Target="externalLinks/externalLink66.xml" Type="http://schemas.openxmlformats.org/officeDocument/2006/relationships/externalLink"/>
<Relationship Id="rId79" Target="externalLinks/externalLink67.xml" Type="http://schemas.openxmlformats.org/officeDocument/2006/relationships/externalLink"/>
<Relationship Id="rId8" Target="worksheets/sheet8.xml" Type="http://schemas.openxmlformats.org/officeDocument/2006/relationships/worksheet"/>
<Relationship Id="rId80" Target="externalLinks/externalLink68.xml" Type="http://schemas.openxmlformats.org/officeDocument/2006/relationships/externalLink"/>
<Relationship Id="rId81" Target="externalLinks/externalLink69.xml" Type="http://schemas.openxmlformats.org/officeDocument/2006/relationships/externalLink"/>
<Relationship Id="rId82" Target="externalLinks/externalLink70.xml" Type="http://schemas.openxmlformats.org/officeDocument/2006/relationships/externalLink"/>
<Relationship Id="rId83" Target="externalLinks/externalLink71.xml" Type="http://schemas.openxmlformats.org/officeDocument/2006/relationships/externalLink"/>
<Relationship Id="rId84" Target="externalLinks/externalLink72.xml" Type="http://schemas.openxmlformats.org/officeDocument/2006/relationships/externalLink"/>
<Relationship Id="rId85" Target="externalLinks/externalLink73.xml" Type="http://schemas.openxmlformats.org/officeDocument/2006/relationships/externalLink"/>
<Relationship Id="rId86" Target="externalLinks/externalLink74.xml" Type="http://schemas.openxmlformats.org/officeDocument/2006/relationships/externalLink"/>
<Relationship Id="rId87" Target="externalLinks/externalLink75.xml" Type="http://schemas.openxmlformats.org/officeDocument/2006/relationships/externalLink"/>
<Relationship Id="rId88" Target="externalLinks/externalLink76.xml" Type="http://schemas.openxmlformats.org/officeDocument/2006/relationships/externalLink"/>
<Relationship Id="rId89" Target="externalLinks/externalLink77.xml" Type="http://schemas.openxmlformats.org/officeDocument/2006/relationships/externalLink"/>
<Relationship Id="rId9" Target="worksheets/sheet9.xml" Type="http://schemas.openxmlformats.org/officeDocument/2006/relationships/worksheet"/>
<Relationship Id="rId90" Target="theme/theme1.xml" Type="http://schemas.openxmlformats.org/officeDocument/2006/relationships/theme"/>
<Relationship Id="rId91" Target="styles.xml" Type="http://schemas.openxmlformats.org/officeDocument/2006/relationships/styles"/>
<Relationship Id="rId92" Target="sharedStrings.xml" Type="http://schemas.openxmlformats.org/officeDocument/2006/relationships/sharedStrings"/>
<Relationship Id="rId93" Target="calcChain.xml" Type="http://schemas.openxmlformats.org/officeDocument/2006/relationships/calcChain"/>
<Relationship Id="rId94" Target="../customXml/item1.xml" Type="http://schemas.openxmlformats.org/officeDocument/2006/relationships/customXml"/>
<Relationship Id="rId95" Target="../customXml/item2.xml" Type="http://schemas.openxmlformats.org/officeDocument/2006/relationships/customXml"/>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7</xdr:col>
      <xdr:colOff>390525</xdr:colOff>
      <xdr:row>190</xdr:row>
      <xdr:rowOff>104775</xdr:rowOff>
    </xdr:to>
    <xdr:pic>
      <xdr:nvPicPr>
        <xdr:cNvPr id="134145" name="Picture 1" descr="C:\Users\wachter\AppData\Local\Temp\MercuryPriceRatingHistoryChart\PDCO.O_2018_03_01_16_40_2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6698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Documents%20and%20Settings/rockefel/Local%20Settings/Temporary%20Internet%20Files/OLK56/USERS/LADIWALA/VALTN/BBL/BIO-VL3.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172.16.68.11/Archimedes/TEMP/Regions%20Fin%20Stmts%20THE%20GOAL%20HC.xls"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lewis/Coverage/Covidien%20(COV)/COV_valuation.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lewis/Coverage/Covidien%20(COV)/Exhibit%20Archive/M&amp;A_Demo.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https://ny.matrix.ms.com/NA/NY/LIB/ER/HEALTH/DVeal/KTD/XRAY/XRAY%20initiation%20charts.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MSAD/ROOT/NA/NY/LIB/ER/HEALTH/RubinJ/Company/Pfe/PFEwork.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file://///nydfs1/root/hayesme/Models/Models/Basic%20Models/casesmodel6.xls" TargetMode="External" Type="http://schemas.openxmlformats.org/officeDocument/2006/relationships/externalLinkPath"/>
</Relationships>

</file>

<file path=xl/externalLinks/_rels/externalLink11.xml.rels><?xml version="1.0" encoding="UTF-8" standalone="yes"?>
<Relationships xmlns="http://schemas.openxmlformats.org/package/2006/relationships">
<Relationship Id="rId1" Target="file://///nydfs1/root/mard/Yeshaya/BMC/Project%20Explorer/Peary/MM%20Model%2010-01-01.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file://///nydfs1/root/health/Smith-Marshall/Project%20Bermuda/Models%20for%20Proj%20Bermuda/Project%20Bermuda%20Model%20-%2008-23-00%20ver4.xls" TargetMode="External" Type="http://schemas.openxmlformats.org/officeDocument/2006/relationships/externalLinkPath"/>
</Relationships>

</file>

<file path=xl/externalLinks/_rels/externalLink13.xml.rels><?xml version="1.0" encoding="UTF-8" standalone="yes"?>
<Relationships xmlns="http://schemas.openxmlformats.org/package/2006/relationships">
<Relationship Id="rId1" Target="file://///nydfs1/root/health/COMPANY/ABT/aqua/Gray%20April%202003/Gray%20Model%205-2-03.xls" TargetMode="External" Type="http://schemas.openxmlformats.org/officeDocument/2006/relationships/externalLinkPath"/>
</Relationships>

</file>

<file path=xl/externalLinks/_rels/externalLink14.xml.rels><?xml version="1.0" encoding="UTF-8" standalone="yes"?>
<Relationships xmlns="http://schemas.openxmlformats.org/package/2006/relationships">
<Relationship Id="rId1" Target="EU/LN/lib/erpublish/ln/Fidelity/ModelwareRepository/Production/NOVN.VX.xls" TargetMode="External" Type="http://schemas.microsoft.com/office/2006/relationships/xlExternalLinkPath/xlAlternateStartup"/>
</Relationships>

</file>

<file path=xl/externalLinks/_rels/externalLink15.xml.rels><?xml version="1.0" encoding="UTF-8" standalone="yes"?>
<Relationships xmlns="http://schemas.openxmlformats.org/package/2006/relationships">
<Relationship Id="rId1" Target="file://///nydfs1/root/Taylor%20Smith/BMC/Symphony/Model/Chopin%20Model%209-7-03%20v2%20(check).xls"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file://///nydfs1/root/mard/Chiu/MI3/Model/Merger3_23.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file://///nydfs1/root/mard/Lewinsohn/PlacerDome/Models/Placer_Barrick_model_version_v5.xls" TargetMode="External" Type="http://schemas.openxmlformats.org/officeDocument/2006/relationships/externalLinkPath"/>
</Relationships>

</file>

<file path=xl/externalLinks/_rels/externalLink18.xml.rels><?xml version="1.0" encoding="UTF-8" standalone="yes"?>
<Relationships xmlns="http://schemas.openxmlformats.org/package/2006/relationships">
<Relationship Id="rId1" Target="file://///nydfs1/root/mard/smithma/Santa%20Fe/Project%20Superbowl/Financials/Model042301v1.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file://///nydfs1/root/health/COMPANY/ABT/April%202002/Minimerger_04.17.02%20.xls" TargetMode="External" Type="http://schemas.openxmlformats.org/officeDocument/2006/relationships/externalLinkPath"/>
</Relationships>

</file>

<file path=xl/externalLinks/_rels/externalLink20.xml.rels><?xml version="1.0" encoding="UTF-8" standalone="yes"?>
<Relationships xmlns="http://schemas.openxmlformats.org/package/2006/relationships">
<Relationship Id="rId1" Target="file://///nydfs1/root/nr/CHEMICAL/COMPANY/ELM/dexmini1.xls" TargetMode="External" Type="http://schemas.openxmlformats.org/officeDocument/2006/relationships/externalLinkPath"/>
</Relationships>

</file>

<file path=xl/externalLinks/_rels/externalLink21.xml.rels><?xml version="1.0" encoding="UTF-8" standalone="yes"?>
<Relationships xmlns="http://schemas.openxmlformats.org/package/2006/relationships">
<Relationship Id="rId1" Target="file://///nydfs1/root/mard/Rockwell/Amarillo/Model/AM0909.xls" TargetMode="External" Type="http://schemas.openxmlformats.org/officeDocument/2006/relationships/externalLinkPath"/>
</Relationships>

</file>

<file path=xl/externalLinks/_rels/externalLink22.xml.rels><?xml version="1.0" encoding="UTF-8" standalone="yes"?>
<Relationships xmlns="http://schemas.openxmlformats.org/package/2006/relationships">
<Relationship Id="rId1" Target="file://///nydfs1/root/Swomp/SEPR2/Sepracor/Dura%20Mini-Merger%20revised%20by%20MAS.xls" TargetMode="External" Type="http://schemas.openxmlformats.org/officeDocument/2006/relationships/externalLinkPath"/>
</Relationships>

</file>

<file path=xl/externalLinks/_rels/externalLink23.xml.rels><?xml version="1.0" encoding="UTF-8" standalone="yes"?>
<Relationships xmlns="http://schemas.openxmlformats.org/package/2006/relationships">
<Relationship Id="rId1" Target="https://ny.matrix.ms.com/Users/clerico/AppData/Local/Microsoft/Windows/Temporary%20Internet%20Files/Content.Outlook/HMBY9NHL/ACT150410-AGN.xlsm" TargetMode="External" Type="http://schemas.openxmlformats.org/officeDocument/2006/relationships/externalLinkPath"/>
</Relationships>

</file>

<file path=xl/externalLinks/_rels/externalLink24.xml.rels><?xml version="1.0" encoding="UTF-8" standalone="yes"?>
<Relationships xmlns="http://schemas.openxmlformats.org/package/2006/relationships">
<Relationship Id="rId1" Target="file://///nydfs1/root/nr/CHEMICAL/STDEXHIB/Comps/2001%20Comps/jessica/Iridium/Models/irval4.xls" TargetMode="External" Type="http://schemas.openxmlformats.org/officeDocument/2006/relationships/externalLinkPath"/>
</Relationships>

</file>

<file path=xl/externalLinks/_rels/externalLink25.xml.rels><?xml version="1.0" encoding="UTF-8" standalone="yes"?>
<Relationships xmlns="http://schemas.openxmlformats.org/package/2006/relationships">
<Relationship Id="rId1" Target="file://///nydfs1/root/lib/ibd/MARD/MARD/Starkand/Copper/Model/Final/01-20-04.xls" TargetMode="External" Type="http://schemas.openxmlformats.org/officeDocument/2006/relationships/externalLinkPath"/>
</Relationships>

</file>

<file path=xl/externalLinks/_rels/externalLink26.xml.rels><?xml version="1.0" encoding="UTF-8" standalone="yes"?>
<Relationships xmlns="http://schemas.openxmlformats.org/package/2006/relationships">
<Relationship Id="rId1" Target="HEALTH/Tools/Companies/XRAY/Models/XRAY_Merger_Model_May0516.xlsm" TargetMode="External" Type="http://schemas.microsoft.com/office/2006/relationships/xlExternalLinkPath/xlAlternateStartup"/>
</Relationships>

</file>

<file path=xl/externalLinks/_rels/externalLink27.xml.rels><?xml version="1.0" encoding="UTF-8" standalone="yes"?>
<Relationships xmlns="http://schemas.openxmlformats.org/package/2006/relationships">
<Relationship Id="rId1" Target="file://///nydfs1/root/mard/Yeshaya/Project%20Merlot/Models/Merlot%20Operating%20Model%2012_6.xls" TargetMode="External" Type="http://schemas.openxmlformats.org/officeDocument/2006/relationships/externalLinkPath"/>
</Relationships>

</file>

<file path=xl/externalLinks/_rels/externalLink28.xml.rels><?xml version="1.0" encoding="UTF-8" standalone="yes"?>
<Relationships xmlns="http://schemas.openxmlformats.org/package/2006/relationships">
<Relationship Id="rId1" Target="file://///nydfs1/root/health/Biotech/Company/Millennium/Presentations/profiles%2004-08-02.xls" TargetMode="External" Type="http://schemas.openxmlformats.org/officeDocument/2006/relationships/externalLinkPath"/>
</Relationships>

</file>

<file path=xl/externalLinks/_rels/externalLink29.xml.rels><?xml version="1.0" encoding="UTF-8" standalone="yes"?>
<Relationships xmlns="http://schemas.openxmlformats.org/package/2006/relationships">
<Relationship Id="rId1" Target="file:///Q:/Fidelity/Inbox/UPS.N.xls" TargetMode="External" Type="http://schemas.openxmlformats.org/officeDocument/2006/relationships/externalLinkPath"/>
</Relationships>

</file>

<file path=xl/externalLinks/_rels/externalLink30.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file://///nydfs1/root/mard/Yeshaya/BMC/Project%20Greek/MM%20Model%2012-5-01A.xls" TargetMode="External" Type="http://schemas.openxmlformats.org/officeDocument/2006/relationships/externalLinkPath"/>
</Relationships>

</file>

<file path=xl/externalLinks/_rels/externalLink32.xml.rels><?xml version="1.0" encoding="UTF-8" standalone="yes"?>
<Relationships xmlns="http://schemas.openxmlformats.org/package/2006/relationships">
<Relationship Id="rId1" Target="file://///nydfs1/root/mard/ZLewis/Training%20Materials/M&amp;A%20Training/Standard%20Models/LBO_Simple.xls" TargetMode="External" Type="http://schemas.openxmlformats.org/officeDocument/2006/relationships/externalLinkPath"/>
</Relationships>

</file>

<file path=xl/externalLinks/_rels/externalLink33.xml.rels><?xml version="1.0" encoding="UTF-8" standalone="yes"?>
<Relationships xmlns="http://schemas.openxmlformats.org/package/2006/relationships">
<Relationship Id="rId1" Target="L" TargetMode="External" Type="http://schemas.microsoft.com/office/2006/relationships/xlExternalLinkPath/xlPathMissing"/>
</Relationships>

</file>

<file path=xl/externalLinks/_rels/externalLink34.xml.rels><?xml version="1.0" encoding="UTF-8" standalone="yes"?>
<Relationships xmlns="http://schemas.openxmlformats.org/package/2006/relationships">
<Relationship Id="rId1" Target="file://///nydfs1/root/nr/CHEMICAL/COMPANY/Tosco/12-3-98/lyodcf.xls" TargetMode="External" Type="http://schemas.openxmlformats.org/officeDocument/2006/relationships/externalLinkPath"/>
</Relationships>

</file>

<file path=xl/externalLinks/_rels/externalLink35.xml.rels><?xml version="1.0" encoding="UTF-8" standalone="yes"?>
<Relationships xmlns="http://schemas.openxmlformats.org/package/2006/relationships">
<Relationship Id="rId1" Target="file://///nydfs1/root/nr/CHEMICAL/Swirsky/Models/DNAMIC97.XLS" TargetMode="External" Type="http://schemas.openxmlformats.org/officeDocument/2006/relationships/externalLinkPath"/>
</Relationships>

</file>

<file path=xl/externalLinks/_rels/externalLink36.xml.rels><?xml version="1.0" encoding="UTF-8" standalone="yes"?>
<Relationships xmlns="http://schemas.openxmlformats.org/package/2006/relationships">
<Relationship Id="rId1" Target="insuranc/nonlife/MODELS/pgr.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PHARM/XLDATA/AstraZeneca/azn.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Documents%20and%20Settings/bosesub/Local%20Settings/Temporary%20Internet%20Files/OLKAD4/TMO.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file://///nydfs1/root/mard/smithma/Santa%20Fe/Project%20Superbowl/Financials/Model042601v2.xls" TargetMode="External" Type="http://schemas.openxmlformats.org/officeDocument/2006/relationships/externalLinkPath"/>
</Relationships>

</file>

<file path=xl/externalLinks/_rels/externalLink40.xml.rels><?xml version="1.0" encoding="UTF-8" standalone="yes"?>
<Relationships xmlns="http://schemas.openxmlformats.org/package/2006/relationships">
<Relationship Id="rId1" Target="file://///nydfs1/root/health/Smith-Marshall/Project%20Bermuda/Models%20for%20Proj%20Bermuda/Project%20Revolution%20Excel%20Files/VALMATRIX.xls" TargetMode="External" Type="http://schemas.openxmlformats.org/officeDocument/2006/relationships/externalLinkPath"/>
</Relationships>

</file>

<file path=xl/externalLinks/_rels/externalLink41.xml.rels><?xml version="1.0" encoding="UTF-8" standalone="yes"?>
<Relationships xmlns="http://schemas.openxmlformats.org/package/2006/relationships">
<Relationship Id="rId1" Target="file://///nydfs1/root/mard/smithma/General/Models/MJS%20New%20Look%20Merger%20Model.xls" TargetMode="External" Type="http://schemas.openxmlformats.org/officeDocument/2006/relationships/externalLinkPath"/>
</Relationships>

</file>

<file path=xl/externalLinks/_rels/externalLink42.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43.xml.rels><?xml version="1.0" encoding="UTF-8" standalone="yes"?>
<Relationships xmlns="http://schemas.openxmlformats.org/package/2006/relationships">
<Relationship Id="rId1" Target="file://///nydfs1/root/Comps/3q99/cro%203Q99%20being%20updated.xls" TargetMode="External" Type="http://schemas.openxmlformats.org/officeDocument/2006/relationships/externalLinkPath"/>
</Relationships>

</file>

<file path=xl/externalLinks/_rels/externalLink44.xml.rels><?xml version="1.0" encoding="UTF-8" standalone="yes"?>
<Relationships xmlns="http://schemas.openxmlformats.org/package/2006/relationships">
<Relationship Id="rId1" Target="file://///nydfs1/root/nr/CHEMICAL/Swirsky/Models/saphire.XLS"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file://///nydfs1/root/mard/Rockwell/Mary/Model/UberStar/upward9.xls" TargetMode="External" Type="http://schemas.openxmlformats.org/officeDocument/2006/relationships/externalLinkPath"/>
</Relationships>

</file>

<file path=xl/externalLinks/_rels/externalLink46.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47.xml.rels><?xml version="1.0" encoding="UTF-8" standalone="yes"?>
<Relationships xmlns="http://schemas.openxmlformats.org/package/2006/relationships">
<Relationship Id="rId1" Target="file://///nydfs1/root/mard/Yeshaya/Project%20Merlot/Models/Merlot%20Operating%20Model%2011_28.xls" TargetMode="External" Type="http://schemas.openxmlformats.org/officeDocument/2006/relationships/externalLinkPath"/>
</Relationships>

</file>

<file path=xl/externalLinks/_rels/externalLink48.xml.rels><?xml version="1.0" encoding="UTF-8" standalone="yes"?>
<Relationships xmlns="http://schemas.openxmlformats.org/package/2006/relationships">
<Relationship Id="rId1" Target="file://///nydfs1/root/Biotech/Company/bioMerieux/March2003/Crimson/Project%20Rainbow%20Preliminary%20Crimson%20Valuation_3-14-03.xls" TargetMode="External" Type="http://schemas.openxmlformats.org/officeDocument/2006/relationships/externalLinkPath"/>
</Relationships>

</file>

<file path=xl/externalLinks/_rels/externalLink49.xml.rels><?xml version="1.0" encoding="UTF-8" standalone="yes"?>
<Relationships xmlns="http://schemas.openxmlformats.org/package/2006/relationships">
<Relationship Id="rId1" Target="file://///nydfs1/root/mard/vmignone/King/Queen%20Divestiture/King%20Queen%20Divestiture2.xls" TargetMode="External" Type="http://schemas.openxmlformats.org/officeDocument/2006/relationships/externalLinkPath"/>
</Relationships>

</file>

<file path=xl/externalLinks/_rels/externalLink50.xml.rels><?xml version="1.0" encoding="UTF-8" standalone="yes"?>
<Relationships xmlns="http://schemas.openxmlformats.org/package/2006/relationships">
<Relationship Id="rId1" Target="file://///nydfs1/root/MARD/Lewinsohn/ABG/Models/Minimerger082902.xls" TargetMode="External" Type="http://schemas.openxmlformats.org/officeDocument/2006/relationships/externalLinkPath"/>
</Relationships>

</file>

<file path=xl/externalLinks/_rels/externalLink51.xml.rels><?xml version="1.0" encoding="UTF-8" standalone="yes"?>
<Relationships xmlns="http://schemas.openxmlformats.org/package/2006/relationships">
<Relationship Id="rId1" Target="file://///nydfs1/root/mard/Doshin/Mosaic/Models/mini-merger_ADI_10.1a.xls" TargetMode="External" Type="http://schemas.openxmlformats.org/officeDocument/2006/relationships/externalLinkPath"/>
</Relationships>

</file>

<file path=xl/externalLinks/_rels/externalLink52.xml.rels><?xml version="1.0" encoding="UTF-8" standalone="yes"?>
<Relationships xmlns="http://schemas.openxmlformats.org/package/2006/relationships">
<Relationship Id="rId1" Target="file://///nydfs1/root/mard/mazer/Shadow/Models/Shadow%20Quick%20LBO2.xls" TargetMode="External" Type="http://schemas.openxmlformats.org/officeDocument/2006/relationships/externalLinkPath"/>
</Relationships>

</file>

<file path=xl/externalLinks/_rels/externalLink53.xml.rels><?xml version="1.0" encoding="UTF-8" standalone="yes"?>
<Relationships xmlns="http://schemas.openxmlformats.org/package/2006/relationships">
<Relationship Id="rId1" Target="file://///nydfs1/root/pdg/Excel/MODELS/DCF/PDGDCF1.XLS" TargetMode="External" Type="http://schemas.openxmlformats.org/officeDocument/2006/relationships/externalLinkPath"/>
</Relationships>

</file>

<file path=xl/externalLinks/_rels/externalLink54.xml.rels><?xml version="1.0" encoding="UTF-8" standalone="yes"?>
<Relationships xmlns="http://schemas.openxmlformats.org/package/2006/relationships">
<Relationship Id="rId1" Target="file://///nydfs1/root/health/Modisettj/traiing/Paperboy/Paperboy%20model.xls" TargetMode="External" Type="http://schemas.openxmlformats.org/officeDocument/2006/relationships/externalLinkPath"/>
</Relationships>

</file>

<file path=xl/externalLinks/_rels/externalLink55.xml.rels><?xml version="1.0" encoding="UTF-8" standalone="yes"?>
<Relationships xmlns="http://schemas.openxmlformats.org/package/2006/relationships">
<Relationship Id="rId1" Target="file://///nydfs1/root/edsona/UPWARD/VALUATION/Logistics%20Valuation%20Model.xls" TargetMode="External" Type="http://schemas.openxmlformats.org/officeDocument/2006/relationships/externalLinkPath"/>
</Relationships>

</file>

<file path=xl/externalLinks/_rels/externalLink56.xml.rels><?xml version="1.0" encoding="UTF-8" standalone="yes"?>
<Relationships xmlns="http://schemas.openxmlformats.org/package/2006/relationships">
<Relationship Id="rId1" Target="file://///nydfs1/root/TEMP/KAMAL/GIBRALTA/DCFYN26.XLS" TargetMode="External" Type="http://schemas.openxmlformats.org/officeDocument/2006/relationships/externalLinkPath"/>
</Relationships>

</file>

<file path=xl/externalLinks/_rels/externalLink57.xml.rels><?xml version="1.0" encoding="UTF-8" standalone="yes"?>
<Relationships xmlns="http://schemas.openxmlformats.org/package/2006/relationships">
<Relationship Id="rId1" Target="file:///A:/KIM/PELICAN/NON_CORE/DCF7.XLS" TargetMode="External" Type="http://schemas.openxmlformats.org/officeDocument/2006/relationships/externalLinkPath"/>
</Relationships>

</file>

<file path=xl/externalLinks/_rels/externalLink58.xml.rels><?xml version="1.0" encoding="UTF-8" standalone="yes"?>
<Relationships xmlns="http://schemas.openxmlformats.org/package/2006/relationships">
<Relationship Id="rId1" Target="file:///G:/M&amp;AHEALT/PROJECTS/CAREMATR/HIST20.XLS" TargetMode="External" Type="http://schemas.openxmlformats.org/officeDocument/2006/relationships/externalLinkPath"/>
</Relationships>

</file>

<file path=xl/externalLinks/_rels/externalLink59.xml.rels><?xml version="1.0" encoding="UTF-8" standalone="yes"?>
<Relationships xmlns="http://schemas.openxmlformats.org/package/2006/relationships">
<Relationship Id="rId1" Target="file://///nydfs1/root/KIM/NOAH/LBO_2.XLS" TargetMode="External" Type="http://schemas.openxmlformats.org/officeDocument/2006/relationships/externalLinkPath"/>
</Relationships>

</file>

<file path=xl/externalLinks/_rels/externalLink60.xml.rels><?xml version="1.0" encoding="UTF-8" standalone="yes"?>
<Relationships xmlns="http://schemas.openxmlformats.org/package/2006/relationships">
<Relationship Id="rId1" Target="file://///nydfs1/root/bowless/Vitamin/mini7.xls" TargetMode="External" Type="http://schemas.openxmlformats.org/officeDocument/2006/relationships/externalLinkPath"/>
</Relationships>

</file>

<file path=xl/externalLinks/_rels/externalLink61.xml.rels><?xml version="1.0" encoding="UTF-8" standalone="yes"?>
<Relationships xmlns="http://schemas.openxmlformats.org/package/2006/relationships">
<Relationship Id="rId1" Target="file://///nydfs1/root/KLIMCZAK/georgia/Sep98/models/TURBOMERG63.XLS" TargetMode="External" Type="http://schemas.openxmlformats.org/officeDocument/2006/relationships/externalLinkPath"/>
</Relationships>

</file>

<file path=xl/externalLinks/_rels/externalLink62.xml.rels><?xml version="1.0" encoding="UTF-8" standalone="yes"?>
<Relationships xmlns="http://schemas.openxmlformats.org/package/2006/relationships">
<Relationship Id="rId1" Target="file://///nydfs1/root/MARD/ATabaee/Alchemy/Models/Minimergers/Alchemy%20Minimerger%20-%20v23%202-27-04%20(Emerald).xls" TargetMode="External" Type="http://schemas.openxmlformats.org/officeDocument/2006/relationships/externalLinkPath"/>
</Relationships>

</file>

<file path=xl/externalLinks/_rels/externalLink63.xml.rels><?xml version="1.0" encoding="UTF-8" standalone="yes"?>
<Relationships xmlns="http://schemas.openxmlformats.org/package/2006/relationships">
<Relationship Id="rId1" Target="file://///nydfs1/root/brenner/Hitch/Model/Corwin.xls" TargetMode="External" Type="http://schemas.openxmlformats.org/officeDocument/2006/relationships/externalLinkPath"/>
</Relationships>

</file>

<file path=xl/externalLinks/_rels/externalLink64.xml.rels><?xml version="1.0" encoding="UTF-8" standalone="yes"?>
<Relationships xmlns="http://schemas.openxmlformats.org/package/2006/relationships">
<Relationship Id="rId1" Target="file://///nydfs1/root/HUI/BLUE/MODEL/BLUE36.XLS" TargetMode="External" Type="http://schemas.openxmlformats.org/officeDocument/2006/relationships/externalLinkPath"/>
</Relationships>

</file>

<file path=xl/externalLinks/_rels/externalLink65.xml.rels><?xml version="1.0" encoding="UTF-8" standalone="yes"?>
<Relationships xmlns="http://schemas.openxmlformats.org/package/2006/relationships">
<Relationship Id="rId1" Target="file://///nydfs1/root/mard/Bear/Simpsons/Simple%20Merger/Simple%20Merger%20with%20Macro112600.xls" TargetMode="External" Type="http://schemas.openxmlformats.org/officeDocument/2006/relationships/externalLinkPath"/>
</Relationships>

</file>

<file path=xl/externalLinks/_rels/externalLink66.xml.rels><?xml version="1.0" encoding="UTF-8" standalone="yes"?>
<Relationships xmlns="http://schemas.openxmlformats.org/package/2006/relationships">
<Relationship Id="rId1" Target="file://///nydfs1/root/Documents%20and%20Settings/artat/Local%20Settings/Temp/MEGA%20Model%20v26.xls" TargetMode="External" Type="http://schemas.openxmlformats.org/officeDocument/2006/relationships/externalLinkPath"/>
</Relationships>

</file>

<file path=xl/externalLinks/_rels/externalLink67.xml.rels><?xml version="1.0" encoding="UTF-8" standalone="yes"?>
<Relationships xmlns="http://schemas.openxmlformats.org/package/2006/relationships">
<Relationship Id="rId1" Target="file://///nydfs1/root/MARD/Bellas/Titan/Current%20Documents/Model%204.8v2.xls" TargetMode="External" Type="http://schemas.openxmlformats.org/officeDocument/2006/relationships/externalLinkPath"/>
</Relationships>

</file>

<file path=xl/externalLinks/_rels/externalLink68.xml.rels><?xml version="1.0" encoding="UTF-8" standalone="yes"?>
<Relationships xmlns="http://schemas.openxmlformats.org/package/2006/relationships">
<Relationship Id="rId1" Target="file://///nydfs1/root/data/mlnm/corpdev/vacation/mlnm/corpdev/base%20case/prod%20base%2014.xls" TargetMode="External" Type="http://schemas.openxmlformats.org/officeDocument/2006/relationships/externalLinkPath"/>
</Relationships>

</file>

<file path=xl/externalLinks/_rels/externalLink69.xml.rels><?xml version="1.0" encoding="UTF-8" standalone="yes"?>
<Relationships xmlns="http://schemas.openxmlformats.org/package/2006/relationships">
<Relationship Id="rId1" Target="file://///nydfs1/root/Taylor%20Smith/BMC/Symphony/Model/Chopin%20MOE%20Model%209.7.03%20v2.xls" TargetMode="External" Type="http://schemas.openxmlformats.org/officeDocument/2006/relationships/externalLinkPath"/>
</Relationships>

</file>

<file path=xl/externalLinks/_rels/externalLink70.xml.rels><?xml version="1.0" encoding="UTF-8" standalone="yes"?>
<Relationships xmlns="http://schemas.openxmlformats.org/package/2006/relationships">
<Relationship Id="rId1" Target="file://///nydfs1/root/mard/vmignone/Auto/Asbury%20Mini-Merger2.xls" TargetMode="External" Type="http://schemas.openxmlformats.org/officeDocument/2006/relationships/externalLinkPath"/>
</Relationships>

</file>

<file path=xl/externalLinks/_rels/externalLink71.xml.rels><?xml version="1.0" encoding="UTF-8" standalone="yes"?>
<Relationships xmlns="http://schemas.openxmlformats.org/package/2006/relationships">
<Relationship Id="rId1" Target="file://///nydfs1/root/mard/panossian/General/Mini%20Template2.xls" TargetMode="External" Type="http://schemas.openxmlformats.org/officeDocument/2006/relationships/externalLinkPath"/>
</Relationships>

</file>

<file path=xl/externalLinks/_rels/externalLink72.xml.rels><?xml version="1.0" encoding="UTF-8" standalone="yes"?>
<Relationships xmlns="http://schemas.openxmlformats.org/package/2006/relationships">
<Relationship Id="rId1" Target="file://///nydfs1/root/DANMOSH/TEMPLATE/STANDB.XLS" TargetMode="External" Type="http://schemas.openxmlformats.org/officeDocument/2006/relationships/externalLinkPath"/>
</Relationships>

</file>

<file path=xl/externalLinks/_rels/externalLink73.xml.rels><?xml version="1.0" encoding="UTF-8" standalone="yes"?>
<Relationships xmlns="http://schemas.openxmlformats.org/package/2006/relationships">
<Relationship Id="rId1" Target="file://///nydfs1/root/nr/CHEMICAL/COMPANY/Tosco/10-22-98/TOS_UK2.xls" TargetMode="External" Type="http://schemas.openxmlformats.org/officeDocument/2006/relationships/externalLinkPath"/>
</Relationships>

</file>

<file path=xl/externalLinks/_rels/externalLink74.xml.rels><?xml version="1.0" encoding="UTF-8" standalone="yes"?>
<Relationships xmlns="http://schemas.openxmlformats.org/package/2006/relationships">
<Relationship Id="rId1" Target="Documents%20and%20Settings/pscavo/Local%20Settings/Temporary%20Internet%20Files/OLK33/OIT%20Screening.xls" TargetMode="External" Type="http://schemas.microsoft.com/office/2006/relationships/xlExternalLinkPath/xlAlternateStartup"/>
</Relationships>

</file>

<file path=xl/externalLinks/_rels/externalLink75.xml.rels><?xml version="1.0" encoding="UTF-8" standalone="yes"?>
<Relationships xmlns="http://schemas.openxmlformats.org/package/2006/relationships">
<Relationship Id="rId1" Target="lewis/Coverage/Baxter%20International%20(BAX)/BAX.xls" TargetMode="External" Type="http://schemas.microsoft.com/office/2006/relationships/xlExternalLinkPath/xlStartup"/>
</Relationships>

</file>

<file path=xl/externalLinks/_rels/externalLink76.xml.rels><?xml version="1.0" encoding="UTF-8" standalone="yes"?>
<Relationships xmlns="http://schemas.openxmlformats.org/package/2006/relationships">
<Relationship Id="rId1" Target="HEALTH/Tools/Weekly/Industry%20Multiples.xlsm" TargetMode="External" Type="http://schemas.microsoft.com/office/2006/relationships/xlExternalLinkPath/xlAlternateStartup"/>
</Relationships>

</file>

<file path=xl/externalLinks/_rels/externalLink77.xml.rels><?xml version="1.0" encoding="UTF-8" standalone="yes"?>
<Relationships xmlns="http://schemas.openxmlformats.org/package/2006/relationships">
<Relationship Id="rId1" Target="/Users/wachter/AppData/Local/Microsoft/Windows/Temporary%20Internet%20Files/Content.Outlook/WV07L1U9/DentalSuppliesModels_201708.xlsx" TargetMode="External" Type="http://schemas.openxmlformats.org/officeDocument/2006/relationships/externalLinkPath"/>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
      <sheetName val="Bio (2)"/>
      <sheetName val="Bio (3)"/>
      <sheetName val="Bio (4)"/>
      <sheetName val="Bio (5)"/>
      <sheetName val="Sheet1"/>
      <sheetName val="Sheet2"/>
      <sheetName val="FF-manpwr"/>
    </sheetNames>
    <sheetDataSet>
      <sheetData sheetId="0" refreshError="1">
        <row r="5">
          <cell r="A5" t="str">
            <v>Present Market Value</v>
          </cell>
        </row>
        <row r="6">
          <cell r="A6" t="str">
            <v>(Dollars in millions except per share data)</v>
          </cell>
        </row>
        <row r="8">
          <cell r="C8" t="str">
            <v>PUBLIC</v>
          </cell>
          <cell r="D8" t="str">
            <v>PUBLIC COMPARABLES(2)</v>
          </cell>
          <cell r="H8" t="str">
            <v>TRANSACTION COMPARABLES</v>
          </cell>
        </row>
        <row r="9">
          <cell r="B9" t="str">
            <v>Target</v>
          </cell>
          <cell r="C9" t="str">
            <v>COMP.</v>
          </cell>
          <cell r="J9" t="str">
            <v xml:space="preserve">J &amp; W </v>
          </cell>
          <cell r="K9" t="str">
            <v xml:space="preserve">Baxter </v>
          </cell>
          <cell r="L9" t="str">
            <v>E. Merck/</v>
          </cell>
        </row>
        <row r="10">
          <cell r="B10" t="str">
            <v>@ Offer</v>
          </cell>
          <cell r="C10" t="str">
            <v xml:space="preserve">AVG (1)  </v>
          </cell>
          <cell r="D10" t="str">
            <v>Fisher</v>
          </cell>
          <cell r="E10" t="str">
            <v>VWR</v>
          </cell>
          <cell r="H10" t="str">
            <v>Cosa Rocas</v>
          </cell>
          <cell r="I10" t="str">
            <v>CMS/ FSE</v>
          </cell>
          <cell r="J10" t="str">
            <v>Scientific</v>
          </cell>
          <cell r="K10" t="str">
            <v>Industrial</v>
          </cell>
          <cell r="L10" t="str">
            <v>VWR Equity Purch.</v>
          </cell>
        </row>
        <row r="12">
          <cell r="A12" t="str">
            <v>Market Value or Offer Price</v>
          </cell>
          <cell r="B12">
            <v>123.12350330737669</v>
          </cell>
          <cell r="D12">
            <v>562.5</v>
          </cell>
          <cell r="E12">
            <v>962.55</v>
          </cell>
          <cell r="H12">
            <v>5.5</v>
          </cell>
          <cell r="I12">
            <v>310</v>
          </cell>
          <cell r="J12">
            <v>35</v>
          </cell>
          <cell r="K12">
            <v>475</v>
          </cell>
          <cell r="L12">
            <v>250.88399999999999</v>
          </cell>
        </row>
        <row r="13">
          <cell r="A13" t="str">
            <v>Total Debt (net) (3)</v>
          </cell>
          <cell r="B13">
            <v>-43.806672424171659</v>
          </cell>
          <cell r="D13">
            <v>843.8</v>
          </cell>
          <cell r="E13">
            <v>232.4</v>
          </cell>
          <cell r="H13">
            <v>1</v>
          </cell>
          <cell r="I13">
            <v>0</v>
          </cell>
          <cell r="J13">
            <v>0</v>
          </cell>
          <cell r="K13">
            <v>0</v>
          </cell>
          <cell r="L13">
            <v>408.1</v>
          </cell>
        </row>
        <row r="14">
          <cell r="A14" t="str">
            <v xml:space="preserve">Market Capitalization </v>
          </cell>
          <cell r="B14">
            <v>79.316830883205029</v>
          </cell>
          <cell r="D14">
            <v>1406.3</v>
          </cell>
          <cell r="E14">
            <v>1194.95</v>
          </cell>
          <cell r="H14">
            <v>6.5</v>
          </cell>
          <cell r="I14">
            <v>310</v>
          </cell>
          <cell r="J14">
            <v>35</v>
          </cell>
          <cell r="K14">
            <v>475</v>
          </cell>
          <cell r="L14">
            <v>658.98400000000004</v>
          </cell>
        </row>
        <row r="15">
          <cell r="A15" t="str">
            <v>Annual Sales 1997</v>
          </cell>
          <cell r="B15">
            <v>72.008708029808247</v>
          </cell>
          <cell r="D15">
            <v>2175.3000000000002</v>
          </cell>
          <cell r="E15">
            <v>1230.2</v>
          </cell>
          <cell r="H15">
            <v>10.6</v>
          </cell>
          <cell r="I15">
            <v>764.6</v>
          </cell>
          <cell r="J15">
            <v>21.2</v>
          </cell>
          <cell r="K15">
            <v>479</v>
          </cell>
          <cell r="L15">
            <v>1066</v>
          </cell>
        </row>
        <row r="16">
          <cell r="A16" t="str">
            <v xml:space="preserve">P/E - 1995  </v>
          </cell>
        </row>
        <row r="17">
          <cell r="A17" t="str">
            <v xml:space="preserve">P/E - 1997  </v>
          </cell>
          <cell r="B17">
            <v>20.52516680159685</v>
          </cell>
          <cell r="C17">
            <v>18.990875803081629</v>
          </cell>
          <cell r="D17">
            <v>11.917372881355933</v>
          </cell>
          <cell r="E17">
            <v>32.547169811320757</v>
          </cell>
          <cell r="H17">
            <v>5.6701030927835054</v>
          </cell>
          <cell r="I17">
            <v>19.62025316455696</v>
          </cell>
          <cell r="J17">
            <v>11.29032258064516</v>
          </cell>
          <cell r="K17">
            <v>21.59090909090909</v>
          </cell>
          <cell r="L17">
            <v>30.299999999999997</v>
          </cell>
        </row>
        <row r="18">
          <cell r="A18" t="str">
            <v>P/E - 1998E</v>
          </cell>
          <cell r="B18">
            <v>15.338354997244787</v>
          </cell>
          <cell r="C18">
            <v>16.877516373793622</v>
          </cell>
          <cell r="D18">
            <v>26.533018867924525</v>
          </cell>
          <cell r="E18">
            <v>25.555555555555554</v>
          </cell>
          <cell r="H18">
            <v>4.9107142857142856</v>
          </cell>
          <cell r="I18">
            <v>23.308270676691727</v>
          </cell>
          <cell r="J18">
            <v>10.416666666666668</v>
          </cell>
          <cell r="K18">
            <v>14.660493827160494</v>
          </cell>
          <cell r="L18">
            <v>12.757894736842106</v>
          </cell>
        </row>
        <row r="19">
          <cell r="A19" t="str">
            <v>P/E - 1999E</v>
          </cell>
          <cell r="B19">
            <v>13.649789138902332</v>
          </cell>
          <cell r="C19">
            <v>12.811435440561425</v>
          </cell>
          <cell r="D19">
            <v>13.14252336448598</v>
          </cell>
          <cell r="E19">
            <v>20.17543859649123</v>
          </cell>
          <cell r="H19" t="str">
            <v>na</v>
          </cell>
          <cell r="I19">
            <v>14.761904761904763</v>
          </cell>
          <cell r="J19">
            <v>9.6106150793650809</v>
          </cell>
          <cell r="K19">
            <v>11.098130841121495</v>
          </cell>
          <cell r="L19">
            <v>8.08</v>
          </cell>
        </row>
        <row r="21">
          <cell r="A21" t="str">
            <v xml:space="preserve">Market Value/ Book Value </v>
          </cell>
          <cell r="B21">
            <v>1.8858988512728747</v>
          </cell>
          <cell r="C21">
            <v>2.1165257419001238</v>
          </cell>
          <cell r="D21">
            <v>-1.5818335208098986</v>
          </cell>
          <cell r="E21">
            <v>2.814473684210526</v>
          </cell>
          <cell r="H21">
            <v>1.9642857142857144</v>
          </cell>
          <cell r="I21">
            <v>1.2291831879460746</v>
          </cell>
          <cell r="J21">
            <v>1.8041237113402062</v>
          </cell>
          <cell r="K21">
            <v>6.4189189189189193</v>
          </cell>
          <cell r="L21">
            <v>2.1665284974093262</v>
          </cell>
        </row>
        <row r="22">
          <cell r="A22" t="str">
            <v>Market Cap/ Annual Sales</v>
          </cell>
          <cell r="B22">
            <v>1.1014894316722299</v>
          </cell>
          <cell r="C22">
            <v>0.84246521368052796</v>
          </cell>
          <cell r="D22">
            <v>0.64648554222406096</v>
          </cell>
          <cell r="E22">
            <v>0.97134612258169406</v>
          </cell>
          <cell r="H22">
            <v>0.6132075471698113</v>
          </cell>
          <cell r="I22">
            <v>0.40544075333507718</v>
          </cell>
          <cell r="J22">
            <v>1.6509433962264151</v>
          </cell>
          <cell r="K22">
            <v>0.99164926931106467</v>
          </cell>
          <cell r="L22">
            <v>0.61818386491557231</v>
          </cell>
        </row>
        <row r="23">
          <cell r="A23" t="str">
            <v>Market Cap/1997 EBIT</v>
          </cell>
          <cell r="B23">
            <v>8.328183563424167</v>
          </cell>
          <cell r="C23">
            <v>11.347888984485635</v>
          </cell>
          <cell r="D23">
            <v>12.973247232472323</v>
          </cell>
          <cell r="E23">
            <v>15.458602846054335</v>
          </cell>
          <cell r="H23">
            <v>5</v>
          </cell>
          <cell r="I23">
            <v>14.485981308411215</v>
          </cell>
          <cell r="J23">
            <v>6.7307692307692308</v>
          </cell>
          <cell r="K23">
            <v>10.795454545454545</v>
          </cell>
          <cell r="L23">
            <v>13.991167728237793</v>
          </cell>
        </row>
        <row r="24">
          <cell r="A24" t="str">
            <v>Market Cap/1997  EBITDA</v>
          </cell>
          <cell r="B24">
            <v>7.7583655034326382</v>
          </cell>
          <cell r="C24">
            <v>8.8797536968242294</v>
          </cell>
          <cell r="D24">
            <v>9.0495495495495497</v>
          </cell>
          <cell r="E24">
            <v>12.033736153071501</v>
          </cell>
          <cell r="H24">
            <v>4.6428571428571432</v>
          </cell>
          <cell r="I24">
            <v>8.7570621468926557</v>
          </cell>
          <cell r="J24">
            <v>5.7377049180327875</v>
          </cell>
          <cell r="K24">
            <v>10.416666666666666</v>
          </cell>
          <cell r="L24">
            <v>11.520699300699301</v>
          </cell>
        </row>
        <row r="25">
          <cell r="A25" t="str">
            <v>Market Cap/1998 EBIT</v>
          </cell>
          <cell r="B25">
            <v>7.63972247777241</v>
          </cell>
          <cell r="C25">
            <v>7.949698111747316</v>
          </cell>
          <cell r="D25">
            <v>9.4956110735989192</v>
          </cell>
          <cell r="E25">
            <v>13.687857961053838</v>
          </cell>
          <cell r="H25">
            <v>3.8235294117647061</v>
          </cell>
          <cell r="I25">
            <v>9.1715976331360949</v>
          </cell>
          <cell r="J25">
            <v>6.25</v>
          </cell>
          <cell r="K25">
            <v>7.3302469135802468</v>
          </cell>
          <cell r="L25">
            <v>5.8890437890974088</v>
          </cell>
        </row>
        <row r="26">
          <cell r="A26" t="str">
            <v>Market Cap/1998 EBITDA</v>
          </cell>
          <cell r="B26">
            <v>7.1150894065699646</v>
          </cell>
          <cell r="C26">
            <v>6.4657417325103301</v>
          </cell>
          <cell r="D26">
            <v>7.0279860069965014</v>
          </cell>
          <cell r="E26">
            <v>10.833635539437898</v>
          </cell>
          <cell r="H26">
            <v>3.6111111111111112</v>
          </cell>
          <cell r="I26">
            <v>6.485355648535565</v>
          </cell>
          <cell r="J26">
            <v>5.384615384615385</v>
          </cell>
          <cell r="K26">
            <v>7.0684523809523805</v>
          </cell>
          <cell r="L26">
            <v>4.8490360559234729</v>
          </cell>
        </row>
        <row r="27">
          <cell r="A27" t="str">
            <v>Market Cap/1999 EBIT</v>
          </cell>
          <cell r="B27">
            <v>6.8077486250560355</v>
          </cell>
          <cell r="C27">
            <v>7.7663158778228114</v>
          </cell>
          <cell r="D27">
            <v>9.2763852242744065</v>
          </cell>
          <cell r="E27">
            <v>11.413085004775549</v>
          </cell>
          <cell r="H27" t="str">
            <v>na</v>
          </cell>
          <cell r="I27">
            <v>10.898976412995106</v>
          </cell>
          <cell r="J27">
            <v>5.7294051434676447</v>
          </cell>
          <cell r="K27">
            <v>5.5490654205607477</v>
          </cell>
          <cell r="L27">
            <v>3.7309780608634115</v>
          </cell>
        </row>
        <row r="28">
          <cell r="A28" t="str">
            <v>Market Cap/1999 EBITDA</v>
          </cell>
          <cell r="B28">
            <v>6.3403612624054064</v>
          </cell>
          <cell r="C28">
            <v>5.9545385789637573</v>
          </cell>
          <cell r="D28">
            <v>6.6147695202257761</v>
          </cell>
          <cell r="E28">
            <v>9.2131842713955301</v>
          </cell>
          <cell r="H28" t="str">
            <v>na</v>
          </cell>
          <cell r="I28">
            <v>6.5886467581382835</v>
          </cell>
          <cell r="J28">
            <v>4.8840830731199594</v>
          </cell>
          <cell r="K28">
            <v>5.3543613707165116</v>
          </cell>
          <cell r="L28">
            <v>3.0721864801864802</v>
          </cell>
        </row>
        <row r="30">
          <cell r="A30" t="str">
            <v>Acquisition of Stock</v>
          </cell>
          <cell r="F30" t="str">
            <v>Target Assumptions</v>
          </cell>
        </row>
        <row r="31">
          <cell r="A31" t="str">
            <v>Accretion/(Dilution) To FSH</v>
          </cell>
          <cell r="F31" t="str">
            <v xml:space="preserve">Sales 5 Yr. CAGR </v>
          </cell>
          <cell r="I31">
            <v>7.0000000000000062E-2</v>
          </cell>
        </row>
        <row r="32">
          <cell r="F32" t="str">
            <v>Tax Rate</v>
          </cell>
          <cell r="I32">
            <v>0.4</v>
          </cell>
        </row>
        <row r="33">
          <cell r="B33">
            <v>1998</v>
          </cell>
          <cell r="C33">
            <v>1999</v>
          </cell>
          <cell r="D33">
            <v>2000</v>
          </cell>
          <cell r="F33" t="str">
            <v>Purchase Multiple of 1997 EBIT:</v>
          </cell>
          <cell r="I33">
            <v>8.328183563424167</v>
          </cell>
        </row>
        <row r="34">
          <cell r="A34" t="str">
            <v>Cash for Stock (Debt Financing) (4)</v>
          </cell>
          <cell r="F34" t="str">
            <v>Terminal Multiple of 2002E EBIT:</v>
          </cell>
          <cell r="I34">
            <v>7.204202264628802</v>
          </cell>
        </row>
        <row r="35">
          <cell r="A35" t="str">
            <v xml:space="preserve">            Incremental Net income (chk with Bob)</v>
          </cell>
          <cell r="B35">
            <v>-0.93498943367478837</v>
          </cell>
          <cell r="C35">
            <v>5.8021980701662201E-2</v>
          </cell>
          <cell r="D35">
            <v>1.2004916335835834</v>
          </cell>
        </row>
        <row r="36">
          <cell r="A36" t="str">
            <v xml:space="preserve">            Per share</v>
          </cell>
          <cell r="B36">
            <v>-2.3374735841869665E-2</v>
          </cell>
          <cell r="C36">
            <v>1.4505495175416439E-3</v>
          </cell>
          <cell r="D36">
            <v>3.0012290839589451E-2</v>
          </cell>
          <cell r="F36" t="str">
            <v>Fisher Assumptions</v>
          </cell>
        </row>
        <row r="37">
          <cell r="A37" t="str">
            <v xml:space="preserve">            Dilution Threshold</v>
          </cell>
          <cell r="B37">
            <v>0</v>
          </cell>
          <cell r="C37">
            <v>0</v>
          </cell>
          <cell r="D37">
            <v>0</v>
          </cell>
          <cell r="F37" t="str">
            <v>Tax rate</v>
          </cell>
          <cell r="I37">
            <v>0.4</v>
          </cell>
        </row>
        <row r="38">
          <cell r="F38" t="str">
            <v>Debt financing cost</v>
          </cell>
          <cell r="I38">
            <v>0.09</v>
          </cell>
        </row>
        <row r="39">
          <cell r="A39" t="str">
            <v>Stock for Stock (Purchase)</v>
          </cell>
          <cell r="D39" t="str">
            <v xml:space="preserve"> </v>
          </cell>
          <cell r="F39" t="str">
            <v>Goodwill amortization (Years)</v>
          </cell>
          <cell r="I39">
            <v>25</v>
          </cell>
        </row>
        <row r="40">
          <cell r="A40" t="str">
            <v xml:space="preserve">            Incremental Net income</v>
          </cell>
          <cell r="B40">
            <v>5.713679744923553</v>
          </cell>
          <cell r="C40">
            <v>6.7066911593000036</v>
          </cell>
          <cell r="D40">
            <v>7.8491608121819247</v>
          </cell>
          <cell r="F40" t="str">
            <v>Goodwill Tax Deductible</v>
          </cell>
          <cell r="I40" t="str">
            <v>No</v>
          </cell>
        </row>
        <row r="41">
          <cell r="A41" t="str">
            <v xml:space="preserve">            Per share</v>
          </cell>
          <cell r="B41">
            <v>2.2013779555791091E-2</v>
          </cell>
          <cell r="C41">
            <v>-5.4591629269827857E-2</v>
          </cell>
          <cell r="D41">
            <v>-0.12543788746897855</v>
          </cell>
        </row>
        <row r="42">
          <cell r="A42" t="str">
            <v xml:space="preserve">            Dilution Threshold</v>
          </cell>
          <cell r="B42">
            <v>0</v>
          </cell>
          <cell r="C42">
            <v>0</v>
          </cell>
          <cell r="D42">
            <v>0</v>
          </cell>
          <cell r="I42">
            <v>1998</v>
          </cell>
          <cell r="J42">
            <v>1999</v>
          </cell>
          <cell r="K42">
            <v>2000</v>
          </cell>
        </row>
        <row r="43">
          <cell r="F43" t="str">
            <v>EBIT</v>
          </cell>
          <cell r="I43">
            <v>10.382161277975143</v>
          </cell>
          <cell r="J43">
            <v>11.65096351990408</v>
          </cell>
          <cell r="K43">
            <v>13.0464277509508</v>
          </cell>
        </row>
        <row r="44">
          <cell r="F44" t="str">
            <v>Depreciation &amp; Amortization</v>
          </cell>
          <cell r="I44">
            <v>0.76553151278094744</v>
          </cell>
          <cell r="J44">
            <v>0.85886480068499138</v>
          </cell>
          <cell r="K44">
            <v>0.95085718078720227</v>
          </cell>
        </row>
        <row r="45">
          <cell r="A45" t="str">
            <v>IRR @</v>
          </cell>
          <cell r="B45">
            <v>79.316830883205029</v>
          </cell>
          <cell r="C45" t="str">
            <v>*    equals:</v>
          </cell>
          <cell r="D45">
            <v>0.1455104494284723</v>
          </cell>
          <cell r="F45" t="str">
            <v xml:space="preserve">Working Capital </v>
          </cell>
          <cell r="I45">
            <v>-1.254072741210507</v>
          </cell>
          <cell r="J45">
            <v>-1.3438219478321969</v>
          </cell>
          <cell r="K45">
            <v>-1.4380477381261798</v>
          </cell>
        </row>
        <row r="46">
          <cell r="F46" t="str">
            <v>Capex</v>
          </cell>
          <cell r="I46">
            <v>-1.1557397638784226</v>
          </cell>
          <cell r="J46">
            <v>-1.2366415473499122</v>
          </cell>
          <cell r="K46">
            <v>-1.3232064556644063</v>
          </cell>
        </row>
        <row r="47">
          <cell r="A47" t="str">
            <v>PV @</v>
          </cell>
          <cell r="B47">
            <v>0.15</v>
          </cell>
          <cell r="C47" t="str">
            <v>equals:</v>
          </cell>
          <cell r="D47">
            <v>77.935092001174382</v>
          </cell>
          <cell r="F47" t="str">
            <v>Purchase Accounting Outflows</v>
          </cell>
          <cell r="I47">
            <v>0</v>
          </cell>
          <cell r="J47">
            <v>0</v>
          </cell>
          <cell r="K47">
            <v>0</v>
          </cell>
        </row>
        <row r="48">
          <cell r="A48" t="str">
            <v>NPV @</v>
          </cell>
          <cell r="B48">
            <v>0.15</v>
          </cell>
          <cell r="C48" t="str">
            <v>equals:</v>
          </cell>
          <cell r="D48">
            <v>-1.3817388820306462</v>
          </cell>
          <cell r="F48" t="str">
            <v>Free Cash Flow</v>
          </cell>
          <cell r="I48">
            <v>8.7378802856671616</v>
          </cell>
          <cell r="J48">
            <v>9.929364825406962</v>
          </cell>
          <cell r="K48">
            <v>11.236030737947416</v>
          </cell>
        </row>
        <row r="49">
          <cell r="F49" t="str">
            <v>Interest (after tax)</v>
          </cell>
          <cell r="I49">
            <v>-4.2831088676930715</v>
          </cell>
          <cell r="J49">
            <v>-4.2668058947267342</v>
          </cell>
          <cell r="K49">
            <v>-4.2126885244999297</v>
          </cell>
        </row>
        <row r="50">
          <cell r="B50" t="str">
            <v>* Unlevered</v>
          </cell>
          <cell r="F50" t="str">
            <v>Taxes</v>
          </cell>
          <cell r="I50">
            <v>-4.1528645111900575</v>
          </cell>
          <cell r="J50">
            <v>-4.6603854079616323</v>
          </cell>
          <cell r="K50">
            <v>-5.2185711003803199</v>
          </cell>
        </row>
        <row r="51">
          <cell r="F51" t="str">
            <v>Excess Cash Flow</v>
          </cell>
          <cell r="I51">
            <v>0.30190690678403254</v>
          </cell>
          <cell r="J51">
            <v>1.0021735227185955</v>
          </cell>
          <cell r="K51">
            <v>1.8047711130671669</v>
          </cell>
        </row>
        <row r="52">
          <cell r="A52" t="str">
            <v>Fisher 1997 = Target 1998</v>
          </cell>
        </row>
        <row r="54">
          <cell r="A54" t="str">
            <v>(1) Average multiples include all figures.</v>
          </cell>
        </row>
        <row r="55">
          <cell r="A55" t="str">
            <v>(2) Excludes extraordinary items.  Balance sheet data as of latest quarter.  All data sourced from SEC filings and company earnings releases.</v>
          </cell>
        </row>
        <row r="56">
          <cell r="A56" t="str">
            <v xml:space="preserve">(3) Includes debt less cash.  Target balance sheet estimated as of 06/30/98.  </v>
          </cell>
        </row>
        <row r="57">
          <cell r="A57" t="str">
            <v>(4) Consideration: 100% Debt.</v>
          </cell>
        </row>
        <row r="58">
          <cell r="A58" t="str">
            <v>Present Market Value</v>
          </cell>
        </row>
        <row r="59">
          <cell r="A59" t="str">
            <v>(U.S. $ in millions except per share amounts)</v>
          </cell>
        </row>
        <row r="61">
          <cell r="D61" t="str">
            <v>PUBLIC COMPARABLES(1)</v>
          </cell>
          <cell r="H61" t="str">
            <v>TRANSACTION COMPARABLES</v>
          </cell>
        </row>
        <row r="62">
          <cell r="B62" t="str">
            <v>Target</v>
          </cell>
          <cell r="J62" t="str">
            <v xml:space="preserve">J &amp; W </v>
          </cell>
          <cell r="K62" t="str">
            <v>Baxter</v>
          </cell>
          <cell r="L62" t="str">
            <v>E. Merck/</v>
          </cell>
        </row>
        <row r="63">
          <cell r="A63" t="str">
            <v xml:space="preserve"> </v>
          </cell>
          <cell r="B63" t="str">
            <v>@ Offer</v>
          </cell>
          <cell r="D63" t="str">
            <v>Fisher</v>
          </cell>
          <cell r="E63" t="str">
            <v>VWR</v>
          </cell>
          <cell r="H63" t="str">
            <v>Cosa Rocas</v>
          </cell>
          <cell r="I63" t="str">
            <v>CMS/ FSE</v>
          </cell>
          <cell r="J63" t="str">
            <v>Scientific</v>
          </cell>
          <cell r="K63" t="str">
            <v>Industrial</v>
          </cell>
          <cell r="L63" t="str">
            <v>VWR Equity Purch.</v>
          </cell>
        </row>
        <row r="64">
          <cell r="D64" t="str">
            <v xml:space="preserve"> </v>
          </cell>
        </row>
        <row r="65">
          <cell r="A65" t="str">
            <v>Offer price per share</v>
          </cell>
          <cell r="B65">
            <v>60.118898099305028</v>
          </cell>
          <cell r="D65">
            <v>14.0625</v>
          </cell>
          <cell r="E65">
            <v>34.5</v>
          </cell>
          <cell r="H65">
            <v>5.5</v>
          </cell>
          <cell r="I65">
            <v>310</v>
          </cell>
          <cell r="J65">
            <v>35</v>
          </cell>
          <cell r="K65">
            <v>475</v>
          </cell>
          <cell r="L65">
            <v>12.12</v>
          </cell>
        </row>
        <row r="66">
          <cell r="A66" t="str">
            <v>Shares Outstanding (mms)</v>
          </cell>
          <cell r="B66">
            <v>2.048</v>
          </cell>
          <cell r="D66">
            <v>40</v>
          </cell>
          <cell r="E66">
            <v>27.9</v>
          </cell>
          <cell r="H66">
            <v>1</v>
          </cell>
          <cell r="I66" t="str">
            <v>n/a</v>
          </cell>
          <cell r="J66">
            <v>1</v>
          </cell>
          <cell r="K66" t="str">
            <v>n/a</v>
          </cell>
          <cell r="L66">
            <v>20.7</v>
          </cell>
        </row>
        <row r="68">
          <cell r="A68" t="str">
            <v>EPS - 1997</v>
          </cell>
          <cell r="B68">
            <v>2.9290333511261792</v>
          </cell>
          <cell r="D68">
            <v>1.18</v>
          </cell>
          <cell r="E68">
            <v>1.06</v>
          </cell>
          <cell r="H68">
            <v>0.97</v>
          </cell>
          <cell r="I68">
            <v>15.8</v>
          </cell>
          <cell r="J68">
            <v>3.1</v>
          </cell>
          <cell r="K68">
            <v>22</v>
          </cell>
          <cell r="L68">
            <v>0.4</v>
          </cell>
        </row>
        <row r="69">
          <cell r="A69" t="str">
            <v xml:space="preserve">EPS - 1998E </v>
          </cell>
          <cell r="B69">
            <v>3.9195140619775799</v>
          </cell>
          <cell r="D69">
            <v>0.53</v>
          </cell>
          <cell r="E69">
            <v>1.35</v>
          </cell>
          <cell r="H69">
            <v>1.1200000000000001</v>
          </cell>
          <cell r="I69">
            <v>13.3</v>
          </cell>
          <cell r="J69">
            <v>3.36</v>
          </cell>
          <cell r="K69">
            <v>32.4</v>
          </cell>
          <cell r="L69">
            <v>0.95</v>
          </cell>
        </row>
        <row r="70">
          <cell r="A70" t="str">
            <v>EPS - 1999E</v>
          </cell>
          <cell r="B70">
            <v>4.4043829166535815</v>
          </cell>
          <cell r="D70">
            <v>1.07</v>
          </cell>
          <cell r="E70">
            <v>1.71</v>
          </cell>
          <cell r="H70" t="str">
            <v>na</v>
          </cell>
          <cell r="I70">
            <v>21</v>
          </cell>
          <cell r="J70">
            <v>3.6418064516129025</v>
          </cell>
          <cell r="K70">
            <v>42.8</v>
          </cell>
          <cell r="L70">
            <v>1.5</v>
          </cell>
        </row>
        <row r="72">
          <cell r="A72" t="str">
            <v>Annual Sales (1997)</v>
          </cell>
          <cell r="B72">
            <v>72.008708029808247</v>
          </cell>
          <cell r="D72">
            <v>2175.3000000000002</v>
          </cell>
          <cell r="E72">
            <v>1230.2</v>
          </cell>
          <cell r="H72">
            <v>10.6</v>
          </cell>
          <cell r="I72">
            <v>764.6</v>
          </cell>
          <cell r="J72">
            <v>21.2</v>
          </cell>
          <cell r="K72">
            <v>479</v>
          </cell>
          <cell r="L72">
            <v>1066</v>
          </cell>
        </row>
        <row r="73">
          <cell r="A73" t="str">
            <v>1997 EBIT</v>
          </cell>
          <cell r="B73">
            <v>9.5239052164447724</v>
          </cell>
          <cell r="D73">
            <v>108.4</v>
          </cell>
          <cell r="E73">
            <v>77.3</v>
          </cell>
          <cell r="H73">
            <v>1.3</v>
          </cell>
          <cell r="I73">
            <v>21.4</v>
          </cell>
          <cell r="J73">
            <v>5.2</v>
          </cell>
          <cell r="K73">
            <v>44</v>
          </cell>
          <cell r="L73">
            <v>47.1</v>
          </cell>
        </row>
        <row r="74">
          <cell r="A74" t="str">
            <v>1997 EBITDA</v>
          </cell>
          <cell r="B74">
            <v>10.223394457004096</v>
          </cell>
          <cell r="D74">
            <v>155.4</v>
          </cell>
          <cell r="E74">
            <v>99.3</v>
          </cell>
          <cell r="H74">
            <v>1.4</v>
          </cell>
          <cell r="I74">
            <v>35.4</v>
          </cell>
          <cell r="J74">
            <v>6.1</v>
          </cell>
          <cell r="K74">
            <v>45.6</v>
          </cell>
          <cell r="L74">
            <v>57.2</v>
          </cell>
        </row>
        <row r="75">
          <cell r="A75" t="str">
            <v>1998 EBIT</v>
          </cell>
          <cell r="B75">
            <v>10.382161277975143</v>
          </cell>
          <cell r="D75">
            <v>148.1</v>
          </cell>
          <cell r="E75">
            <v>87.3</v>
          </cell>
          <cell r="H75">
            <v>1.7</v>
          </cell>
          <cell r="I75">
            <v>33.799999999999997</v>
          </cell>
          <cell r="J75">
            <v>5.6</v>
          </cell>
          <cell r="K75">
            <v>64.8</v>
          </cell>
          <cell r="L75">
            <v>111.9</v>
          </cell>
        </row>
        <row r="76">
          <cell r="A76" t="str">
            <v>1998 EBITDA</v>
          </cell>
          <cell r="B76">
            <v>11.147692790756091</v>
          </cell>
          <cell r="D76">
            <v>200.1</v>
          </cell>
          <cell r="E76">
            <v>110.3</v>
          </cell>
          <cell r="H76">
            <v>1.8</v>
          </cell>
          <cell r="I76">
            <v>47.8</v>
          </cell>
          <cell r="J76">
            <v>6.5</v>
          </cell>
          <cell r="K76">
            <v>67.2</v>
          </cell>
          <cell r="L76">
            <v>135.9</v>
          </cell>
        </row>
        <row r="77">
          <cell r="A77" t="str">
            <v>1999 EBIT</v>
          </cell>
          <cell r="B77">
            <v>11.65096351990408</v>
          </cell>
          <cell r="D77">
            <v>151.6</v>
          </cell>
          <cell r="E77">
            <v>104.7</v>
          </cell>
          <cell r="H77" t="str">
            <v>na</v>
          </cell>
          <cell r="I77">
            <v>28.443037974683541</v>
          </cell>
          <cell r="J77">
            <v>6.1088366285119653</v>
          </cell>
          <cell r="K77">
            <v>85.6</v>
          </cell>
          <cell r="L77">
            <v>176.625</v>
          </cell>
        </row>
        <row r="78">
          <cell r="A78" t="str">
            <v>1999 EBITDA</v>
          </cell>
          <cell r="B78">
            <v>12.509828320589071</v>
          </cell>
          <cell r="D78">
            <v>212.6</v>
          </cell>
          <cell r="E78">
            <v>129.69999999999999</v>
          </cell>
          <cell r="H78" t="str">
            <v>na</v>
          </cell>
          <cell r="I78">
            <v>47.050632911392405</v>
          </cell>
          <cell r="J78">
            <v>7.1661352757544208</v>
          </cell>
          <cell r="K78">
            <v>88.712727272727264</v>
          </cell>
          <cell r="L78">
            <v>214.5</v>
          </cell>
        </row>
        <row r="79">
          <cell r="A79" t="str">
            <v>Depreciation &amp; Amortization (1997)</v>
          </cell>
          <cell r="B79">
            <v>0.69948924055932338</v>
          </cell>
          <cell r="D79">
            <v>47</v>
          </cell>
          <cell r="E79">
            <v>22</v>
          </cell>
          <cell r="H79">
            <v>0.8</v>
          </cell>
          <cell r="I79">
            <v>14</v>
          </cell>
          <cell r="J79">
            <v>0.9</v>
          </cell>
          <cell r="K79" t="str">
            <v>n/a</v>
          </cell>
          <cell r="L79">
            <v>9.8000000000000007</v>
          </cell>
        </row>
        <row r="80">
          <cell r="A80" t="str">
            <v>Book Value (1997)</v>
          </cell>
          <cell r="B80">
            <v>65.286376957213434</v>
          </cell>
          <cell r="D80">
            <v>-355.6</v>
          </cell>
          <cell r="E80">
            <v>342</v>
          </cell>
          <cell r="H80">
            <v>2.8</v>
          </cell>
          <cell r="I80">
            <v>252.2</v>
          </cell>
          <cell r="J80">
            <v>19.399999999999999</v>
          </cell>
          <cell r="K80">
            <v>74</v>
          </cell>
          <cell r="L80">
            <v>115.8</v>
          </cell>
        </row>
        <row r="82">
          <cell r="A82" t="str">
            <v>(1) Excludes extraordinary items.  Balance sheet data as of latest quarter.  All data sourced from SEC filings and company earnings releases.</v>
          </cell>
        </row>
        <row r="84">
          <cell r="A84" t="str">
            <v>EPS Analysis</v>
          </cell>
        </row>
        <row r="86">
          <cell r="B86" t="str">
            <v>Acquisition of 100% Of Stock</v>
          </cell>
        </row>
        <row r="87">
          <cell r="A87" t="str">
            <v xml:space="preserve"> </v>
          </cell>
          <cell r="B87" t="str">
            <v xml:space="preserve">        Debt (1)</v>
          </cell>
          <cell r="F87" t="str">
            <v xml:space="preserve">          Stock (Purchase)</v>
          </cell>
          <cell r="J87" t="str">
            <v>Debt Balance</v>
          </cell>
        </row>
        <row r="88">
          <cell r="B88">
            <v>1998</v>
          </cell>
          <cell r="C88">
            <v>1999</v>
          </cell>
          <cell r="D88">
            <v>2000</v>
          </cell>
          <cell r="E88" t="str">
            <v>CAGR</v>
          </cell>
          <cell r="F88">
            <v>1998</v>
          </cell>
          <cell r="G88">
            <v>1999</v>
          </cell>
          <cell r="H88">
            <v>2000</v>
          </cell>
          <cell r="J88">
            <v>1998</v>
          </cell>
          <cell r="K88">
            <v>1999</v>
          </cell>
          <cell r="L88">
            <v>2000</v>
          </cell>
        </row>
        <row r="89">
          <cell r="A89" t="str">
            <v>Net Income (mm)</v>
          </cell>
          <cell r="B89">
            <v>8.0271647989300838</v>
          </cell>
          <cell r="C89">
            <v>9.0201762133065344</v>
          </cell>
          <cell r="D89">
            <v>10.162645866188456</v>
          </cell>
          <cell r="E89">
            <v>0.12518078364180929</v>
          </cell>
          <cell r="F89">
            <v>8.0271647989300838</v>
          </cell>
          <cell r="G89">
            <v>9.0201762133065344</v>
          </cell>
          <cell r="H89">
            <v>10.162645866188456</v>
          </cell>
          <cell r="J89">
            <v>79.316830883205029</v>
          </cell>
          <cell r="K89">
            <v>79.014923976421002</v>
          </cell>
          <cell r="L89">
            <v>78.012750453702409</v>
          </cell>
        </row>
        <row r="90">
          <cell r="A90" t="str">
            <v>Incremental Goodwill Amortization</v>
          </cell>
          <cell r="B90">
            <v>-2.3134850540065304</v>
          </cell>
          <cell r="C90">
            <v>-2.3134850540065304</v>
          </cell>
          <cell r="D90">
            <v>-2.3134850540065304</v>
          </cell>
          <cell r="F90">
            <v>-2.3134850540065304</v>
          </cell>
          <cell r="G90">
            <v>-2.3134850540065304</v>
          </cell>
          <cell r="H90">
            <v>-2.3134850540065304</v>
          </cell>
        </row>
        <row r="91">
          <cell r="A91" t="str">
            <v>Interest on Debt (after tax)</v>
          </cell>
          <cell r="B91">
            <v>-6.6486691785983414</v>
          </cell>
          <cell r="C91">
            <v>-6.6486691785983414</v>
          </cell>
          <cell r="D91">
            <v>-6.6486691785983414</v>
          </cell>
          <cell r="F91">
            <v>0</v>
          </cell>
          <cell r="G91">
            <v>0</v>
          </cell>
          <cell r="H91">
            <v>0</v>
          </cell>
        </row>
        <row r="92">
          <cell r="A92" t="str">
            <v>Incremental Net Income</v>
          </cell>
          <cell r="B92">
            <v>-0.93498943367478837</v>
          </cell>
          <cell r="C92">
            <v>5.8021980701662201E-2</v>
          </cell>
          <cell r="D92">
            <v>1.2004916335835834</v>
          </cell>
          <cell r="F92">
            <v>5.713679744923553</v>
          </cell>
          <cell r="G92">
            <v>6.7066911593000036</v>
          </cell>
          <cell r="H92">
            <v>7.8491608121819247</v>
          </cell>
        </row>
        <row r="93">
          <cell r="A93" t="str">
            <v>Fisher Fully-Diluted Net Income</v>
          </cell>
          <cell r="B93">
            <v>21.200000000000003</v>
          </cell>
          <cell r="C93">
            <v>42.800000000000004</v>
          </cell>
          <cell r="D93">
            <v>63.8</v>
          </cell>
          <cell r="E93">
            <v>0.7347720202563075</v>
          </cell>
          <cell r="F93">
            <v>21.200000000000003</v>
          </cell>
          <cell r="G93">
            <v>42.800000000000004</v>
          </cell>
          <cell r="H93">
            <v>63.8</v>
          </cell>
        </row>
        <row r="94">
          <cell r="A94" t="str">
            <v>Total Net Income</v>
          </cell>
          <cell r="B94">
            <v>20.265010566325216</v>
          </cell>
          <cell r="C94">
            <v>42.858021980701665</v>
          </cell>
          <cell r="D94">
            <v>65.000491633583579</v>
          </cell>
          <cell r="F94">
            <v>26.913679744923556</v>
          </cell>
          <cell r="G94">
            <v>49.506691159300004</v>
          </cell>
          <cell r="H94">
            <v>71.649160812181918</v>
          </cell>
        </row>
        <row r="95">
          <cell r="A95" t="str">
            <v>Fisher Shares (fully diluted) - pre-Acq.</v>
          </cell>
          <cell r="B95">
            <v>40</v>
          </cell>
          <cell r="C95">
            <v>40</v>
          </cell>
          <cell r="D95">
            <v>40</v>
          </cell>
          <cell r="F95">
            <v>40</v>
          </cell>
          <cell r="G95">
            <v>40</v>
          </cell>
          <cell r="H95">
            <v>40</v>
          </cell>
        </row>
        <row r="96">
          <cell r="A96" t="str">
            <v>Fisher Shares  issued - Acq. Currency</v>
          </cell>
          <cell r="B96">
            <v>0</v>
          </cell>
          <cell r="C96">
            <v>0</v>
          </cell>
          <cell r="D96">
            <v>0</v>
          </cell>
          <cell r="F96">
            <v>8.7554491240801209</v>
          </cell>
          <cell r="G96">
            <v>8.7554491240801209</v>
          </cell>
          <cell r="H96">
            <v>8.7554491240801209</v>
          </cell>
        </row>
        <row r="97">
          <cell r="A97" t="str">
            <v>Total Shares (pro forma for acquisition)</v>
          </cell>
          <cell r="B97">
            <v>40</v>
          </cell>
          <cell r="C97">
            <v>40</v>
          </cell>
          <cell r="D97">
            <v>40</v>
          </cell>
          <cell r="F97">
            <v>48.755449124080123</v>
          </cell>
          <cell r="G97">
            <v>48.755449124080123</v>
          </cell>
          <cell r="H97">
            <v>48.755449124080123</v>
          </cell>
        </row>
        <row r="98">
          <cell r="A98" t="str">
            <v>Fisher EPS (pro forma for acquisition)</v>
          </cell>
          <cell r="B98">
            <v>0.50662526415813036</v>
          </cell>
          <cell r="C98">
            <v>1.0714505495175417</v>
          </cell>
          <cell r="D98">
            <v>1.6250122908395894</v>
          </cell>
          <cell r="F98">
            <v>0.55201377955579112</v>
          </cell>
          <cell r="G98">
            <v>1.0154083707301722</v>
          </cell>
          <cell r="H98">
            <v>1.4695621125310214</v>
          </cell>
        </row>
        <row r="99">
          <cell r="A99" t="str">
            <v>Accretion (Dilution) per share</v>
          </cell>
          <cell r="B99">
            <v>-2.3374735841869665E-2</v>
          </cell>
          <cell r="C99">
            <v>1.4505495175416439E-3</v>
          </cell>
          <cell r="D99">
            <v>3.0012290839589451E-2</v>
          </cell>
          <cell r="F99">
            <v>2.2013779555791091E-2</v>
          </cell>
          <cell r="G99">
            <v>-5.4591629269827857E-2</v>
          </cell>
          <cell r="H99">
            <v>-0.12543788746897855</v>
          </cell>
        </row>
        <row r="101">
          <cell r="A101" t="str">
            <v>Goodwill Calculation</v>
          </cell>
        </row>
        <row r="102">
          <cell r="A102" t="str">
            <v>Purchase Price of Equity</v>
          </cell>
          <cell r="B102">
            <v>123.12350330737669</v>
          </cell>
          <cell r="C102">
            <v>123.12350330737669</v>
          </cell>
          <cell r="D102">
            <v>123.12350330737669</v>
          </cell>
          <cell r="F102">
            <v>123.12350330737669</v>
          </cell>
          <cell r="G102">
            <v>123.12350330737669</v>
          </cell>
          <cell r="H102">
            <v>123.12350330737669</v>
          </cell>
        </row>
        <row r="103">
          <cell r="A103" t="str">
            <v>Add Purchase Accounting</v>
          </cell>
          <cell r="B103">
            <v>0</v>
          </cell>
          <cell r="F103">
            <v>0</v>
          </cell>
        </row>
        <row r="104">
          <cell r="A104" t="str">
            <v>Less Net BV of Assets</v>
          </cell>
          <cell r="B104">
            <v>65.286376957213434</v>
          </cell>
          <cell r="C104">
            <v>65.286376957213434</v>
          </cell>
          <cell r="D104">
            <v>65.286376957213434</v>
          </cell>
          <cell r="F104">
            <v>65.286376957213434</v>
          </cell>
          <cell r="G104">
            <v>65.286376957213434</v>
          </cell>
          <cell r="H104">
            <v>65.286376957213434</v>
          </cell>
        </row>
        <row r="105">
          <cell r="A105" t="str">
            <v>Less Asset Write-up</v>
          </cell>
          <cell r="B105">
            <v>0</v>
          </cell>
          <cell r="C105">
            <v>0</v>
          </cell>
          <cell r="D105">
            <v>0</v>
          </cell>
          <cell r="F105">
            <v>0</v>
          </cell>
          <cell r="G105">
            <v>0</v>
          </cell>
          <cell r="H105">
            <v>0</v>
          </cell>
        </row>
        <row r="106">
          <cell r="A106" t="str">
            <v>Total Goodwill</v>
          </cell>
          <cell r="B106">
            <v>57.83712635016326</v>
          </cell>
          <cell r="C106">
            <v>57.83712635016326</v>
          </cell>
          <cell r="D106">
            <v>57.83712635016326</v>
          </cell>
          <cell r="F106">
            <v>57.83712635016326</v>
          </cell>
          <cell r="G106">
            <v>57.83712635016326</v>
          </cell>
          <cell r="H106">
            <v>57.83712635016326</v>
          </cell>
        </row>
        <row r="108">
          <cell r="A108" t="str">
            <v xml:space="preserve">Total Annual Goodwill Expense </v>
          </cell>
          <cell r="B108">
            <v>2.3134850540065304</v>
          </cell>
          <cell r="C108">
            <v>2.3134850540065304</v>
          </cell>
          <cell r="D108">
            <v>2.3134850540065304</v>
          </cell>
          <cell r="F108">
            <v>2.3134850540065304</v>
          </cell>
          <cell r="G108">
            <v>2.3134850540065304</v>
          </cell>
          <cell r="H108">
            <v>2.3134850540065304</v>
          </cell>
        </row>
        <row r="110">
          <cell r="A110" t="str">
            <v>Dilution Purchase Price Threshold</v>
          </cell>
          <cell r="B110">
            <v>0</v>
          </cell>
          <cell r="C110">
            <v>0</v>
          </cell>
          <cell r="D110">
            <v>0</v>
          </cell>
          <cell r="F110">
            <v>0</v>
          </cell>
          <cell r="G110">
            <v>0</v>
          </cell>
          <cell r="H110">
            <v>0</v>
          </cell>
        </row>
        <row r="112">
          <cell r="A112" t="str">
            <v>(1) Capital structure of acquisition: 100% debt.</v>
          </cell>
        </row>
        <row r="113">
          <cell r="G113">
            <v>1</v>
          </cell>
          <cell r="H113">
            <v>2</v>
          </cell>
          <cell r="J113">
            <v>3</v>
          </cell>
          <cell r="K113">
            <v>4</v>
          </cell>
          <cell r="L113">
            <v>5</v>
          </cell>
        </row>
        <row r="115">
          <cell r="A115" t="str">
            <v>Income Statements ($000's)</v>
          </cell>
          <cell r="O115" t="str">
            <v>Income Statements (FFR in millions)</v>
          </cell>
        </row>
        <row r="116">
          <cell r="A116" t="str">
            <v>Fiscal Year Ended June 30,</v>
          </cell>
          <cell r="O116" t="str">
            <v>Year Ended Dec 31,</v>
          </cell>
        </row>
        <row r="117">
          <cell r="A117" t="str">
            <v xml:space="preserve">Exchange rate: per Fr. Franc </v>
          </cell>
          <cell r="B117">
            <v>0.16746211169722849</v>
          </cell>
          <cell r="C117" t="str">
            <v>1995A</v>
          </cell>
          <cell r="D117" t="str">
            <v>1996A</v>
          </cell>
          <cell r="E117" t="str">
            <v>1997A</v>
          </cell>
          <cell r="F117" t="str">
            <v>1998E</v>
          </cell>
          <cell r="G117" t="str">
            <v>1999E</v>
          </cell>
          <cell r="H117" t="str">
            <v>2000E</v>
          </cell>
          <cell r="I117" t="str">
            <v>2001E</v>
          </cell>
          <cell r="J117" t="str">
            <v>2002E</v>
          </cell>
          <cell r="K117" t="str">
            <v>2003E</v>
          </cell>
          <cell r="Q117" t="str">
            <v>1995A</v>
          </cell>
          <cell r="R117" t="str">
            <v>1996A</v>
          </cell>
          <cell r="S117" t="str">
            <v>1997A</v>
          </cell>
        </row>
        <row r="119">
          <cell r="A119" t="str">
            <v>Total Sales (2)</v>
          </cell>
          <cell r="C119">
            <v>59.551369002763117</v>
          </cell>
          <cell r="D119">
            <v>62.831784308800131</v>
          </cell>
          <cell r="E119">
            <v>65.779117474671352</v>
          </cell>
          <cell r="F119">
            <v>72.008708029808247</v>
          </cell>
          <cell r="G119">
            <v>77.049317591894834</v>
          </cell>
          <cell r="H119">
            <v>82.442769823327481</v>
          </cell>
          <cell r="I119">
            <v>88.213763710960421</v>
          </cell>
          <cell r="J119">
            <v>94.388727170727662</v>
          </cell>
          <cell r="K119">
            <v>100.9959380726786</v>
          </cell>
          <cell r="O119" t="str">
            <v>Total Sales</v>
          </cell>
          <cell r="Q119">
            <v>355.61099999999999</v>
          </cell>
          <cell r="R119">
            <v>375.2</v>
          </cell>
          <cell r="S119">
            <v>392.8</v>
          </cell>
        </row>
        <row r="120">
          <cell r="A120" t="str">
            <v>Annual Growth</v>
          </cell>
          <cell r="C120" t="str">
            <v>na</v>
          </cell>
          <cell r="D120">
            <v>5.5085472609115005E-2</v>
          </cell>
          <cell r="E120">
            <v>4.6908315565032055E-2</v>
          </cell>
          <cell r="F120">
            <v>9.4704684317718835E-2</v>
          </cell>
          <cell r="G120">
            <v>7.0000000000000062E-2</v>
          </cell>
          <cell r="H120">
            <v>7.0000000000000062E-2</v>
          </cell>
          <cell r="I120">
            <v>7.0000000000000284E-2</v>
          </cell>
          <cell r="J120">
            <v>7.0000000000000062E-2</v>
          </cell>
          <cell r="K120">
            <v>7.0000000000000062E-2</v>
          </cell>
          <cell r="O120" t="str">
            <v>Annual Growth</v>
          </cell>
          <cell r="Q120" t="str">
            <v>n/a</v>
          </cell>
          <cell r="R120">
            <v>5.5085472609115005E-2</v>
          </cell>
          <cell r="S120">
            <v>4.6908315565032055E-2</v>
          </cell>
        </row>
        <row r="122">
          <cell r="A122" t="str">
            <v xml:space="preserve">Cost of Sales </v>
          </cell>
          <cell r="C122">
            <v>33.289458260068656</v>
          </cell>
          <cell r="D122">
            <v>34.816545256635685</v>
          </cell>
          <cell r="E122">
            <v>36.6407100393536</v>
          </cell>
          <cell r="F122">
            <v>40.00669848446789</v>
          </cell>
          <cell r="G122">
            <v>42.753077116302435</v>
          </cell>
          <cell r="H122">
            <v>45.333578665326968</v>
          </cell>
          <cell r="I122">
            <v>48.065860353345059</v>
          </cell>
          <cell r="J122">
            <v>50.958526942225582</v>
          </cell>
          <cell r="K122">
            <v>54.020644137817989</v>
          </cell>
          <cell r="O122" t="str">
            <v xml:space="preserve">Cost of Sales </v>
          </cell>
          <cell r="Q122">
            <v>198.78800000000001</v>
          </cell>
          <cell r="R122">
            <v>207.90700000000001</v>
          </cell>
          <cell r="S122">
            <v>218.8</v>
          </cell>
        </row>
        <row r="123">
          <cell r="A123" t="str">
            <v>Adjustments to COGS</v>
          </cell>
          <cell r="C123">
            <v>0</v>
          </cell>
          <cell r="D123">
            <v>0</v>
          </cell>
          <cell r="E123">
            <v>0</v>
          </cell>
          <cell r="F123">
            <v>0</v>
          </cell>
          <cell r="G123">
            <v>0</v>
          </cell>
          <cell r="H123">
            <v>0</v>
          </cell>
          <cell r="I123">
            <v>0</v>
          </cell>
          <cell r="J123">
            <v>0</v>
          </cell>
          <cell r="K123">
            <v>0</v>
          </cell>
          <cell r="O123" t="str">
            <v>Adjustments to COGS</v>
          </cell>
          <cell r="Q123">
            <v>0</v>
          </cell>
          <cell r="R123">
            <v>0</v>
          </cell>
          <cell r="S123">
            <v>0</v>
          </cell>
        </row>
        <row r="124">
          <cell r="A124" t="str">
            <v xml:space="preserve">Total Gross Profit </v>
          </cell>
          <cell r="C124">
            <v>26.261910742694461</v>
          </cell>
          <cell r="D124">
            <v>28.015239052164446</v>
          </cell>
          <cell r="E124">
            <v>29.138407435317752</v>
          </cell>
          <cell r="F124">
            <v>32.002009545340357</v>
          </cell>
          <cell r="G124">
            <v>34.296240475592398</v>
          </cell>
          <cell r="H124">
            <v>37.109191158000513</v>
          </cell>
          <cell r="I124">
            <v>40.147903357615363</v>
          </cell>
          <cell r="J124">
            <v>43.430200228502081</v>
          </cell>
          <cell r="K124">
            <v>46.975293934860609</v>
          </cell>
          <cell r="O124" t="str">
            <v xml:space="preserve">Total Gross Profit </v>
          </cell>
          <cell r="Q124">
            <v>156.82299999999998</v>
          </cell>
          <cell r="R124">
            <v>167.29299999999998</v>
          </cell>
          <cell r="S124">
            <v>174</v>
          </cell>
        </row>
        <row r="125">
          <cell r="A125" t="str">
            <v>Gross Margin %</v>
          </cell>
          <cell r="C125">
            <v>0.44099591969877194</v>
          </cell>
          <cell r="D125">
            <v>0.44587686567164181</v>
          </cell>
          <cell r="E125">
            <v>0.44297352342158852</v>
          </cell>
          <cell r="F125">
            <v>0.44441860465116273</v>
          </cell>
          <cell r="G125">
            <v>0.44512062595088026</v>
          </cell>
          <cell r="H125">
            <v>0.45012062595088032</v>
          </cell>
          <cell r="I125">
            <v>0.45512062595088038</v>
          </cell>
          <cell r="J125">
            <v>0.46012062595088038</v>
          </cell>
          <cell r="K125">
            <v>0.46512062595088027</v>
          </cell>
          <cell r="O125" t="str">
            <v>Gross Margin %</v>
          </cell>
          <cell r="Q125">
            <v>0.44099591969877194</v>
          </cell>
          <cell r="R125">
            <v>0.44587686567164175</v>
          </cell>
          <cell r="S125">
            <v>0.44297352342158858</v>
          </cell>
        </row>
        <row r="127">
          <cell r="A127" t="str">
            <v>Operating Expenses:</v>
          </cell>
          <cell r="O127" t="str">
            <v>Operating Expenses:</v>
          </cell>
        </row>
        <row r="128">
          <cell r="A128" t="str">
            <v>Employee costs</v>
          </cell>
          <cell r="C128">
            <v>7.7074436908649409</v>
          </cell>
          <cell r="D128">
            <v>8.3349242233944558</v>
          </cell>
          <cell r="E128">
            <v>9.0429540316503392</v>
          </cell>
          <cell r="F128">
            <v>9.5453403667420247</v>
          </cell>
          <cell r="G128">
            <v>10.180105501130368</v>
          </cell>
          <cell r="H128">
            <v>10.857082516955538</v>
          </cell>
          <cell r="I128">
            <v>11.579078504333081</v>
          </cell>
          <cell r="J128">
            <v>12.34908722487123</v>
          </cell>
          <cell r="K128">
            <v>13.170301525325167</v>
          </cell>
          <cell r="O128" t="str">
            <v>Employee costs</v>
          </cell>
          <cell r="Q128">
            <v>46.024999999999999</v>
          </cell>
          <cell r="R128">
            <v>49.771999999999998</v>
          </cell>
          <cell r="S128">
            <v>54</v>
          </cell>
        </row>
        <row r="129">
          <cell r="A129" t="str">
            <v>As a % of Sales</v>
          </cell>
          <cell r="C129">
            <v>0.12942513026874872</v>
          </cell>
          <cell r="D129">
            <v>0.13265458422174839</v>
          </cell>
          <cell r="E129">
            <v>0.13747454175152751</v>
          </cell>
          <cell r="F129">
            <v>0.13255813953488374</v>
          </cell>
          <cell r="G129">
            <v>0.13212453814388175</v>
          </cell>
          <cell r="H129">
            <v>0.13169235507518681</v>
          </cell>
          <cell r="I129">
            <v>0.13126158568942681</v>
          </cell>
          <cell r="J129">
            <v>0.1308322253624053</v>
          </cell>
          <cell r="K129">
            <v>0.13040426948505163</v>
          </cell>
          <cell r="O129" t="str">
            <v>As a % of Sales</v>
          </cell>
          <cell r="Q129">
            <v>0.12942513026874872</v>
          </cell>
          <cell r="R129">
            <v>0.13265458422174839</v>
          </cell>
          <cell r="S129">
            <v>0.13747454175152748</v>
          </cell>
        </row>
        <row r="131">
          <cell r="A131" t="str">
            <v>Allocation to provisions</v>
          </cell>
          <cell r="C131">
            <v>1.3050322364565017</v>
          </cell>
          <cell r="D131">
            <v>1.4302938960060285</v>
          </cell>
          <cell r="E131">
            <v>1.4974462027966173</v>
          </cell>
          <cell r="F131">
            <v>1.6387842250690781</v>
          </cell>
          <cell r="G131">
            <v>1.7534991208239135</v>
          </cell>
          <cell r="H131">
            <v>1.8762440592815874</v>
          </cell>
          <cell r="I131">
            <v>2.0075811434312985</v>
          </cell>
          <cell r="J131">
            <v>2.1481118234714898</v>
          </cell>
          <cell r="K131">
            <v>2.2984796511144943</v>
          </cell>
          <cell r="O131" t="str">
            <v>Allocation to provisions</v>
          </cell>
          <cell r="Q131">
            <v>7.7930000000000001</v>
          </cell>
          <cell r="R131">
            <v>8.5410000000000004</v>
          </cell>
          <cell r="S131">
            <v>8.9420000000000002</v>
          </cell>
        </row>
        <row r="132">
          <cell r="A132" t="str">
            <v>As a % of Sales</v>
          </cell>
          <cell r="C132">
            <v>2.191439522399476E-2</v>
          </cell>
          <cell r="D132">
            <v>2.2763859275053304E-2</v>
          </cell>
          <cell r="E132">
            <v>2.2764765784114054E-2</v>
          </cell>
          <cell r="F132">
            <v>2.2758139534883724E-2</v>
          </cell>
          <cell r="G132">
            <v>2.2758139534883721E-2</v>
          </cell>
          <cell r="H132">
            <v>2.2758139534883717E-2</v>
          </cell>
          <cell r="I132">
            <v>2.275813953488371E-2</v>
          </cell>
          <cell r="J132">
            <v>2.2758139534883714E-2</v>
          </cell>
          <cell r="K132">
            <v>2.2758139534883717E-2</v>
          </cell>
          <cell r="O132" t="str">
            <v>As a % of Sales</v>
          </cell>
          <cell r="Q132">
            <v>2.191439522399476E-2</v>
          </cell>
          <cell r="R132">
            <v>2.2763859275053307E-2</v>
          </cell>
          <cell r="S132">
            <v>2.2764765784114054E-2</v>
          </cell>
        </row>
        <row r="134">
          <cell r="A134" t="str">
            <v>Other Expenses</v>
          </cell>
          <cell r="C134">
            <v>8.5841078455999327</v>
          </cell>
          <cell r="D134">
            <v>9.3658209830025942</v>
          </cell>
          <cell r="E134">
            <v>9.421418404086074</v>
          </cell>
          <cell r="F134">
            <v>10.003349242233943</v>
          </cell>
          <cell r="G134">
            <v>10.598548522146864</v>
          </cell>
          <cell r="H134">
            <v>11.229162159214603</v>
          </cell>
          <cell r="I134">
            <v>11.897297307687875</v>
          </cell>
          <cell r="J134">
            <v>12.605186497495305</v>
          </cell>
          <cell r="K134">
            <v>13.355195094096278</v>
          </cell>
          <cell r="O134" t="str">
            <v>Other Expenses</v>
          </cell>
          <cell r="Q134">
            <v>51.26</v>
          </cell>
          <cell r="R134">
            <v>55.927999999999997</v>
          </cell>
          <cell r="S134">
            <v>56.26</v>
          </cell>
        </row>
        <row r="135">
          <cell r="A135" t="str">
            <v>As a % of Sales</v>
          </cell>
          <cell r="C135">
            <v>0.14414627219068027</v>
          </cell>
          <cell r="D135">
            <v>0.14906183368869935</v>
          </cell>
          <cell r="E135">
            <v>0.14322810590631363</v>
          </cell>
          <cell r="F135">
            <v>0.13891860465116279</v>
          </cell>
          <cell r="G135">
            <v>0.13755538469897846</v>
          </cell>
          <cell r="H135">
            <v>0.13620554213884831</v>
          </cell>
          <cell r="I135">
            <v>0.13486894569729888</v>
          </cell>
          <cell r="J135">
            <v>0.13354546538905435</v>
          </cell>
          <cell r="K135">
            <v>0.13223497250439542</v>
          </cell>
          <cell r="O135" t="str">
            <v>As a % of Sales</v>
          </cell>
          <cell r="Q135">
            <v>0.14414627219068027</v>
          </cell>
          <cell r="R135">
            <v>0.14906183368869935</v>
          </cell>
          <cell r="S135">
            <v>0.14322810590631363</v>
          </cell>
        </row>
        <row r="137">
          <cell r="A137" t="str">
            <v xml:space="preserve">Depreciation &amp; Amortization </v>
          </cell>
          <cell r="C137">
            <v>0.51930000837310553</v>
          </cell>
          <cell r="D137">
            <v>0.55882106673365151</v>
          </cell>
          <cell r="E137">
            <v>0.65276731139579669</v>
          </cell>
          <cell r="F137">
            <v>0.69948924055932338</v>
          </cell>
          <cell r="G137">
            <v>0.76553151278094744</v>
          </cell>
          <cell r="H137">
            <v>0.83619674405808542</v>
          </cell>
          <cell r="I137">
            <v>0.91180854152462287</v>
          </cell>
          <cell r="J137">
            <v>0.99271316481381811</v>
          </cell>
          <cell r="K137">
            <v>1.079281111733257</v>
          </cell>
          <cell r="O137" t="str">
            <v xml:space="preserve">Depreciation &amp; Amortization </v>
          </cell>
          <cell r="Q137">
            <v>3.101</v>
          </cell>
          <cell r="R137">
            <v>3.3370000000000002</v>
          </cell>
          <cell r="S137">
            <v>3.8980000000000001</v>
          </cell>
        </row>
        <row r="138">
          <cell r="A138" t="str">
            <v>As a % of Sales</v>
          </cell>
          <cell r="C138">
            <v>8.7202026933924995E-3</v>
          </cell>
          <cell r="D138">
            <v>8.8939232409381667E-3</v>
          </cell>
          <cell r="E138">
            <v>9.9236252545824855E-3</v>
          </cell>
          <cell r="F138">
            <v>9.7139534883720936E-3</v>
          </cell>
          <cell r="G138">
            <v>9.9356040612289236E-3</v>
          </cell>
          <cell r="H138">
            <v>1.0142754129319422E-2</v>
          </cell>
          <cell r="I138">
            <v>1.0336352323796519E-2</v>
          </cell>
          <cell r="J138">
            <v>1.0517285215831193E-2</v>
          </cell>
          <cell r="K138">
            <v>1.0686381376611263E-2</v>
          </cell>
          <cell r="O138" t="str">
            <v>As a % of Sales</v>
          </cell>
          <cell r="Q138">
            <v>8.7202026933924995E-3</v>
          </cell>
          <cell r="R138">
            <v>8.8939232409381667E-3</v>
          </cell>
          <cell r="S138">
            <v>9.9236252545824855E-3</v>
          </cell>
        </row>
        <row r="140">
          <cell r="A140" t="str">
            <v>Operating Income</v>
          </cell>
          <cell r="C140">
            <v>8.1460269613999792</v>
          </cell>
          <cell r="D140">
            <v>8.3253788830277173</v>
          </cell>
          <cell r="E140">
            <v>8.5238214853889254</v>
          </cell>
          <cell r="F140">
            <v>10.115046470735988</v>
          </cell>
          <cell r="G140">
            <v>10.998555818710303</v>
          </cell>
          <cell r="H140">
            <v>12.310505678490699</v>
          </cell>
          <cell r="I140">
            <v>13.752137860638483</v>
          </cell>
          <cell r="J140">
            <v>15.335101517850237</v>
          </cell>
          <cell r="K140">
            <v>17.072036552591417</v>
          </cell>
          <cell r="O140" t="str">
            <v>Operating Income</v>
          </cell>
          <cell r="Q140">
            <v>48.64399999999997</v>
          </cell>
          <cell r="R140">
            <v>49.714999999999989</v>
          </cell>
          <cell r="S140">
            <v>50.899999999999991</v>
          </cell>
        </row>
        <row r="141">
          <cell r="A141" t="str">
            <v>Operating Margin</v>
          </cell>
          <cell r="C141">
            <v>0.13678991932195569</v>
          </cell>
          <cell r="D141">
            <v>0.1325026652452026</v>
          </cell>
          <cell r="E141">
            <v>0.12958248472505085</v>
          </cell>
          <cell r="F141">
            <v>0.14046976744186038</v>
          </cell>
          <cell r="G141">
            <v>0.14274695951190736</v>
          </cell>
          <cell r="H141">
            <v>0.14932183507264207</v>
          </cell>
          <cell r="I141">
            <v>0.15589560270547442</v>
          </cell>
          <cell r="J141">
            <v>0.1624675104487058</v>
          </cell>
          <cell r="K141">
            <v>0.16903686304993826</v>
          </cell>
          <cell r="O141" t="str">
            <v>Operating Margin</v>
          </cell>
          <cell r="Q141">
            <v>0.13678991932195564</v>
          </cell>
          <cell r="R141">
            <v>0.13250266524520254</v>
          </cell>
          <cell r="S141">
            <v>0.12958248472505088</v>
          </cell>
        </row>
        <row r="143">
          <cell r="A143" t="str">
            <v>Employee Profit Sharing</v>
          </cell>
          <cell r="C143">
            <v>0.54709871891484552</v>
          </cell>
          <cell r="D143">
            <v>0.51578330402746375</v>
          </cell>
          <cell r="E143">
            <v>0.46889391275223974</v>
          </cell>
          <cell r="F143">
            <v>0.59114125429121656</v>
          </cell>
          <cell r="G143">
            <v>0.61639454073515865</v>
          </cell>
          <cell r="H143">
            <v>0.65954215858661991</v>
          </cell>
          <cell r="I143">
            <v>0.70571010968768333</v>
          </cell>
          <cell r="J143">
            <v>0.75510981736582139</v>
          </cell>
          <cell r="K143">
            <v>0.80796750458142885</v>
          </cell>
          <cell r="O143" t="str">
            <v>Employee Profit Sharing</v>
          </cell>
          <cell r="Q143">
            <v>3.2669999999999999</v>
          </cell>
          <cell r="R143">
            <v>3.08</v>
          </cell>
          <cell r="S143">
            <v>2.8</v>
          </cell>
        </row>
        <row r="144">
          <cell r="A144" t="str">
            <v>As a % of Sales</v>
          </cell>
          <cell r="C144">
            <v>9.1870049014231847E-3</v>
          </cell>
          <cell r="D144">
            <v>8.2089552238805968E-3</v>
          </cell>
          <cell r="E144">
            <v>7.1283095723014252E-3</v>
          </cell>
          <cell r="F144">
            <v>8.2093023255813951E-3</v>
          </cell>
          <cell r="G144">
            <v>8.0000000000000002E-3</v>
          </cell>
          <cell r="H144">
            <v>8.0000000000000002E-3</v>
          </cell>
          <cell r="I144">
            <v>8.0000000000000002E-3</v>
          </cell>
          <cell r="J144">
            <v>8.0000000000000002E-3</v>
          </cell>
          <cell r="K144">
            <v>8.0000000000000002E-3</v>
          </cell>
          <cell r="O144" t="str">
            <v>As a % of Sales</v>
          </cell>
          <cell r="Q144">
            <v>9.1870049014231847E-3</v>
          </cell>
          <cell r="R144">
            <v>8.2089552238805968E-3</v>
          </cell>
          <cell r="S144">
            <v>7.1283095723014252E-3</v>
          </cell>
        </row>
        <row r="146">
          <cell r="A146" t="str">
            <v>Adjustments / (Cost Savings)</v>
          </cell>
          <cell r="C146">
            <v>0</v>
          </cell>
          <cell r="D146">
            <v>0</v>
          </cell>
          <cell r="E146">
            <v>0</v>
          </cell>
          <cell r="F146">
            <v>0</v>
          </cell>
          <cell r="G146">
            <v>0</v>
          </cell>
          <cell r="H146">
            <v>0</v>
          </cell>
          <cell r="I146">
            <v>0</v>
          </cell>
          <cell r="J146">
            <v>0</v>
          </cell>
          <cell r="K146">
            <v>0</v>
          </cell>
          <cell r="O146" t="str">
            <v>Adjustments / Cost Savings</v>
          </cell>
          <cell r="Q146">
            <v>0</v>
          </cell>
          <cell r="R146">
            <v>0</v>
          </cell>
          <cell r="S146">
            <v>0</v>
          </cell>
        </row>
        <row r="147">
          <cell r="A147" t="str">
            <v>As a % of EBIT</v>
          </cell>
          <cell r="C147">
            <v>0</v>
          </cell>
          <cell r="D147">
            <v>0</v>
          </cell>
          <cell r="E147">
            <v>0</v>
          </cell>
          <cell r="F147">
            <v>0</v>
          </cell>
          <cell r="G147">
            <v>0</v>
          </cell>
          <cell r="H147">
            <v>0</v>
          </cell>
          <cell r="I147">
            <v>0</v>
          </cell>
          <cell r="J147">
            <v>0</v>
          </cell>
          <cell r="K147">
            <v>0</v>
          </cell>
          <cell r="O147" t="str">
            <v>As a % of EBIT</v>
          </cell>
          <cell r="Q147">
            <v>0</v>
          </cell>
          <cell r="R147">
            <v>0</v>
          </cell>
          <cell r="S147">
            <v>0</v>
          </cell>
        </row>
        <row r="149">
          <cell r="A149" t="str">
            <v>Adj. EBIT</v>
          </cell>
          <cell r="C149">
            <v>7.5989282424851332</v>
          </cell>
          <cell r="D149">
            <v>7.8095955790002538</v>
          </cell>
          <cell r="E149">
            <v>8.0549275726366858</v>
          </cell>
          <cell r="F149">
            <v>9.5239052164447724</v>
          </cell>
          <cell r="G149">
            <v>10.382161277975143</v>
          </cell>
          <cell r="H149">
            <v>11.65096351990408</v>
          </cell>
          <cell r="I149">
            <v>13.0464277509508</v>
          </cell>
          <cell r="J149">
            <v>14.579991700484415</v>
          </cell>
          <cell r="K149">
            <v>16.264069048009986</v>
          </cell>
          <cell r="O149" t="str">
            <v>Adj. EBIT</v>
          </cell>
          <cell r="Q149">
            <v>45.376999999999967</v>
          </cell>
          <cell r="R149">
            <v>46.634999999999991</v>
          </cell>
          <cell r="S149">
            <v>48.099999999999994</v>
          </cell>
        </row>
        <row r="150">
          <cell r="A150" t="str">
            <v>As a % Of Sales</v>
          </cell>
          <cell r="C150">
            <v>0.12760291442053248</v>
          </cell>
          <cell r="D150">
            <v>0.12429371002132202</v>
          </cell>
          <cell r="E150">
            <v>0.12245417515274942</v>
          </cell>
          <cell r="F150">
            <v>0.13226046511627898</v>
          </cell>
          <cell r="G150">
            <v>0.13474695951190735</v>
          </cell>
          <cell r="H150">
            <v>0.14132183507264209</v>
          </cell>
          <cell r="I150">
            <v>0.14789560270547442</v>
          </cell>
          <cell r="J150">
            <v>0.1544675104487058</v>
          </cell>
          <cell r="K150">
            <v>0.16103686304993822</v>
          </cell>
          <cell r="O150" t="str">
            <v>As a % Of Sales</v>
          </cell>
          <cell r="Q150">
            <v>0.12760291442053245</v>
          </cell>
          <cell r="R150">
            <v>0.12429371002132195</v>
          </cell>
          <cell r="S150">
            <v>0.12245417515274948</v>
          </cell>
        </row>
        <row r="152">
          <cell r="A152" t="str">
            <v>Other Expenses /  (Income)</v>
          </cell>
          <cell r="C152">
            <v>-0.15523737754333083</v>
          </cell>
          <cell r="D152">
            <v>-0.2850205141086829</v>
          </cell>
          <cell r="E152">
            <v>-0.30143180105501127</v>
          </cell>
          <cell r="F152">
            <v>0</v>
          </cell>
          <cell r="G152">
            <v>0</v>
          </cell>
          <cell r="H152">
            <v>0</v>
          </cell>
          <cell r="I152">
            <v>0</v>
          </cell>
          <cell r="J152">
            <v>0</v>
          </cell>
          <cell r="K152">
            <v>0</v>
          </cell>
          <cell r="O152" t="str">
            <v>Extra-ordinary (gains)/ losses</v>
          </cell>
          <cell r="Q152">
            <v>-0.92700000000000005</v>
          </cell>
          <cell r="R152">
            <v>-1.702</v>
          </cell>
          <cell r="S152">
            <v>-1.8</v>
          </cell>
        </row>
        <row r="153">
          <cell r="A153" t="str">
            <v>Financial (income)/ expense</v>
          </cell>
          <cell r="C153">
            <v>-2.1133718496190235</v>
          </cell>
          <cell r="D153">
            <v>-2.5852800803818137</v>
          </cell>
          <cell r="E153">
            <v>-2.5829356108180521</v>
          </cell>
          <cell r="F153">
            <v>-0.47375031399145945</v>
          </cell>
          <cell r="G153">
            <v>-2.9964467202416638</v>
          </cell>
          <cell r="H153">
            <v>-3.3826635022734748</v>
          </cell>
          <cell r="I153">
            <v>-3.8913153593632961</v>
          </cell>
          <cell r="J153">
            <v>-4.4721487484191682</v>
          </cell>
          <cell r="K153">
            <v>-5.1329555676969463</v>
          </cell>
          <cell r="O153" t="str">
            <v>Financial (income)/ expense</v>
          </cell>
          <cell r="Q153">
            <v>-12.62</v>
          </cell>
          <cell r="R153">
            <v>-15.438000000000001</v>
          </cell>
          <cell r="S153">
            <v>-15.423999999999999</v>
          </cell>
        </row>
        <row r="154">
          <cell r="A154" t="str">
            <v>Pre-tax Income</v>
          </cell>
          <cell r="C154">
            <v>9.8675374696474876</v>
          </cell>
          <cell r="D154">
            <v>10.67989617349075</v>
          </cell>
          <cell r="E154">
            <v>10.93929498450975</v>
          </cell>
          <cell r="F154">
            <v>9.9976555304362318</v>
          </cell>
          <cell r="G154">
            <v>13.378607998216808</v>
          </cell>
          <cell r="H154">
            <v>15.033627022177555</v>
          </cell>
          <cell r="I154">
            <v>16.937743110314095</v>
          </cell>
          <cell r="J154">
            <v>19.052140448903582</v>
          </cell>
          <cell r="K154">
            <v>21.397024615706933</v>
          </cell>
          <cell r="O154" t="str">
            <v>Pre-tax Income</v>
          </cell>
          <cell r="Q154">
            <v>58.923999999999964</v>
          </cell>
          <cell r="R154">
            <v>63.774999999999991</v>
          </cell>
          <cell r="S154">
            <v>65.323999999999984</v>
          </cell>
        </row>
        <row r="156">
          <cell r="A156" t="str">
            <v xml:space="preserve">Income Taxes @ </v>
          </cell>
          <cell r="C156">
            <v>3.6920371765887965</v>
          </cell>
          <cell r="D156">
            <v>3.0735995980909316</v>
          </cell>
          <cell r="E156">
            <v>4.3757849786485803</v>
          </cell>
          <cell r="F156">
            <v>3.9989952273298162</v>
          </cell>
          <cell r="G156">
            <v>5.3514431992867229</v>
          </cell>
          <cell r="H156">
            <v>6.0134508088710197</v>
          </cell>
          <cell r="I156">
            <v>6.7750972441256403</v>
          </cell>
          <cell r="J156">
            <v>7.6208561795614331</v>
          </cell>
          <cell r="K156">
            <v>8.5588098462827755</v>
          </cell>
          <cell r="O156" t="str">
            <v xml:space="preserve">Income Taxes @ </v>
          </cell>
          <cell r="Q156">
            <v>22.047000000000001</v>
          </cell>
          <cell r="R156">
            <v>18.353999999999999</v>
          </cell>
          <cell r="S156">
            <v>26.13</v>
          </cell>
        </row>
        <row r="157">
          <cell r="A157" t="str">
            <v>Net Income (check with RG)</v>
          </cell>
          <cell r="C157">
            <v>6.1755002930586915</v>
          </cell>
          <cell r="D157">
            <v>7.6062965753998188</v>
          </cell>
          <cell r="E157">
            <v>6.5635100058611702</v>
          </cell>
          <cell r="F157">
            <v>5.9986603031064156</v>
          </cell>
          <cell r="G157">
            <v>8.0271647989300838</v>
          </cell>
          <cell r="H157">
            <v>9.0201762133065344</v>
          </cell>
          <cell r="I157">
            <v>10.162645866188456</v>
          </cell>
          <cell r="J157">
            <v>11.43128426934215</v>
          </cell>
          <cell r="K157">
            <v>12.838214769424157</v>
          </cell>
          <cell r="O157" t="str">
            <v>Net Income (check with RG)</v>
          </cell>
          <cell r="Q157">
            <v>36.876999999999967</v>
          </cell>
          <cell r="R157">
            <v>45.420999999999992</v>
          </cell>
          <cell r="S157">
            <v>39.193999999999988</v>
          </cell>
        </row>
        <row r="159">
          <cell r="A159" t="str">
            <v>Return on Sales</v>
          </cell>
          <cell r="C159">
            <v>0.10370039172016608</v>
          </cell>
          <cell r="D159">
            <v>0.12105810234541584</v>
          </cell>
          <cell r="E159">
            <v>9.9781059063136404E-2</v>
          </cell>
          <cell r="F159">
            <v>8.3304651162790622E-2</v>
          </cell>
          <cell r="G159">
            <v>0.1041821660439274</v>
          </cell>
          <cell r="H159">
            <v>0.10941136782081093</v>
          </cell>
          <cell r="I159">
            <v>0.11520476441167607</v>
          </cell>
          <cell r="J159">
            <v>0.12110857527155298</v>
          </cell>
          <cell r="K159">
            <v>0.12711614956420855</v>
          </cell>
          <cell r="O159" t="str">
            <v>Return on Sales</v>
          </cell>
          <cell r="Q159">
            <v>0.10370039172016604</v>
          </cell>
          <cell r="R159">
            <v>0.12105810234541577</v>
          </cell>
          <cell r="S159">
            <v>9.9781059063136418E-2</v>
          </cell>
        </row>
        <row r="160">
          <cell r="A160" t="str">
            <v>Adj. EBIT Growth</v>
          </cell>
          <cell r="C160" t="str">
            <v>na</v>
          </cell>
          <cell r="D160">
            <v>2.7723295942879478E-2</v>
          </cell>
          <cell r="E160">
            <v>3.1414173903719478E-2</v>
          </cell>
          <cell r="F160">
            <v>0.18237006237006237</v>
          </cell>
          <cell r="G160">
            <v>9.0115980999940559E-2</v>
          </cell>
          <cell r="H160">
            <v>0.12220983742764524</v>
          </cell>
          <cell r="I160">
            <v>0.11977243158153916</v>
          </cell>
          <cell r="J160">
            <v>0.11754665559097988</v>
          </cell>
          <cell r="K160">
            <v>0.11550605666460134</v>
          </cell>
          <cell r="O160" t="str">
            <v>Adj. EBIT Growth</v>
          </cell>
          <cell r="Q160" t="str">
            <v>n/a</v>
          </cell>
          <cell r="R160">
            <v>2.7723295942879034E-2</v>
          </cell>
          <cell r="S160">
            <v>3.1414173903720366E-2</v>
          </cell>
        </row>
        <row r="161">
          <cell r="A161" t="str">
            <v>Book Value</v>
          </cell>
          <cell r="C161">
            <v>50.510926902788235</v>
          </cell>
          <cell r="D161">
            <v>55.225990119735414</v>
          </cell>
          <cell r="E161">
            <v>59.281085154483797</v>
          </cell>
          <cell r="F161">
            <v>65.286376957213434</v>
          </cell>
          <cell r="G161">
            <v>71.515673723998518</v>
          </cell>
          <cell r="H161">
            <v>80.535849937305045</v>
          </cell>
          <cell r="I161">
            <v>90.698495803493486</v>
          </cell>
          <cell r="J161">
            <v>102.12978007283563</v>
          </cell>
          <cell r="K161">
            <v>114.96799484225981</v>
          </cell>
          <cell r="O161" t="str">
            <v>Book Value</v>
          </cell>
          <cell r="Q161">
            <v>301.62599999999998</v>
          </cell>
          <cell r="R161">
            <v>329.78200000000004</v>
          </cell>
          <cell r="S161">
            <v>353.99700000000001</v>
          </cell>
        </row>
        <row r="162">
          <cell r="A162" t="str">
            <v>EPS</v>
          </cell>
          <cell r="O162" t="str">
            <v>EPS</v>
          </cell>
        </row>
        <row r="163">
          <cell r="A163" t="str">
            <v>Capital Expenditures  (4)</v>
          </cell>
          <cell r="C163">
            <v>7.1338859583019332E-2</v>
          </cell>
          <cell r="D163">
            <v>0.94247676463200203</v>
          </cell>
          <cell r="E163">
            <v>0.98668676212007034</v>
          </cell>
          <cell r="F163">
            <v>1.0801306204471237</v>
          </cell>
          <cell r="G163">
            <v>1.1557397638784226</v>
          </cell>
          <cell r="H163">
            <v>1.2366415473499122</v>
          </cell>
          <cell r="I163">
            <v>1.3232064556644063</v>
          </cell>
          <cell r="J163">
            <v>1.4158309075609148</v>
          </cell>
          <cell r="K163">
            <v>1.5149390710901789</v>
          </cell>
          <cell r="O163" t="str">
            <v>Capital Expenditures  (4)</v>
          </cell>
          <cell r="Q163">
            <v>0.42599999999999999</v>
          </cell>
          <cell r="R163">
            <v>5.6280000000000001</v>
          </cell>
          <cell r="S163">
            <v>5.8920000000000003</v>
          </cell>
        </row>
        <row r="164">
          <cell r="A164" t="str">
            <v>D&amp;A</v>
          </cell>
          <cell r="C164">
            <v>0.51930000837310553</v>
          </cell>
          <cell r="D164">
            <v>0.55882106673365151</v>
          </cell>
          <cell r="E164">
            <v>0.65276731139579669</v>
          </cell>
          <cell r="F164">
            <v>0.69948924055932338</v>
          </cell>
          <cell r="G164">
            <v>0.76553151278094744</v>
          </cell>
          <cell r="H164">
            <v>0.83619674405808542</v>
          </cell>
          <cell r="I164">
            <v>0.91180854152462287</v>
          </cell>
          <cell r="J164">
            <v>0.99271316481381811</v>
          </cell>
          <cell r="K164">
            <v>1.079281111733257</v>
          </cell>
          <cell r="O164" t="str">
            <v>D&amp;A</v>
          </cell>
          <cell r="Q164">
            <v>3.101</v>
          </cell>
          <cell r="R164">
            <v>3.3370000000000002</v>
          </cell>
          <cell r="S164">
            <v>3.8980000000000001</v>
          </cell>
        </row>
        <row r="165">
          <cell r="A165" t="str">
            <v>Tax Rate</v>
          </cell>
          <cell r="C165">
            <v>0.37415993483130827</v>
          </cell>
          <cell r="D165">
            <v>0.28779302234417864</v>
          </cell>
          <cell r="E165">
            <v>0.40000612332374025</v>
          </cell>
          <cell r="F165">
            <v>0.39999329994472477</v>
          </cell>
          <cell r="G165">
            <v>0.39999999999999997</v>
          </cell>
          <cell r="H165">
            <v>0.39999999999999986</v>
          </cell>
          <cell r="I165">
            <v>0.40000000000000013</v>
          </cell>
          <cell r="J165">
            <v>0.4</v>
          </cell>
          <cell r="K165">
            <v>0.40000000000000013</v>
          </cell>
          <cell r="O165" t="str">
            <v>Tax Rate</v>
          </cell>
          <cell r="Q165">
            <v>0.37415993483130838</v>
          </cell>
          <cell r="R165">
            <v>0.28779302234417881</v>
          </cell>
          <cell r="S165">
            <v>0.40000612332374019</v>
          </cell>
        </row>
        <row r="166">
          <cell r="A166" t="str">
            <v>EPS</v>
          </cell>
          <cell r="O166" t="str">
            <v>EPS</v>
          </cell>
        </row>
        <row r="169">
          <cell r="A169" t="str">
            <v>Cash Flow Statements ($000's)</v>
          </cell>
          <cell r="O169" t="str">
            <v>Cash Flow Statements (Lira in millions)</v>
          </cell>
        </row>
        <row r="171">
          <cell r="C171" t="str">
            <v>1995A</v>
          </cell>
          <cell r="D171" t="str">
            <v>1996A</v>
          </cell>
          <cell r="E171" t="str">
            <v>1997A</v>
          </cell>
          <cell r="F171" t="str">
            <v>1998E</v>
          </cell>
          <cell r="G171" t="str">
            <v>1999E</v>
          </cell>
          <cell r="H171" t="str">
            <v>2000E</v>
          </cell>
          <cell r="I171" t="str">
            <v>2001E</v>
          </cell>
          <cell r="J171" t="str">
            <v>2002E</v>
          </cell>
          <cell r="K171" t="str">
            <v>2003E</v>
          </cell>
          <cell r="Q171" t="str">
            <v>1995A</v>
          </cell>
          <cell r="R171" t="str">
            <v>1996A</v>
          </cell>
          <cell r="S171" t="str">
            <v>1997A</v>
          </cell>
        </row>
        <row r="172">
          <cell r="A172" t="str">
            <v>EBIT</v>
          </cell>
          <cell r="C172">
            <v>7.5989282424851332</v>
          </cell>
          <cell r="D172">
            <v>7.8095955790002538</v>
          </cell>
          <cell r="E172">
            <v>8.0549275726366858</v>
          </cell>
          <cell r="F172">
            <v>9.5239052164447724</v>
          </cell>
          <cell r="G172">
            <v>10.382161277975143</v>
          </cell>
          <cell r="H172">
            <v>11.65096351990408</v>
          </cell>
          <cell r="I172">
            <v>13.0464277509508</v>
          </cell>
          <cell r="J172">
            <v>14.579991700484415</v>
          </cell>
          <cell r="K172">
            <v>16.264069048009986</v>
          </cell>
          <cell r="O172" t="str">
            <v>EBIT</v>
          </cell>
          <cell r="Q172">
            <v>45.376999999999967</v>
          </cell>
          <cell r="R172">
            <v>46.634999999999991</v>
          </cell>
          <cell r="S172">
            <v>48.099999999999994</v>
          </cell>
        </row>
        <row r="173">
          <cell r="A173" t="str">
            <v xml:space="preserve">Taxes @ </v>
          </cell>
          <cell r="B173">
            <v>0.4</v>
          </cell>
          <cell r="C173">
            <v>3.0395712969940534</v>
          </cell>
          <cell r="D173">
            <v>3.1238382316001019</v>
          </cell>
          <cell r="E173">
            <v>3.2219710290546746</v>
          </cell>
          <cell r="F173">
            <v>3.809562086577909</v>
          </cell>
          <cell r="G173">
            <v>4.1528645111900575</v>
          </cell>
          <cell r="H173">
            <v>4.6603854079616323</v>
          </cell>
          <cell r="I173">
            <v>5.2185711003803199</v>
          </cell>
          <cell r="J173">
            <v>5.8319966801937664</v>
          </cell>
          <cell r="K173">
            <v>6.5056276192039952</v>
          </cell>
          <cell r="O173" t="str">
            <v xml:space="preserve">Taxes @ </v>
          </cell>
          <cell r="Q173">
            <v>18.150799999999986</v>
          </cell>
          <cell r="R173">
            <v>18.653999999999996</v>
          </cell>
          <cell r="S173">
            <v>19.239999999999998</v>
          </cell>
        </row>
        <row r="174">
          <cell r="A174" t="str">
            <v>EBIAT</v>
          </cell>
          <cell r="C174">
            <v>4.5593569454910803</v>
          </cell>
          <cell r="D174">
            <v>4.6857573474001519</v>
          </cell>
          <cell r="E174">
            <v>4.8329565435820108</v>
          </cell>
          <cell r="F174">
            <v>5.7143431298668634</v>
          </cell>
          <cell r="G174">
            <v>6.2292967667850858</v>
          </cell>
          <cell r="H174">
            <v>6.9905781119424475</v>
          </cell>
          <cell r="I174">
            <v>7.8278566505704799</v>
          </cell>
          <cell r="J174">
            <v>8.7479950202906487</v>
          </cell>
          <cell r="K174">
            <v>9.7584414288059911</v>
          </cell>
          <cell r="O174" t="str">
            <v>EBIAT</v>
          </cell>
          <cell r="Q174">
            <v>27.226199999999981</v>
          </cell>
          <cell r="R174">
            <v>27.980999999999995</v>
          </cell>
          <cell r="S174">
            <v>28.859999999999996</v>
          </cell>
        </row>
        <row r="176">
          <cell r="A176" t="str">
            <v>Pre-Deal Amortization</v>
          </cell>
          <cell r="C176">
            <v>0</v>
          </cell>
          <cell r="D176">
            <v>0</v>
          </cell>
          <cell r="E176">
            <v>0</v>
          </cell>
          <cell r="F176">
            <v>0</v>
          </cell>
          <cell r="G176">
            <v>0</v>
          </cell>
          <cell r="H176">
            <v>0</v>
          </cell>
          <cell r="I176">
            <v>0</v>
          </cell>
          <cell r="J176">
            <v>0</v>
          </cell>
          <cell r="K176">
            <v>0</v>
          </cell>
          <cell r="O176" t="str">
            <v>Pre-Deal Amortization</v>
          </cell>
          <cell r="Q176">
            <v>0</v>
          </cell>
          <cell r="R176">
            <v>0</v>
          </cell>
          <cell r="S176">
            <v>0</v>
          </cell>
        </row>
        <row r="177">
          <cell r="A177" t="str">
            <v>Depreciation</v>
          </cell>
          <cell r="C177">
            <v>0.51930000837310553</v>
          </cell>
          <cell r="D177">
            <v>0.55882106673365151</v>
          </cell>
          <cell r="E177">
            <v>0.65276731139579669</v>
          </cell>
          <cell r="F177">
            <v>0.69948924055932338</v>
          </cell>
          <cell r="G177">
            <v>0.76553151278094744</v>
          </cell>
          <cell r="H177">
            <v>0.85886480068499149</v>
          </cell>
          <cell r="I177">
            <v>0.9508571807872026</v>
          </cell>
          <cell r="J177">
            <v>1.0429747828851776</v>
          </cell>
          <cell r="K177">
            <v>1.1364773100214707</v>
          </cell>
          <cell r="O177" t="str">
            <v>Depreciation</v>
          </cell>
          <cell r="Q177">
            <v>3.101</v>
          </cell>
          <cell r="R177">
            <v>3.3370000000000002</v>
          </cell>
          <cell r="S177">
            <v>3.8980000000000001</v>
          </cell>
        </row>
        <row r="178">
          <cell r="A178" t="str">
            <v>Total D &amp; A</v>
          </cell>
          <cell r="C178">
            <v>0.51930000837310553</v>
          </cell>
          <cell r="D178">
            <v>0.55882106673365151</v>
          </cell>
          <cell r="E178">
            <v>0.65276731139579669</v>
          </cell>
          <cell r="F178">
            <v>0.69948924055932338</v>
          </cell>
          <cell r="G178">
            <v>0.76553151278094744</v>
          </cell>
          <cell r="H178">
            <v>0.85886480068499149</v>
          </cell>
          <cell r="I178">
            <v>0.9508571807872026</v>
          </cell>
          <cell r="J178">
            <v>1.0429747828851776</v>
          </cell>
          <cell r="K178">
            <v>1.1364773100214707</v>
          </cell>
          <cell r="O178" t="str">
            <v>Total D &amp; A</v>
          </cell>
          <cell r="Q178">
            <v>3.101</v>
          </cell>
          <cell r="R178">
            <v>3.3370000000000002</v>
          </cell>
          <cell r="S178">
            <v>3.8980000000000001</v>
          </cell>
        </row>
        <row r="180">
          <cell r="A180" t="str">
            <v>Capex / Sales</v>
          </cell>
          <cell r="C180">
            <v>1.1979381965124814E-3</v>
          </cell>
          <cell r="D180">
            <v>1.5000000000000001E-2</v>
          </cell>
          <cell r="E180">
            <v>1.5000000000000001E-2</v>
          </cell>
          <cell r="F180">
            <v>1.4999999999999999E-2</v>
          </cell>
          <cell r="G180">
            <v>1.5000000000000001E-2</v>
          </cell>
          <cell r="H180">
            <v>1.4999999999999999E-2</v>
          </cell>
          <cell r="I180">
            <v>1.4999999999999999E-2</v>
          </cell>
          <cell r="J180">
            <v>1.4999999999999998E-2</v>
          </cell>
          <cell r="K180">
            <v>1.4999999999999999E-2</v>
          </cell>
          <cell r="O180" t="str">
            <v>Capex / Sales</v>
          </cell>
          <cell r="Q180">
            <v>1.1979381965124814E-3</v>
          </cell>
          <cell r="R180">
            <v>1.5000000000000001E-2</v>
          </cell>
          <cell r="S180">
            <v>1.5000000000000001E-2</v>
          </cell>
        </row>
        <row r="181">
          <cell r="A181" t="str">
            <v>Capex (1)</v>
          </cell>
          <cell r="C181">
            <v>7.1338859583019332E-2</v>
          </cell>
          <cell r="D181">
            <v>0.94247676463200203</v>
          </cell>
          <cell r="E181">
            <v>0.98668676212007034</v>
          </cell>
          <cell r="F181">
            <v>1.0801306204471237</v>
          </cell>
          <cell r="G181">
            <v>1.1557397638784226</v>
          </cell>
          <cell r="H181">
            <v>1.2366415473499122</v>
          </cell>
          <cell r="I181">
            <v>1.3232064556644063</v>
          </cell>
          <cell r="J181">
            <v>1.4158309075609148</v>
          </cell>
          <cell r="K181">
            <v>1.5149390710901789</v>
          </cell>
          <cell r="O181" t="str">
            <v>Capex (1)</v>
          </cell>
          <cell r="Q181">
            <v>0.42599999999999999</v>
          </cell>
          <cell r="R181">
            <v>5.6280000000000001</v>
          </cell>
          <cell r="S181">
            <v>5.8920000000000003</v>
          </cell>
        </row>
        <row r="182">
          <cell r="H182" t="str">
            <v xml:space="preserve"> </v>
          </cell>
          <cell r="I182" t="str">
            <v xml:space="preserve"> </v>
          </cell>
          <cell r="J182" t="str">
            <v xml:space="preserve"> </v>
          </cell>
          <cell r="K182" t="str">
            <v xml:space="preserve"> </v>
          </cell>
        </row>
        <row r="183">
          <cell r="A183" t="str">
            <v>Purchase Accounting Outflows / Sales</v>
          </cell>
          <cell r="C183">
            <v>3.3686758747971279E-6</v>
          </cell>
          <cell r="D183">
            <v>3.9978678038379534E-5</v>
          </cell>
          <cell r="E183">
            <v>3.8187372708757641E-5</v>
          </cell>
          <cell r="F183">
            <v>0</v>
          </cell>
          <cell r="G183">
            <v>0</v>
          </cell>
          <cell r="H183">
            <v>0</v>
          </cell>
          <cell r="I183">
            <v>0</v>
          </cell>
          <cell r="J183">
            <v>0</v>
          </cell>
          <cell r="K183">
            <v>0</v>
          </cell>
          <cell r="O183" t="str">
            <v>Purchase Accounting Outflows / Sales</v>
          </cell>
          <cell r="Q183">
            <v>3.3686758747971279E-6</v>
          </cell>
          <cell r="R183">
            <v>3.9978678038379534E-5</v>
          </cell>
          <cell r="S183">
            <v>3.8187372708757641E-5</v>
          </cell>
        </row>
        <row r="184">
          <cell r="A184" t="str">
            <v>Purchase Accounting Outflows</v>
          </cell>
          <cell r="C184">
            <v>2.0060926007074961E-4</v>
          </cell>
          <cell r="D184">
            <v>2.5119316754584277E-3</v>
          </cell>
          <cell r="E184">
            <v>2.5119316754584277E-3</v>
          </cell>
          <cell r="F184">
            <v>0</v>
          </cell>
          <cell r="G184">
            <v>0</v>
          </cell>
          <cell r="H184">
            <v>0</v>
          </cell>
          <cell r="I184">
            <v>0</v>
          </cell>
          <cell r="J184">
            <v>0</v>
          </cell>
          <cell r="K184">
            <v>0</v>
          </cell>
          <cell r="O184" t="str">
            <v>Purchase Accounting Outflows</v>
          </cell>
          <cell r="Q184">
            <v>1.1979381965124814E-3</v>
          </cell>
          <cell r="R184">
            <v>1.5000000000000001E-2</v>
          </cell>
          <cell r="S184">
            <v>1.5000000000000001E-2</v>
          </cell>
        </row>
        <row r="185">
          <cell r="H185" t="str">
            <v xml:space="preserve"> </v>
          </cell>
          <cell r="I185" t="str">
            <v xml:space="preserve"> </v>
          </cell>
          <cell r="J185" t="str">
            <v xml:space="preserve"> </v>
          </cell>
          <cell r="K185" t="str">
            <v xml:space="preserve"> </v>
          </cell>
        </row>
        <row r="186">
          <cell r="A186" t="str">
            <v>Working Capital / Sales</v>
          </cell>
          <cell r="C186">
            <v>0.25159514188256266</v>
          </cell>
          <cell r="D186">
            <v>0.22048773987206821</v>
          </cell>
          <cell r="E186">
            <v>0.24872708757637482</v>
          </cell>
          <cell r="F186">
            <v>0.24873501306757897</v>
          </cell>
          <cell r="G186">
            <v>0.24873886327580416</v>
          </cell>
          <cell r="H186">
            <v>0.24876628557927766</v>
          </cell>
          <cell r="I186">
            <v>0.24879370788275113</v>
          </cell>
          <cell r="J186">
            <v>0.24882113018622462</v>
          </cell>
          <cell r="K186">
            <v>0.24884855248969814</v>
          </cell>
          <cell r="O186" t="str">
            <v>Working Capital / Sales</v>
          </cell>
          <cell r="Q186">
            <v>0.25159514188256271</v>
          </cell>
          <cell r="R186">
            <v>0.22048773987206824</v>
          </cell>
          <cell r="S186">
            <v>0.24872708757637479</v>
          </cell>
        </row>
        <row r="187">
          <cell r="A187" t="str">
            <v>Working Capital (2)</v>
          </cell>
          <cell r="C187">
            <v>14.982835133551031</v>
          </cell>
          <cell r="D187">
            <v>13.85363811437662</v>
          </cell>
          <cell r="E187">
            <v>16.361048312819229</v>
          </cell>
          <cell r="F187">
            <v>17.911086932773834</v>
          </cell>
          <cell r="G187">
            <v>19.165159673984341</v>
          </cell>
          <cell r="H187">
            <v>20.508981621816538</v>
          </cell>
          <cell r="I187">
            <v>21.947029359942718</v>
          </cell>
          <cell r="J187">
            <v>23.485909771459664</v>
          </cell>
          <cell r="K187">
            <v>25.132692996725265</v>
          </cell>
          <cell r="O187" t="str">
            <v>Working Capital (2)</v>
          </cell>
          <cell r="Q187">
            <v>89.47</v>
          </cell>
          <cell r="R187">
            <v>82.727000000000004</v>
          </cell>
          <cell r="S187">
            <v>97.700000000000017</v>
          </cell>
        </row>
        <row r="188">
          <cell r="A188" t="str">
            <v>Change In WC</v>
          </cell>
          <cell r="C188">
            <v>14.982835133551031</v>
          </cell>
          <cell r="D188">
            <v>-1.129197019174411</v>
          </cell>
          <cell r="E188">
            <v>2.5074101984426083</v>
          </cell>
          <cell r="F188">
            <v>1.5500386199546057</v>
          </cell>
          <cell r="G188">
            <v>1.254072741210507</v>
          </cell>
          <cell r="H188">
            <v>1.3438219478321969</v>
          </cell>
          <cell r="I188">
            <v>1.4380477381261798</v>
          </cell>
          <cell r="J188">
            <v>1.5388804115169457</v>
          </cell>
          <cell r="K188">
            <v>1.6467832252656009</v>
          </cell>
          <cell r="O188" t="str">
            <v>Change In WC</v>
          </cell>
          <cell r="Q188">
            <v>89.47</v>
          </cell>
          <cell r="R188">
            <v>-6.742999999999995</v>
          </cell>
          <cell r="S188">
            <v>14.973000000000013</v>
          </cell>
        </row>
        <row r="191">
          <cell r="A191" t="str">
            <v>Free Cash Flow</v>
          </cell>
          <cell r="C191">
            <v>-9.9757176485299368</v>
          </cell>
          <cell r="D191">
            <v>5.4287867370007534</v>
          </cell>
          <cell r="E191">
            <v>1.98911496273967</v>
          </cell>
          <cell r="F191">
            <v>3.7836631300244576</v>
          </cell>
          <cell r="G191">
            <v>4.5850157744771041</v>
          </cell>
          <cell r="H191">
            <v>5.2689794174453297</v>
          </cell>
          <cell r="I191">
            <v>6.0174596375670966</v>
          </cell>
          <cell r="J191">
            <v>6.8362584840979661</v>
          </cell>
          <cell r="K191">
            <v>7.7331964424716819</v>
          </cell>
          <cell r="O191" t="str">
            <v>Free Cash Flow</v>
          </cell>
          <cell r="Q191">
            <v>-59.569997938196529</v>
          </cell>
          <cell r="R191">
            <v>32.417999999999992</v>
          </cell>
          <cell r="S191">
            <v>11.877999999999982</v>
          </cell>
        </row>
        <row r="192">
          <cell r="A192" t="str">
            <v>Tax Savings For Goodwill Amort.</v>
          </cell>
          <cell r="B192" t="str">
            <v>No</v>
          </cell>
          <cell r="G192">
            <v>0</v>
          </cell>
          <cell r="H192">
            <v>0</v>
          </cell>
          <cell r="I192">
            <v>0</v>
          </cell>
          <cell r="J192">
            <v>0</v>
          </cell>
          <cell r="K192">
            <v>0</v>
          </cell>
          <cell r="O192" t="str">
            <v>Tax Savings For Goodwill Amort.</v>
          </cell>
          <cell r="P192" t="str">
            <v>No</v>
          </cell>
        </row>
        <row r="194">
          <cell r="A194" t="str">
            <v>Purchase Price Payments (3)</v>
          </cell>
          <cell r="F194">
            <v>-79.316830883205029</v>
          </cell>
          <cell r="O194" t="str">
            <v>Purchase Price Payments (3)</v>
          </cell>
        </row>
        <row r="195">
          <cell r="A195" t="str">
            <v>Terminal Value  (4)</v>
          </cell>
          <cell r="G195">
            <v>0</v>
          </cell>
          <cell r="H195">
            <v>0</v>
          </cell>
          <cell r="I195">
            <v>0</v>
          </cell>
          <cell r="J195">
            <v>0</v>
          </cell>
          <cell r="K195">
            <v>117.16964306775274</v>
          </cell>
          <cell r="O195" t="str">
            <v>Terminal Value  (4)</v>
          </cell>
        </row>
        <row r="196">
          <cell r="A196" t="str">
            <v>Unlevered IRR Calculation:</v>
          </cell>
          <cell r="B196">
            <v>0.1455104494284723</v>
          </cell>
          <cell r="F196">
            <v>-79.316830883205029</v>
          </cell>
          <cell r="G196">
            <v>4.5850157744771041</v>
          </cell>
          <cell r="H196">
            <v>5.2689794174453297</v>
          </cell>
          <cell r="I196">
            <v>6.0174596375670966</v>
          </cell>
          <cell r="J196">
            <v>6.8362584840979661</v>
          </cell>
          <cell r="K196">
            <v>124.90283951022442</v>
          </cell>
          <cell r="O196" t="str">
            <v>Unlevered IRR Calculation:</v>
          </cell>
          <cell r="P196">
            <v>0.14551044942847244</v>
          </cell>
        </row>
        <row r="199">
          <cell r="B199" t="str">
            <v>Company Valuation:</v>
          </cell>
          <cell r="E199" t="str">
            <v>As of June 30, 1998</v>
          </cell>
          <cell r="G199" t="str">
            <v>As of June 30, 1998</v>
          </cell>
          <cell r="I199" t="str">
            <v>As of June 30, 1998</v>
          </cell>
          <cell r="O199" t="str">
            <v>Company Valuation:</v>
          </cell>
          <cell r="Q199" t="str">
            <v>As of June 30, 1998</v>
          </cell>
          <cell r="S199" t="str">
            <v>As of June 30, 1998</v>
          </cell>
        </row>
        <row r="201">
          <cell r="B201" t="str">
            <v>PV of Cash Flows @:</v>
          </cell>
          <cell r="D201">
            <v>0.15</v>
          </cell>
          <cell r="E201">
            <v>19.681071384683161</v>
          </cell>
          <cell r="F201">
            <v>0.2</v>
          </cell>
          <cell r="G201">
            <v>17.366791105961902</v>
          </cell>
          <cell r="H201">
            <v>0.25</v>
          </cell>
          <cell r="I201">
            <v>15.455244066536697</v>
          </cell>
          <cell r="O201" t="str">
            <v>PV of Cash Flows @:</v>
          </cell>
          <cell r="P201">
            <v>0.15</v>
          </cell>
          <cell r="Q201">
            <v>117.5255177736355</v>
          </cell>
          <cell r="R201">
            <v>0.2</v>
          </cell>
          <cell r="S201">
            <v>103.7057930892515</v>
          </cell>
        </row>
        <row r="202">
          <cell r="B202" t="str">
            <v>PV of TV @ :</v>
          </cell>
          <cell r="D202">
            <v>0.15</v>
          </cell>
          <cell r="E202">
            <v>58.254020616491218</v>
          </cell>
          <cell r="F202">
            <v>0.2</v>
          </cell>
          <cell r="G202">
            <v>47.087851670103824</v>
          </cell>
          <cell r="H202">
            <v>0.25</v>
          </cell>
          <cell r="I202">
            <v>38.394148640441223</v>
          </cell>
          <cell r="O202" t="str">
            <v>PV of TV @ :</v>
          </cell>
          <cell r="P202">
            <v>0.15</v>
          </cell>
          <cell r="Q202">
            <v>347.86388411137739</v>
          </cell>
          <cell r="R202">
            <v>0.2</v>
          </cell>
          <cell r="S202">
            <v>281.18510624802508</v>
          </cell>
        </row>
        <row r="203">
          <cell r="B203" t="str">
            <v>PV of Tax Benefit @:</v>
          </cell>
          <cell r="D203">
            <v>0.09</v>
          </cell>
          <cell r="E203">
            <v>0</v>
          </cell>
          <cell r="F203">
            <v>0.09</v>
          </cell>
          <cell r="G203">
            <v>0</v>
          </cell>
          <cell r="H203">
            <v>0.09</v>
          </cell>
          <cell r="I203">
            <v>0</v>
          </cell>
          <cell r="O203" t="str">
            <v>PV of Tax Benefit @:</v>
          </cell>
          <cell r="P203">
            <v>0.09</v>
          </cell>
          <cell r="Q203">
            <v>0</v>
          </cell>
          <cell r="R203">
            <v>0.09</v>
          </cell>
          <cell r="S203">
            <v>0</v>
          </cell>
        </row>
        <row r="204">
          <cell r="B204" t="str">
            <v>PV of Firm</v>
          </cell>
          <cell r="E204">
            <v>77.935092001174382</v>
          </cell>
          <cell r="G204">
            <v>64.454642776065725</v>
          </cell>
          <cell r="I204">
            <v>53.849392706977923</v>
          </cell>
          <cell r="O204" t="str">
            <v>PV of Firm</v>
          </cell>
          <cell r="Q204">
            <v>465.38940188501289</v>
          </cell>
          <cell r="S204">
            <v>384.89089933727655</v>
          </cell>
        </row>
        <row r="205">
          <cell r="B205" t="str">
            <v xml:space="preserve">Less Net LT Debt </v>
          </cell>
          <cell r="E205">
            <v>-43.806672424171659</v>
          </cell>
          <cell r="G205">
            <v>-43.806672424171659</v>
          </cell>
          <cell r="I205">
            <v>-43.806672424171659</v>
          </cell>
          <cell r="O205" t="str">
            <v xml:space="preserve">Less Net LT Debt </v>
          </cell>
          <cell r="Q205">
            <v>-261.59154438094106</v>
          </cell>
          <cell r="S205">
            <v>-261.59154438094106</v>
          </cell>
        </row>
        <row r="206">
          <cell r="B206" t="str">
            <v>PV of Equity</v>
          </cell>
          <cell r="E206">
            <v>121.74176442534605</v>
          </cell>
          <cell r="G206">
            <v>108.26131520023739</v>
          </cell>
          <cell r="I206">
            <v>97.656065131149575</v>
          </cell>
          <cell r="O206" t="str">
            <v>PV of Equity</v>
          </cell>
          <cell r="Q206">
            <v>726.98094626595389</v>
          </cell>
          <cell r="S206">
            <v>646.48244371821761</v>
          </cell>
        </row>
        <row r="208">
          <cell r="B208" t="str">
            <v>PV of Purchase Price</v>
          </cell>
          <cell r="E208">
            <v>79.316830883205029</v>
          </cell>
          <cell r="G208">
            <v>79.316830883205029</v>
          </cell>
          <cell r="I208">
            <v>79.316830883205029</v>
          </cell>
          <cell r="O208" t="str">
            <v>PV of Purchase Price</v>
          </cell>
          <cell r="Q208">
            <v>473.64045561905886</v>
          </cell>
          <cell r="S208">
            <v>473.64045561905886</v>
          </cell>
        </row>
        <row r="210">
          <cell r="B210" t="str">
            <v>NPV</v>
          </cell>
          <cell r="E210">
            <v>-1.3817388820306462</v>
          </cell>
          <cell r="G210">
            <v>-14.862188107139303</v>
          </cell>
          <cell r="I210">
            <v>-25.467438176227105</v>
          </cell>
          <cell r="O210" t="str">
            <v>NPV</v>
          </cell>
          <cell r="Q210">
            <v>-8.2510537340459678</v>
          </cell>
          <cell r="S210">
            <v>-88.749556281782304</v>
          </cell>
        </row>
        <row r="213">
          <cell r="A213" t="str">
            <v xml:space="preserve">(1) Capex assumed to be 1.5% of Sales. </v>
          </cell>
          <cell r="O213" t="str">
            <v xml:space="preserve">(1) Capex assumed to be 1.0% of Sales. </v>
          </cell>
        </row>
        <row r="214">
          <cell r="A214" t="str">
            <v>(2) Defined as Receivables + Inventory - Payables.</v>
          </cell>
          <cell r="O214" t="str">
            <v>(2) Defined as Receivables + Inventory - Payables.</v>
          </cell>
        </row>
        <row r="215">
          <cell r="A215" t="str">
            <v xml:space="preserve">(3) Fisher acquires 100% of  company </v>
          </cell>
          <cell r="O215" t="str">
            <v>(3) Fisher acquires 100% of  company</v>
          </cell>
        </row>
        <row r="216">
          <cell r="A216" t="str">
            <v>(4) Terminal value calculated as a perpetuity</v>
          </cell>
          <cell r="E216">
            <v>6.6000000000000003E-2</v>
          </cell>
          <cell r="O216" t="str">
            <v>(4) Terminal value calculated as 10% perpetuity</v>
          </cell>
          <cell r="S216">
            <v>6.6000000000000003E-2</v>
          </cell>
        </row>
        <row r="218">
          <cell r="A218" t="str">
            <v>Balance Sheet ($000's)</v>
          </cell>
          <cell r="O218" t="str">
            <v>Balance Sheet (Lira in millions)</v>
          </cell>
        </row>
        <row r="219">
          <cell r="A219" t="str">
            <v>Fiscal Year Ended June 30,</v>
          </cell>
          <cell r="O219" t="str">
            <v>At Dec 31,</v>
          </cell>
        </row>
        <row r="220">
          <cell r="F220" t="str">
            <v>(1)</v>
          </cell>
        </row>
        <row r="221">
          <cell r="C221" t="str">
            <v>1995A</v>
          </cell>
          <cell r="D221" t="str">
            <v>1996A</v>
          </cell>
          <cell r="E221" t="str">
            <v>1997A</v>
          </cell>
          <cell r="F221" t="str">
            <v>1998E</v>
          </cell>
          <cell r="G221" t="str">
            <v>1999E</v>
          </cell>
          <cell r="H221" t="str">
            <v>2000E</v>
          </cell>
          <cell r="I221" t="str">
            <v>2001E</v>
          </cell>
          <cell r="J221" t="str">
            <v>2002E</v>
          </cell>
          <cell r="K221" t="str">
            <v>2003E</v>
          </cell>
          <cell r="Q221" t="str">
            <v>1995A</v>
          </cell>
          <cell r="R221" t="str">
            <v>1996A</v>
          </cell>
          <cell r="S221" t="str">
            <v>1997A</v>
          </cell>
        </row>
        <row r="222">
          <cell r="A222" t="str">
            <v>Assets</v>
          </cell>
          <cell r="G222" t="str">
            <v xml:space="preserve"> </v>
          </cell>
          <cell r="H222" t="str">
            <v xml:space="preserve"> </v>
          </cell>
          <cell r="I222" t="str">
            <v xml:space="preserve"> </v>
          </cell>
          <cell r="J222" t="str">
            <v xml:space="preserve"> </v>
          </cell>
          <cell r="K222" t="str">
            <v xml:space="preserve"> </v>
          </cell>
          <cell r="O222" t="str">
            <v>Assets</v>
          </cell>
        </row>
        <row r="223">
          <cell r="A223" t="str">
            <v xml:space="preserve">Cash/Equivalents </v>
          </cell>
          <cell r="C223">
            <v>36.739680147366656</v>
          </cell>
          <cell r="D223">
            <v>39.774428535543834</v>
          </cell>
          <cell r="E223">
            <v>39.738759105752322</v>
          </cell>
          <cell r="F223">
            <v>43.806672424171659</v>
          </cell>
          <cell r="G223">
            <v>48.391688198648758</v>
          </cell>
          <cell r="H223">
            <v>55.690265717458168</v>
          </cell>
          <cell r="I223">
            <v>64.042514570643249</v>
          </cell>
          <cell r="J223">
            <v>73.5620623037927</v>
          </cell>
          <cell r="K223">
            <v>84.37503208688257</v>
          </cell>
          <cell r="O223" t="str">
            <v xml:space="preserve">Cash/Equivalents </v>
          </cell>
          <cell r="Q223">
            <v>219.39099999999999</v>
          </cell>
          <cell r="R223">
            <v>237.51300000000001</v>
          </cell>
          <cell r="S223">
            <v>237.3</v>
          </cell>
        </row>
        <row r="224">
          <cell r="A224" t="str">
            <v>Accounts Receivable (Net)</v>
          </cell>
          <cell r="C224">
            <v>15.335845265008791</v>
          </cell>
          <cell r="D224">
            <v>15.042619107426944</v>
          </cell>
          <cell r="E224">
            <v>16.562002846855901</v>
          </cell>
          <cell r="F224">
            <v>18.130502098136549</v>
          </cell>
          <cell r="G224">
            <v>19.399637245006112</v>
          </cell>
          <cell r="H224">
            <v>20.75761185215654</v>
          </cell>
          <cell r="I224">
            <v>22.210644681807498</v>
          </cell>
          <cell r="J224">
            <v>23.765389809534028</v>
          </cell>
          <cell r="K224">
            <v>25.428967096201415</v>
          </cell>
          <cell r="O224" t="str">
            <v>Accounts Receivable (Net)</v>
          </cell>
          <cell r="Q224">
            <v>91.578000000000003</v>
          </cell>
          <cell r="R224">
            <v>89.826999999999998</v>
          </cell>
          <cell r="S224">
            <v>98.9</v>
          </cell>
        </row>
        <row r="225">
          <cell r="A225" t="str">
            <v>Inventories (Net)</v>
          </cell>
          <cell r="C225">
            <v>4.2079879427279572</v>
          </cell>
          <cell r="D225">
            <v>3.6972285020514106</v>
          </cell>
          <cell r="E225">
            <v>4.5549694381646146</v>
          </cell>
          <cell r="F225">
            <v>4.9734104148881455</v>
          </cell>
          <cell r="G225">
            <v>5.3148249431600822</v>
          </cell>
          <cell r="H225">
            <v>5.6356185543733703</v>
          </cell>
          <cell r="I225">
            <v>5.9752806289350335</v>
          </cell>
          <cell r="J225">
            <v>6.3348808630189009</v>
          </cell>
          <cell r="K225">
            <v>6.7155462547927289</v>
          </cell>
          <cell r="O225" t="str">
            <v>Inventories (Net)</v>
          </cell>
          <cell r="Q225">
            <v>25.128</v>
          </cell>
          <cell r="R225">
            <v>22.077999999999999</v>
          </cell>
          <cell r="S225">
            <v>27.2</v>
          </cell>
        </row>
        <row r="226">
          <cell r="A226" t="str">
            <v xml:space="preserve">Prepaid Expenses &amp; Other </v>
          </cell>
          <cell r="C226">
            <v>0.96357699070585279</v>
          </cell>
          <cell r="D226">
            <v>1.7452901281085154</v>
          </cell>
          <cell r="E226">
            <v>3.7946914510591978</v>
          </cell>
          <cell r="F226">
            <v>3.7946914510591978</v>
          </cell>
          <cell r="G226">
            <v>3.7946914510591978</v>
          </cell>
          <cell r="H226">
            <v>3.7946914510591978</v>
          </cell>
          <cell r="I226">
            <v>3.7946914510591978</v>
          </cell>
          <cell r="J226">
            <v>3.7946914510591978</v>
          </cell>
          <cell r="K226">
            <v>3.7946914510591978</v>
          </cell>
          <cell r="O226" t="str">
            <v xml:space="preserve">Prepaid Expenses &amp; Other </v>
          </cell>
          <cell r="Q226">
            <v>5.7540000000000004</v>
          </cell>
          <cell r="R226">
            <v>10.422000000000001</v>
          </cell>
          <cell r="S226">
            <v>22.66</v>
          </cell>
        </row>
        <row r="227">
          <cell r="A227" t="str">
            <v>Total Current Assets</v>
          </cell>
          <cell r="C227">
            <v>57.247090345809262</v>
          </cell>
          <cell r="D227">
            <v>60.259566273130702</v>
          </cell>
          <cell r="E227">
            <v>64.650422841832039</v>
          </cell>
          <cell r="F227">
            <v>70.705276388255555</v>
          </cell>
          <cell r="G227">
            <v>76.90084183787414</v>
          </cell>
          <cell r="H227">
            <v>85.878187575047264</v>
          </cell>
          <cell r="I227">
            <v>96.023131332444976</v>
          </cell>
          <cell r="J227">
            <v>107.45702442740482</v>
          </cell>
          <cell r="K227">
            <v>120.31423688893591</v>
          </cell>
          <cell r="O227" t="str">
            <v>Total Current Assets</v>
          </cell>
          <cell r="Q227">
            <v>341.851</v>
          </cell>
          <cell r="R227">
            <v>359.84000000000003</v>
          </cell>
          <cell r="S227">
            <v>386.06000000000006</v>
          </cell>
        </row>
        <row r="229">
          <cell r="A229" t="str">
            <v>Net PP&amp;E</v>
          </cell>
          <cell r="C229">
            <v>2.9866867621200703</v>
          </cell>
          <cell r="D229">
            <v>2.7137235200535876</v>
          </cell>
          <cell r="E229">
            <v>2.3277233525914762</v>
          </cell>
          <cell r="F229">
            <v>2.7083647324792768</v>
          </cell>
          <cell r="G229">
            <v>3.0985729835767515</v>
          </cell>
          <cell r="H229">
            <v>3.4763497302416719</v>
          </cell>
          <cell r="I229">
            <v>3.8486990051188754</v>
          </cell>
          <cell r="J229">
            <v>4.2215551297946119</v>
          </cell>
          <cell r="K229">
            <v>4.600016890863321</v>
          </cell>
          <cell r="O229" t="str">
            <v>Net PP&amp;E</v>
          </cell>
          <cell r="Q229">
            <v>17.835000000000001</v>
          </cell>
          <cell r="R229">
            <v>16.204999999999998</v>
          </cell>
          <cell r="S229">
            <v>13.9</v>
          </cell>
        </row>
        <row r="230">
          <cell r="A230" t="str">
            <v>Goodwill &amp; Other Intangibles</v>
          </cell>
          <cell r="C230">
            <v>0.66566189399648323</v>
          </cell>
          <cell r="D230">
            <v>1.5696223729381225</v>
          </cell>
          <cell r="E230">
            <v>1.4904127941053336</v>
          </cell>
          <cell r="F230">
            <v>1.4904127941053336</v>
          </cell>
          <cell r="G230">
            <v>1.4904127941053336</v>
          </cell>
          <cell r="H230">
            <v>1.4904127941053336</v>
          </cell>
          <cell r="I230">
            <v>1.4904127941053336</v>
          </cell>
          <cell r="J230">
            <v>1.4904127941053336</v>
          </cell>
          <cell r="K230">
            <v>1.4904127941053336</v>
          </cell>
          <cell r="O230" t="str">
            <v>Goodwill &amp; Other Intangibles</v>
          </cell>
          <cell r="Q230">
            <v>3.9750000000000001</v>
          </cell>
          <cell r="R230">
            <v>9.3729999999999993</v>
          </cell>
          <cell r="S230">
            <v>8.9</v>
          </cell>
        </row>
        <row r="231">
          <cell r="A231" t="str">
            <v>Other Assets</v>
          </cell>
          <cell r="C231">
            <v>0.2662647575985933</v>
          </cell>
          <cell r="D231">
            <v>0.3582014569203717</v>
          </cell>
          <cell r="E231">
            <v>0</v>
          </cell>
          <cell r="F231">
            <v>0</v>
          </cell>
          <cell r="G231">
            <v>0</v>
          </cell>
          <cell r="H231">
            <v>0</v>
          </cell>
          <cell r="I231">
            <v>0</v>
          </cell>
          <cell r="J231">
            <v>0</v>
          </cell>
          <cell r="K231">
            <v>0</v>
          </cell>
          <cell r="O231" t="str">
            <v>Other Assets</v>
          </cell>
          <cell r="Q231">
            <v>1.59</v>
          </cell>
          <cell r="R231">
            <v>2.1389999999999998</v>
          </cell>
          <cell r="S231">
            <v>0</v>
          </cell>
        </row>
        <row r="232">
          <cell r="A232" t="str">
            <v>TOTAL ASSETS</v>
          </cell>
          <cell r="C232">
            <v>61.165703759524412</v>
          </cell>
          <cell r="D232">
            <v>64.901113623042789</v>
          </cell>
          <cell r="E232">
            <v>68.468558988528855</v>
          </cell>
          <cell r="F232">
            <v>74.904053914840176</v>
          </cell>
          <cell r="G232">
            <v>81.489827615556237</v>
          </cell>
          <cell r="H232">
            <v>90.844950099394268</v>
          </cell>
          <cell r="I232">
            <v>101.36224313166919</v>
          </cell>
          <cell r="J232">
            <v>113.16899235130477</v>
          </cell>
          <cell r="K232">
            <v>126.40466657390456</v>
          </cell>
          <cell r="O232" t="str">
            <v>TOTAL ASSETS</v>
          </cell>
          <cell r="Q232">
            <v>365.25099999999998</v>
          </cell>
          <cell r="R232">
            <v>387.55700000000002</v>
          </cell>
          <cell r="S232">
            <v>408.86</v>
          </cell>
        </row>
        <row r="234">
          <cell r="A234" t="str">
            <v>Liabilities &amp; Equity</v>
          </cell>
          <cell r="O234" t="str">
            <v>Liabilities &amp; Equity</v>
          </cell>
        </row>
        <row r="235">
          <cell r="A235" t="str">
            <v>Accounts Payable</v>
          </cell>
          <cell r="C235">
            <v>4.560998074185715</v>
          </cell>
          <cell r="D235">
            <v>4.886209495101733</v>
          </cell>
          <cell r="E235">
            <v>4.7559239722012894</v>
          </cell>
          <cell r="F235">
            <v>5.1928255802508598</v>
          </cell>
          <cell r="G235">
            <v>5.5493025141818517</v>
          </cell>
          <cell r="H235">
            <v>5.8842487847133729</v>
          </cell>
          <cell r="I235">
            <v>6.2388959507998152</v>
          </cell>
          <cell r="J235">
            <v>6.6143609010932662</v>
          </cell>
          <cell r="K235">
            <v>7.0118203542688802</v>
          </cell>
          <cell r="O235" t="str">
            <v>Accounts Payable</v>
          </cell>
          <cell r="Q235">
            <v>27.236000000000001</v>
          </cell>
          <cell r="R235">
            <v>29.178000000000001</v>
          </cell>
          <cell r="S235">
            <v>28.4</v>
          </cell>
        </row>
        <row r="236">
          <cell r="A236" t="str">
            <v>Short term debt</v>
          </cell>
          <cell r="C236">
            <v>0</v>
          </cell>
          <cell r="D236">
            <v>0</v>
          </cell>
          <cell r="E236">
            <v>0</v>
          </cell>
          <cell r="F236">
            <v>0</v>
          </cell>
          <cell r="G236">
            <v>0</v>
          </cell>
          <cell r="H236">
            <v>0</v>
          </cell>
          <cell r="I236">
            <v>0</v>
          </cell>
          <cell r="J236">
            <v>0</v>
          </cell>
          <cell r="K236">
            <v>0</v>
          </cell>
          <cell r="O236" t="str">
            <v>Short term debt</v>
          </cell>
          <cell r="Q236">
            <v>0</v>
          </cell>
          <cell r="R236">
            <v>0</v>
          </cell>
          <cell r="S236">
            <v>0</v>
          </cell>
        </row>
        <row r="237">
          <cell r="A237" t="str">
            <v>Other Accrued Expenses</v>
          </cell>
          <cell r="C237">
            <v>4.842166959725362</v>
          </cell>
          <cell r="D237">
            <v>3.5227329816628981</v>
          </cell>
          <cell r="E237">
            <v>3.0851544837980409</v>
          </cell>
          <cell r="F237">
            <v>3.0851544837980409</v>
          </cell>
          <cell r="G237">
            <v>3.0851544837980409</v>
          </cell>
          <cell r="H237">
            <v>3.0851544837980409</v>
          </cell>
          <cell r="I237">
            <v>3.0851544837980409</v>
          </cell>
          <cell r="J237">
            <v>3.0851544837980409</v>
          </cell>
          <cell r="K237">
            <v>3.0851544837980409</v>
          </cell>
          <cell r="O237" t="str">
            <v>Other Accrued Expenses</v>
          </cell>
          <cell r="Q237">
            <v>28.914999999999999</v>
          </cell>
          <cell r="R237">
            <v>21.035999999999998</v>
          </cell>
          <cell r="S237">
            <v>18.423000000000002</v>
          </cell>
        </row>
        <row r="238">
          <cell r="A238" t="str">
            <v>Total Current Liabilities</v>
          </cell>
          <cell r="C238">
            <v>9.4031650339110762</v>
          </cell>
          <cell r="D238">
            <v>8.408942476764631</v>
          </cell>
          <cell r="E238">
            <v>7.8410784559993303</v>
          </cell>
          <cell r="F238">
            <v>8.2779800640489007</v>
          </cell>
          <cell r="G238">
            <v>8.6344569979798926</v>
          </cell>
          <cell r="H238">
            <v>8.9694032685114138</v>
          </cell>
          <cell r="I238">
            <v>9.3240504345978561</v>
          </cell>
          <cell r="J238">
            <v>9.6995153848913063</v>
          </cell>
          <cell r="K238">
            <v>10.09697483806692</v>
          </cell>
          <cell r="O238" t="str">
            <v>Total Current Liabilities</v>
          </cell>
          <cell r="Q238">
            <v>56.150999999999996</v>
          </cell>
          <cell r="R238">
            <v>50.213999999999999</v>
          </cell>
          <cell r="S238">
            <v>46.823</v>
          </cell>
        </row>
        <row r="240">
          <cell r="A240" t="str">
            <v>Total Debt</v>
          </cell>
          <cell r="C240">
            <v>0</v>
          </cell>
          <cell r="D240">
            <v>0</v>
          </cell>
          <cell r="E240">
            <v>0</v>
          </cell>
          <cell r="F240">
            <v>0</v>
          </cell>
          <cell r="G240">
            <v>0</v>
          </cell>
          <cell r="H240">
            <v>0</v>
          </cell>
          <cell r="I240">
            <v>0</v>
          </cell>
          <cell r="J240">
            <v>0</v>
          </cell>
          <cell r="K240">
            <v>0</v>
          </cell>
          <cell r="O240" t="str">
            <v>Total Debt</v>
          </cell>
          <cell r="Q240">
            <v>0</v>
          </cell>
          <cell r="R240">
            <v>0</v>
          </cell>
          <cell r="S240">
            <v>0</v>
          </cell>
        </row>
        <row r="241">
          <cell r="A241" t="str">
            <v>Other Non-Current</v>
          </cell>
          <cell r="C241">
            <v>1.2516118228250859</v>
          </cell>
          <cell r="D241">
            <v>1.3415389768064974</v>
          </cell>
          <cell r="E241">
            <v>1.339696893577828</v>
          </cell>
          <cell r="F241">
            <v>1.339696893577828</v>
          </cell>
          <cell r="G241">
            <v>1.339696893577828</v>
          </cell>
          <cell r="H241">
            <v>1.339696893577828</v>
          </cell>
          <cell r="I241">
            <v>1.339696893577828</v>
          </cell>
          <cell r="J241">
            <v>1.339696893577828</v>
          </cell>
          <cell r="K241">
            <v>1.339696893577828</v>
          </cell>
          <cell r="O241" t="str">
            <v>Other Non-Current</v>
          </cell>
          <cell r="Q241">
            <v>7.4740000000000002</v>
          </cell>
          <cell r="R241">
            <v>8.0109999999999992</v>
          </cell>
          <cell r="S241">
            <v>8</v>
          </cell>
        </row>
        <row r="242">
          <cell r="A242" t="str">
            <v>Total Liabilities</v>
          </cell>
          <cell r="C242">
            <v>10.654776856736163</v>
          </cell>
          <cell r="D242">
            <v>9.7504814535711279</v>
          </cell>
          <cell r="E242">
            <v>9.1807753495771589</v>
          </cell>
          <cell r="F242">
            <v>9.6176769576267294</v>
          </cell>
          <cell r="G242">
            <v>9.9741538915577213</v>
          </cell>
          <cell r="H242">
            <v>10.309100162089242</v>
          </cell>
          <cell r="I242">
            <v>10.663747328175685</v>
          </cell>
          <cell r="J242">
            <v>11.039212278469135</v>
          </cell>
          <cell r="K242">
            <v>11.436671731644749</v>
          </cell>
          <cell r="O242" t="str">
            <v>Total Liabilities</v>
          </cell>
          <cell r="Q242">
            <v>63.625</v>
          </cell>
          <cell r="R242">
            <v>58.224999999999994</v>
          </cell>
          <cell r="S242">
            <v>54.823</v>
          </cell>
        </row>
        <row r="244">
          <cell r="A244" t="str">
            <v>Shareholders' Equity</v>
          </cell>
          <cell r="C244">
            <v>50.510926902788235</v>
          </cell>
          <cell r="D244">
            <v>55.225990119735414</v>
          </cell>
          <cell r="E244">
            <v>59.281085154483797</v>
          </cell>
          <cell r="F244">
            <v>65.286376957213434</v>
          </cell>
          <cell r="G244">
            <v>71.515673723998518</v>
          </cell>
          <cell r="H244">
            <v>80.535849937305045</v>
          </cell>
          <cell r="I244">
            <v>90.698495803493486</v>
          </cell>
          <cell r="J244">
            <v>102.12978007283563</v>
          </cell>
          <cell r="K244">
            <v>114.96799484225981</v>
          </cell>
          <cell r="O244" t="str">
            <v>Shareholders' Equity</v>
          </cell>
          <cell r="Q244">
            <v>301.62599999999998</v>
          </cell>
          <cell r="R244">
            <v>329.78200000000004</v>
          </cell>
          <cell r="S244">
            <v>353.99700000000001</v>
          </cell>
        </row>
        <row r="245">
          <cell r="A245" t="str">
            <v>TOTAL LIABILITIES &amp; EQUITY</v>
          </cell>
          <cell r="C245">
            <v>61.165703759524398</v>
          </cell>
          <cell r="D245">
            <v>64.97647157330654</v>
          </cell>
          <cell r="E245">
            <v>68.461860504060951</v>
          </cell>
          <cell r="F245">
            <v>74.904053914840162</v>
          </cell>
          <cell r="G245">
            <v>81.489827615556237</v>
          </cell>
          <cell r="H245">
            <v>90.844950099394282</v>
          </cell>
          <cell r="I245">
            <v>101.36224313166917</v>
          </cell>
          <cell r="J245">
            <v>113.16899235130477</v>
          </cell>
          <cell r="K245">
            <v>126.40466657390456</v>
          </cell>
          <cell r="O245" t="str">
            <v>TOTAL LIABILITIES &amp; EQUITY</v>
          </cell>
          <cell r="Q245">
            <v>365.25099999999998</v>
          </cell>
          <cell r="R245">
            <v>388.00700000000006</v>
          </cell>
          <cell r="S245">
            <v>408.82</v>
          </cell>
        </row>
        <row r="246">
          <cell r="H246" t="str">
            <v xml:space="preserve"> </v>
          </cell>
          <cell r="I246" t="str">
            <v xml:space="preserve"> </v>
          </cell>
        </row>
        <row r="248">
          <cell r="A248" t="str">
            <v>(1) Estimated Balance Sheet as of June 30, 1998 .</v>
          </cell>
        </row>
        <row r="253">
          <cell r="A253" t="str">
            <v>Balance Sheet Turnover Analysis</v>
          </cell>
        </row>
        <row r="255">
          <cell r="C255">
            <v>1994</v>
          </cell>
          <cell r="D255" t="str">
            <v>1996A</v>
          </cell>
          <cell r="E255" t="str">
            <v>1997A</v>
          </cell>
          <cell r="F255" t="str">
            <v>1998E</v>
          </cell>
          <cell r="G255" t="str">
            <v>1999E</v>
          </cell>
          <cell r="H255" t="str">
            <v>2000E</v>
          </cell>
          <cell r="I255" t="str">
            <v>2001E</v>
          </cell>
          <cell r="J255" t="str">
            <v>2002E</v>
          </cell>
          <cell r="K255" t="str">
            <v>2003E</v>
          </cell>
        </row>
        <row r="256">
          <cell r="A256" t="str">
            <v>(days)</v>
          </cell>
        </row>
        <row r="257">
          <cell r="A257" t="str">
            <v>Accounts Receivable</v>
          </cell>
          <cell r="C257">
            <v>93.995883141972556</v>
          </cell>
          <cell r="D257">
            <v>87.385007995735606</v>
          </cell>
          <cell r="E257">
            <v>91.900458248472518</v>
          </cell>
          <cell r="F257">
            <v>91.900458248472518</v>
          </cell>
          <cell r="G257">
            <v>91.900458248472518</v>
          </cell>
          <cell r="H257">
            <v>91.900458248472518</v>
          </cell>
          <cell r="I257">
            <v>91.900458248472518</v>
          </cell>
          <cell r="J257">
            <v>91.900458248472518</v>
          </cell>
          <cell r="K257">
            <v>91.900458248472518</v>
          </cell>
        </row>
        <row r="258">
          <cell r="A258" t="str">
            <v>Inventory</v>
          </cell>
          <cell r="C258">
            <v>46.138197476708854</v>
          </cell>
          <cell r="D258">
            <v>38.759974411635973</v>
          </cell>
          <cell r="E258">
            <v>45.374771480804377</v>
          </cell>
          <cell r="F258">
            <v>45.374771480804377</v>
          </cell>
          <cell r="G258">
            <v>45.374771480804377</v>
          </cell>
          <cell r="H258">
            <v>45.374771480804377</v>
          </cell>
          <cell r="I258">
            <v>45.374771480804377</v>
          </cell>
          <cell r="J258">
            <v>45.374771480804377</v>
          </cell>
          <cell r="K258">
            <v>45.374771480804377</v>
          </cell>
        </row>
        <row r="259">
          <cell r="A259" t="str">
            <v>Accounts Payable</v>
          </cell>
          <cell r="C259">
            <v>50.008753043443264</v>
          </cell>
          <cell r="D259">
            <v>51.224682189632865</v>
          </cell>
          <cell r="E259">
            <v>47.376599634369285</v>
          </cell>
          <cell r="F259">
            <v>47.376599634369285</v>
          </cell>
          <cell r="G259">
            <v>47.376599634369285</v>
          </cell>
          <cell r="H259">
            <v>47.376599634369285</v>
          </cell>
          <cell r="I259">
            <v>47.376599634369285</v>
          </cell>
          <cell r="J259">
            <v>47.376599634369285</v>
          </cell>
          <cell r="K259">
            <v>47.376599634369285</v>
          </cell>
        </row>
        <row r="262">
          <cell r="A262" t="str">
            <v>Percentage of Sales</v>
          </cell>
        </row>
        <row r="264">
          <cell r="C264" t="str">
            <v>1995A</v>
          </cell>
          <cell r="D264" t="str">
            <v>1996A</v>
          </cell>
          <cell r="E264" t="str">
            <v>1997A</v>
          </cell>
          <cell r="F264" t="str">
            <v>1998E</v>
          </cell>
          <cell r="G264" t="str">
            <v>1999E</v>
          </cell>
          <cell r="H264" t="str">
            <v>2000E</v>
          </cell>
          <cell r="I264" t="str">
            <v>2001E</v>
          </cell>
          <cell r="J264" t="str">
            <v>2002E</v>
          </cell>
          <cell r="K264" t="str">
            <v>2003E</v>
          </cell>
        </row>
        <row r="266">
          <cell r="A266" t="str">
            <v>Sales Growth</v>
          </cell>
          <cell r="C266" t="str">
            <v>na</v>
          </cell>
          <cell r="D266">
            <v>5.5085472609115109E-2</v>
          </cell>
          <cell r="E266">
            <v>4.6908315565031979E-2</v>
          </cell>
          <cell r="F266">
            <v>9.4704684317718862E-2</v>
          </cell>
          <cell r="G266">
            <v>7.0000000000000007E-2</v>
          </cell>
          <cell r="H266">
            <v>7.0000000000000007E-2</v>
          </cell>
          <cell r="I266">
            <v>7.0000000000000007E-2</v>
          </cell>
          <cell r="J266">
            <v>7.0000000000000007E-2</v>
          </cell>
          <cell r="K266">
            <v>7.0000000000000007E-2</v>
          </cell>
        </row>
        <row r="267">
          <cell r="A267" t="str">
            <v>Cost of Sales</v>
          </cell>
          <cell r="C267">
            <v>0.55900408030122806</v>
          </cell>
          <cell r="D267">
            <v>0.55412313432835825</v>
          </cell>
          <cell r="E267">
            <v>0.55702647657841153</v>
          </cell>
          <cell r="F267">
            <v>0.55558139534883733</v>
          </cell>
          <cell r="G267">
            <v>0.55487937404911969</v>
          </cell>
          <cell r="H267">
            <v>0.54987937404911968</v>
          </cell>
          <cell r="I267">
            <v>0.54487937404911968</v>
          </cell>
          <cell r="J267">
            <v>0.53987937404911968</v>
          </cell>
          <cell r="K267">
            <v>0.53487937404911967</v>
          </cell>
        </row>
        <row r="268">
          <cell r="A268" t="str">
            <v>Total Gross Profit</v>
          </cell>
          <cell r="C268">
            <v>0.44099591969877194</v>
          </cell>
          <cell r="D268">
            <v>0.44587686567164181</v>
          </cell>
          <cell r="E268">
            <v>0.44297352342158852</v>
          </cell>
          <cell r="F268">
            <v>0.44441860465116273</v>
          </cell>
          <cell r="G268">
            <v>0.44512062595088026</v>
          </cell>
          <cell r="H268">
            <v>0.45012062595088032</v>
          </cell>
          <cell r="I268">
            <v>0.45512062595088038</v>
          </cell>
          <cell r="J268">
            <v>0.46012062595088038</v>
          </cell>
          <cell r="K268">
            <v>0.46512062595088027</v>
          </cell>
        </row>
        <row r="269">
          <cell r="F269" t="str">
            <v xml:space="preserve"> </v>
          </cell>
          <cell r="G269" t="str">
            <v xml:space="preserve"> </v>
          </cell>
          <cell r="H269" t="str">
            <v xml:space="preserve"> </v>
          </cell>
          <cell r="I269" t="str">
            <v xml:space="preserve"> </v>
          </cell>
          <cell r="J269" t="str">
            <v xml:space="preserve"> </v>
          </cell>
          <cell r="K269" t="str">
            <v xml:space="preserve"> </v>
          </cell>
        </row>
        <row r="270">
          <cell r="A270" t="str">
            <v>SG&amp;A</v>
          </cell>
          <cell r="C270">
            <v>0.12942513026874872</v>
          </cell>
          <cell r="D270">
            <v>0.13265458422174839</v>
          </cell>
          <cell r="E270">
            <v>0.13747454175152751</v>
          </cell>
          <cell r="F270">
            <v>0.13255813953488374</v>
          </cell>
          <cell r="G270">
            <v>0.13212453814388175</v>
          </cell>
          <cell r="H270">
            <v>0.13169235507518681</v>
          </cell>
          <cell r="I270">
            <v>0.13126158568942681</v>
          </cell>
          <cell r="J270">
            <v>0.1308322253624053</v>
          </cell>
          <cell r="K270">
            <v>0.13040426948505163</v>
          </cell>
        </row>
        <row r="271">
          <cell r="A271" t="str">
            <v>Other Expenses</v>
          </cell>
          <cell r="C271">
            <v>2.191439522399476E-2</v>
          </cell>
          <cell r="D271">
            <v>2.2763859275053304E-2</v>
          </cell>
          <cell r="E271">
            <v>2.2764765784114054E-2</v>
          </cell>
          <cell r="F271">
            <v>2.2758139534883724E-2</v>
          </cell>
          <cell r="G271">
            <v>2.2758139534883721E-2</v>
          </cell>
          <cell r="H271">
            <v>2.2758139534883717E-2</v>
          </cell>
          <cell r="I271">
            <v>2.275813953488371E-2</v>
          </cell>
          <cell r="J271">
            <v>2.2758139534883714E-2</v>
          </cell>
          <cell r="K271">
            <v>2.2758139534883717E-2</v>
          </cell>
        </row>
        <row r="272">
          <cell r="A272" t="str">
            <v>Depreciation &amp; Amortization</v>
          </cell>
          <cell r="C272">
            <v>8.7202026933924995E-3</v>
          </cell>
          <cell r="D272">
            <v>8.8939232409381667E-3</v>
          </cell>
          <cell r="E272">
            <v>9.9236252545824855E-3</v>
          </cell>
          <cell r="F272">
            <v>9.7139534883720936E-3</v>
          </cell>
          <cell r="G272">
            <v>9.9356040612289236E-3</v>
          </cell>
          <cell r="H272">
            <v>1.0142754129319422E-2</v>
          </cell>
          <cell r="I272">
            <v>1.0336352323796519E-2</v>
          </cell>
          <cell r="J272">
            <v>1.0517285215831193E-2</v>
          </cell>
          <cell r="K272">
            <v>1.0686381376611263E-2</v>
          </cell>
        </row>
        <row r="273">
          <cell r="A273" t="str">
            <v>Operating Income</v>
          </cell>
          <cell r="C273">
            <v>0.12760291442053248</v>
          </cell>
          <cell r="D273">
            <v>0.12429371002132202</v>
          </cell>
          <cell r="E273">
            <v>0.12245417515274942</v>
          </cell>
          <cell r="F273">
            <v>0.13226046511627898</v>
          </cell>
          <cell r="G273">
            <v>0.13474695951190735</v>
          </cell>
          <cell r="H273">
            <v>0.14132183507264209</v>
          </cell>
          <cell r="I273">
            <v>0.14789560270547442</v>
          </cell>
          <cell r="J273">
            <v>0.1544675104487058</v>
          </cell>
          <cell r="K273">
            <v>0.16103686304993822</v>
          </cell>
        </row>
        <row r="275">
          <cell r="A275" t="str">
            <v>Adjustments / Cost Savings</v>
          </cell>
          <cell r="C275">
            <v>9.1870049014231847E-3</v>
          </cell>
          <cell r="D275">
            <v>8.2089552238805968E-3</v>
          </cell>
          <cell r="E275">
            <v>7.1283095723014252E-3</v>
          </cell>
          <cell r="F275">
            <v>8.2093023255813951E-3</v>
          </cell>
          <cell r="G275">
            <v>8.0000000000000002E-3</v>
          </cell>
          <cell r="H275">
            <v>8.0000000000000002E-3</v>
          </cell>
          <cell r="I275">
            <v>8.0000000000000002E-3</v>
          </cell>
          <cell r="J275">
            <v>8.0000000000000002E-3</v>
          </cell>
          <cell r="K275">
            <v>8.0000000000000002E-3</v>
          </cell>
        </row>
        <row r="277">
          <cell r="A277" t="str">
            <v>Adjusted Operating Income</v>
          </cell>
          <cell r="C277">
            <v>0.12760291442053248</v>
          </cell>
          <cell r="D277">
            <v>0.12429371002132202</v>
          </cell>
          <cell r="E277">
            <v>0.12245417515274942</v>
          </cell>
          <cell r="F277">
            <v>0.13226046511627898</v>
          </cell>
          <cell r="G277">
            <v>0.13474695951190735</v>
          </cell>
          <cell r="H277">
            <v>0.14132183507264209</v>
          </cell>
          <cell r="I277">
            <v>0.14789560270547442</v>
          </cell>
          <cell r="J277">
            <v>0.1544675104487058</v>
          </cell>
          <cell r="K277">
            <v>0.16103686304993822</v>
          </cell>
        </row>
        <row r="278">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row>
        <row r="279">
          <cell r="A279" t="str">
            <v>Net Interest Expense</v>
          </cell>
          <cell r="C279">
            <v>-3.5488216056308718E-2</v>
          </cell>
          <cell r="D279">
            <v>-4.1146055437100218E-2</v>
          </cell>
          <cell r="E279">
            <v>-3.9266802443991854E-2</v>
          </cell>
          <cell r="F279">
            <v>-6.5790697674418617E-3</v>
          </cell>
          <cell r="G279">
            <v>-3.8889983894638332E-2</v>
          </cell>
          <cell r="H279">
            <v>-4.1030444628709431E-2</v>
          </cell>
          <cell r="I279">
            <v>-4.4112337980652401E-2</v>
          </cell>
          <cell r="J279">
            <v>-4.7380115003882527E-2</v>
          </cell>
          <cell r="K279">
            <v>-5.0823386223742717E-2</v>
          </cell>
        </row>
        <row r="280">
          <cell r="A280" t="str">
            <v>Income Taxes</v>
          </cell>
          <cell r="C280">
            <v>6.1997519761762154E-2</v>
          </cell>
          <cell r="D280">
            <v>4.8917910447761191E-2</v>
          </cell>
          <cell r="E280">
            <v>6.6522403258655799E-2</v>
          </cell>
          <cell r="F280">
            <v>5.5534883720930232E-2</v>
          </cell>
          <cell r="G280">
            <v>6.9454777362618264E-2</v>
          </cell>
          <cell r="H280">
            <v>7.2940911880540582E-2</v>
          </cell>
          <cell r="I280">
            <v>7.6803176274450755E-2</v>
          </cell>
          <cell r="J280">
            <v>8.0739050181035318E-2</v>
          </cell>
          <cell r="K280">
            <v>8.4744099709472401E-2</v>
          </cell>
        </row>
        <row r="281">
          <cell r="A281" t="str">
            <v>Net Income</v>
          </cell>
          <cell r="C281">
            <v>0.10370039172016608</v>
          </cell>
          <cell r="D281">
            <v>0.12105810234541584</v>
          </cell>
          <cell r="E281">
            <v>9.9781059063136404E-2</v>
          </cell>
          <cell r="F281">
            <v>8.3304651162790622E-2</v>
          </cell>
          <cell r="G281">
            <v>0.1041821660439274</v>
          </cell>
          <cell r="H281">
            <v>0.10941136782081093</v>
          </cell>
          <cell r="I281">
            <v>0.11520476441167607</v>
          </cell>
          <cell r="J281">
            <v>0.12110857527155298</v>
          </cell>
          <cell r="K281">
            <v>0.12711614956420855</v>
          </cell>
        </row>
        <row r="284">
          <cell r="A284" t="str">
            <v>Capex</v>
          </cell>
          <cell r="D284">
            <v>1.5000000000000001E-2</v>
          </cell>
          <cell r="E284">
            <v>1.5000000000000001E-2</v>
          </cell>
          <cell r="F284">
            <v>1.4999999999999999E-2</v>
          </cell>
          <cell r="G284">
            <v>1.5000000000000001E-2</v>
          </cell>
          <cell r="H284">
            <v>1.4999999999999999E-2</v>
          </cell>
          <cell r="I284">
            <v>1.4999999999999999E-2</v>
          </cell>
          <cell r="J284">
            <v>1.4999999999999998E-2</v>
          </cell>
          <cell r="K284">
            <v>1.4999999999999999E-2</v>
          </cell>
        </row>
        <row r="285">
          <cell r="A285" t="str">
            <v>Depreciation</v>
          </cell>
          <cell r="D285">
            <v>8.8939232409381667E-3</v>
          </cell>
          <cell r="E285">
            <v>9.9236252545824855E-3</v>
          </cell>
          <cell r="F285">
            <v>9.7139534883720936E-3</v>
          </cell>
          <cell r="G285">
            <v>9.9356040612289236E-3</v>
          </cell>
          <cell r="H285">
            <v>1.0417709188149724E-2</v>
          </cell>
          <cell r="I285">
            <v>1.0779011582622906E-2</v>
          </cell>
          <cell r="J285">
            <v>1.1049781198963243E-2</v>
          </cell>
          <cell r="K285">
            <v>1.1252703145384322E-2</v>
          </cell>
        </row>
        <row r="286">
          <cell r="A286" t="str">
            <v>Depreciation/Net PPE</v>
          </cell>
          <cell r="D286">
            <v>0.2059240975007714</v>
          </cell>
          <cell r="E286">
            <v>0.28043165467625897</v>
          </cell>
          <cell r="F286">
            <v>0.25826995609967224</v>
          </cell>
          <cell r="G286">
            <v>0.24705937760332417</v>
          </cell>
          <cell r="H286">
            <v>0.24705937760332417</v>
          </cell>
          <cell r="I286">
            <v>0.24705937760332417</v>
          </cell>
          <cell r="J286">
            <v>0.24705937760332417</v>
          </cell>
          <cell r="K286">
            <v>0.24705937760332417</v>
          </cell>
        </row>
        <row r="287">
          <cell r="A287" t="str">
            <v>Capex/Depreciation</v>
          </cell>
          <cell r="D287">
            <v>1.686544800719209</v>
          </cell>
          <cell r="E287">
            <v>1.5115443817342227</v>
          </cell>
          <cell r="F287">
            <v>1.5441704572659805</v>
          </cell>
          <cell r="G287">
            <v>1.5097219965249569</v>
          </cell>
          <cell r="H287">
            <v>1.4398558962523824</v>
          </cell>
          <cell r="I287">
            <v>1.3915932722608673</v>
          </cell>
          <cell r="J287">
            <v>1.3574929430645548</v>
          </cell>
          <cell r="K287">
            <v>1.3330130375075928</v>
          </cell>
        </row>
        <row r="288">
          <cell r="A288" t="str">
            <v>Working Capital</v>
          </cell>
          <cell r="D288">
            <v>0.22048773987206821</v>
          </cell>
          <cell r="E288">
            <v>0.24872708757637482</v>
          </cell>
          <cell r="F288">
            <v>0.24873501306757897</v>
          </cell>
          <cell r="G288">
            <v>0.24873886327580416</v>
          </cell>
          <cell r="H288">
            <v>0.24876628557927766</v>
          </cell>
          <cell r="I288">
            <v>0.24879370788275113</v>
          </cell>
          <cell r="J288">
            <v>0.24882113018622462</v>
          </cell>
          <cell r="K288">
            <v>0.24884855248969814</v>
          </cell>
        </row>
        <row r="289">
          <cell r="A289" t="str">
            <v>Prepaid Expenses &amp; Other Current</v>
          </cell>
          <cell r="D289">
            <v>2.7777185501066098E-2</v>
          </cell>
          <cell r="E289">
            <v>5.7688391038696538E-2</v>
          </cell>
          <cell r="F289">
            <v>5.2697674418604658E-2</v>
          </cell>
          <cell r="G289">
            <v>4.9250163008041727E-2</v>
          </cell>
          <cell r="H289">
            <v>4.6028189727141795E-2</v>
          </cell>
          <cell r="I289">
            <v>4.3016999744992325E-2</v>
          </cell>
          <cell r="J289">
            <v>4.0202803499992827E-2</v>
          </cell>
          <cell r="K289">
            <v>3.7572713551395159E-2</v>
          </cell>
        </row>
        <row r="290">
          <cell r="A290" t="str">
            <v>Other Assets</v>
          </cell>
          <cell r="D290">
            <v>5.7009594882729206E-3</v>
          </cell>
          <cell r="E290">
            <v>0</v>
          </cell>
          <cell r="F290">
            <v>0</v>
          </cell>
          <cell r="G290">
            <v>0</v>
          </cell>
          <cell r="H290">
            <v>0</v>
          </cell>
          <cell r="I290">
            <v>0</v>
          </cell>
          <cell r="J290">
            <v>0</v>
          </cell>
          <cell r="K290">
            <v>0</v>
          </cell>
        </row>
        <row r="291">
          <cell r="A291" t="str">
            <v>Accrued Expenses &amp; Other</v>
          </cell>
          <cell r="D291">
            <v>5.6066098081023447E-2</v>
          </cell>
          <cell r="E291">
            <v>4.6901731160896139E-2</v>
          </cell>
          <cell r="F291">
            <v>4.2844186046511634E-2</v>
          </cell>
          <cell r="G291">
            <v>4.004129537057162E-2</v>
          </cell>
          <cell r="H291">
            <v>3.7421771374365996E-2</v>
          </cell>
          <cell r="I291">
            <v>3.4973618106884097E-2</v>
          </cell>
          <cell r="J291">
            <v>3.26856243989571E-2</v>
          </cell>
          <cell r="K291">
            <v>3.0547312522389812E-2</v>
          </cell>
        </row>
        <row r="292">
          <cell r="A292" t="str">
            <v>Other Liabilities</v>
          </cell>
          <cell r="D292">
            <v>2.1351279317697227E-2</v>
          </cell>
          <cell r="E292">
            <v>2.0366598778004074E-2</v>
          </cell>
          <cell r="F292">
            <v>1.8604651162790697E-2</v>
          </cell>
          <cell r="G292">
            <v>1.7387524451206258E-2</v>
          </cell>
          <cell r="H292">
            <v>1.6250022851594631E-2</v>
          </cell>
          <cell r="I292">
            <v>1.5186937244480963E-2</v>
          </cell>
          <cell r="J292">
            <v>1.4193399293907439E-2</v>
          </cell>
          <cell r="K292">
            <v>1.3264859153184523E-2</v>
          </cell>
        </row>
      </sheetData>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ImportHistory"/>
      <sheetName val="Data"/>
      <sheetName val="Contents"/>
      <sheetName val="MW"/>
      <sheetName val="MW1"/>
      <sheetName val="MW2"/>
      <sheetName val="Graphs"/>
      <sheetName val="Americas Exec"/>
      <sheetName val="Consulting Services"/>
      <sheetName val="Corp OH"/>
      <sheetName val="Corp Funding"/>
      <sheetName val="SCEM"/>
      <sheetName val="SPS"/>
      <sheetName val="NA"/>
      <sheetName val="LA"/>
      <sheetName val="AMERICAS"/>
      <sheetName val="EUROPE"/>
      <sheetName val="Asia"/>
      <sheetName val="TOTAL SEI"/>
      <sheetName val="ROE"/>
    </sheetNames>
    <sheetDataSet>
      <sheetData sheetId="0" refreshError="1">
        <row r="16">
          <cell r="D16" t="str">
            <v>Hold Com</v>
          </cell>
          <cell r="E16">
            <v>547</v>
          </cell>
          <cell r="F16" t="str">
            <v>Accounts Payable Associated Companies</v>
          </cell>
        </row>
        <row r="17">
          <cell r="D17" t="str">
            <v>SE Americas Exec</v>
          </cell>
          <cell r="E17">
            <v>3</v>
          </cell>
          <cell r="F17" t="str">
            <v>ACCUMULATED DEPRECIATION</v>
          </cell>
        </row>
        <row r="18">
          <cell r="D18" t="str">
            <v>SE Consulting Serv</v>
          </cell>
          <cell r="E18">
            <v>507</v>
          </cell>
          <cell r="F18" t="str">
            <v>Administrative and General O&amp;M Expense</v>
          </cell>
        </row>
        <row r="19">
          <cell r="D19" t="str">
            <v>SE Corp Funding</v>
          </cell>
          <cell r="E19">
            <v>518</v>
          </cell>
          <cell r="F19" t="str">
            <v>AFUDC Debt</v>
          </cell>
        </row>
        <row r="23">
          <cell r="D23" t="str">
            <v>SEG SCEM</v>
          </cell>
          <cell r="E23">
            <v>493</v>
          </cell>
          <cell r="F23" t="str">
            <v>Associated Revenues</v>
          </cell>
        </row>
        <row r="24">
          <cell r="D24" t="str">
            <v>SEI Asia</v>
          </cell>
          <cell r="E24">
            <v>1130</v>
          </cell>
          <cell r="F24" t="str">
            <v>Average Price Per Share</v>
          </cell>
        </row>
        <row r="25">
          <cell r="D25" t="str">
            <v>SEI Europe</v>
          </cell>
          <cell r="E25">
            <v>291</v>
          </cell>
          <cell r="F25" t="str">
            <v>Average Return on Equity %</v>
          </cell>
        </row>
        <row r="83">
          <cell r="E83">
            <v>1104</v>
          </cell>
          <cell r="F83" t="str">
            <v>Intercompany Preferred Stock</v>
          </cell>
        </row>
        <row r="88">
          <cell r="E88">
            <v>16</v>
          </cell>
          <cell r="F88" t="str">
            <v>LONG TERM DEBT</v>
          </cell>
        </row>
        <row r="92">
          <cell r="E92">
            <v>579</v>
          </cell>
          <cell r="F92" t="str">
            <v>Minority Interest Debt B Redemptions</v>
          </cell>
        </row>
      </sheetData>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exh 11"/>
      <sheetName val="exh 14"/>
      <sheetName val="exh 12"/>
      <sheetName val="exh 10"/>
      <sheetName val="exh 1 and 5"/>
      <sheetName val="exh 15"/>
      <sheetName val="exh 3"/>
      <sheetName val="exh 9"/>
      <sheetName val="Good 12-00 (2)"/>
      <sheetName val="Good 11-36"/>
      <sheetName val="Good 11-50"/>
      <sheetName val="Sheet3 (5)"/>
      <sheetName val="WACC"/>
      <sheetName val="Sheet1"/>
      <sheetName val="Fixed Line Mkt"/>
      <sheetName val="Cash Flow"/>
      <sheetName val="upside_downside"/>
      <sheetName val="Income Statement"/>
      <sheetName val="Balance Sheet"/>
      <sheetName val="Valsum"/>
      <sheetName val="Total_Production"/>
      <sheetName val="RFS"/>
      <sheetName val="Corn_Uses"/>
      <sheetName val="US_Production"/>
      <sheetName val="DCF"/>
      <sheetName val="OP"/>
      <sheetName val="Inputs"/>
      <sheetName val="MWA RR"/>
      <sheetName val="Summary"/>
      <sheetName val="IS"/>
      <sheetName val="Risk-Reward_View_Chart"/>
      <sheetName val="variables"/>
      <sheetName val="IS Quarterly"/>
      <sheetName val="Sheet1 (2)"/>
      <sheetName val="1Q11 Preview"/>
      <sheetName val="2Q11 Preview"/>
      <sheetName val="Model"/>
      <sheetName val="Intrinsic Value"/>
      <sheetName val="Rev by Geo"/>
      <sheetName val="fin"/>
      <sheetName val="Report template"/>
      <sheetName val="Model (WIP)"/>
      <sheetName val="sales bkd"/>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Interims"/>
      <sheetName val="Financial Statements"/>
      <sheetName val="Summary"/>
      <sheetName val="Floater Demand"/>
      <sheetName val="Inputs"/>
      <sheetName val="FX"/>
      <sheetName val="Good 12-00 (2)"/>
      <sheetName val="Good 11-36"/>
      <sheetName val="Good 11-50"/>
      <sheetName val="Sheet3 (5)"/>
      <sheetName val="CPB"/>
      <sheetName val="Total_Food_Promo"/>
      <sheetName val="CPB_2yr"/>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WPZ"/>
      <sheetName val="TPP"/>
      <sheetName val="EPE"/>
      <sheetName val="WMZ"/>
      <sheetName val="HEP"/>
      <sheetName val="MGG"/>
      <sheetName val="ETE"/>
      <sheetName val="BGH"/>
      <sheetName val="SEP"/>
      <sheetName val="TCLP"/>
      <sheetName val="SXL"/>
      <sheetName val="WES"/>
      <sheetName val="WP Detail "/>
      <sheetName val="Model"/>
      <sheetName val="Sheet4"/>
      <sheetName val="ForeignStake"/>
      <sheetName val="rev change analysis"/>
      <sheetName val="rev contribution analysi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 Capital"/>
      <sheetName val="New Business"/>
      <sheetName val="Basket_June09_2010"/>
      <sheetName val="C1070"/>
      <sheetName val="Basket_Jan09"/>
      <sheetName val="Basket_2010"/>
      <sheetName val="Inflation v Price 6mth lag"/>
      <sheetName val="Basket_2011"/>
      <sheetName val="Basket_June09"/>
      <sheetName val="Basket_June09_Futures"/>
      <sheetName val="Commodities Exposure"/>
      <sheetName val="Charts"/>
      <sheetName val="Pension"/>
      <sheetName val="Walk"/>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C2"/>
      <sheetName val="Comps_old"/>
      <sheetName val="Valuation metrics"/>
      <sheetName val="EBITgrowth"/>
      <sheetName val="__FDSCACHE__"/>
      <sheetName val="Comps"/>
      <sheetName val="SOTP"/>
      <sheetName val="10 yr Weekly PEs-HospSuply"/>
      <sheetName val="#REF"/>
    </sheetNames>
    <sheetDataSet>
      <sheetData sheetId="0" refreshError="1">
        <row r="1">
          <cell r="C1">
            <v>0</v>
          </cell>
          <cell r="D1" t="str">
            <v>1FY</v>
          </cell>
          <cell r="E1" t="str">
            <v>2FY</v>
          </cell>
          <cell r="F1" t="str">
            <v>3FY</v>
          </cell>
          <cell r="G1" t="str">
            <v>4FY</v>
          </cell>
          <cell r="H1" t="str">
            <v>5FY</v>
          </cell>
          <cell r="I1" t="str">
            <v>6FY</v>
          </cell>
          <cell r="Q1" t="str">
            <v>0FY</v>
          </cell>
          <cell r="R1" t="str">
            <v>1FY</v>
          </cell>
        </row>
        <row r="2">
          <cell r="C2" t="str">
            <v>Dividend Yield</v>
          </cell>
          <cell r="J2" t="str">
            <v>Dividend Yield</v>
          </cell>
          <cell r="O2" t="str">
            <v>Share buybacks</v>
          </cell>
          <cell r="Q2" t="str">
            <v>Shares</v>
          </cell>
          <cell r="T2" t="str">
            <v>Avg. Share Price</v>
          </cell>
        </row>
        <row r="3">
          <cell r="B3" t="str">
            <v>Ticker</v>
          </cell>
          <cell r="C3">
            <v>2007</v>
          </cell>
          <cell r="D3">
            <v>2008</v>
          </cell>
          <cell r="E3">
            <v>2009</v>
          </cell>
          <cell r="F3">
            <v>2010</v>
          </cell>
          <cell r="G3">
            <v>2011</v>
          </cell>
          <cell r="H3">
            <v>2012</v>
          </cell>
          <cell r="I3">
            <v>2013</v>
          </cell>
          <cell r="J3" t="str">
            <v>FDS</v>
          </cell>
          <cell r="K3" t="str">
            <v>FDY</v>
          </cell>
          <cell r="L3" t="str">
            <v>TDY</v>
          </cell>
          <cell r="M3" t="str">
            <v>5DY</v>
          </cell>
          <cell r="N3" t="str">
            <v>PR</v>
          </cell>
          <cell r="O3">
            <v>2007</v>
          </cell>
          <cell r="P3" t="str">
            <v>2008YTD</v>
          </cell>
          <cell r="Q3">
            <v>2007</v>
          </cell>
          <cell r="R3">
            <v>2008</v>
          </cell>
          <cell r="S3" t="str">
            <v>%Δ</v>
          </cell>
          <cell r="T3">
            <v>2007</v>
          </cell>
          <cell r="U3">
            <v>2008</v>
          </cell>
        </row>
        <row r="4">
          <cell r="B4" t="str">
            <v>COV</v>
          </cell>
          <cell r="C4" t="e">
            <v>#VALUE!</v>
          </cell>
          <cell r="D4" t="e">
            <v>#VALUE!</v>
          </cell>
          <cell r="E4" t="e">
            <v>#VALUE!</v>
          </cell>
          <cell r="F4" t="e">
            <v>#VALUE!</v>
          </cell>
          <cell r="G4" t="e">
            <v>#VALUE!</v>
          </cell>
          <cell r="H4" t="e">
            <v>#VALUE!</v>
          </cell>
          <cell r="I4" t="e">
            <v>#VALUE!</v>
          </cell>
          <cell r="J4" t="e">
            <v>#VALUE!</v>
          </cell>
          <cell r="K4">
            <v>1.2E-2</v>
          </cell>
          <cell r="L4">
            <v>1.2E-2</v>
          </cell>
          <cell r="M4" t="str">
            <v>N/A</v>
          </cell>
          <cell r="N4">
            <v>0.21</v>
          </cell>
          <cell r="O4" t="e">
            <v>#VALUE!</v>
          </cell>
          <cell r="P4" t="e">
            <v>#VALUE!</v>
          </cell>
          <cell r="Q4" t="str">
            <v>#Calc</v>
          </cell>
          <cell r="R4" t="str">
            <v>#Calc</v>
          </cell>
          <cell r="S4" t="e">
            <v>#VALUE!</v>
          </cell>
          <cell r="T4" t="str">
            <v>#Calc</v>
          </cell>
          <cell r="U4" t="str">
            <v>#Calc</v>
          </cell>
        </row>
        <row r="5">
          <cell r="B5" t="str">
            <v>ABT</v>
          </cell>
          <cell r="C5" t="e">
            <v>#VALUE!</v>
          </cell>
          <cell r="D5" t="e">
            <v>#VALUE!</v>
          </cell>
          <cell r="E5" t="e">
            <v>#VALUE!</v>
          </cell>
          <cell r="F5" t="e">
            <v>#VALUE!</v>
          </cell>
          <cell r="G5" t="e">
            <v>#VALUE!</v>
          </cell>
          <cell r="H5" t="e">
            <v>#VALUE!</v>
          </cell>
          <cell r="I5" t="e">
            <v>#VALUE!</v>
          </cell>
          <cell r="J5" t="e">
            <v>#VALUE!</v>
          </cell>
          <cell r="K5">
            <v>2.5000000000000001E-2</v>
          </cell>
          <cell r="L5">
            <v>2.4E-2</v>
          </cell>
          <cell r="M5">
            <v>2.3E-2</v>
          </cell>
          <cell r="N5">
            <v>0.5</v>
          </cell>
          <cell r="O5" t="e">
            <v>#VALUE!</v>
          </cell>
          <cell r="P5" t="e">
            <v>#VALUE!</v>
          </cell>
          <cell r="Q5" t="str">
            <v>#Calc</v>
          </cell>
          <cell r="R5" t="str">
            <v>#Calc</v>
          </cell>
          <cell r="S5" t="e">
            <v>#VALUE!</v>
          </cell>
          <cell r="T5" t="str">
            <v>#Calc</v>
          </cell>
          <cell r="U5" t="str">
            <v>#Calc</v>
          </cell>
        </row>
        <row r="6">
          <cell r="B6" t="str">
            <v>BAX</v>
          </cell>
          <cell r="C6" t="e">
            <v>#VALUE!</v>
          </cell>
          <cell r="D6" t="e">
            <v>#VALUE!</v>
          </cell>
          <cell r="E6" t="e">
            <v>#VALUE!</v>
          </cell>
          <cell r="F6" t="e">
            <v>#VALUE!</v>
          </cell>
          <cell r="G6" t="e">
            <v>#VALUE!</v>
          </cell>
          <cell r="H6" t="e">
            <v>#VALUE!</v>
          </cell>
          <cell r="I6" t="e">
            <v>#VALUE!</v>
          </cell>
          <cell r="J6" t="e">
            <v>#VALUE!</v>
          </cell>
          <cell r="K6">
            <v>1.2999999999999999E-2</v>
          </cell>
          <cell r="L6">
            <v>1.2E-2</v>
          </cell>
          <cell r="M6">
            <v>1.6E-2</v>
          </cell>
          <cell r="N6">
            <v>0.27</v>
          </cell>
          <cell r="O6" t="e">
            <v>#VALUE!</v>
          </cell>
          <cell r="P6" t="e">
            <v>#VALUE!</v>
          </cell>
          <cell r="Q6" t="str">
            <v>#Calc</v>
          </cell>
          <cell r="R6" t="str">
            <v>#Calc</v>
          </cell>
          <cell r="S6" t="e">
            <v>#VALUE!</v>
          </cell>
          <cell r="T6" t="str">
            <v>#Calc</v>
          </cell>
          <cell r="U6" t="str">
            <v>#Calc</v>
          </cell>
        </row>
        <row r="7">
          <cell r="B7" t="str">
            <v>BDX</v>
          </cell>
          <cell r="C7" t="e">
            <v>#VALUE!</v>
          </cell>
          <cell r="D7" t="e">
            <v>#VALUE!</v>
          </cell>
          <cell r="E7" t="e">
            <v>#VALUE!</v>
          </cell>
          <cell r="F7" t="e">
            <v>#VALUE!</v>
          </cell>
          <cell r="G7" t="e">
            <v>#VALUE!</v>
          </cell>
          <cell r="H7" t="e">
            <v>#VALUE!</v>
          </cell>
          <cell r="I7" t="e">
            <v>#VALUE!</v>
          </cell>
          <cell r="J7" t="e">
            <v>#VALUE!</v>
          </cell>
          <cell r="K7">
            <v>1.2999999999999999E-2</v>
          </cell>
          <cell r="L7">
            <v>1.2999999999999999E-2</v>
          </cell>
          <cell r="M7">
            <v>1.2E-2</v>
          </cell>
          <cell r="N7">
            <v>0.25</v>
          </cell>
          <cell r="O7" t="e">
            <v>#VALUE!</v>
          </cell>
          <cell r="P7" t="e">
            <v>#VALUE!</v>
          </cell>
          <cell r="Q7" t="str">
            <v>#Calc</v>
          </cell>
          <cell r="R7" t="str">
            <v>#Calc</v>
          </cell>
          <cell r="S7" t="e">
            <v>#VALUE!</v>
          </cell>
          <cell r="T7" t="str">
            <v>#Calc</v>
          </cell>
          <cell r="U7" t="str">
            <v>#Calc</v>
          </cell>
        </row>
        <row r="8">
          <cell r="B8" t="str">
            <v>JNJ</v>
          </cell>
          <cell r="C8" t="e">
            <v>#VALUE!</v>
          </cell>
          <cell r="D8" t="e">
            <v>#VALUE!</v>
          </cell>
          <cell r="E8" t="e">
            <v>#VALUE!</v>
          </cell>
          <cell r="F8" t="e">
            <v>#VALUE!</v>
          </cell>
          <cell r="G8" t="e">
            <v>#VALUE!</v>
          </cell>
          <cell r="H8" t="e">
            <v>#VALUE!</v>
          </cell>
          <cell r="I8" t="e">
            <v>#VALUE!</v>
          </cell>
          <cell r="J8" t="e">
            <v>#VALUE!</v>
          </cell>
          <cell r="K8">
            <v>2.5999999999999999E-2</v>
          </cell>
          <cell r="L8">
            <v>2.4E-2</v>
          </cell>
          <cell r="M8">
            <v>2.1000000000000001E-2</v>
          </cell>
          <cell r="N8">
            <v>0.42</v>
          </cell>
          <cell r="O8" t="e">
            <v>#VALUE!</v>
          </cell>
          <cell r="P8" t="e">
            <v>#VALUE!</v>
          </cell>
          <cell r="Q8" t="str">
            <v>#Calc</v>
          </cell>
          <cell r="R8" t="str">
            <v>#Calc</v>
          </cell>
          <cell r="S8" t="e">
            <v>#VALUE!</v>
          </cell>
          <cell r="T8" t="str">
            <v>#Calc</v>
          </cell>
          <cell r="U8" t="str">
            <v>#Calc</v>
          </cell>
        </row>
        <row r="9">
          <cell r="B9" t="str">
            <v>MDT</v>
          </cell>
          <cell r="C9" t="e">
            <v>#VALUE!</v>
          </cell>
          <cell r="D9" t="e">
            <v>#VALUE!</v>
          </cell>
          <cell r="E9" t="e">
            <v>#VALUE!</v>
          </cell>
          <cell r="F9" t="e">
            <v>#VALUE!</v>
          </cell>
          <cell r="G9" t="e">
            <v>#VALUE!</v>
          </cell>
          <cell r="H9" t="e">
            <v>#VALUE!</v>
          </cell>
          <cell r="I9" t="e">
            <v>#VALUE!</v>
          </cell>
          <cell r="J9" t="e">
            <v>#VALUE!</v>
          </cell>
          <cell r="K9">
            <v>1.2999999999999999E-2</v>
          </cell>
          <cell r="L9">
            <v>0.01</v>
          </cell>
          <cell r="M9">
            <v>0.8</v>
          </cell>
          <cell r="N9">
            <v>0.28999999999999998</v>
          </cell>
          <cell r="O9" t="e">
            <v>#VALUE!</v>
          </cell>
          <cell r="P9" t="e">
            <v>#VALUE!</v>
          </cell>
          <cell r="Q9" t="str">
            <v>#Calc</v>
          </cell>
          <cell r="R9" t="str">
            <v>#Calc</v>
          </cell>
          <cell r="S9" t="e">
            <v>#VALUE!</v>
          </cell>
          <cell r="T9" t="str">
            <v>#Calc</v>
          </cell>
          <cell r="U9" t="str">
            <v>#Calc</v>
          </cell>
        </row>
        <row r="10">
          <cell r="B10" t="str">
            <v>Average</v>
          </cell>
          <cell r="C10" t="e">
            <v>#VALUE!</v>
          </cell>
          <cell r="D10" t="e">
            <v>#VALUE!</v>
          </cell>
          <cell r="E10" t="e">
            <v>#VALUE!</v>
          </cell>
          <cell r="F10" t="e">
            <v>#VALUE!</v>
          </cell>
          <cell r="G10" t="e">
            <v>#VALUE!</v>
          </cell>
          <cell r="H10" t="e">
            <v>#VALUE!</v>
          </cell>
          <cell r="I10" t="e">
            <v>#VALUE!</v>
          </cell>
          <cell r="J10" t="e">
            <v>#VALUE!</v>
          </cell>
          <cell r="K10">
            <v>1.6999999999999998E-2</v>
          </cell>
          <cell r="L10">
            <v>1.5833333333333331E-2</v>
          </cell>
          <cell r="M10">
            <v>0.17440000000000003</v>
          </cell>
          <cell r="N10">
            <v>0.32333333333333331</v>
          </cell>
        </row>
        <row r="13">
          <cell r="V13" t="str">
            <v>Company</v>
          </cell>
          <cell r="W13" t="str">
            <v>Ticker</v>
          </cell>
          <cell r="X13" t="str">
            <v>Dividend Yield</v>
          </cell>
          <cell r="Y13" t="str">
            <v>Payout Ratio</v>
          </cell>
        </row>
        <row r="14">
          <cell r="V14" t="str">
            <v>Covidien</v>
          </cell>
          <cell r="W14" t="str">
            <v>COV</v>
          </cell>
          <cell r="X14">
            <v>1.2E-2</v>
          </cell>
          <cell r="Y14">
            <v>0.21</v>
          </cell>
        </row>
        <row r="15">
          <cell r="V15" t="str">
            <v>Abbott</v>
          </cell>
          <cell r="W15" t="str">
            <v>ABT</v>
          </cell>
          <cell r="X15">
            <v>2.5000000000000001E-2</v>
          </cell>
          <cell r="Y15">
            <v>0.5</v>
          </cell>
        </row>
        <row r="16">
          <cell r="V16" t="str">
            <v>Baxter</v>
          </cell>
          <cell r="W16" t="str">
            <v>BAX</v>
          </cell>
          <cell r="X16">
            <v>1.2999999999999999E-2</v>
          </cell>
          <cell r="Y16">
            <v>0.27</v>
          </cell>
        </row>
        <row r="17">
          <cell r="V17" t="str">
            <v>Becton Dickinson</v>
          </cell>
          <cell r="W17" t="str">
            <v>BDX</v>
          </cell>
          <cell r="X17">
            <v>1.2999999999999999E-2</v>
          </cell>
          <cell r="Y17">
            <v>0.25</v>
          </cell>
        </row>
        <row r="18">
          <cell r="V18" t="str">
            <v>Johnson &amp; Johnson</v>
          </cell>
          <cell r="W18" t="str">
            <v>JNJ</v>
          </cell>
          <cell r="X18">
            <v>2.5999999999999999E-2</v>
          </cell>
          <cell r="Y18">
            <v>0.42</v>
          </cell>
        </row>
        <row r="19">
          <cell r="V19" t="str">
            <v>Medtronic</v>
          </cell>
          <cell r="W19" t="str">
            <v>MDT</v>
          </cell>
          <cell r="X19">
            <v>1.2999999999999999E-2</v>
          </cell>
          <cell r="Y19">
            <v>0.28999999999999998</v>
          </cell>
        </row>
        <row r="20">
          <cell r="V20" t="str">
            <v>Average (ex-COV)</v>
          </cell>
          <cell r="X20">
            <v>1.7999999999999999E-2</v>
          </cell>
          <cell r="Y20">
            <v>0.34599999999999997</v>
          </cell>
        </row>
        <row r="23">
          <cell r="AA23" t="str">
            <v>(share count in millions)</v>
          </cell>
        </row>
        <row r="24">
          <cell r="AB24" t="str">
            <v>Share buybacks</v>
          </cell>
          <cell r="AD24" t="str">
            <v>%Δ OS Shares</v>
          </cell>
        </row>
        <row r="25">
          <cell r="AA25" t="str">
            <v>Ticker</v>
          </cell>
          <cell r="AB25">
            <v>2007</v>
          </cell>
          <cell r="AC25" t="str">
            <v>2008YTD</v>
          </cell>
        </row>
        <row r="26">
          <cell r="AA26" t="str">
            <v>COV</v>
          </cell>
          <cell r="AB26" t="e">
            <v>#VALUE!</v>
          </cell>
          <cell r="AC26" t="e">
            <v>#VALUE!</v>
          </cell>
          <cell r="AD26" t="e">
            <v>#VALUE!</v>
          </cell>
        </row>
        <row r="27">
          <cell r="AA27" t="str">
            <v>ABT</v>
          </cell>
          <cell r="AB27" t="e">
            <v>#VALUE!</v>
          </cell>
          <cell r="AC27" t="e">
            <v>#VALUE!</v>
          </cell>
          <cell r="AD27" t="e">
            <v>#VALUE!</v>
          </cell>
        </row>
        <row r="28">
          <cell r="AA28" t="str">
            <v>BAX</v>
          </cell>
          <cell r="AB28" t="e">
            <v>#VALUE!</v>
          </cell>
          <cell r="AC28" t="e">
            <v>#VALUE!</v>
          </cell>
          <cell r="AD28" t="e">
            <v>#VALUE!</v>
          </cell>
        </row>
        <row r="29">
          <cell r="AA29" t="str">
            <v>BDX</v>
          </cell>
          <cell r="AB29" t="e">
            <v>#VALUE!</v>
          </cell>
          <cell r="AC29" t="e">
            <v>#VALUE!</v>
          </cell>
          <cell r="AD29" t="e">
            <v>#VALUE!</v>
          </cell>
        </row>
        <row r="30">
          <cell r="AA30" t="str">
            <v>JNJ</v>
          </cell>
          <cell r="AB30" t="e">
            <v>#VALUE!</v>
          </cell>
          <cell r="AC30" t="e">
            <v>#VALUE!</v>
          </cell>
          <cell r="AD30" t="e">
            <v>#VALUE!</v>
          </cell>
        </row>
        <row r="31">
          <cell r="AA31" t="str">
            <v>MDT</v>
          </cell>
          <cell r="AB31" t="e">
            <v>#VALUE!</v>
          </cell>
          <cell r="AC31" t="e">
            <v>#VALUE!</v>
          </cell>
          <cell r="AD31" t="e">
            <v>#VALUE!</v>
          </cell>
        </row>
        <row r="35">
          <cell r="AF35" t="str">
            <v>($ and shares in millions)</v>
          </cell>
        </row>
        <row r="36">
          <cell r="AG36" t="str">
            <v>F2007</v>
          </cell>
          <cell r="AH36" t="str">
            <v>F2008e</v>
          </cell>
          <cell r="AI36" t="str">
            <v>F2009e</v>
          </cell>
          <cell r="AJ36" t="str">
            <v>F2010e</v>
          </cell>
          <cell r="AK36" t="str">
            <v>F2011e</v>
          </cell>
        </row>
        <row r="37">
          <cell r="AF37" t="str">
            <v>CF from operating</v>
          </cell>
          <cell r="AG37">
            <v>-113</v>
          </cell>
          <cell r="AH37">
            <v>-5</v>
          </cell>
          <cell r="AI37">
            <v>0</v>
          </cell>
          <cell r="AJ37">
            <v>0</v>
          </cell>
          <cell r="AK37">
            <v>0</v>
          </cell>
        </row>
        <row r="38">
          <cell r="AF38" t="str">
            <v>CF from investing</v>
          </cell>
          <cell r="AG38">
            <v>-9</v>
          </cell>
          <cell r="AH38">
            <v>-11</v>
          </cell>
          <cell r="AI38">
            <v>0</v>
          </cell>
          <cell r="AJ38">
            <v>20</v>
          </cell>
          <cell r="AK38">
            <v>-2</v>
          </cell>
        </row>
        <row r="39">
          <cell r="AF39" t="str">
            <v>CF from financing</v>
          </cell>
          <cell r="AG39">
            <v>0</v>
          </cell>
          <cell r="AH39">
            <v>0</v>
          </cell>
          <cell r="AI39">
            <v>0</v>
          </cell>
          <cell r="AJ39">
            <v>0</v>
          </cell>
          <cell r="AK39">
            <v>100</v>
          </cell>
        </row>
        <row r="40">
          <cell r="AF40" t="str">
            <v>CF from FX</v>
          </cell>
          <cell r="AG40">
            <v>-726</v>
          </cell>
          <cell r="AH40">
            <v>-27</v>
          </cell>
          <cell r="AI40">
            <v>-19</v>
          </cell>
          <cell r="AJ40">
            <v>-20</v>
          </cell>
          <cell r="AK40">
            <v>1</v>
          </cell>
        </row>
        <row r="42">
          <cell r="AF42" t="str">
            <v>Net increase in cash</v>
          </cell>
          <cell r="AG42">
            <v>0</v>
          </cell>
          <cell r="AH42">
            <v>0</v>
          </cell>
          <cell r="AI42">
            <v>0</v>
          </cell>
          <cell r="AJ42">
            <v>0</v>
          </cell>
          <cell r="AK42">
            <v>0</v>
          </cell>
        </row>
        <row r="43">
          <cell r="AF43" t="str">
            <v>Beginning cash</v>
          </cell>
          <cell r="AG43">
            <v>110</v>
          </cell>
          <cell r="AH43">
            <v>253</v>
          </cell>
          <cell r="AI43">
            <v>18</v>
          </cell>
          <cell r="AJ43">
            <v>-41</v>
          </cell>
          <cell r="AK43">
            <v>242</v>
          </cell>
        </row>
        <row r="44">
          <cell r="AF44" t="str">
            <v>Ending cash</v>
          </cell>
          <cell r="AG44">
            <v>-9</v>
          </cell>
          <cell r="AH44">
            <v>0</v>
          </cell>
          <cell r="AI44">
            <v>0</v>
          </cell>
          <cell r="AJ44">
            <v>0</v>
          </cell>
          <cell r="AK44">
            <v>0</v>
          </cell>
        </row>
        <row r="46">
          <cell r="AF46" t="str">
            <v>Share count</v>
          </cell>
          <cell r="AG46">
            <v>0</v>
          </cell>
          <cell r="AH46">
            <v>0</v>
          </cell>
          <cell r="AI46">
            <v>0</v>
          </cell>
          <cell r="AJ46">
            <v>0</v>
          </cell>
          <cell r="AK46">
            <v>0</v>
          </cell>
        </row>
        <row r="47">
          <cell r="AF47" t="str">
            <v>Net debt</v>
          </cell>
          <cell r="AG47">
            <v>0</v>
          </cell>
          <cell r="AH47">
            <v>0</v>
          </cell>
          <cell r="AI47">
            <v>0</v>
          </cell>
          <cell r="AJ47">
            <v>0</v>
          </cell>
          <cell r="AK47">
            <v>0</v>
          </cell>
        </row>
      </sheetData>
      <sheetData sheetId="1"/>
      <sheetData sheetId="2" refreshError="1">
        <row r="1">
          <cell r="A1" t="str">
            <v>Covidien Valuation Metrics</v>
          </cell>
        </row>
        <row r="2">
          <cell r="A2" t="str">
            <v>COV</v>
          </cell>
        </row>
        <row r="3">
          <cell r="C3" t="str">
            <v>Calendar EPS</v>
          </cell>
          <cell r="F3" t="str">
            <v>Current</v>
          </cell>
          <cell r="G3" t="str">
            <v>Out Year</v>
          </cell>
          <cell r="H3" t="str">
            <v>EPS</v>
          </cell>
          <cell r="I3" t="str">
            <v>LTM</v>
          </cell>
          <cell r="K3" t="str">
            <v>Sales</v>
          </cell>
          <cell r="L3" t="str">
            <v>Price to</v>
          </cell>
          <cell r="O3" t="str">
            <v>Enterprise</v>
          </cell>
          <cell r="P3" t="str">
            <v>EV to</v>
          </cell>
          <cell r="Q3" t="str">
            <v>LTM</v>
          </cell>
          <cell r="R3" t="str">
            <v>EV to</v>
          </cell>
          <cell r="V3" t="str">
            <v>Book Value</v>
          </cell>
          <cell r="W3" t="str">
            <v>TB</v>
          </cell>
          <cell r="X3" t="str">
            <v>Price to</v>
          </cell>
          <cell r="Y3" t="str">
            <v>Price to</v>
          </cell>
          <cell r="Z3" t="str">
            <v>Stock</v>
          </cell>
        </row>
        <row r="4">
          <cell r="A4" t="str">
            <v>Date</v>
          </cell>
          <cell r="B4" t="str">
            <v>Close</v>
          </cell>
          <cell r="C4" t="str">
            <v>CY</v>
          </cell>
          <cell r="D4" t="str">
            <v>Year out</v>
          </cell>
          <cell r="F4" t="str">
            <v>Year P/E</v>
          </cell>
          <cell r="G4" t="str">
            <v>P/E</v>
          </cell>
          <cell r="H4" t="str">
            <v>Growth Rate</v>
          </cell>
          <cell r="I4" t="str">
            <v>Sales</v>
          </cell>
          <cell r="J4" t="str">
            <v>S/O</v>
          </cell>
          <cell r="K4" t="str">
            <v>Per Share</v>
          </cell>
          <cell r="L4" t="str">
            <v>Sales</v>
          </cell>
          <cell r="M4" t="str">
            <v>Cash</v>
          </cell>
          <cell r="N4" t="str">
            <v>Debt</v>
          </cell>
          <cell r="O4" t="str">
            <v>Value</v>
          </cell>
          <cell r="P4" t="str">
            <v>Sales</v>
          </cell>
          <cell r="Q4" t="str">
            <v>EBITDA</v>
          </cell>
          <cell r="R4" t="str">
            <v>EBITDA</v>
          </cell>
          <cell r="S4" t="str">
            <v>Equity</v>
          </cell>
          <cell r="T4" t="str">
            <v>Goodwill</v>
          </cell>
          <cell r="U4" t="str">
            <v>TB</v>
          </cell>
          <cell r="V4" t="str">
            <v>Per Share</v>
          </cell>
          <cell r="W4" t="str">
            <v>Per Share</v>
          </cell>
          <cell r="X4" t="str">
            <v>Book</v>
          </cell>
          <cell r="Y4" t="str">
            <v>Tan Book</v>
          </cell>
          <cell r="Z4" t="str">
            <v>Return</v>
          </cell>
        </row>
        <row r="6">
          <cell r="A6">
            <v>40118</v>
          </cell>
          <cell r="B6" t="str">
            <v>#Calc</v>
          </cell>
          <cell r="C6" t="str">
            <v>#Calc</v>
          </cell>
          <cell r="D6" t="str">
            <v>#Calc</v>
          </cell>
          <cell r="E6" t="e">
            <v>#VALUE!</v>
          </cell>
          <cell r="F6" t="e">
            <v>#VALUE!</v>
          </cell>
          <cell r="G6" t="e">
            <v>#VALUE!</v>
          </cell>
          <cell r="H6" t="e">
            <v>#VALUE!</v>
          </cell>
          <cell r="I6" t="str">
            <v>#Calc</v>
          </cell>
          <cell r="J6" t="str">
            <v>#Calc</v>
          </cell>
          <cell r="K6" t="e">
            <v>#VALUE!</v>
          </cell>
          <cell r="L6" t="e">
            <v>#VALUE!</v>
          </cell>
          <cell r="M6" t="str">
            <v>#Calc</v>
          </cell>
          <cell r="N6" t="str">
            <v>#Calc</v>
          </cell>
          <cell r="O6" t="e">
            <v>#VALUE!</v>
          </cell>
          <cell r="P6" t="e">
            <v>#VALUE!</v>
          </cell>
          <cell r="Q6" t="str">
            <v>#Calc</v>
          </cell>
          <cell r="R6" t="e">
            <v>#VALUE!</v>
          </cell>
          <cell r="S6" t="str">
            <v>#Calc</v>
          </cell>
          <cell r="T6" t="e">
            <v>#VALUE!</v>
          </cell>
          <cell r="U6" t="e">
            <v>#VALUE!</v>
          </cell>
          <cell r="V6" t="e">
            <v>#VALUE!</v>
          </cell>
          <cell r="W6" t="e">
            <v>#VALUE!</v>
          </cell>
          <cell r="X6" t="e">
            <v>#VALUE!</v>
          </cell>
          <cell r="Y6" t="e">
            <v>#VALUE!</v>
          </cell>
          <cell r="Z6" t="e">
            <v>#VALUE!</v>
          </cell>
        </row>
        <row r="7">
          <cell r="A7">
            <v>39807</v>
          </cell>
          <cell r="B7" t="str">
            <v>#Calc</v>
          </cell>
          <cell r="C7" t="str">
            <v>#Calc</v>
          </cell>
          <cell r="D7" t="str">
            <v>#Calc</v>
          </cell>
          <cell r="E7" t="e">
            <v>#VALUE!</v>
          </cell>
          <cell r="F7" t="e">
            <v>#VALUE!</v>
          </cell>
          <cell r="G7" t="e">
            <v>#VALUE!</v>
          </cell>
          <cell r="H7" t="e">
            <v>#VALUE!</v>
          </cell>
          <cell r="I7" t="str">
            <v>#Calc</v>
          </cell>
          <cell r="J7" t="str">
            <v>#Calc</v>
          </cell>
          <cell r="K7" t="e">
            <v>#VALUE!</v>
          </cell>
          <cell r="L7" t="e">
            <v>#VALUE!</v>
          </cell>
          <cell r="M7" t="str">
            <v>#Calc</v>
          </cell>
          <cell r="N7" t="str">
            <v>#Calc</v>
          </cell>
          <cell r="O7" t="e">
            <v>#VALUE!</v>
          </cell>
          <cell r="P7" t="e">
            <v>#VALUE!</v>
          </cell>
          <cell r="Q7" t="str">
            <v>#Calc</v>
          </cell>
          <cell r="R7" t="e">
            <v>#VALUE!</v>
          </cell>
          <cell r="S7" t="str">
            <v>#Calc</v>
          </cell>
          <cell r="T7" t="e">
            <v>#VALUE!</v>
          </cell>
          <cell r="U7" t="e">
            <v>#VALUE!</v>
          </cell>
          <cell r="V7" t="e">
            <v>#VALUE!</v>
          </cell>
          <cell r="W7" t="e">
            <v>#VALUE!</v>
          </cell>
          <cell r="X7" t="e">
            <v>#VALUE!</v>
          </cell>
          <cell r="Y7" t="e">
            <v>#VALUE!</v>
          </cell>
          <cell r="Z7" t="e">
            <v>#VALUE!</v>
          </cell>
        </row>
        <row r="8">
          <cell r="A8">
            <v>39777</v>
          </cell>
          <cell r="B8" t="str">
            <v>#Calc</v>
          </cell>
          <cell r="C8" t="str">
            <v>#Calc</v>
          </cell>
          <cell r="D8" t="str">
            <v>#Calc</v>
          </cell>
          <cell r="E8" t="e">
            <v>#VALUE!</v>
          </cell>
          <cell r="F8" t="e">
            <v>#VALUE!</v>
          </cell>
          <cell r="G8" t="e">
            <v>#VALUE!</v>
          </cell>
          <cell r="H8" t="e">
            <v>#VALUE!</v>
          </cell>
          <cell r="I8" t="str">
            <v>#Calc</v>
          </cell>
          <cell r="J8" t="str">
            <v>#Calc</v>
          </cell>
          <cell r="K8" t="e">
            <v>#VALUE!</v>
          </cell>
          <cell r="L8" t="e">
            <v>#VALUE!</v>
          </cell>
          <cell r="M8" t="str">
            <v>#Calc</v>
          </cell>
          <cell r="N8" t="str">
            <v>#Calc</v>
          </cell>
          <cell r="O8" t="e">
            <v>#VALUE!</v>
          </cell>
          <cell r="P8" t="e">
            <v>#VALUE!</v>
          </cell>
          <cell r="Q8" t="str">
            <v>#Calc</v>
          </cell>
          <cell r="R8" t="e">
            <v>#VALUE!</v>
          </cell>
          <cell r="S8" t="str">
            <v>#Calc</v>
          </cell>
          <cell r="T8" t="e">
            <v>#VALUE!</v>
          </cell>
          <cell r="U8" t="e">
            <v>#VALUE!</v>
          </cell>
          <cell r="V8" t="e">
            <v>#VALUE!</v>
          </cell>
          <cell r="W8" t="e">
            <v>#VALUE!</v>
          </cell>
          <cell r="X8" t="e">
            <v>#VALUE!</v>
          </cell>
          <cell r="Y8" t="e">
            <v>#VALUE!</v>
          </cell>
          <cell r="Z8" t="e">
            <v>#VALUE!</v>
          </cell>
        </row>
        <row r="9">
          <cell r="A9">
            <v>39747</v>
          </cell>
          <cell r="B9" t="str">
            <v>#Calc</v>
          </cell>
          <cell r="C9" t="str">
            <v>#Calc</v>
          </cell>
          <cell r="D9" t="str">
            <v>#Calc</v>
          </cell>
          <cell r="E9" t="e">
            <v>#VALUE!</v>
          </cell>
          <cell r="F9" t="e">
            <v>#VALUE!</v>
          </cell>
          <cell r="G9" t="e">
            <v>#VALUE!</v>
          </cell>
          <cell r="H9" t="e">
            <v>#VALUE!</v>
          </cell>
          <cell r="I9" t="str">
            <v>#Calc</v>
          </cell>
          <cell r="J9" t="str">
            <v>#Calc</v>
          </cell>
          <cell r="K9" t="e">
            <v>#VALUE!</v>
          </cell>
          <cell r="L9" t="e">
            <v>#VALUE!</v>
          </cell>
          <cell r="M9" t="str">
            <v>#Calc</v>
          </cell>
          <cell r="N9" t="str">
            <v>#Calc</v>
          </cell>
          <cell r="O9" t="e">
            <v>#VALUE!</v>
          </cell>
          <cell r="P9" t="e">
            <v>#VALUE!</v>
          </cell>
          <cell r="Q9" t="str">
            <v>#Calc</v>
          </cell>
          <cell r="R9" t="e">
            <v>#VALUE!</v>
          </cell>
          <cell r="S9" t="str">
            <v>#Calc</v>
          </cell>
          <cell r="T9" t="e">
            <v>#VALUE!</v>
          </cell>
          <cell r="U9" t="e">
            <v>#VALUE!</v>
          </cell>
          <cell r="V9" t="e">
            <v>#VALUE!</v>
          </cell>
          <cell r="W9" t="e">
            <v>#VALUE!</v>
          </cell>
          <cell r="X9" t="e">
            <v>#VALUE!</v>
          </cell>
          <cell r="Y9" t="e">
            <v>#VALUE!</v>
          </cell>
          <cell r="Z9" t="e">
            <v>#VALUE!</v>
          </cell>
        </row>
        <row r="10">
          <cell r="A10">
            <v>39717</v>
          </cell>
          <cell r="B10" t="str">
            <v>#Calc</v>
          </cell>
          <cell r="C10" t="str">
            <v>#Calc</v>
          </cell>
          <cell r="D10" t="str">
            <v>#Calc</v>
          </cell>
          <cell r="E10" t="e">
            <v>#VALUE!</v>
          </cell>
          <cell r="F10" t="e">
            <v>#VALUE!</v>
          </cell>
          <cell r="G10" t="e">
            <v>#VALUE!</v>
          </cell>
          <cell r="H10" t="e">
            <v>#VALUE!</v>
          </cell>
          <cell r="I10" t="str">
            <v>#Calc</v>
          </cell>
          <cell r="J10" t="str">
            <v>#Calc</v>
          </cell>
          <cell r="K10" t="e">
            <v>#VALUE!</v>
          </cell>
          <cell r="L10" t="e">
            <v>#VALUE!</v>
          </cell>
          <cell r="M10" t="str">
            <v>#Calc</v>
          </cell>
          <cell r="N10" t="str">
            <v>#Calc</v>
          </cell>
          <cell r="O10" t="e">
            <v>#VALUE!</v>
          </cell>
          <cell r="P10" t="e">
            <v>#VALUE!</v>
          </cell>
          <cell r="Q10" t="str">
            <v>#Calc</v>
          </cell>
          <cell r="R10" t="e">
            <v>#VALUE!</v>
          </cell>
          <cell r="S10" t="str">
            <v>#Calc</v>
          </cell>
          <cell r="T10" t="e">
            <v>#VALUE!</v>
          </cell>
          <cell r="U10" t="e">
            <v>#VALUE!</v>
          </cell>
          <cell r="V10" t="e">
            <v>#VALUE!</v>
          </cell>
          <cell r="W10" t="e">
            <v>#VALUE!</v>
          </cell>
          <cell r="X10" t="e">
            <v>#VALUE!</v>
          </cell>
          <cell r="Y10" t="e">
            <v>#VALUE!</v>
          </cell>
          <cell r="Z10" t="e">
            <v>#VALUE!</v>
          </cell>
        </row>
        <row r="11">
          <cell r="A11">
            <v>39687</v>
          </cell>
          <cell r="B11" t="str">
            <v>#Calc</v>
          </cell>
          <cell r="C11" t="str">
            <v>#Calc</v>
          </cell>
          <cell r="D11" t="str">
            <v>#Calc</v>
          </cell>
          <cell r="E11" t="e">
            <v>#VALUE!</v>
          </cell>
          <cell r="F11" t="e">
            <v>#VALUE!</v>
          </cell>
          <cell r="G11" t="e">
            <v>#VALUE!</v>
          </cell>
          <cell r="H11" t="e">
            <v>#VALUE!</v>
          </cell>
          <cell r="I11" t="str">
            <v>#Calc</v>
          </cell>
          <cell r="J11" t="str">
            <v>#Calc</v>
          </cell>
          <cell r="K11" t="e">
            <v>#VALUE!</v>
          </cell>
          <cell r="L11" t="e">
            <v>#VALUE!</v>
          </cell>
          <cell r="M11" t="str">
            <v>#Calc</v>
          </cell>
          <cell r="N11" t="str">
            <v>#Calc</v>
          </cell>
          <cell r="O11" t="e">
            <v>#VALUE!</v>
          </cell>
          <cell r="P11" t="e">
            <v>#VALUE!</v>
          </cell>
          <cell r="Q11" t="str">
            <v>#Calc</v>
          </cell>
          <cell r="R11" t="e">
            <v>#VALUE!</v>
          </cell>
          <cell r="S11" t="str">
            <v>#Calc</v>
          </cell>
          <cell r="T11" t="e">
            <v>#VALUE!</v>
          </cell>
          <cell r="U11" t="e">
            <v>#VALUE!</v>
          </cell>
          <cell r="V11" t="e">
            <v>#VALUE!</v>
          </cell>
          <cell r="W11" t="e">
            <v>#VALUE!</v>
          </cell>
          <cell r="X11" t="e">
            <v>#VALUE!</v>
          </cell>
          <cell r="Y11" t="e">
            <v>#VALUE!</v>
          </cell>
          <cell r="Z11" t="e">
            <v>#VALUE!</v>
          </cell>
        </row>
        <row r="12">
          <cell r="A12">
            <v>39657</v>
          </cell>
          <cell r="B12" t="str">
            <v>#Calc</v>
          </cell>
          <cell r="C12" t="str">
            <v>#Calc</v>
          </cell>
          <cell r="D12" t="str">
            <v>#Calc</v>
          </cell>
          <cell r="E12" t="e">
            <v>#VALUE!</v>
          </cell>
          <cell r="F12" t="e">
            <v>#VALUE!</v>
          </cell>
          <cell r="G12" t="e">
            <v>#VALUE!</v>
          </cell>
          <cell r="H12" t="e">
            <v>#VALUE!</v>
          </cell>
          <cell r="I12" t="str">
            <v>#Calc</v>
          </cell>
          <cell r="J12" t="str">
            <v>#Calc</v>
          </cell>
          <cell r="K12" t="e">
            <v>#VALUE!</v>
          </cell>
          <cell r="L12" t="e">
            <v>#VALUE!</v>
          </cell>
          <cell r="M12" t="str">
            <v>#Calc</v>
          </cell>
          <cell r="N12" t="str">
            <v>#Calc</v>
          </cell>
          <cell r="O12" t="e">
            <v>#VALUE!</v>
          </cell>
          <cell r="P12" t="e">
            <v>#VALUE!</v>
          </cell>
          <cell r="Q12" t="str">
            <v>#Calc</v>
          </cell>
          <cell r="R12" t="e">
            <v>#VALUE!</v>
          </cell>
          <cell r="S12" t="str">
            <v>#Calc</v>
          </cell>
          <cell r="T12" t="e">
            <v>#VALUE!</v>
          </cell>
          <cell r="U12" t="e">
            <v>#VALUE!</v>
          </cell>
          <cell r="V12" t="e">
            <v>#VALUE!</v>
          </cell>
          <cell r="W12" t="e">
            <v>#VALUE!</v>
          </cell>
          <cell r="X12" t="e">
            <v>#VALUE!</v>
          </cell>
          <cell r="Y12" t="e">
            <v>#VALUE!</v>
          </cell>
          <cell r="Z12" t="e">
            <v>#VALUE!</v>
          </cell>
        </row>
        <row r="13">
          <cell r="A13">
            <v>39627</v>
          </cell>
          <cell r="B13" t="str">
            <v>#Calc</v>
          </cell>
          <cell r="C13" t="str">
            <v>#Calc</v>
          </cell>
          <cell r="D13" t="str">
            <v>#Calc</v>
          </cell>
          <cell r="E13" t="e">
            <v>#VALUE!</v>
          </cell>
          <cell r="F13" t="e">
            <v>#VALUE!</v>
          </cell>
          <cell r="G13" t="e">
            <v>#VALUE!</v>
          </cell>
          <cell r="H13" t="e">
            <v>#VALUE!</v>
          </cell>
          <cell r="I13" t="str">
            <v>#Calc</v>
          </cell>
          <cell r="J13" t="str">
            <v>#Calc</v>
          </cell>
          <cell r="K13" t="e">
            <v>#VALUE!</v>
          </cell>
          <cell r="L13" t="e">
            <v>#VALUE!</v>
          </cell>
          <cell r="M13" t="str">
            <v>#Calc</v>
          </cell>
          <cell r="N13" t="str">
            <v>#Calc</v>
          </cell>
          <cell r="O13" t="e">
            <v>#VALUE!</v>
          </cell>
          <cell r="P13" t="e">
            <v>#VALUE!</v>
          </cell>
          <cell r="Q13" t="str">
            <v>#Calc</v>
          </cell>
          <cell r="R13" t="e">
            <v>#VALUE!</v>
          </cell>
          <cell r="S13" t="str">
            <v>#Calc</v>
          </cell>
          <cell r="T13" t="e">
            <v>#VALUE!</v>
          </cell>
          <cell r="U13" t="e">
            <v>#VALUE!</v>
          </cell>
          <cell r="V13" t="e">
            <v>#VALUE!</v>
          </cell>
          <cell r="W13" t="e">
            <v>#VALUE!</v>
          </cell>
          <cell r="X13" t="e">
            <v>#VALUE!</v>
          </cell>
          <cell r="Y13" t="e">
            <v>#VALUE!</v>
          </cell>
          <cell r="Z13" t="e">
            <v>#VALUE!</v>
          </cell>
        </row>
        <row r="14">
          <cell r="A14">
            <v>39597</v>
          </cell>
          <cell r="B14" t="str">
            <v>#Calc</v>
          </cell>
          <cell r="C14" t="str">
            <v>#Calc</v>
          </cell>
          <cell r="D14" t="str">
            <v>#Calc</v>
          </cell>
          <cell r="E14" t="e">
            <v>#VALUE!</v>
          </cell>
          <cell r="F14" t="e">
            <v>#VALUE!</v>
          </cell>
          <cell r="G14" t="e">
            <v>#VALUE!</v>
          </cell>
          <cell r="H14" t="e">
            <v>#VALUE!</v>
          </cell>
          <cell r="I14" t="str">
            <v>#Calc</v>
          </cell>
          <cell r="J14" t="str">
            <v>#Calc</v>
          </cell>
          <cell r="K14" t="e">
            <v>#VALUE!</v>
          </cell>
          <cell r="L14" t="e">
            <v>#VALUE!</v>
          </cell>
          <cell r="M14" t="str">
            <v>#Calc</v>
          </cell>
          <cell r="N14" t="str">
            <v>#Calc</v>
          </cell>
          <cell r="O14" t="e">
            <v>#VALUE!</v>
          </cell>
          <cell r="P14" t="e">
            <v>#VALUE!</v>
          </cell>
          <cell r="Q14" t="str">
            <v>#Calc</v>
          </cell>
          <cell r="R14" t="e">
            <v>#VALUE!</v>
          </cell>
          <cell r="S14" t="str">
            <v>#Calc</v>
          </cell>
          <cell r="T14" t="e">
            <v>#VALUE!</v>
          </cell>
          <cell r="U14" t="e">
            <v>#VALUE!</v>
          </cell>
          <cell r="V14" t="e">
            <v>#VALUE!</v>
          </cell>
          <cell r="W14" t="e">
            <v>#VALUE!</v>
          </cell>
          <cell r="X14" t="e">
            <v>#VALUE!</v>
          </cell>
          <cell r="Y14" t="e">
            <v>#VALUE!</v>
          </cell>
          <cell r="Z14" t="e">
            <v>#VALUE!</v>
          </cell>
        </row>
        <row r="15">
          <cell r="A15">
            <v>39567</v>
          </cell>
          <cell r="B15" t="str">
            <v>#Calc</v>
          </cell>
          <cell r="C15" t="str">
            <v>#Calc</v>
          </cell>
          <cell r="D15" t="str">
            <v>#Calc</v>
          </cell>
          <cell r="E15" t="e">
            <v>#VALUE!</v>
          </cell>
          <cell r="F15" t="e">
            <v>#VALUE!</v>
          </cell>
          <cell r="G15" t="e">
            <v>#VALUE!</v>
          </cell>
          <cell r="H15" t="e">
            <v>#VALUE!</v>
          </cell>
          <cell r="I15" t="str">
            <v>#Calc</v>
          </cell>
          <cell r="J15" t="str">
            <v>#Calc</v>
          </cell>
          <cell r="K15" t="e">
            <v>#VALUE!</v>
          </cell>
          <cell r="L15" t="e">
            <v>#VALUE!</v>
          </cell>
          <cell r="M15" t="str">
            <v>#Calc</v>
          </cell>
          <cell r="N15" t="str">
            <v>#Calc</v>
          </cell>
          <cell r="O15" t="e">
            <v>#VALUE!</v>
          </cell>
          <cell r="P15" t="e">
            <v>#VALUE!</v>
          </cell>
          <cell r="Q15" t="str">
            <v>#Calc</v>
          </cell>
          <cell r="R15" t="e">
            <v>#VALUE!</v>
          </cell>
          <cell r="S15" t="str">
            <v>#Calc</v>
          </cell>
          <cell r="T15" t="e">
            <v>#VALUE!</v>
          </cell>
          <cell r="U15" t="e">
            <v>#VALUE!</v>
          </cell>
          <cell r="V15" t="e">
            <v>#VALUE!</v>
          </cell>
          <cell r="W15" t="e">
            <v>#VALUE!</v>
          </cell>
          <cell r="X15" t="e">
            <v>#VALUE!</v>
          </cell>
          <cell r="Y15" t="e">
            <v>#VALUE!</v>
          </cell>
          <cell r="Z15" t="e">
            <v>#VALUE!</v>
          </cell>
        </row>
        <row r="16">
          <cell r="A16">
            <v>39537</v>
          </cell>
          <cell r="B16" t="str">
            <v>#Calc</v>
          </cell>
          <cell r="C16" t="str">
            <v>#Calc</v>
          </cell>
          <cell r="D16" t="str">
            <v>#Calc</v>
          </cell>
          <cell r="E16" t="e">
            <v>#VALUE!</v>
          </cell>
          <cell r="F16" t="e">
            <v>#VALUE!</v>
          </cell>
          <cell r="G16" t="e">
            <v>#VALUE!</v>
          </cell>
          <cell r="H16" t="e">
            <v>#VALUE!</v>
          </cell>
          <cell r="I16" t="str">
            <v>#Calc</v>
          </cell>
          <cell r="J16" t="str">
            <v>#Calc</v>
          </cell>
          <cell r="K16" t="e">
            <v>#VALUE!</v>
          </cell>
          <cell r="L16" t="e">
            <v>#VALUE!</v>
          </cell>
          <cell r="M16" t="str">
            <v>#Calc</v>
          </cell>
          <cell r="N16" t="str">
            <v>#Calc</v>
          </cell>
          <cell r="O16" t="e">
            <v>#VALUE!</v>
          </cell>
          <cell r="P16" t="e">
            <v>#VALUE!</v>
          </cell>
          <cell r="Q16" t="str">
            <v>#Calc</v>
          </cell>
          <cell r="R16" t="e">
            <v>#VALUE!</v>
          </cell>
          <cell r="S16" t="str">
            <v>#Calc</v>
          </cell>
          <cell r="T16" t="e">
            <v>#VALUE!</v>
          </cell>
          <cell r="U16" t="e">
            <v>#VALUE!</v>
          </cell>
          <cell r="V16" t="e">
            <v>#VALUE!</v>
          </cell>
          <cell r="W16" t="e">
            <v>#VALUE!</v>
          </cell>
          <cell r="X16" t="e">
            <v>#VALUE!</v>
          </cell>
          <cell r="Y16" t="e">
            <v>#VALUE!</v>
          </cell>
          <cell r="Z16" t="e">
            <v>#VALUE!</v>
          </cell>
        </row>
        <row r="17">
          <cell r="A17">
            <v>39506</v>
          </cell>
          <cell r="B17" t="str">
            <v>#Calc</v>
          </cell>
          <cell r="C17" t="str">
            <v>#Calc</v>
          </cell>
          <cell r="D17" t="str">
            <v>#Calc</v>
          </cell>
          <cell r="E17" t="e">
            <v>#VALUE!</v>
          </cell>
          <cell r="F17" t="e">
            <v>#VALUE!</v>
          </cell>
          <cell r="G17" t="e">
            <v>#VALUE!</v>
          </cell>
          <cell r="H17" t="e">
            <v>#VALUE!</v>
          </cell>
          <cell r="I17" t="str">
            <v>#Calc</v>
          </cell>
          <cell r="J17" t="str">
            <v>#Calc</v>
          </cell>
          <cell r="K17" t="e">
            <v>#VALUE!</v>
          </cell>
          <cell r="L17" t="e">
            <v>#VALUE!</v>
          </cell>
          <cell r="M17" t="str">
            <v>#Calc</v>
          </cell>
          <cell r="N17" t="str">
            <v>#Calc</v>
          </cell>
          <cell r="O17" t="e">
            <v>#VALUE!</v>
          </cell>
          <cell r="P17" t="e">
            <v>#VALUE!</v>
          </cell>
          <cell r="Q17" t="str">
            <v>#Calc</v>
          </cell>
          <cell r="R17" t="e">
            <v>#VALUE!</v>
          </cell>
          <cell r="S17" t="str">
            <v>#Calc</v>
          </cell>
          <cell r="T17" t="e">
            <v>#VALUE!</v>
          </cell>
          <cell r="U17" t="e">
            <v>#VALUE!</v>
          </cell>
          <cell r="V17" t="e">
            <v>#VALUE!</v>
          </cell>
          <cell r="W17" t="e">
            <v>#VALUE!</v>
          </cell>
          <cell r="X17" t="e">
            <v>#VALUE!</v>
          </cell>
          <cell r="Y17" t="e">
            <v>#VALUE!</v>
          </cell>
          <cell r="Z17" t="e">
            <v>#VALUE!</v>
          </cell>
        </row>
        <row r="18">
          <cell r="A18">
            <v>39477</v>
          </cell>
          <cell r="B18" t="str">
            <v>#Calc</v>
          </cell>
          <cell r="C18" t="str">
            <v>#Calc</v>
          </cell>
          <cell r="D18" t="str">
            <v>#Calc</v>
          </cell>
          <cell r="E18" t="e">
            <v>#VALUE!</v>
          </cell>
          <cell r="F18" t="e">
            <v>#VALUE!</v>
          </cell>
          <cell r="G18" t="e">
            <v>#VALUE!</v>
          </cell>
          <cell r="H18" t="e">
            <v>#VALUE!</v>
          </cell>
          <cell r="I18" t="str">
            <v>#Calc</v>
          </cell>
          <cell r="J18" t="str">
            <v>#Calc</v>
          </cell>
          <cell r="K18" t="e">
            <v>#VALUE!</v>
          </cell>
          <cell r="L18" t="e">
            <v>#VALUE!</v>
          </cell>
          <cell r="M18" t="str">
            <v>#Calc</v>
          </cell>
          <cell r="N18" t="str">
            <v>#Calc</v>
          </cell>
          <cell r="O18" t="e">
            <v>#VALUE!</v>
          </cell>
          <cell r="P18" t="e">
            <v>#VALUE!</v>
          </cell>
          <cell r="Q18" t="str">
            <v>#Calc</v>
          </cell>
          <cell r="R18" t="e">
            <v>#VALUE!</v>
          </cell>
          <cell r="S18" t="str">
            <v>#Calc</v>
          </cell>
          <cell r="T18" t="e">
            <v>#VALUE!</v>
          </cell>
          <cell r="U18" t="e">
            <v>#VALUE!</v>
          </cell>
          <cell r="V18" t="e">
            <v>#VALUE!</v>
          </cell>
          <cell r="W18" t="e">
            <v>#VALUE!</v>
          </cell>
          <cell r="X18" t="e">
            <v>#VALUE!</v>
          </cell>
          <cell r="Y18" t="e">
            <v>#VALUE!</v>
          </cell>
          <cell r="Z18" t="e">
            <v>#VALUE!</v>
          </cell>
        </row>
        <row r="19">
          <cell r="A19">
            <v>39446</v>
          </cell>
          <cell r="B19" t="str">
            <v>#Calc</v>
          </cell>
          <cell r="C19" t="str">
            <v>#Calc</v>
          </cell>
          <cell r="D19" t="str">
            <v>#Calc</v>
          </cell>
          <cell r="E19" t="e">
            <v>#VALUE!</v>
          </cell>
          <cell r="F19" t="e">
            <v>#VALUE!</v>
          </cell>
          <cell r="G19" t="e">
            <v>#VALUE!</v>
          </cell>
          <cell r="H19" t="e">
            <v>#VALUE!</v>
          </cell>
          <cell r="I19" t="str">
            <v>#Calc</v>
          </cell>
          <cell r="J19" t="str">
            <v>#Calc</v>
          </cell>
          <cell r="K19" t="e">
            <v>#VALUE!</v>
          </cell>
          <cell r="L19" t="e">
            <v>#VALUE!</v>
          </cell>
          <cell r="M19" t="str">
            <v>#Calc</v>
          </cell>
          <cell r="N19" t="str">
            <v>#Calc</v>
          </cell>
          <cell r="O19" t="e">
            <v>#VALUE!</v>
          </cell>
          <cell r="P19" t="e">
            <v>#VALUE!</v>
          </cell>
          <cell r="Q19" t="str">
            <v>#Calc</v>
          </cell>
          <cell r="R19" t="e">
            <v>#VALUE!</v>
          </cell>
          <cell r="S19" t="str">
            <v>#Calc</v>
          </cell>
          <cell r="T19" t="e">
            <v>#VALUE!</v>
          </cell>
          <cell r="U19" t="e">
            <v>#VALUE!</v>
          </cell>
          <cell r="V19" t="e">
            <v>#VALUE!</v>
          </cell>
          <cell r="W19" t="e">
            <v>#VALUE!</v>
          </cell>
          <cell r="X19" t="e">
            <v>#VALUE!</v>
          </cell>
          <cell r="Y19" t="e">
            <v>#VALUE!</v>
          </cell>
          <cell r="Z19" t="e">
            <v>#VALUE!</v>
          </cell>
        </row>
        <row r="20">
          <cell r="A20">
            <v>39416</v>
          </cell>
          <cell r="B20" t="str">
            <v>#Calc</v>
          </cell>
          <cell r="C20" t="str">
            <v>#Calc</v>
          </cell>
          <cell r="D20" t="str">
            <v>#Calc</v>
          </cell>
          <cell r="E20" t="e">
            <v>#VALUE!</v>
          </cell>
          <cell r="F20" t="e">
            <v>#VALUE!</v>
          </cell>
          <cell r="G20" t="e">
            <v>#VALUE!</v>
          </cell>
          <cell r="H20" t="e">
            <v>#VALUE!</v>
          </cell>
          <cell r="I20" t="str">
            <v>#Calc</v>
          </cell>
          <cell r="J20" t="str">
            <v>#Calc</v>
          </cell>
          <cell r="K20" t="e">
            <v>#VALUE!</v>
          </cell>
          <cell r="L20" t="e">
            <v>#VALUE!</v>
          </cell>
          <cell r="M20" t="str">
            <v>#Calc</v>
          </cell>
          <cell r="N20" t="str">
            <v>#Calc</v>
          </cell>
          <cell r="O20" t="e">
            <v>#VALUE!</v>
          </cell>
          <cell r="P20" t="e">
            <v>#VALUE!</v>
          </cell>
          <cell r="Q20" t="str">
            <v>#Calc</v>
          </cell>
          <cell r="R20" t="e">
            <v>#VALUE!</v>
          </cell>
          <cell r="S20" t="str">
            <v>#Calc</v>
          </cell>
          <cell r="T20" t="e">
            <v>#VALUE!</v>
          </cell>
          <cell r="U20" t="e">
            <v>#VALUE!</v>
          </cell>
          <cell r="V20" t="e">
            <v>#VALUE!</v>
          </cell>
          <cell r="W20" t="e">
            <v>#VALUE!</v>
          </cell>
          <cell r="X20" t="e">
            <v>#VALUE!</v>
          </cell>
          <cell r="Y20" t="e">
            <v>#VALUE!</v>
          </cell>
          <cell r="Z20" t="e">
            <v>#VALUE!</v>
          </cell>
        </row>
        <row r="21">
          <cell r="A21">
            <v>39385</v>
          </cell>
          <cell r="B21" t="str">
            <v>#Calc</v>
          </cell>
          <cell r="C21" t="str">
            <v>#Calc</v>
          </cell>
          <cell r="D21" t="str">
            <v>#Calc</v>
          </cell>
          <cell r="E21" t="e">
            <v>#VALUE!</v>
          </cell>
          <cell r="F21" t="e">
            <v>#VALUE!</v>
          </cell>
          <cell r="G21" t="e">
            <v>#VALUE!</v>
          </cell>
          <cell r="H21" t="e">
            <v>#VALUE!</v>
          </cell>
          <cell r="I21" t="str">
            <v>#Calc</v>
          </cell>
          <cell r="J21" t="str">
            <v>#Calc</v>
          </cell>
          <cell r="K21" t="e">
            <v>#VALUE!</v>
          </cell>
          <cell r="L21" t="e">
            <v>#VALUE!</v>
          </cell>
          <cell r="M21" t="str">
            <v>#Calc</v>
          </cell>
          <cell r="N21" t="str">
            <v>#Calc</v>
          </cell>
          <cell r="O21" t="e">
            <v>#VALUE!</v>
          </cell>
          <cell r="P21" t="e">
            <v>#VALUE!</v>
          </cell>
          <cell r="Q21" t="str">
            <v>#Calc</v>
          </cell>
          <cell r="R21" t="e">
            <v>#VALUE!</v>
          </cell>
          <cell r="S21" t="str">
            <v>#Calc</v>
          </cell>
          <cell r="T21" t="e">
            <v>#VALUE!</v>
          </cell>
          <cell r="U21" t="e">
            <v>#VALUE!</v>
          </cell>
          <cell r="V21" t="e">
            <v>#VALUE!</v>
          </cell>
          <cell r="W21" t="e">
            <v>#VALUE!</v>
          </cell>
          <cell r="X21" t="e">
            <v>#VALUE!</v>
          </cell>
          <cell r="Y21" t="e">
            <v>#VALUE!</v>
          </cell>
          <cell r="Z21" t="e">
            <v>#VALUE!</v>
          </cell>
        </row>
        <row r="22">
          <cell r="A22">
            <v>39355</v>
          </cell>
          <cell r="B22" t="str">
            <v>#Calc</v>
          </cell>
          <cell r="C22" t="str">
            <v>#Calc</v>
          </cell>
          <cell r="D22" t="str">
            <v>#Calc</v>
          </cell>
          <cell r="E22" t="e">
            <v>#VALUE!</v>
          </cell>
          <cell r="F22" t="e">
            <v>#VALUE!</v>
          </cell>
          <cell r="G22" t="e">
            <v>#VALUE!</v>
          </cell>
          <cell r="H22" t="e">
            <v>#VALUE!</v>
          </cell>
          <cell r="I22" t="str">
            <v>#Calc</v>
          </cell>
          <cell r="J22" t="str">
            <v>#Calc</v>
          </cell>
          <cell r="K22" t="e">
            <v>#VALUE!</v>
          </cell>
          <cell r="L22" t="e">
            <v>#VALUE!</v>
          </cell>
          <cell r="M22" t="str">
            <v>#Calc</v>
          </cell>
          <cell r="N22" t="str">
            <v>#Calc</v>
          </cell>
          <cell r="O22" t="e">
            <v>#VALUE!</v>
          </cell>
          <cell r="P22" t="e">
            <v>#VALUE!</v>
          </cell>
          <cell r="Q22" t="str">
            <v>#Calc</v>
          </cell>
          <cell r="R22" t="e">
            <v>#VALUE!</v>
          </cell>
          <cell r="S22" t="str">
            <v>#Calc</v>
          </cell>
          <cell r="T22" t="e">
            <v>#VALUE!</v>
          </cell>
          <cell r="U22" t="e">
            <v>#VALUE!</v>
          </cell>
          <cell r="V22" t="e">
            <v>#VALUE!</v>
          </cell>
          <cell r="W22" t="e">
            <v>#VALUE!</v>
          </cell>
          <cell r="X22" t="e">
            <v>#VALUE!</v>
          </cell>
          <cell r="Y22" t="e">
            <v>#VALUE!</v>
          </cell>
          <cell r="Z22" t="e">
            <v>#VALUE!</v>
          </cell>
        </row>
        <row r="23">
          <cell r="A23">
            <v>39324</v>
          </cell>
          <cell r="B23" t="str">
            <v>#Calc</v>
          </cell>
          <cell r="C23" t="str">
            <v>#Calc</v>
          </cell>
          <cell r="D23" t="str">
            <v>#Calc</v>
          </cell>
          <cell r="E23" t="e">
            <v>#VALUE!</v>
          </cell>
          <cell r="F23" t="e">
            <v>#VALUE!</v>
          </cell>
          <cell r="G23" t="e">
            <v>#VALUE!</v>
          </cell>
          <cell r="H23" t="e">
            <v>#VALUE!</v>
          </cell>
          <cell r="I23" t="str">
            <v>#Calc</v>
          </cell>
          <cell r="J23" t="str">
            <v>#Calc</v>
          </cell>
          <cell r="K23" t="e">
            <v>#VALUE!</v>
          </cell>
          <cell r="L23" t="e">
            <v>#VALUE!</v>
          </cell>
          <cell r="M23" t="str">
            <v>#Calc</v>
          </cell>
          <cell r="N23" t="str">
            <v>#Calc</v>
          </cell>
          <cell r="O23" t="e">
            <v>#VALUE!</v>
          </cell>
          <cell r="P23" t="e">
            <v>#VALUE!</v>
          </cell>
          <cell r="Q23" t="str">
            <v>#Calc</v>
          </cell>
          <cell r="R23" t="e">
            <v>#VALUE!</v>
          </cell>
          <cell r="S23" t="str">
            <v>#Calc</v>
          </cell>
          <cell r="T23" t="e">
            <v>#VALUE!</v>
          </cell>
          <cell r="U23" t="e">
            <v>#VALUE!</v>
          </cell>
          <cell r="V23" t="e">
            <v>#VALUE!</v>
          </cell>
          <cell r="W23" t="e">
            <v>#VALUE!</v>
          </cell>
          <cell r="X23" t="e">
            <v>#VALUE!</v>
          </cell>
          <cell r="Y23" t="e">
            <v>#VALUE!</v>
          </cell>
          <cell r="Z23" t="e">
            <v>#VALUE!</v>
          </cell>
        </row>
        <row r="24">
          <cell r="A24">
            <v>39293</v>
          </cell>
          <cell r="B24" t="str">
            <v>#Calc</v>
          </cell>
          <cell r="C24" t="str">
            <v>#Calc</v>
          </cell>
          <cell r="D24" t="str">
            <v>#Calc</v>
          </cell>
          <cell r="E24" t="e">
            <v>#VALUE!</v>
          </cell>
          <cell r="F24" t="e">
            <v>#VALUE!</v>
          </cell>
          <cell r="G24" t="e">
            <v>#VALUE!</v>
          </cell>
          <cell r="H24" t="e">
            <v>#VALUE!</v>
          </cell>
          <cell r="I24" t="str">
            <v>#Calc</v>
          </cell>
          <cell r="J24" t="str">
            <v>#Calc</v>
          </cell>
          <cell r="K24" t="e">
            <v>#VALUE!</v>
          </cell>
          <cell r="L24" t="e">
            <v>#VALUE!</v>
          </cell>
          <cell r="M24" t="str">
            <v>#Calc</v>
          </cell>
          <cell r="N24" t="str">
            <v>#Calc</v>
          </cell>
          <cell r="O24" t="e">
            <v>#VALUE!</v>
          </cell>
          <cell r="P24" t="e">
            <v>#VALUE!</v>
          </cell>
          <cell r="Q24" t="str">
            <v>#Calc</v>
          </cell>
          <cell r="R24" t="e">
            <v>#VALUE!</v>
          </cell>
          <cell r="S24" t="str">
            <v>#Calc</v>
          </cell>
          <cell r="T24" t="e">
            <v>#VALUE!</v>
          </cell>
          <cell r="U24" t="e">
            <v>#VALUE!</v>
          </cell>
          <cell r="V24" t="e">
            <v>#VALUE!</v>
          </cell>
          <cell r="W24" t="e">
            <v>#VALUE!</v>
          </cell>
          <cell r="X24" t="e">
            <v>#VALUE!</v>
          </cell>
          <cell r="Y24" t="e">
            <v>#VALUE!</v>
          </cell>
          <cell r="Z24" t="e">
            <v>#VALUE!</v>
          </cell>
        </row>
        <row r="25">
          <cell r="A25">
            <v>39263</v>
          </cell>
          <cell r="B25" t="str">
            <v>#Calc</v>
          </cell>
          <cell r="C25" t="str">
            <v>#Calc</v>
          </cell>
          <cell r="D25" t="str">
            <v>#Calc</v>
          </cell>
          <cell r="E25" t="e">
            <v>#VALUE!</v>
          </cell>
          <cell r="F25" t="e">
            <v>#VALUE!</v>
          </cell>
          <cell r="G25" t="e">
            <v>#VALUE!</v>
          </cell>
          <cell r="H25" t="e">
            <v>#VALUE!</v>
          </cell>
          <cell r="I25" t="str">
            <v>#Calc</v>
          </cell>
          <cell r="J25" t="str">
            <v>#Calc</v>
          </cell>
          <cell r="K25" t="e">
            <v>#VALUE!</v>
          </cell>
          <cell r="L25" t="e">
            <v>#VALUE!</v>
          </cell>
          <cell r="M25" t="str">
            <v>#Calc</v>
          </cell>
          <cell r="N25" t="str">
            <v>#Calc</v>
          </cell>
          <cell r="O25" t="e">
            <v>#VALUE!</v>
          </cell>
          <cell r="P25" t="e">
            <v>#VALUE!</v>
          </cell>
          <cell r="Q25" t="str">
            <v>#Calc</v>
          </cell>
          <cell r="R25" t="e">
            <v>#VALUE!</v>
          </cell>
          <cell r="S25" t="str">
            <v>#Calc</v>
          </cell>
          <cell r="T25" t="e">
            <v>#VALUE!</v>
          </cell>
          <cell r="U25" t="e">
            <v>#VALUE!</v>
          </cell>
          <cell r="V25" t="e">
            <v>#VALUE!</v>
          </cell>
          <cell r="W25" t="e">
            <v>#VALUE!</v>
          </cell>
          <cell r="X25" t="e">
            <v>#VALUE!</v>
          </cell>
          <cell r="Y25" t="e">
            <v>#VALUE!</v>
          </cell>
          <cell r="Z25" t="e">
            <v>#VALUE!</v>
          </cell>
        </row>
        <row r="26">
          <cell r="A26">
            <v>39232</v>
          </cell>
        </row>
        <row r="27">
          <cell r="A27">
            <v>39202</v>
          </cell>
          <cell r="G27" t="e">
            <v>#VALUE!</v>
          </cell>
        </row>
        <row r="28">
          <cell r="A28">
            <v>39171</v>
          </cell>
          <cell r="G28" t="e">
            <v>#VALUE!</v>
          </cell>
        </row>
        <row r="29">
          <cell r="G29" t="e">
            <v>#VALUE!</v>
          </cell>
        </row>
        <row r="34">
          <cell r="A34" t="str">
            <v>Since 2001</v>
          </cell>
          <cell r="AB34" t="str">
            <v>Price-to-Tangible Book:</v>
          </cell>
        </row>
        <row r="35">
          <cell r="A35" t="str">
            <v>Average</v>
          </cell>
          <cell r="F35" t="e">
            <v>#VALUE!</v>
          </cell>
          <cell r="G35" t="e">
            <v>#VALUE!</v>
          </cell>
          <cell r="H35" t="e">
            <v>#VALUE!</v>
          </cell>
          <cell r="L35" t="e">
            <v>#VALUE!</v>
          </cell>
          <cell r="P35" t="e">
            <v>#VALUE!</v>
          </cell>
          <cell r="R35" t="e">
            <v>#VALUE!</v>
          </cell>
          <cell r="X35" t="e">
            <v>#VALUE!</v>
          </cell>
          <cell r="Y35" t="e">
            <v>#VALUE!</v>
          </cell>
        </row>
        <row r="36">
          <cell r="A36" t="str">
            <v>Median</v>
          </cell>
          <cell r="F36" t="e">
            <v>#VALUE!</v>
          </cell>
          <cell r="G36" t="e">
            <v>#VALUE!</v>
          </cell>
          <cell r="H36" t="e">
            <v>#VALUE!</v>
          </cell>
          <cell r="L36" t="e">
            <v>#VALUE!</v>
          </cell>
          <cell r="P36" t="e">
            <v>#VALUE!</v>
          </cell>
          <cell r="R36" t="e">
            <v>#VALUE!</v>
          </cell>
          <cell r="X36" t="e">
            <v>#VALUE!</v>
          </cell>
          <cell r="Y36" t="e">
            <v>#VALUE!</v>
          </cell>
        </row>
        <row r="37">
          <cell r="A37" t="str">
            <v>Max</v>
          </cell>
          <cell r="F37" t="e">
            <v>#VALUE!</v>
          </cell>
          <cell r="G37" t="e">
            <v>#VALUE!</v>
          </cell>
          <cell r="H37" t="e">
            <v>#VALUE!</v>
          </cell>
          <cell r="L37" t="e">
            <v>#VALUE!</v>
          </cell>
          <cell r="P37" t="e">
            <v>#VALUE!</v>
          </cell>
          <cell r="R37" t="e">
            <v>#VALUE!</v>
          </cell>
          <cell r="X37" t="e">
            <v>#VALUE!</v>
          </cell>
          <cell r="Y37" t="e">
            <v>#VALUE!</v>
          </cell>
        </row>
        <row r="38">
          <cell r="A38" t="str">
            <v>Min</v>
          </cell>
          <cell r="F38" t="e">
            <v>#VALUE!</v>
          </cell>
          <cell r="G38" t="e">
            <v>#VALUE!</v>
          </cell>
          <cell r="H38" t="e">
            <v>#VALUE!</v>
          </cell>
          <cell r="L38" t="e">
            <v>#VALUE!</v>
          </cell>
          <cell r="P38" t="e">
            <v>#VALUE!</v>
          </cell>
          <cell r="R38" t="e">
            <v>#VALUE!</v>
          </cell>
          <cell r="X38" t="e">
            <v>#VALUE!</v>
          </cell>
          <cell r="Y38" t="e">
            <v>#VALUE!</v>
          </cell>
        </row>
        <row r="39">
          <cell r="A39" t="str">
            <v>75 Percentile</v>
          </cell>
          <cell r="F39" t="e">
            <v>#VALUE!</v>
          </cell>
          <cell r="G39" t="e">
            <v>#VALUE!</v>
          </cell>
          <cell r="H39" t="e">
            <v>#VALUE!</v>
          </cell>
          <cell r="L39" t="e">
            <v>#VALUE!</v>
          </cell>
          <cell r="P39" t="e">
            <v>#VALUE!</v>
          </cell>
          <cell r="R39" t="e">
            <v>#VALUE!</v>
          </cell>
          <cell r="X39" t="e">
            <v>#VALUE!</v>
          </cell>
          <cell r="Y39" t="e">
            <v>#VALUE!</v>
          </cell>
        </row>
        <row r="40">
          <cell r="A40" t="str">
            <v>25 Percentile</v>
          </cell>
          <cell r="F40" t="e">
            <v>#VALUE!</v>
          </cell>
          <cell r="G40" t="e">
            <v>#VALUE!</v>
          </cell>
          <cell r="H40" t="e">
            <v>#VALUE!</v>
          </cell>
          <cell r="L40" t="e">
            <v>#VALUE!</v>
          </cell>
          <cell r="P40" t="e">
            <v>#VALUE!</v>
          </cell>
          <cell r="R40" t="e">
            <v>#VALUE!</v>
          </cell>
          <cell r="X40" t="e">
            <v>#VALUE!</v>
          </cell>
          <cell r="Y40" t="e">
            <v>#VALUE!</v>
          </cell>
        </row>
        <row r="42">
          <cell r="A42" t="str">
            <v>Since 2005</v>
          </cell>
        </row>
        <row r="43">
          <cell r="A43" t="str">
            <v>Average</v>
          </cell>
          <cell r="F43" t="e">
            <v>#VALUE!</v>
          </cell>
          <cell r="G43" t="e">
            <v>#VALUE!</v>
          </cell>
          <cell r="H43" t="e">
            <v>#VALUE!</v>
          </cell>
          <cell r="L43" t="e">
            <v>#VALUE!</v>
          </cell>
          <cell r="P43" t="e">
            <v>#VALUE!</v>
          </cell>
          <cell r="R43" t="e">
            <v>#VALUE!</v>
          </cell>
          <cell r="X43" t="e">
            <v>#VALUE!</v>
          </cell>
          <cell r="Y43" t="e">
            <v>#VALUE!</v>
          </cell>
        </row>
        <row r="44">
          <cell r="A44" t="str">
            <v>Median</v>
          </cell>
          <cell r="F44" t="e">
            <v>#VALUE!</v>
          </cell>
          <cell r="G44" t="e">
            <v>#VALUE!</v>
          </cell>
          <cell r="H44" t="e">
            <v>#VALUE!</v>
          </cell>
          <cell r="L44" t="e">
            <v>#VALUE!</v>
          </cell>
          <cell r="P44" t="e">
            <v>#VALUE!</v>
          </cell>
          <cell r="R44" t="e">
            <v>#VALUE!</v>
          </cell>
          <cell r="X44" t="e">
            <v>#VALUE!</v>
          </cell>
          <cell r="Y44" t="e">
            <v>#VALUE!</v>
          </cell>
        </row>
        <row r="45">
          <cell r="A45" t="str">
            <v>Max</v>
          </cell>
          <cell r="F45" t="e">
            <v>#VALUE!</v>
          </cell>
          <cell r="G45" t="e">
            <v>#VALUE!</v>
          </cell>
          <cell r="H45" t="e">
            <v>#VALUE!</v>
          </cell>
          <cell r="L45" t="e">
            <v>#VALUE!</v>
          </cell>
          <cell r="P45" t="e">
            <v>#VALUE!</v>
          </cell>
          <cell r="R45" t="e">
            <v>#VALUE!</v>
          </cell>
          <cell r="X45" t="e">
            <v>#VALUE!</v>
          </cell>
          <cell r="Y45" t="e">
            <v>#VALUE!</v>
          </cell>
        </row>
        <row r="46">
          <cell r="A46" t="str">
            <v>Min</v>
          </cell>
          <cell r="F46" t="e">
            <v>#VALUE!</v>
          </cell>
          <cell r="G46" t="e">
            <v>#VALUE!</v>
          </cell>
          <cell r="H46" t="e">
            <v>#VALUE!</v>
          </cell>
          <cell r="L46" t="e">
            <v>#VALUE!</v>
          </cell>
          <cell r="P46" t="e">
            <v>#VALUE!</v>
          </cell>
          <cell r="R46" t="e">
            <v>#VALUE!</v>
          </cell>
          <cell r="X46" t="e">
            <v>#VALUE!</v>
          </cell>
          <cell r="Y46" t="e">
            <v>#VALUE!</v>
          </cell>
        </row>
        <row r="47">
          <cell r="A47" t="str">
            <v>75 Percentile</v>
          </cell>
          <cell r="F47" t="e">
            <v>#VALUE!</v>
          </cell>
          <cell r="G47" t="e">
            <v>#VALUE!</v>
          </cell>
          <cell r="H47" t="e">
            <v>#VALUE!</v>
          </cell>
          <cell r="L47" t="e">
            <v>#VALUE!</v>
          </cell>
          <cell r="P47" t="e">
            <v>#VALUE!</v>
          </cell>
          <cell r="R47" t="e">
            <v>#VALUE!</v>
          </cell>
          <cell r="X47" t="e">
            <v>#VALUE!</v>
          </cell>
          <cell r="Y47" t="e">
            <v>#VALUE!</v>
          </cell>
        </row>
        <row r="48">
          <cell r="A48" t="str">
            <v>25 Percentile</v>
          </cell>
          <cell r="F48" t="e">
            <v>#VALUE!</v>
          </cell>
          <cell r="G48" t="e">
            <v>#VALUE!</v>
          </cell>
          <cell r="H48" t="e">
            <v>#VALUE!</v>
          </cell>
          <cell r="L48" t="e">
            <v>#VALUE!</v>
          </cell>
          <cell r="P48" t="e">
            <v>#VALUE!</v>
          </cell>
          <cell r="R48" t="e">
            <v>#VALUE!</v>
          </cell>
          <cell r="X48" t="e">
            <v>#VALUE!</v>
          </cell>
          <cell r="Y48" t="e">
            <v>#VALUE!</v>
          </cell>
        </row>
        <row r="53">
          <cell r="A53">
            <v>2008</v>
          </cell>
          <cell r="B53" t="e">
            <v>#DIV/0!</v>
          </cell>
        </row>
      </sheetData>
      <sheetData sheetId="3"/>
      <sheetData sheetId="4"/>
      <sheetData sheetId="5" refreshError="1">
        <row r="1">
          <cell r="A1" t="str">
            <v>VALUATION</v>
          </cell>
          <cell r="T1" t="str">
            <v>INPUTS</v>
          </cell>
        </row>
        <row r="2">
          <cell r="C2" t="str">
            <v>Price</v>
          </cell>
          <cell r="D2" t="str">
            <v>Market</v>
          </cell>
          <cell r="E2" t="str">
            <v>Enterprise</v>
          </cell>
          <cell r="G2" t="str">
            <v>P/E</v>
          </cell>
          <cell r="J2" t="str">
            <v>EV/EBITDA</v>
          </cell>
          <cell r="M2" t="str">
            <v>FCF Yield</v>
          </cell>
          <cell r="P2" t="str">
            <v>PEG</v>
          </cell>
          <cell r="T2" t="str">
            <v>EPS</v>
          </cell>
          <cell r="X2" t="str">
            <v>EV</v>
          </cell>
          <cell r="Y2">
            <v>40118</v>
          </cell>
          <cell r="AD2" t="str">
            <v>EBITDA</v>
          </cell>
        </row>
        <row r="3">
          <cell r="C3">
            <v>40118</v>
          </cell>
          <cell r="D3" t="str">
            <v>Cap ($mm)</v>
          </cell>
          <cell r="E3" t="str">
            <v>Value</v>
          </cell>
          <cell r="G3" t="str">
            <v>C2010</v>
          </cell>
          <cell r="H3" t="str">
            <v>C2011</v>
          </cell>
          <cell r="J3" t="str">
            <v>C2010</v>
          </cell>
          <cell r="K3" t="str">
            <v>C2011</v>
          </cell>
          <cell r="M3" t="str">
            <v>C2010</v>
          </cell>
          <cell r="N3" t="str">
            <v>C2011</v>
          </cell>
          <cell r="P3" t="str">
            <v>C2010</v>
          </cell>
          <cell r="Q3" t="str">
            <v>C2011</v>
          </cell>
          <cell r="S3">
            <v>2008</v>
          </cell>
          <cell r="T3">
            <v>2009</v>
          </cell>
          <cell r="U3">
            <v>2010</v>
          </cell>
          <cell r="V3">
            <v>2011</v>
          </cell>
          <cell r="X3" t="str">
            <v>Shares</v>
          </cell>
          <cell r="Y3" t="str">
            <v>Price</v>
          </cell>
          <cell r="Z3" t="str">
            <v>Debt</v>
          </cell>
          <cell r="AA3" t="str">
            <v>Cash</v>
          </cell>
          <cell r="AB3" t="str">
            <v>EV</v>
          </cell>
          <cell r="AD3">
            <v>2009</v>
          </cell>
          <cell r="AE3">
            <v>2010</v>
          </cell>
          <cell r="AF3">
            <v>2011</v>
          </cell>
          <cell r="AH3" t="str">
            <v>CFFO</v>
          </cell>
          <cell r="AI3" t="str">
            <v>Capex</v>
          </cell>
          <cell r="AJ3" t="str">
            <v>FCF (2010)</v>
          </cell>
          <cell r="AK3" t="str">
            <v>FCF (2011)</v>
          </cell>
        </row>
        <row r="4">
          <cell r="A4" t="str">
            <v>Hospital Supply</v>
          </cell>
        </row>
        <row r="5">
          <cell r="A5" t="str">
            <v>HSP</v>
          </cell>
          <cell r="C5">
            <v>44.64</v>
          </cell>
          <cell r="D5">
            <v>7227.2160000000003</v>
          </cell>
          <cell r="E5">
            <v>8417.0159999999996</v>
          </cell>
          <cell r="G5">
            <v>13.663313788224146</v>
          </cell>
          <cell r="H5">
            <v>11.929449492250134</v>
          </cell>
          <cell r="J5">
            <v>8.6495940699885132</v>
          </cell>
          <cell r="K5">
            <v>7.7778192577588605</v>
          </cell>
          <cell r="M5">
            <v>6.6693938578838652E-2</v>
          </cell>
          <cell r="N5">
            <v>7.8951563091514076E-2</v>
          </cell>
          <cell r="P5">
            <v>1.0936035669353594</v>
          </cell>
          <cell r="Q5">
            <v>0.8207779900571871</v>
          </cell>
          <cell r="S5">
            <v>2.5300000000000002</v>
          </cell>
          <cell r="T5">
            <v>2.9042859999999999</v>
          </cell>
          <cell r="U5">
            <v>3.2671429999999999</v>
          </cell>
          <cell r="V5">
            <v>3.742</v>
          </cell>
          <cell r="X5">
            <v>161.9</v>
          </cell>
          <cell r="Y5">
            <v>44.64</v>
          </cell>
          <cell r="Z5">
            <v>2110.4</v>
          </cell>
          <cell r="AA5">
            <v>920.6</v>
          </cell>
          <cell r="AB5">
            <v>8417.0159999999996</v>
          </cell>
          <cell r="AD5">
            <v>920.67200000000003</v>
          </cell>
          <cell r="AE5">
            <v>973.11110000000008</v>
          </cell>
          <cell r="AF5">
            <v>1082.182</v>
          </cell>
          <cell r="AJ5">
            <v>482.01150000000001</v>
          </cell>
          <cell r="AK5">
            <v>570.6</v>
          </cell>
        </row>
        <row r="6">
          <cell r="A6" t="str">
            <v>BAX</v>
          </cell>
          <cell r="C6">
            <v>54.06</v>
          </cell>
          <cell r="D6">
            <v>32614.333128000002</v>
          </cell>
          <cell r="E6">
            <v>34212.333127999998</v>
          </cell>
          <cell r="G6">
            <v>12.609708075694636</v>
          </cell>
          <cell r="H6">
            <v>11.328896775853819</v>
          </cell>
          <cell r="J6">
            <v>8.4125660874989823</v>
          </cell>
          <cell r="K6">
            <v>7.7010731308951339</v>
          </cell>
          <cell r="M6">
            <v>5.397166923792758E-2</v>
          </cell>
          <cell r="N6">
            <v>5.5406621159719942E-2</v>
          </cell>
          <cell r="P6">
            <v>0.98362727405924755</v>
          </cell>
          <cell r="Q6">
            <v>1.0020516072422379</v>
          </cell>
          <cell r="S6">
            <v>3.38</v>
          </cell>
          <cell r="T6">
            <v>3.8000249999999998</v>
          </cell>
          <cell r="U6">
            <v>4.2871730000000001</v>
          </cell>
          <cell r="V6">
            <v>4.7718679999999996</v>
          </cell>
          <cell r="X6">
            <v>603.29880000000003</v>
          </cell>
          <cell r="Y6">
            <v>54.06</v>
          </cell>
          <cell r="Z6">
            <v>4169</v>
          </cell>
          <cell r="AA6">
            <v>2571</v>
          </cell>
          <cell r="AB6">
            <v>34212.333127999998</v>
          </cell>
          <cell r="AD6">
            <v>3606.5419999999999</v>
          </cell>
          <cell r="AE6">
            <v>4066.8130000000001</v>
          </cell>
          <cell r="AF6">
            <v>4442.5410000000002</v>
          </cell>
          <cell r="AJ6">
            <v>1760.25</v>
          </cell>
          <cell r="AK6">
            <v>1807.05</v>
          </cell>
        </row>
        <row r="7">
          <cell r="A7" t="str">
            <v>BDX</v>
          </cell>
          <cell r="C7">
            <v>68.36</v>
          </cell>
          <cell r="D7">
            <v>16364.700400000002</v>
          </cell>
          <cell r="E7">
            <v>16502.037400000001</v>
          </cell>
          <cell r="G7">
            <v>13.037526180901207</v>
          </cell>
          <cell r="H7">
            <v>11.955268826531602</v>
          </cell>
          <cell r="J7">
            <v>7.1658602378163936</v>
          </cell>
          <cell r="K7">
            <v>6.7229138318485004</v>
          </cell>
          <cell r="M7">
            <v>7.6997437728832469E-2</v>
          </cell>
          <cell r="N7">
            <v>0</v>
          </cell>
          <cell r="P7">
            <v>2.7155864367755012</v>
          </cell>
          <cell r="Q7">
            <v>1.3206512493314637</v>
          </cell>
          <cell r="S7">
            <v>4.5890379999999995</v>
          </cell>
          <cell r="T7">
            <v>5.003126</v>
          </cell>
          <cell r="U7">
            <v>5.2433259999999997</v>
          </cell>
          <cell r="V7">
            <v>5.717981</v>
          </cell>
          <cell r="X7">
            <v>239.39000000000001</v>
          </cell>
          <cell r="Y7">
            <v>68.36</v>
          </cell>
          <cell r="Z7">
            <v>1889.297</v>
          </cell>
          <cell r="AA7">
            <v>1751.96</v>
          </cell>
          <cell r="AB7">
            <v>16502.037400000001</v>
          </cell>
          <cell r="AD7">
            <v>2216.1210000000001</v>
          </cell>
          <cell r="AE7">
            <v>2302.8690000000001</v>
          </cell>
          <cell r="AF7">
            <v>2454.596</v>
          </cell>
          <cell r="AJ7">
            <v>1260.04</v>
          </cell>
          <cell r="AK7">
            <v>0</v>
          </cell>
        </row>
        <row r="8">
          <cell r="A8" t="str">
            <v>JNJ</v>
          </cell>
          <cell r="C8">
            <v>59.050000000000004</v>
          </cell>
          <cell r="D8">
            <v>162643.77700000003</v>
          </cell>
          <cell r="E8">
            <v>161541.77700000003</v>
          </cell>
          <cell r="G8">
            <v>12.000398319741011</v>
          </cell>
          <cell r="H8">
            <v>10.964981507154814</v>
          </cell>
          <cell r="J8">
            <v>7.6706444144134744</v>
          </cell>
          <cell r="K8">
            <v>7.1344370817054985</v>
          </cell>
          <cell r="M8">
            <v>7.4562336313672789E-2</v>
          </cell>
          <cell r="N8">
            <v>6.6566334105730943E-2</v>
          </cell>
          <cell r="P8">
            <v>1.5499620801510046</v>
          </cell>
          <cell r="Q8">
            <v>1.1611828008852034</v>
          </cell>
          <cell r="S8">
            <v>4.55</v>
          </cell>
          <cell r="T8">
            <v>4.5670700000000002</v>
          </cell>
          <cell r="U8">
            <v>4.9206700000000003</v>
          </cell>
          <cell r="V8">
            <v>5.3853260000000001</v>
          </cell>
          <cell r="X8">
            <v>2754.34</v>
          </cell>
          <cell r="Y8">
            <v>59.050000000000004</v>
          </cell>
          <cell r="Z8">
            <v>13614</v>
          </cell>
          <cell r="AA8">
            <v>14716</v>
          </cell>
          <cell r="AB8">
            <v>161541.77700000003</v>
          </cell>
          <cell r="AD8">
            <v>19834.29</v>
          </cell>
          <cell r="AE8">
            <v>21059.74</v>
          </cell>
          <cell r="AF8">
            <v>22642.54</v>
          </cell>
          <cell r="AJ8">
            <v>12127.1</v>
          </cell>
          <cell r="AK8">
            <v>10826.6</v>
          </cell>
        </row>
        <row r="9">
          <cell r="A9" t="str">
            <v>IART</v>
          </cell>
          <cell r="C9">
            <v>30.54</v>
          </cell>
          <cell r="D9">
            <v>867.00005999999996</v>
          </cell>
          <cell r="E9">
            <v>1184.43806</v>
          </cell>
          <cell r="G9">
            <v>12.866531850353892</v>
          </cell>
          <cell r="H9">
            <v>11.484156076224112</v>
          </cell>
          <cell r="J9">
            <v>9.3539037314906217</v>
          </cell>
          <cell r="K9">
            <v>6.8464627745664739</v>
          </cell>
          <cell r="M9">
            <v>7.8662047612776412E-2</v>
          </cell>
          <cell r="N9">
            <v>8.2352935477305517E-2</v>
          </cell>
          <cell r="P9">
            <v>0.81207482898381522</v>
          </cell>
          <cell r="Q9">
            <v>0.95405202587624005</v>
          </cell>
          <cell r="S9">
            <v>2.09</v>
          </cell>
          <cell r="T9">
            <v>2.048962</v>
          </cell>
          <cell r="U9">
            <v>2.3736000000000002</v>
          </cell>
          <cell r="V9">
            <v>2.659316</v>
          </cell>
          <cell r="X9">
            <v>28.388999999999999</v>
          </cell>
          <cell r="Y9">
            <v>30.54</v>
          </cell>
          <cell r="Z9">
            <v>456.15500000000003</v>
          </cell>
          <cell r="AA9">
            <v>138.71700000000001</v>
          </cell>
          <cell r="AB9">
            <v>1184.43806</v>
          </cell>
          <cell r="AD9">
            <v>141.80000000000001</v>
          </cell>
          <cell r="AE9">
            <v>126.625</v>
          </cell>
          <cell r="AF9">
            <v>173</v>
          </cell>
          <cell r="AJ9">
            <v>68.2</v>
          </cell>
          <cell r="AK9">
            <v>71.400000000000006</v>
          </cell>
        </row>
        <row r="10">
          <cell r="A10" t="str">
            <v>CFN</v>
          </cell>
          <cell r="C10">
            <v>22.37</v>
          </cell>
          <cell r="D10">
            <v>5055.62</v>
          </cell>
          <cell r="E10">
            <v>5561.62</v>
          </cell>
          <cell r="G10">
            <v>17.601810381999417</v>
          </cell>
          <cell r="H10">
            <v>14.749369508958743</v>
          </cell>
          <cell r="J10">
            <v>8.612717309043461</v>
          </cell>
          <cell r="K10">
            <v>7.7102061990300719</v>
          </cell>
          <cell r="M10">
            <v>6.9441295034041325E-2</v>
          </cell>
          <cell r="N10">
            <v>7.0907227995775007E-2</v>
          </cell>
          <cell r="P10" t="str">
            <v>n/a</v>
          </cell>
          <cell r="Q10">
            <v>0.76265875646320436</v>
          </cell>
          <cell r="S10">
            <v>0</v>
          </cell>
          <cell r="T10">
            <v>1.2997029999999998</v>
          </cell>
          <cell r="U10">
            <v>1.2708919999999999</v>
          </cell>
          <cell r="V10">
            <v>1.516675</v>
          </cell>
          <cell r="X10">
            <v>226</v>
          </cell>
          <cell r="Y10">
            <v>22.37</v>
          </cell>
          <cell r="Z10">
            <v>1289</v>
          </cell>
          <cell r="AA10">
            <v>783</v>
          </cell>
          <cell r="AB10">
            <v>5561.62</v>
          </cell>
          <cell r="AD10">
            <v>646.55110000000002</v>
          </cell>
          <cell r="AE10">
            <v>645.74509999999998</v>
          </cell>
          <cell r="AF10">
            <v>721.33220000000006</v>
          </cell>
          <cell r="AJ10">
            <v>351.06880000000001</v>
          </cell>
          <cell r="AK10">
            <v>358.48</v>
          </cell>
        </row>
        <row r="11">
          <cell r="A11" t="str">
            <v>ABT</v>
          </cell>
          <cell r="C11">
            <v>50.57</v>
          </cell>
          <cell r="D11">
            <v>78176.82041</v>
          </cell>
          <cell r="E11">
            <v>87028.330409999995</v>
          </cell>
          <cell r="G11">
            <v>12.196857325470615</v>
          </cell>
          <cell r="H11">
            <v>11.027550996153987</v>
          </cell>
          <cell r="J11">
            <v>8.4545236805036073</v>
          </cell>
          <cell r="K11">
            <v>7.6705908865673855</v>
          </cell>
          <cell r="M11">
            <v>6.2190249929608261E-2</v>
          </cell>
          <cell r="N11">
            <v>6.3260439271682067E-2</v>
          </cell>
          <cell r="P11">
            <v>1.0329061307187282</v>
          </cell>
          <cell r="Q11">
            <v>1.0399916422572251</v>
          </cell>
          <cell r="S11">
            <v>3.3200000000000003</v>
          </cell>
          <cell r="T11">
            <v>3.7082669999999998</v>
          </cell>
          <cell r="U11">
            <v>4.1461500000000004</v>
          </cell>
          <cell r="V11">
            <v>4.5857869999999998</v>
          </cell>
          <cell r="X11">
            <v>1545.913</v>
          </cell>
          <cell r="Y11">
            <v>50.57</v>
          </cell>
          <cell r="Z11">
            <v>15739.453</v>
          </cell>
          <cell r="AA11">
            <v>6887.9430000000002</v>
          </cell>
          <cell r="AB11">
            <v>87028.330409999995</v>
          </cell>
          <cell r="AD11">
            <v>9110.6489999999994</v>
          </cell>
          <cell r="AE11">
            <v>10293.700000000001</v>
          </cell>
          <cell r="AF11">
            <v>11345.714</v>
          </cell>
          <cell r="AJ11">
            <v>4861.8360000000002</v>
          </cell>
          <cell r="AK11">
            <v>4945.5</v>
          </cell>
        </row>
        <row r="12">
          <cell r="A12" t="str">
            <v>BCR</v>
          </cell>
          <cell r="C12">
            <v>75.070000000000007</v>
          </cell>
          <cell r="D12">
            <v>7246.9575200000008</v>
          </cell>
          <cell r="E12">
            <v>6764.6575200000007</v>
          </cell>
          <cell r="G12">
            <v>13.209967568975317</v>
          </cell>
          <cell r="H12">
            <v>11.752641878669277</v>
          </cell>
          <cell r="J12">
            <v>7.5624566114924088</v>
          </cell>
          <cell r="K12">
            <v>6.8635920817024934</v>
          </cell>
          <cell r="M12">
            <v>9.2872146434218372E-2</v>
          </cell>
          <cell r="N12">
            <v>8.1090857560318627E-2</v>
          </cell>
          <cell r="P12">
            <v>1.0733657862072918</v>
          </cell>
          <cell r="Q12">
            <v>0.94779493730906794</v>
          </cell>
          <cell r="S12">
            <v>4.4400000000000004</v>
          </cell>
          <cell r="T12">
            <v>5.0600829999999997</v>
          </cell>
          <cell r="U12">
            <v>5.68283</v>
          </cell>
          <cell r="V12">
            <v>6.3875000000000002</v>
          </cell>
          <cell r="X12">
            <v>96.536000000000001</v>
          </cell>
          <cell r="Y12">
            <v>75.070000000000007</v>
          </cell>
          <cell r="Z12">
            <v>149.80000000000001</v>
          </cell>
          <cell r="AA12">
            <v>632.1</v>
          </cell>
          <cell r="AB12">
            <v>6764.6575200000007</v>
          </cell>
          <cell r="AD12">
            <v>818.41800000000001</v>
          </cell>
          <cell r="AE12">
            <v>894.50530000000003</v>
          </cell>
          <cell r="AF12">
            <v>985.5856</v>
          </cell>
          <cell r="AJ12">
            <v>673.04050000000007</v>
          </cell>
          <cell r="AK12">
            <v>587.66200000000003</v>
          </cell>
        </row>
        <row r="13">
          <cell r="A13" t="str">
            <v>Average</v>
          </cell>
          <cell r="G13">
            <v>13.398264186420029</v>
          </cell>
          <cell r="H13">
            <v>11.899039382724562</v>
          </cell>
          <cell r="J13">
            <v>8.2352832677809324</v>
          </cell>
          <cell r="K13">
            <v>7.303386905509301</v>
          </cell>
          <cell r="M13">
            <v>7.192389010873948E-2</v>
          </cell>
          <cell r="N13">
            <v>6.2316997332755773E-2</v>
          </cell>
          <cell r="P13">
            <v>1.3230180148329926</v>
          </cell>
          <cell r="Q13">
            <v>1.0011451261777287</v>
          </cell>
        </row>
        <row r="14">
          <cell r="A14" t="str">
            <v>Median</v>
          </cell>
          <cell r="G14">
            <v>12.952029015627549</v>
          </cell>
          <cell r="H14">
            <v>11.618398977446695</v>
          </cell>
          <cell r="J14">
            <v>8.4335448840012948</v>
          </cell>
          <cell r="K14">
            <v>7.4025139841364425</v>
          </cell>
          <cell r="M14">
            <v>7.200181567385705E-2</v>
          </cell>
          <cell r="N14">
            <v>6.8736781050752982E-2</v>
          </cell>
          <cell r="P14">
            <v>1.0733657862072918</v>
          </cell>
          <cell r="Q14">
            <v>0.9780518165592389</v>
          </cell>
        </row>
        <row r="16">
          <cell r="A16" t="str">
            <v>Medical Devices</v>
          </cell>
        </row>
        <row r="17">
          <cell r="A17" t="str">
            <v>BSX</v>
          </cell>
          <cell r="C17">
            <v>8.120000000000001</v>
          </cell>
          <cell r="D17">
            <v>12263.230000000001</v>
          </cell>
          <cell r="E17">
            <v>17319.230000000003</v>
          </cell>
          <cell r="G17">
            <v>12.387758819489303</v>
          </cell>
          <cell r="H17">
            <v>10.387769552705459</v>
          </cell>
          <cell r="J17">
            <v>7.2651860465311406</v>
          </cell>
          <cell r="K17">
            <v>6.7282871008495428</v>
          </cell>
          <cell r="M17">
            <v>0.11811879904397128</v>
          </cell>
          <cell r="N17">
            <v>0.1775959514744484</v>
          </cell>
          <cell r="P17">
            <v>0.46335926713728226</v>
          </cell>
          <cell r="Q17">
            <v>0.53953167685562819</v>
          </cell>
          <cell r="S17">
            <v>0.51518000000000008</v>
          </cell>
          <cell r="T17">
            <v>0.51721109999999992</v>
          </cell>
          <cell r="U17">
            <v>0.65548580000000001</v>
          </cell>
          <cell r="V17">
            <v>0.78168850000000001</v>
          </cell>
          <cell r="X17">
            <v>1510.25</v>
          </cell>
          <cell r="Y17">
            <v>8.120000000000001</v>
          </cell>
          <cell r="Z17">
            <v>6250</v>
          </cell>
          <cell r="AA17">
            <v>1194</v>
          </cell>
          <cell r="AB17">
            <v>17319.230000000003</v>
          </cell>
          <cell r="AD17">
            <v>2206.98</v>
          </cell>
          <cell r="AE17">
            <v>2383.866</v>
          </cell>
          <cell r="AF17">
            <v>2574.0920000000001</v>
          </cell>
          <cell r="AJ17">
            <v>1448.518</v>
          </cell>
          <cell r="AK17">
            <v>2177.9</v>
          </cell>
        </row>
        <row r="18">
          <cell r="A18" t="str">
            <v>MDT</v>
          </cell>
          <cell r="C18">
            <v>35.700000000000003</v>
          </cell>
          <cell r="D18">
            <v>39627</v>
          </cell>
          <cell r="E18">
            <v>45048</v>
          </cell>
          <cell r="G18">
            <v>10.648359839397679</v>
          </cell>
          <cell r="H18">
            <v>9.6694667492227868</v>
          </cell>
          <cell r="J18">
            <v>7.6777944236796758</v>
          </cell>
          <cell r="K18">
            <v>7.0698518247069719</v>
          </cell>
          <cell r="M18">
            <v>0.10068741009917481</v>
          </cell>
          <cell r="N18">
            <v>0</v>
          </cell>
          <cell r="P18">
            <v>1.1692408308354794</v>
          </cell>
          <cell r="Q18">
            <v>0.95514605376998085</v>
          </cell>
          <cell r="S18">
            <v>2.819563</v>
          </cell>
          <cell r="T18">
            <v>3.0727880000000001</v>
          </cell>
          <cell r="U18">
            <v>3.3526289999999999</v>
          </cell>
          <cell r="V18">
            <v>3.692034</v>
          </cell>
          <cell r="X18">
            <v>1110</v>
          </cell>
          <cell r="Y18">
            <v>35.700000000000003</v>
          </cell>
          <cell r="Z18">
            <v>6965</v>
          </cell>
          <cell r="AA18">
            <v>1544</v>
          </cell>
          <cell r="AB18">
            <v>45048</v>
          </cell>
          <cell r="AD18">
            <v>5464.7860000000001</v>
          </cell>
          <cell r="AE18">
            <v>5867.31</v>
          </cell>
          <cell r="AF18">
            <v>6371.8450000000003</v>
          </cell>
          <cell r="AJ18">
            <v>3989.94</v>
          </cell>
          <cell r="AK18">
            <v>0</v>
          </cell>
        </row>
        <row r="19">
          <cell r="A19" t="str">
            <v>STJ</v>
          </cell>
          <cell r="C19">
            <v>34.08</v>
          </cell>
          <cell r="D19">
            <v>11847.571199999998</v>
          </cell>
          <cell r="E19">
            <v>12646.549199999998</v>
          </cell>
          <cell r="G19">
            <v>12.495265694885997</v>
          </cell>
          <cell r="H19">
            <v>11.000741452556237</v>
          </cell>
          <cell r="J19">
            <v>8.1545395458003931</v>
          </cell>
          <cell r="K19">
            <v>7.3179950281920938</v>
          </cell>
          <cell r="M19">
            <v>6.389832879839541E-2</v>
          </cell>
          <cell r="N19">
            <v>5.612120735767346E-2</v>
          </cell>
          <cell r="P19">
            <v>0.99786175909209984</v>
          </cell>
          <cell r="Q19">
            <v>0.80973134512251954</v>
          </cell>
          <cell r="S19">
            <v>2.31</v>
          </cell>
          <cell r="T19">
            <v>2.4239100000000002</v>
          </cell>
          <cell r="U19">
            <v>2.727433</v>
          </cell>
          <cell r="V19">
            <v>3.0979729999999996</v>
          </cell>
          <cell r="X19">
            <v>347.64</v>
          </cell>
          <cell r="Y19">
            <v>34.08</v>
          </cell>
          <cell r="Z19">
            <v>1285.547</v>
          </cell>
          <cell r="AA19">
            <v>486.56900000000002</v>
          </cell>
          <cell r="AB19">
            <v>12646.549199999998</v>
          </cell>
          <cell r="AD19">
            <v>1388.6000000000001</v>
          </cell>
          <cell r="AE19">
            <v>1550.8600000000001</v>
          </cell>
          <cell r="AF19">
            <v>1728.144</v>
          </cell>
          <cell r="AJ19">
            <v>757.04</v>
          </cell>
          <cell r="AK19">
            <v>664.90000000000009</v>
          </cell>
        </row>
        <row r="20">
          <cell r="A20" t="str">
            <v>EW</v>
          </cell>
          <cell r="C20">
            <v>76.94</v>
          </cell>
          <cell r="D20">
            <v>4339.4160000000002</v>
          </cell>
          <cell r="E20">
            <v>4265.0160000000005</v>
          </cell>
          <cell r="G20">
            <v>22.056304637299352</v>
          </cell>
          <cell r="H20">
            <v>18.35940333609496</v>
          </cell>
          <cell r="J20">
            <v>13.152685296432352</v>
          </cell>
          <cell r="K20">
            <v>11.257573098064576</v>
          </cell>
          <cell r="M20">
            <v>4.5474621469801468E-2</v>
          </cell>
          <cell r="N20">
            <v>5.6574433057351492E-2</v>
          </cell>
          <cell r="P20">
            <v>1.8070818654083789</v>
          </cell>
          <cell r="Q20">
            <v>0.91175734323121815</v>
          </cell>
          <cell r="S20">
            <v>2.5500000000000003</v>
          </cell>
          <cell r="T20">
            <v>3.1088900000000002</v>
          </cell>
          <cell r="U20">
            <v>3.4883449999999998</v>
          </cell>
          <cell r="V20">
            <v>4.1907679999999994</v>
          </cell>
          <cell r="X20">
            <v>56.400000000000006</v>
          </cell>
          <cell r="Y20">
            <v>76.94</v>
          </cell>
          <cell r="Z20">
            <v>113.9</v>
          </cell>
          <cell r="AA20">
            <v>188.3</v>
          </cell>
          <cell r="AB20">
            <v>4265.0160000000005</v>
          </cell>
          <cell r="AD20">
            <v>292.5129</v>
          </cell>
          <cell r="AE20">
            <v>324.26960000000003</v>
          </cell>
          <cell r="AF20">
            <v>378.85750000000002</v>
          </cell>
          <cell r="AJ20">
            <v>197.33330000000001</v>
          </cell>
          <cell r="AK20">
            <v>245.5</v>
          </cell>
        </row>
        <row r="21">
          <cell r="A21" t="str">
            <v>KCI</v>
          </cell>
          <cell r="C21">
            <v>33.19</v>
          </cell>
          <cell r="D21">
            <v>2359.4107200000003</v>
          </cell>
          <cell r="E21">
            <v>3520.2477200000003</v>
          </cell>
          <cell r="G21">
            <v>8.2380030822392971</v>
          </cell>
          <cell r="H21">
            <v>7.987966305655835</v>
          </cell>
          <cell r="J21">
            <v>5.2564547110646558</v>
          </cell>
          <cell r="K21">
            <v>5.0793560637760624</v>
          </cell>
          <cell r="M21">
            <v>0.13374737909133513</v>
          </cell>
          <cell r="N21">
            <v>0</v>
          </cell>
          <cell r="P21">
            <v>0.67576679245333116</v>
          </cell>
          <cell r="Q21">
            <v>2.5519288231182955</v>
          </cell>
          <cell r="S21">
            <v>3.7800000000000002</v>
          </cell>
          <cell r="T21">
            <v>3.5911109999999997</v>
          </cell>
          <cell r="U21">
            <v>4.0288889999999995</v>
          </cell>
          <cell r="V21">
            <v>4.1550000000000002</v>
          </cell>
          <cell r="X21">
            <v>71.088000000000008</v>
          </cell>
          <cell r="Y21">
            <v>33.19</v>
          </cell>
          <cell r="Z21">
            <v>1396.1110000000001</v>
          </cell>
          <cell r="AA21">
            <v>235.274</v>
          </cell>
          <cell r="AB21">
            <v>3520.2477200000003</v>
          </cell>
          <cell r="AD21">
            <v>627.46670000000006</v>
          </cell>
          <cell r="AE21">
            <v>669.7</v>
          </cell>
          <cell r="AF21">
            <v>693.05000000000007</v>
          </cell>
          <cell r="AJ21">
            <v>315.565</v>
          </cell>
          <cell r="AK21">
            <v>0</v>
          </cell>
        </row>
        <row r="22">
          <cell r="A22" t="str">
            <v>CNMD</v>
          </cell>
          <cell r="C22">
            <v>21.19</v>
          </cell>
          <cell r="D22">
            <v>616.14163000000008</v>
          </cell>
          <cell r="E22">
            <v>791.84163000000012</v>
          </cell>
          <cell r="G22">
            <v>17.404517453798768</v>
          </cell>
          <cell r="H22">
            <v>14.975265017667844</v>
          </cell>
          <cell r="J22">
            <v>8.5144261290322589</v>
          </cell>
          <cell r="K22" t="str">
            <v>n/a</v>
          </cell>
          <cell r="M22">
            <v>6.4920138572684971E-2</v>
          </cell>
          <cell r="N22">
            <v>8.1312473562287935E-2</v>
          </cell>
          <cell r="P22">
            <v>0.49335640026516181</v>
          </cell>
          <cell r="Q22">
            <v>0.92315874222838479</v>
          </cell>
          <cell r="S22">
            <v>1.54</v>
          </cell>
          <cell r="T22">
            <v>0.9</v>
          </cell>
          <cell r="U22">
            <v>1.2175</v>
          </cell>
          <cell r="V22">
            <v>1.415</v>
          </cell>
          <cell r="X22">
            <v>29.077000000000002</v>
          </cell>
          <cell r="Y22">
            <v>21.19</v>
          </cell>
          <cell r="Z22">
            <v>186.37899999999999</v>
          </cell>
          <cell r="AA22">
            <v>10.679</v>
          </cell>
          <cell r="AB22">
            <v>791.84163000000012</v>
          </cell>
          <cell r="AD22">
            <v>76</v>
          </cell>
          <cell r="AE22">
            <v>93</v>
          </cell>
          <cell r="AF22">
            <v>0</v>
          </cell>
          <cell r="AJ22">
            <v>40</v>
          </cell>
          <cell r="AK22">
            <v>50.1</v>
          </cell>
        </row>
        <row r="23">
          <cell r="A23" t="str">
            <v>VARI</v>
          </cell>
          <cell r="C23">
            <v>51.2</v>
          </cell>
          <cell r="D23">
            <v>1475.7888000000003</v>
          </cell>
          <cell r="E23">
            <v>1328.1618000000003</v>
          </cell>
          <cell r="G23">
            <v>18.953612514122664</v>
          </cell>
          <cell r="H23">
            <v>16.501176836859763</v>
          </cell>
          <cell r="J23">
            <v>9.265206551265651</v>
          </cell>
          <cell r="K23">
            <v>8.7075789978849993</v>
          </cell>
          <cell r="M23">
            <v>0</v>
          </cell>
          <cell r="N23">
            <v>0</v>
          </cell>
          <cell r="P23">
            <v>1.3251895527133057</v>
          </cell>
          <cell r="Q23">
            <v>1.1102792196581142</v>
          </cell>
          <cell r="S23">
            <v>2.5671439999999999</v>
          </cell>
          <cell r="T23">
            <v>2.3633169999999999</v>
          </cell>
          <cell r="U23">
            <v>2.7013319999999998</v>
          </cell>
          <cell r="V23">
            <v>3.1028089999999997</v>
          </cell>
          <cell r="X23">
            <v>28.824000000000002</v>
          </cell>
          <cell r="Y23">
            <v>51.2</v>
          </cell>
          <cell r="Z23">
            <v>18.75</v>
          </cell>
          <cell r="AA23">
            <v>166.37700000000001</v>
          </cell>
          <cell r="AB23">
            <v>1328.1618000000003</v>
          </cell>
          <cell r="AD23">
            <v>130.42180000000002</v>
          </cell>
          <cell r="AE23">
            <v>143.3494</v>
          </cell>
          <cell r="AF23">
            <v>152.52940000000001</v>
          </cell>
          <cell r="AJ23">
            <v>0</v>
          </cell>
          <cell r="AK23">
            <v>0</v>
          </cell>
        </row>
        <row r="24">
          <cell r="A24" t="str">
            <v>Average</v>
          </cell>
          <cell r="G24">
            <v>11.518059329443492</v>
          </cell>
          <cell r="H24">
            <v>10.028618150964123</v>
          </cell>
          <cell r="J24">
            <v>7.4714902351054082</v>
          </cell>
          <cell r="K24">
            <v>6.8990694627782574</v>
          </cell>
          <cell r="M24">
            <v>0.10940310457157304</v>
          </cell>
          <cell r="N24">
            <v>8.87979757372242E-2</v>
          </cell>
          <cell r="P24">
            <v>0.81630004898638076</v>
          </cell>
          <cell r="Q24">
            <v>0.74733886531280458</v>
          </cell>
        </row>
        <row r="25">
          <cell r="A25" t="str">
            <v>Median</v>
          </cell>
          <cell r="G25">
            <v>11.518059329443492</v>
          </cell>
          <cell r="H25">
            <v>10.028618150964123</v>
          </cell>
          <cell r="J25">
            <v>7.4714902351054082</v>
          </cell>
          <cell r="K25">
            <v>6.8990694627782574</v>
          </cell>
          <cell r="M25">
            <v>0.10940310457157304</v>
          </cell>
          <cell r="N25">
            <v>8.87979757372242E-2</v>
          </cell>
          <cell r="P25">
            <v>0.81630004898638076</v>
          </cell>
          <cell r="Q25">
            <v>0.74733886531280458</v>
          </cell>
        </row>
        <row r="27">
          <cell r="A27" t="str">
            <v>Pharmaceuticals</v>
          </cell>
        </row>
        <row r="28">
          <cell r="A28" t="str">
            <v>TEVA</v>
          </cell>
          <cell r="C28">
            <v>50.480000000000004</v>
          </cell>
          <cell r="D28">
            <v>43059.44</v>
          </cell>
          <cell r="E28">
            <v>49078.44</v>
          </cell>
          <cell r="G28">
            <v>11.304262925331852</v>
          </cell>
          <cell r="H28">
            <v>10.3620880592741</v>
          </cell>
          <cell r="J28">
            <v>8.5772602751696319</v>
          </cell>
          <cell r="K28">
            <v>8.5291360586422815</v>
          </cell>
          <cell r="M28">
            <v>8.5259678249415216E-2</v>
          </cell>
          <cell r="N28">
            <v>0.11219374892009742</v>
          </cell>
          <cell r="P28">
            <v>0.33806879562608438</v>
          </cell>
          <cell r="Q28">
            <v>1.1396278208674859</v>
          </cell>
          <cell r="S28">
            <v>2.930758</v>
          </cell>
          <cell r="T28">
            <v>3.3465579999999999</v>
          </cell>
          <cell r="U28">
            <v>4.4655719999999999</v>
          </cell>
          <cell r="V28">
            <v>4.8716049999999997</v>
          </cell>
          <cell r="X28">
            <v>853</v>
          </cell>
          <cell r="Y28">
            <v>50.480000000000004</v>
          </cell>
          <cell r="Z28">
            <v>8419</v>
          </cell>
          <cell r="AA28">
            <v>2400</v>
          </cell>
          <cell r="AB28">
            <v>49078.44</v>
          </cell>
          <cell r="AD28">
            <v>4427.9520000000002</v>
          </cell>
          <cell r="AE28">
            <v>5721.9250000000002</v>
          </cell>
          <cell r="AF28">
            <v>5754.21</v>
          </cell>
          <cell r="AJ28">
            <v>3671.2339999999999</v>
          </cell>
          <cell r="AK28">
            <v>4831</v>
          </cell>
        </row>
        <row r="29">
          <cell r="A29" t="str">
            <v>MYL</v>
          </cell>
          <cell r="C29">
            <v>16.240000000000002</v>
          </cell>
          <cell r="D29">
            <v>4955.1488000000008</v>
          </cell>
          <cell r="E29">
            <v>9576.4328000000005</v>
          </cell>
          <cell r="G29">
            <v>10.752218307108251</v>
          </cell>
          <cell r="H29">
            <v>9.3082332010463755</v>
          </cell>
          <cell r="J29">
            <v>6.6850908826908926</v>
          </cell>
          <cell r="K29">
            <v>6.114102277617242</v>
          </cell>
          <cell r="M29">
            <v>0.12357247475595484</v>
          </cell>
          <cell r="N29">
            <v>0.15954919456707331</v>
          </cell>
          <cell r="P29">
            <v>0.4839868935337136</v>
          </cell>
          <cell r="Q29">
            <v>0.60002838645171896</v>
          </cell>
          <cell r="S29">
            <v>0.8</v>
          </cell>
          <cell r="T29">
            <v>1.2358339999999999</v>
          </cell>
          <cell r="U29">
            <v>1.510386</v>
          </cell>
          <cell r="V29">
            <v>1.7446919999999999</v>
          </cell>
          <cell r="X29">
            <v>305.12</v>
          </cell>
          <cell r="Y29">
            <v>16.240000000000002</v>
          </cell>
          <cell r="Z29">
            <v>5136.9279999999999</v>
          </cell>
          <cell r="AA29">
            <v>515.64400000000001</v>
          </cell>
          <cell r="AB29">
            <v>9576.4328000000005</v>
          </cell>
          <cell r="AD29">
            <v>1336.0070000000001</v>
          </cell>
          <cell r="AE29">
            <v>1432.5060000000001</v>
          </cell>
          <cell r="AF29">
            <v>1566.2860000000001</v>
          </cell>
          <cell r="AJ29">
            <v>612.32000000000005</v>
          </cell>
          <cell r="AK29">
            <v>790.59</v>
          </cell>
        </row>
        <row r="30">
          <cell r="A30" t="str">
            <v>WPI</v>
          </cell>
          <cell r="C30">
            <v>34.42</v>
          </cell>
          <cell r="D30">
            <v>3634.7520000000004</v>
          </cell>
          <cell r="E30">
            <v>3860.2520000000004</v>
          </cell>
          <cell r="G30">
            <v>13.114859036221702</v>
          </cell>
          <cell r="H30">
            <v>12.513319487004798</v>
          </cell>
          <cell r="J30">
            <v>5.509275744513598</v>
          </cell>
          <cell r="K30">
            <v>5.8679053523051916</v>
          </cell>
          <cell r="M30">
            <v>0.11445086212209252</v>
          </cell>
          <cell r="N30">
            <v>0.1293045577800081</v>
          </cell>
          <cell r="P30">
            <v>2.3731805084576485</v>
          </cell>
          <cell r="Q30">
            <v>2.6030402288211563</v>
          </cell>
          <cell r="S30">
            <v>2.0300000000000002</v>
          </cell>
          <cell r="T30">
            <v>2.4870619999999999</v>
          </cell>
          <cell r="U30">
            <v>2.6245039999999999</v>
          </cell>
          <cell r="V30">
            <v>2.7506689999999998</v>
          </cell>
          <cell r="X30">
            <v>105.60000000000001</v>
          </cell>
          <cell r="Y30">
            <v>34.42</v>
          </cell>
          <cell r="Z30">
            <v>876.40000000000009</v>
          </cell>
          <cell r="AA30">
            <v>650.90000000000009</v>
          </cell>
          <cell r="AB30">
            <v>3860.2520000000004</v>
          </cell>
          <cell r="AD30">
            <v>659.95960000000002</v>
          </cell>
          <cell r="AE30">
            <v>700.68230000000005</v>
          </cell>
          <cell r="AF30">
            <v>657.85860000000002</v>
          </cell>
          <cell r="AJ30">
            <v>416.00050000000005</v>
          </cell>
          <cell r="AK30">
            <v>469.99</v>
          </cell>
        </row>
        <row r="31">
          <cell r="A31" t="str">
            <v>PRGO</v>
          </cell>
          <cell r="C31">
            <v>37.19</v>
          </cell>
          <cell r="D31">
            <v>3429.2527099999998</v>
          </cell>
          <cell r="E31">
            <v>4005.2977099999998</v>
          </cell>
          <cell r="G31">
            <v>16.726078200149853</v>
          </cell>
          <cell r="H31">
            <v>15.242865281597487</v>
          </cell>
          <cell r="J31">
            <v>10.486719668010682</v>
          </cell>
          <cell r="K31">
            <v>9.8241490540084442</v>
          </cell>
          <cell r="M31">
            <v>5.872638065218589E-2</v>
          </cell>
          <cell r="N31">
            <v>6.2233879520649273E-2</v>
          </cell>
          <cell r="P31">
            <v>1.4118519595997781</v>
          </cell>
          <cell r="Q31">
            <v>1.5664975613865419</v>
          </cell>
          <cell r="S31">
            <v>1.7283679999999999</v>
          </cell>
          <cell r="T31">
            <v>1.987962</v>
          </cell>
          <cell r="U31">
            <v>2.223474</v>
          </cell>
          <cell r="V31">
            <v>2.4398300000000002</v>
          </cell>
          <cell r="X31">
            <v>92.209000000000003</v>
          </cell>
          <cell r="Y31">
            <v>37.19</v>
          </cell>
          <cell r="Z31">
            <v>892.18100000000004</v>
          </cell>
          <cell r="AA31">
            <v>316.13600000000002</v>
          </cell>
          <cell r="AB31">
            <v>4005.2977099999998</v>
          </cell>
          <cell r="AD31">
            <v>352.82089999999999</v>
          </cell>
          <cell r="AE31">
            <v>381.94</v>
          </cell>
          <cell r="AF31">
            <v>407.69920000000002</v>
          </cell>
          <cell r="AJ31">
            <v>201.38760000000002</v>
          </cell>
          <cell r="AK31">
            <v>213.41570000000002</v>
          </cell>
        </row>
        <row r="32">
          <cell r="A32" t="str">
            <v>KV.A</v>
          </cell>
          <cell r="C32">
            <v>3.8000000000000003</v>
          </cell>
          <cell r="D32">
            <v>188.52560000000003</v>
          </cell>
          <cell r="E32">
            <v>322.41160000000002</v>
          </cell>
          <cell r="G32" t="str">
            <v>n/a</v>
          </cell>
          <cell r="H32" t="str">
            <v>n/a</v>
          </cell>
          <cell r="J32" t="str">
            <v>n/a</v>
          </cell>
          <cell r="K32" t="str">
            <v>n/a</v>
          </cell>
          <cell r="M32">
            <v>0</v>
          </cell>
          <cell r="N32" t="str">
            <v>n/a</v>
          </cell>
          <cell r="P32" t="str">
            <v>n/a</v>
          </cell>
          <cell r="Q32" t="str">
            <v>n/a</v>
          </cell>
          <cell r="S32">
            <v>0</v>
          </cell>
          <cell r="T32">
            <v>0</v>
          </cell>
          <cell r="U32">
            <v>0</v>
          </cell>
          <cell r="V32">
            <v>0</v>
          </cell>
          <cell r="X32">
            <v>49.612000000000002</v>
          </cell>
          <cell r="Y32">
            <v>3.8000000000000003</v>
          </cell>
          <cell r="Z32">
            <v>268.96300000000002</v>
          </cell>
          <cell r="AA32">
            <v>135.077</v>
          </cell>
          <cell r="AB32">
            <v>322.41160000000002</v>
          </cell>
          <cell r="AD32">
            <v>0</v>
          </cell>
          <cell r="AE32">
            <v>0</v>
          </cell>
          <cell r="AF32">
            <v>0</v>
          </cell>
          <cell r="AJ32">
            <v>0</v>
          </cell>
          <cell r="AK32">
            <v>0</v>
          </cell>
        </row>
        <row r="33">
          <cell r="A33" t="str">
            <v>Average</v>
          </cell>
          <cell r="G33">
            <v>12.974354617202916</v>
          </cell>
          <cell r="H33">
            <v>11.856626507230692</v>
          </cell>
          <cell r="J33">
            <v>7.8145866425962014</v>
          </cell>
          <cell r="K33">
            <v>7.5838231856432898</v>
          </cell>
          <cell r="M33">
            <v>7.6401879155929692E-2</v>
          </cell>
          <cell r="N33">
            <v>0.11582034519695704</v>
          </cell>
          <cell r="P33">
            <v>1.1517720393043061</v>
          </cell>
          <cell r="Q33">
            <v>1.4772984993817257</v>
          </cell>
        </row>
        <row r="34">
          <cell r="A34" t="str">
            <v>Median</v>
          </cell>
          <cell r="G34">
            <v>12.209560980776777</v>
          </cell>
          <cell r="H34">
            <v>11.43770377313945</v>
          </cell>
          <cell r="J34">
            <v>7.6311755789302627</v>
          </cell>
          <cell r="K34">
            <v>7.3216191681297618</v>
          </cell>
          <cell r="M34">
            <v>8.5259678249415216E-2</v>
          </cell>
          <cell r="N34">
            <v>0.12074915335005276</v>
          </cell>
          <cell r="P34">
            <v>0.94791942656674588</v>
          </cell>
          <cell r="Q34">
            <v>1.3530626911270138</v>
          </cell>
        </row>
        <row r="36">
          <cell r="A36" t="str">
            <v>Hospital Capex</v>
          </cell>
        </row>
        <row r="37">
          <cell r="A37" t="str">
            <v>HRC</v>
          </cell>
          <cell r="C37">
            <v>19.59</v>
          </cell>
          <cell r="D37">
            <v>1226.86293</v>
          </cell>
          <cell r="E37">
            <v>1296.86293</v>
          </cell>
          <cell r="G37">
            <v>15.547619047619047</v>
          </cell>
          <cell r="H37" t="str">
            <v>n/a</v>
          </cell>
          <cell r="J37">
            <v>6.8255943684210525</v>
          </cell>
          <cell r="K37" t="str">
            <v>n/a</v>
          </cell>
          <cell r="M37">
            <v>0.10729935413404333</v>
          </cell>
          <cell r="N37">
            <v>0.11312315060330333</v>
          </cell>
          <cell r="P37">
            <v>1.2269927763064461</v>
          </cell>
          <cell r="Q37" t="str">
            <v>n/a</v>
          </cell>
          <cell r="S37">
            <v>1.318206</v>
          </cell>
          <cell r="T37">
            <v>1.1182969999999999</v>
          </cell>
          <cell r="U37">
            <v>1.26</v>
          </cell>
          <cell r="V37">
            <v>0</v>
          </cell>
          <cell r="X37">
            <v>62.627000000000002</v>
          </cell>
          <cell r="Y37">
            <v>19.59</v>
          </cell>
          <cell r="Z37">
            <v>198.3</v>
          </cell>
          <cell r="AA37">
            <v>128.30000000000001</v>
          </cell>
          <cell r="AB37">
            <v>1296.86293</v>
          </cell>
          <cell r="AD37">
            <v>216.12140000000002</v>
          </cell>
          <cell r="AE37">
            <v>190</v>
          </cell>
          <cell r="AF37">
            <v>0</v>
          </cell>
          <cell r="AJ37">
            <v>131.64160000000001</v>
          </cell>
          <cell r="AK37">
            <v>138.78659999999999</v>
          </cell>
        </row>
        <row r="38">
          <cell r="A38" t="str">
            <v>SYK</v>
          </cell>
          <cell r="C38">
            <v>46</v>
          </cell>
          <cell r="D38">
            <v>18285</v>
          </cell>
          <cell r="E38">
            <v>15876.5</v>
          </cell>
          <cell r="G38">
            <v>14.084994367533232</v>
          </cell>
          <cell r="H38">
            <v>12.469747308703234</v>
          </cell>
          <cell r="J38">
            <v>7.6334941945248849</v>
          </cell>
          <cell r="K38">
            <v>6.9945058116098267</v>
          </cell>
          <cell r="M38">
            <v>6.6160568772217668E-2</v>
          </cell>
          <cell r="N38">
            <v>8.2571780147662019E-2</v>
          </cell>
          <cell r="P38">
            <v>1.3047544761030507</v>
          </cell>
          <cell r="Q38">
            <v>0.96266758136395392</v>
          </cell>
          <cell r="S38">
            <v>2.83</v>
          </cell>
          <cell r="T38">
            <v>2.9476809999999998</v>
          </cell>
          <cell r="U38">
            <v>3.2658869999999998</v>
          </cell>
          <cell r="V38">
            <v>3.6889279999999998</v>
          </cell>
          <cell r="X38">
            <v>397.5</v>
          </cell>
          <cell r="Y38">
            <v>46</v>
          </cell>
          <cell r="Z38">
            <v>19.400000000000002</v>
          </cell>
          <cell r="AA38">
            <v>2427.9</v>
          </cell>
          <cell r="AB38">
            <v>15876.5</v>
          </cell>
          <cell r="AD38">
            <v>1907.8590000000002</v>
          </cell>
          <cell r="AE38">
            <v>2079.8470000000002</v>
          </cell>
          <cell r="AF38">
            <v>2269.8530000000001</v>
          </cell>
          <cell r="AJ38">
            <v>1209.7460000000001</v>
          </cell>
          <cell r="AK38">
            <v>1509.825</v>
          </cell>
        </row>
        <row r="39">
          <cell r="A39" t="str">
            <v>HOLX</v>
          </cell>
          <cell r="C39">
            <v>14.780000000000001</v>
          </cell>
          <cell r="D39">
            <v>3792.5893840000003</v>
          </cell>
          <cell r="E39">
            <v>5554.652384</v>
          </cell>
          <cell r="G39">
            <v>11.537761970818364</v>
          </cell>
          <cell r="H39">
            <v>10.470128609732686</v>
          </cell>
          <cell r="J39">
            <v>7.8002893997192837</v>
          </cell>
          <cell r="K39">
            <v>8.0170081107541868</v>
          </cell>
          <cell r="M39">
            <v>7.0328951270223983E-2</v>
          </cell>
          <cell r="N39">
            <v>7.7747290165159966E-2</v>
          </cell>
          <cell r="P39">
            <v>1.3283342240036613</v>
          </cell>
          <cell r="Q39">
            <v>1.0267906296302576</v>
          </cell>
          <cell r="S39">
            <v>1.1243209999999999</v>
          </cell>
          <cell r="T39">
            <v>1.178636</v>
          </cell>
          <cell r="U39">
            <v>1.2810109999999999</v>
          </cell>
          <cell r="V39">
            <v>1.411635</v>
          </cell>
          <cell r="X39">
            <v>256.6028</v>
          </cell>
          <cell r="Y39">
            <v>14.780000000000001</v>
          </cell>
          <cell r="Z39">
            <v>2006.6949999999999</v>
          </cell>
          <cell r="AA39">
            <v>244.63200000000001</v>
          </cell>
          <cell r="AB39">
            <v>5554.652384</v>
          </cell>
          <cell r="AD39">
            <v>663.33680000000004</v>
          </cell>
          <cell r="AE39">
            <v>712.10850000000005</v>
          </cell>
          <cell r="AF39">
            <v>692.85852119182334</v>
          </cell>
          <cell r="AJ39">
            <v>266.72883397530484</v>
          </cell>
          <cell r="AK39">
            <v>294.86354731515331</v>
          </cell>
        </row>
        <row r="40">
          <cell r="A40" t="str">
            <v>ISRG</v>
          </cell>
          <cell r="C40">
            <v>246.35</v>
          </cell>
          <cell r="D40">
            <v>9408.1064999999999</v>
          </cell>
          <cell r="E40">
            <v>8895.3094999999994</v>
          </cell>
          <cell r="G40">
            <v>35.333469207387168</v>
          </cell>
          <cell r="H40">
            <v>29.885963848113548</v>
          </cell>
          <cell r="J40">
            <v>19.340892072227835</v>
          </cell>
          <cell r="K40">
            <v>16.138993172327606</v>
          </cell>
          <cell r="M40">
            <v>3.4437641623210793E-2</v>
          </cell>
          <cell r="N40">
            <v>4.309049860351815E-2</v>
          </cell>
          <cell r="P40">
            <v>1.5820751772201658</v>
          </cell>
          <cell r="Q40">
            <v>1.6395960650323198</v>
          </cell>
          <cell r="S40">
            <v>5.12</v>
          </cell>
          <cell r="T40">
            <v>5.6992859999999999</v>
          </cell>
          <cell r="U40">
            <v>6.972143</v>
          </cell>
          <cell r="V40">
            <v>8.2430000000000003</v>
          </cell>
          <cell r="X40">
            <v>38.19</v>
          </cell>
          <cell r="Y40">
            <v>246.35</v>
          </cell>
          <cell r="Z40">
            <v>0</v>
          </cell>
          <cell r="AA40">
            <v>512.79700000000003</v>
          </cell>
          <cell r="AB40">
            <v>8895.3094999999994</v>
          </cell>
          <cell r="AD40">
            <v>378.24860000000001</v>
          </cell>
          <cell r="AE40">
            <v>459.92240000000004</v>
          </cell>
          <cell r="AF40">
            <v>551.16880000000003</v>
          </cell>
          <cell r="AJ40">
            <v>323.99299999999999</v>
          </cell>
          <cell r="AK40">
            <v>405.40000000000003</v>
          </cell>
        </row>
        <row r="41">
          <cell r="A41" t="str">
            <v>VAR</v>
          </cell>
          <cell r="C41">
            <v>40.980000000000004</v>
          </cell>
          <cell r="D41">
            <v>5144.2194000000009</v>
          </cell>
          <cell r="E41">
            <v>4702.3294000000005</v>
          </cell>
          <cell r="G41">
            <v>14.713998010127455</v>
          </cell>
          <cell r="H41">
            <v>13.087960162523212</v>
          </cell>
          <cell r="J41">
            <v>8.491996736354432</v>
          </cell>
          <cell r="K41">
            <v>7.494374273943702</v>
          </cell>
          <cell r="M41">
            <v>6.9007165596397371E-2</v>
          </cell>
          <cell r="N41">
            <v>7.3692424549388374E-2</v>
          </cell>
          <cell r="P41">
            <v>3.7802916636122625</v>
          </cell>
          <cell r="Q41">
            <v>1.0534484266044319</v>
          </cell>
          <cell r="S41">
            <v>2.4023300000000001</v>
          </cell>
          <cell r="T41">
            <v>2.6807600000000003</v>
          </cell>
          <cell r="U41">
            <v>2.7851029999999999</v>
          </cell>
          <cell r="V41">
            <v>3.131122</v>
          </cell>
          <cell r="X41">
            <v>125.53</v>
          </cell>
          <cell r="Y41">
            <v>40.980000000000004</v>
          </cell>
          <cell r="Z41">
            <v>32.46</v>
          </cell>
          <cell r="AA41">
            <v>474.35</v>
          </cell>
          <cell r="AB41">
            <v>4702.3294000000005</v>
          </cell>
          <cell r="AD41">
            <v>523.50549999999998</v>
          </cell>
          <cell r="AE41">
            <v>553.73660000000007</v>
          </cell>
          <cell r="AF41">
            <v>627.4479</v>
          </cell>
          <cell r="AJ41">
            <v>354.988</v>
          </cell>
          <cell r="AK41">
            <v>379.09000000000003</v>
          </cell>
        </row>
        <row r="42">
          <cell r="A42" t="str">
            <v>ZOLL</v>
          </cell>
          <cell r="C42">
            <v>19.420000000000002</v>
          </cell>
          <cell r="D42">
            <v>408.92694000000006</v>
          </cell>
          <cell r="E42">
            <v>353.66294000000005</v>
          </cell>
          <cell r="G42">
            <v>22.176579932867316</v>
          </cell>
          <cell r="H42">
            <v>15.023866440767131</v>
          </cell>
          <cell r="J42" t="str">
            <v>n/a</v>
          </cell>
          <cell r="K42" t="str">
            <v>n/a</v>
          </cell>
          <cell r="M42" t="str">
            <v>n/a</v>
          </cell>
          <cell r="N42" t="str">
            <v>n/a</v>
          </cell>
          <cell r="P42">
            <v>0.2731926083631131</v>
          </cell>
          <cell r="Q42">
            <v>0.31556773954290435</v>
          </cell>
          <cell r="S42">
            <v>0.91927799999999993</v>
          </cell>
          <cell r="T42">
            <v>0.48334240000000001</v>
          </cell>
          <cell r="U42">
            <v>0.87569859999999999</v>
          </cell>
          <cell r="V42">
            <v>1.29261</v>
          </cell>
          <cell r="X42">
            <v>21.057000000000002</v>
          </cell>
          <cell r="Y42">
            <v>19.420000000000002</v>
          </cell>
          <cell r="Z42">
            <v>0</v>
          </cell>
          <cell r="AA42">
            <v>55.264000000000003</v>
          </cell>
          <cell r="AB42">
            <v>353.66294000000005</v>
          </cell>
          <cell r="AD42">
            <v>0</v>
          </cell>
          <cell r="AE42">
            <v>0</v>
          </cell>
          <cell r="AF42">
            <v>0</v>
          </cell>
          <cell r="AJ42">
            <v>0</v>
          </cell>
          <cell r="AK42">
            <v>0</v>
          </cell>
        </row>
        <row r="43">
          <cell r="A43" t="str">
            <v>Average</v>
          </cell>
          <cell r="G43">
            <v>18.89907042272543</v>
          </cell>
          <cell r="H43">
            <v>16.187533273967965</v>
          </cell>
          <cell r="J43">
            <v>10.018453354249498</v>
          </cell>
          <cell r="K43">
            <v>9.6612203421588312</v>
          </cell>
          <cell r="M43">
            <v>6.9446736279218629E-2</v>
          </cell>
          <cell r="N43">
            <v>7.8045028813806372E-2</v>
          </cell>
          <cell r="P43">
            <v>1.5826068209347832</v>
          </cell>
          <cell r="Q43">
            <v>0.99961408843477351</v>
          </cell>
        </row>
        <row r="44">
          <cell r="A44" t="str">
            <v>Median</v>
          </cell>
          <cell r="G44">
            <v>15.130808528873251</v>
          </cell>
          <cell r="H44">
            <v>13.087960162523212</v>
          </cell>
          <cell r="J44">
            <v>7.8002893997192837</v>
          </cell>
          <cell r="K44">
            <v>7.7556911923489444</v>
          </cell>
          <cell r="M44">
            <v>6.9007165596397371E-2</v>
          </cell>
          <cell r="N44">
            <v>7.7747290165159966E-2</v>
          </cell>
          <cell r="P44">
            <v>1.316544350053356</v>
          </cell>
          <cell r="Q44">
            <v>1.0267906296302576</v>
          </cell>
        </row>
        <row r="46">
          <cell r="A46" t="str">
            <v>Hospitals</v>
          </cell>
        </row>
        <row r="47">
          <cell r="A47" t="str">
            <v>CYH</v>
          </cell>
          <cell r="C47">
            <v>31.28</v>
          </cell>
          <cell r="D47">
            <v>2907.0068000000001</v>
          </cell>
          <cell r="E47">
            <v>11578.7258</v>
          </cell>
          <cell r="G47">
            <v>10.618215739196526</v>
          </cell>
          <cell r="H47">
            <v>9.568145660946886</v>
          </cell>
          <cell r="J47">
            <v>6.6905266624870352</v>
          </cell>
          <cell r="K47">
            <v>6.4785076754704995</v>
          </cell>
          <cell r="M47">
            <v>0.11539126774660451</v>
          </cell>
          <cell r="N47">
            <v>0.1496384528581082</v>
          </cell>
          <cell r="P47">
            <v>0.85780396219408694</v>
          </cell>
          <cell r="Q47">
            <v>0.87184096838279845</v>
          </cell>
          <cell r="S47">
            <v>2.173</v>
          </cell>
          <cell r="T47">
            <v>2.6213949999999997</v>
          </cell>
          <cell r="U47">
            <v>2.945881</v>
          </cell>
          <cell r="V47">
            <v>3.2691809999999997</v>
          </cell>
          <cell r="X47">
            <v>92.935000000000002</v>
          </cell>
          <cell r="Y47">
            <v>31.28</v>
          </cell>
          <cell r="Z47">
            <v>8940.5439999999999</v>
          </cell>
          <cell r="AA47">
            <v>268.82499999999999</v>
          </cell>
          <cell r="AB47">
            <v>11578.7258</v>
          </cell>
          <cell r="AD47">
            <v>1644.0810000000001</v>
          </cell>
          <cell r="AE47">
            <v>1730.615</v>
          </cell>
          <cell r="AF47">
            <v>1787.252</v>
          </cell>
          <cell r="AJ47">
            <v>335.44319999999999</v>
          </cell>
          <cell r="AK47">
            <v>435</v>
          </cell>
        </row>
        <row r="48">
          <cell r="A48" t="str">
            <v>HMA</v>
          </cell>
          <cell r="C48">
            <v>6.1000000000000005</v>
          </cell>
          <cell r="D48">
            <v>1504.3942000000002</v>
          </cell>
          <cell r="E48">
            <v>4370.9742000000006</v>
          </cell>
          <cell r="G48">
            <v>11.217010725484995</v>
          </cell>
          <cell r="H48">
            <v>10.348981219143919</v>
          </cell>
          <cell r="J48">
            <v>6.2868566811155437</v>
          </cell>
          <cell r="K48">
            <v>6.0913558259124549</v>
          </cell>
          <cell r="M48">
            <v>0.13621675754931784</v>
          </cell>
          <cell r="N48" t="str">
            <v>n/a</v>
          </cell>
          <cell r="P48">
            <v>0.88471177694996683</v>
          </cell>
          <cell r="Q48">
            <v>1.2338452954859569</v>
          </cell>
          <cell r="S48">
            <v>0.39</v>
          </cell>
          <cell r="T48">
            <v>0.4826261</v>
          </cell>
          <cell r="U48">
            <v>0.54381689999999994</v>
          </cell>
          <cell r="V48">
            <v>0.58943000000000001</v>
          </cell>
          <cell r="X48">
            <v>246.62200000000001</v>
          </cell>
          <cell r="Y48">
            <v>6.1000000000000005</v>
          </cell>
          <cell r="Z48">
            <v>3069.4569999999999</v>
          </cell>
          <cell r="AA48">
            <v>202.87700000000001</v>
          </cell>
          <cell r="AB48">
            <v>4370.9742000000006</v>
          </cell>
          <cell r="AD48">
            <v>670.60820000000001</v>
          </cell>
          <cell r="AE48">
            <v>695.2559</v>
          </cell>
          <cell r="AF48">
            <v>717.57</v>
          </cell>
          <cell r="AJ48">
            <v>204.9237</v>
          </cell>
          <cell r="AK48">
            <v>0</v>
          </cell>
        </row>
        <row r="49">
          <cell r="A49" t="str">
            <v>LPNT</v>
          </cell>
          <cell r="C49">
            <v>28.330000000000002</v>
          </cell>
          <cell r="D49">
            <v>1551.23748</v>
          </cell>
          <cell r="E49">
            <v>2868.8374800000001</v>
          </cell>
          <cell r="G49">
            <v>10.752582061975561</v>
          </cell>
          <cell r="H49">
            <v>9.8087892013990601</v>
          </cell>
          <cell r="J49">
            <v>5.9131939301511034</v>
          </cell>
          <cell r="K49">
            <v>5.7255596757261635</v>
          </cell>
          <cell r="M49">
            <v>9.7335386713322591E-2</v>
          </cell>
          <cell r="N49">
            <v>0</v>
          </cell>
          <cell r="P49">
            <v>1.2990437978736791</v>
          </cell>
          <cell r="Q49">
            <v>1.0194222653762499</v>
          </cell>
          <cell r="S49">
            <v>2.58</v>
          </cell>
          <cell r="T49">
            <v>2.4333039999999997</v>
          </cell>
          <cell r="U49">
            <v>2.6347160000000001</v>
          </cell>
          <cell r="V49">
            <v>2.888226</v>
          </cell>
          <cell r="X49">
            <v>54.756</v>
          </cell>
          <cell r="Y49">
            <v>28.330000000000002</v>
          </cell>
          <cell r="Z49">
            <v>1389.6000000000001</v>
          </cell>
          <cell r="AA49">
            <v>72</v>
          </cell>
          <cell r="AB49">
            <v>2868.8374800000001</v>
          </cell>
          <cell r="AD49">
            <v>463.79670000000004</v>
          </cell>
          <cell r="AE49">
            <v>485.15870000000001</v>
          </cell>
          <cell r="AF49">
            <v>501.05799999999999</v>
          </cell>
          <cell r="AJ49">
            <v>150.99030000000002</v>
          </cell>
          <cell r="AK49">
            <v>0</v>
          </cell>
        </row>
        <row r="50">
          <cell r="A50" t="str">
            <v>UHS</v>
          </cell>
          <cell r="C50">
            <v>55.65</v>
          </cell>
          <cell r="D50">
            <v>2732.0810999999999</v>
          </cell>
          <cell r="E50">
            <v>3643.3361</v>
          </cell>
          <cell r="G50">
            <v>11.126619732925137</v>
          </cell>
          <cell r="H50">
            <v>10.592063014114757</v>
          </cell>
          <cell r="J50">
            <v>5.2325334169772075</v>
          </cell>
          <cell r="K50">
            <v>5.0507091273407108</v>
          </cell>
          <cell r="M50">
            <v>7.5144182213331814E-2</v>
          </cell>
          <cell r="N50">
            <v>4.6484710867477547E-2</v>
          </cell>
          <cell r="P50">
            <v>1.7848026539903321</v>
          </cell>
          <cell r="Q50">
            <v>2.0987819430022876</v>
          </cell>
          <cell r="S50">
            <v>3.89</v>
          </cell>
          <cell r="T50">
            <v>4.7080169999999999</v>
          </cell>
          <cell r="U50">
            <v>5.001519</v>
          </cell>
          <cell r="V50">
            <v>5.2539340000000001</v>
          </cell>
          <cell r="X50">
            <v>49.094000000000001</v>
          </cell>
          <cell r="Y50">
            <v>55.65</v>
          </cell>
          <cell r="Z50">
            <v>921.87800000000004</v>
          </cell>
          <cell r="AA50">
            <v>10.623000000000001</v>
          </cell>
          <cell r="AB50">
            <v>3643.3361</v>
          </cell>
          <cell r="AD50">
            <v>675.28110000000004</v>
          </cell>
          <cell r="AE50">
            <v>696.28530000000001</v>
          </cell>
          <cell r="AF50">
            <v>721.35140000000001</v>
          </cell>
          <cell r="AJ50">
            <v>205.3</v>
          </cell>
          <cell r="AK50">
            <v>127</v>
          </cell>
        </row>
        <row r="51">
          <cell r="A51" t="str">
            <v>THC</v>
          </cell>
          <cell r="C51">
            <v>5.12</v>
          </cell>
          <cell r="D51">
            <v>2461.7774079999999</v>
          </cell>
          <cell r="E51">
            <v>6320.7774079999999</v>
          </cell>
          <cell r="G51">
            <v>36.92242900545255</v>
          </cell>
          <cell r="H51">
            <v>22.120175630738231</v>
          </cell>
          <cell r="J51">
            <v>6.4356014083273765</v>
          </cell>
          <cell r="K51">
            <v>6.1594551189788254</v>
          </cell>
          <cell r="M51">
            <v>1.1198888214023289E-2</v>
          </cell>
          <cell r="N51">
            <v>7.2508586446496465E-2</v>
          </cell>
          <cell r="P51">
            <v>0.43769122809713368</v>
          </cell>
          <cell r="Q51">
            <v>0.33055924496640965</v>
          </cell>
          <cell r="S51">
            <v>0.05</v>
          </cell>
          <cell r="T51">
            <v>7.5217599999999996E-2</v>
          </cell>
          <cell r="U51">
            <v>0.13866909999999999</v>
          </cell>
          <cell r="V51">
            <v>0.2314629</v>
          </cell>
          <cell r="X51">
            <v>480.8159</v>
          </cell>
          <cell r="Y51">
            <v>5.12</v>
          </cell>
          <cell r="Z51">
            <v>4626</v>
          </cell>
          <cell r="AA51">
            <v>767</v>
          </cell>
          <cell r="AB51">
            <v>6320.7774079999999</v>
          </cell>
          <cell r="AD51">
            <v>933.04930000000002</v>
          </cell>
          <cell r="AE51">
            <v>982.15800000000002</v>
          </cell>
          <cell r="AF51">
            <v>1026.191</v>
          </cell>
          <cell r="AJ51">
            <v>27.569170000000003</v>
          </cell>
          <cell r="AK51">
            <v>178.5</v>
          </cell>
        </row>
        <row r="52">
          <cell r="A52" t="str">
            <v>Average</v>
          </cell>
          <cell r="G52">
            <v>16.127371453006951</v>
          </cell>
          <cell r="H52">
            <v>12.48763094526857</v>
          </cell>
          <cell r="J52">
            <v>6.1117424198116534</v>
          </cell>
          <cell r="K52">
            <v>5.9011174846857308</v>
          </cell>
          <cell r="M52">
            <v>8.705729648732001E-2</v>
          </cell>
          <cell r="N52">
            <v>6.7157937543020546E-2</v>
          </cell>
          <cell r="P52">
            <v>1.0528106838210398</v>
          </cell>
          <cell r="Q52">
            <v>1.1108899434427406</v>
          </cell>
        </row>
        <row r="53">
          <cell r="A53" t="str">
            <v>Median</v>
          </cell>
          <cell r="G53">
            <v>11.126619732925137</v>
          </cell>
          <cell r="H53">
            <v>10.348981219143919</v>
          </cell>
          <cell r="J53">
            <v>6.2868566811155437</v>
          </cell>
          <cell r="K53">
            <v>6.0913558259124549</v>
          </cell>
          <cell r="M53">
            <v>9.7335386713322591E-2</v>
          </cell>
          <cell r="N53">
            <v>5.9496648656987006E-2</v>
          </cell>
          <cell r="P53">
            <v>0.88471177694996683</v>
          </cell>
          <cell r="Q53">
            <v>1.0194222653762499</v>
          </cell>
        </row>
        <row r="55">
          <cell r="A55" t="str">
            <v>COV</v>
          </cell>
          <cell r="C55">
            <v>42.12</v>
          </cell>
          <cell r="D55">
            <v>21146.131187999999</v>
          </cell>
          <cell r="E55">
            <v>22934.131187999999</v>
          </cell>
          <cell r="G55">
            <v>12.754746691699722</v>
          </cell>
          <cell r="H55">
            <v>11.496728263691056</v>
          </cell>
          <cell r="J55">
            <v>8.5969678704502002</v>
          </cell>
          <cell r="K55">
            <v>7.9726438399737463</v>
          </cell>
          <cell r="M55">
            <v>7.0499893656481183E-2</v>
          </cell>
          <cell r="N55">
            <v>0</v>
          </cell>
          <cell r="P55">
            <v>1.0978400487930966</v>
          </cell>
          <cell r="Q55">
            <v>1.0506583832668803</v>
          </cell>
          <cell r="S55">
            <v>2.7457389999999999</v>
          </cell>
          <cell r="T55">
            <v>2.9585719999999998</v>
          </cell>
          <cell r="U55">
            <v>3.3023000000000002</v>
          </cell>
          <cell r="V55">
            <v>3.6636509999999998</v>
          </cell>
          <cell r="X55">
            <v>502.04490000000004</v>
          </cell>
          <cell r="Y55">
            <v>42.12</v>
          </cell>
          <cell r="Z55">
            <v>3009</v>
          </cell>
          <cell r="AA55">
            <v>1221</v>
          </cell>
          <cell r="AB55">
            <v>22934.131187999999</v>
          </cell>
          <cell r="AD55">
            <v>2606.4749999999999</v>
          </cell>
          <cell r="AE55">
            <v>2667.7000000000003</v>
          </cell>
          <cell r="AF55">
            <v>2876.6030000000001</v>
          </cell>
          <cell r="AJ55">
            <v>1490.8000000000002</v>
          </cell>
          <cell r="AK55">
            <v>0</v>
          </cell>
        </row>
        <row r="57">
          <cell r="A57" t="str">
            <v>MCK</v>
          </cell>
          <cell r="G57">
            <v>12.502823407039605</v>
          </cell>
          <cell r="H57">
            <v>11.47302910238443</v>
          </cell>
          <cell r="J57">
            <v>5.8859493669399505</v>
          </cell>
          <cell r="K57">
            <v>5.4654683254423357</v>
          </cell>
          <cell r="M57">
            <v>9.6430413910356269E-2</v>
          </cell>
          <cell r="N57">
            <v>0.11775739470534269</v>
          </cell>
          <cell r="P57">
            <v>1.818811254368508</v>
          </cell>
          <cell r="Q57">
            <v>1.278220283304405</v>
          </cell>
          <cell r="S57">
            <v>3.8894169999999999</v>
          </cell>
          <cell r="T57">
            <v>4.3952049999999998</v>
          </cell>
          <cell r="U57">
            <v>4.6973389999999995</v>
          </cell>
          <cell r="V57">
            <v>5.1189619999999998</v>
          </cell>
          <cell r="X57">
            <v>268</v>
          </cell>
          <cell r="Y57">
            <v>58.730000000000004</v>
          </cell>
          <cell r="Z57">
            <v>2511</v>
          </cell>
          <cell r="AA57">
            <v>3215</v>
          </cell>
          <cell r="AB57">
            <v>15035.640000000001</v>
          </cell>
          <cell r="AD57">
            <v>2402.694</v>
          </cell>
          <cell r="AE57">
            <v>2554.4969999999998</v>
          </cell>
          <cell r="AF57">
            <v>2751.0250000000001</v>
          </cell>
          <cell r="AJ57">
            <v>1517.78</v>
          </cell>
          <cell r="AK57">
            <v>1853.4590000000001</v>
          </cell>
        </row>
        <row r="60">
          <cell r="A60" t="str">
            <v>RANGES</v>
          </cell>
        </row>
        <row r="62">
          <cell r="A62" t="str">
            <v>2011 P/E</v>
          </cell>
        </row>
        <row r="63">
          <cell r="A63" t="str">
            <v>Low</v>
          </cell>
        </row>
        <row r="64">
          <cell r="A64" t="str">
            <v>High</v>
          </cell>
        </row>
        <row r="66">
          <cell r="A66" t="str">
            <v>2011 EV/EBITDA</v>
          </cell>
        </row>
        <row r="67">
          <cell r="A67" t="str">
            <v>Low</v>
          </cell>
        </row>
        <row r="68">
          <cell r="A68" t="str">
            <v>High</v>
          </cell>
        </row>
        <row r="70">
          <cell r="A70" t="str">
            <v>FCF Yield</v>
          </cell>
        </row>
        <row r="71">
          <cell r="A71" t="str">
            <v xml:space="preserve">Low </v>
          </cell>
        </row>
        <row r="72">
          <cell r="A72" t="str">
            <v>High</v>
          </cell>
        </row>
        <row r="74">
          <cell r="A74" t="str">
            <v>DCF</v>
          </cell>
        </row>
        <row r="75">
          <cell r="A75" t="str">
            <v>Low</v>
          </cell>
        </row>
        <row r="76">
          <cell r="A76" t="str">
            <v>High</v>
          </cell>
        </row>
        <row r="78">
          <cell r="A78" t="str">
            <v>Residual Income</v>
          </cell>
        </row>
        <row r="79">
          <cell r="A79" t="str">
            <v>Low</v>
          </cell>
        </row>
        <row r="80">
          <cell r="A80" t="str">
            <v>High</v>
          </cell>
        </row>
      </sheetData>
      <sheetData sheetId="6"/>
      <sheetData sheetId="7"/>
      <sheetData sheetId="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mp;Acalcs"/>
      <sheetName val="#REF"/>
    </sheetNames>
    <sheetDataSet>
      <sheetData sheetId="0" refreshError="1">
        <row r="2">
          <cell r="D2">
            <v>2008</v>
          </cell>
          <cell r="E2">
            <v>2009</v>
          </cell>
          <cell r="F2">
            <v>2010</v>
          </cell>
          <cell r="G2">
            <v>2011</v>
          </cell>
          <cell r="H2">
            <v>2012</v>
          </cell>
        </row>
        <row r="3">
          <cell r="O3" t="str">
            <v>'08-'12</v>
          </cell>
        </row>
        <row r="4">
          <cell r="A4" t="str">
            <v>x</v>
          </cell>
          <cell r="B4" t="str">
            <v>Net income</v>
          </cell>
          <cell r="D4">
            <v>1329</v>
          </cell>
          <cell r="E4">
            <v>1403</v>
          </cell>
          <cell r="F4">
            <v>1588.3802256779072</v>
          </cell>
          <cell r="G4">
            <v>1781.0107797417249</v>
          </cell>
          <cell r="H4">
            <v>2042.3698208147043</v>
          </cell>
          <cell r="L4" t="str">
            <v>EPS Impact</v>
          </cell>
          <cell r="O4" t="str">
            <v>EPS CAGR w/</v>
          </cell>
          <cell r="P4" t="str">
            <v>2012 ROIC</v>
          </cell>
        </row>
        <row r="5">
          <cell r="B5" t="str">
            <v>Diluted shares</v>
          </cell>
          <cell r="D5">
            <v>504.5</v>
          </cell>
          <cell r="E5">
            <v>505.25</v>
          </cell>
          <cell r="F5">
            <v>505.625</v>
          </cell>
          <cell r="G5">
            <v>505.5</v>
          </cell>
          <cell r="H5">
            <v>502.5</v>
          </cell>
          <cell r="K5" t="str">
            <v>Deal size</v>
          </cell>
          <cell r="L5">
            <v>2010</v>
          </cell>
          <cell r="M5">
            <v>2011</v>
          </cell>
          <cell r="N5">
            <v>2012</v>
          </cell>
          <cell r="O5" t="str">
            <v>Acquisition</v>
          </cell>
          <cell r="P5" t="str">
            <v>Implications</v>
          </cell>
        </row>
        <row r="6">
          <cell r="B6" t="str">
            <v>EPS</v>
          </cell>
          <cell r="D6">
            <v>2.6342913776015857</v>
          </cell>
          <cell r="E6">
            <v>2.7768431469569519</v>
          </cell>
          <cell r="F6">
            <v>3.1414194821812753</v>
          </cell>
          <cell r="G6">
            <v>3.5232656374712659</v>
          </cell>
          <cell r="H6">
            <v>4.0644175538601077</v>
          </cell>
          <cell r="I6">
            <v>0.11450912089796494</v>
          </cell>
          <cell r="K6" t="str">
            <v>$3 billion</v>
          </cell>
          <cell r="L6">
            <v>-0.10867485686871481</v>
          </cell>
          <cell r="M6">
            <v>7.4726613669497954E-2</v>
          </cell>
          <cell r="N6">
            <v>0.2673850790822776</v>
          </cell>
          <cell r="O6">
            <v>0.151</v>
          </cell>
          <cell r="P6" t="str">
            <v>- 330 bps</v>
          </cell>
        </row>
        <row r="7">
          <cell r="B7" t="str">
            <v>True EPS</v>
          </cell>
          <cell r="D7">
            <v>2.6328445034712136</v>
          </cell>
          <cell r="E7">
            <v>3.1397692413279228</v>
          </cell>
          <cell r="F7">
            <v>3.5517677792599502</v>
          </cell>
          <cell r="G7">
            <v>3.9558950226562675</v>
          </cell>
          <cell r="H7">
            <v>4.3628859787806906</v>
          </cell>
          <cell r="K7" t="str">
            <v>$2 billion</v>
          </cell>
          <cell r="L7">
            <v>-7.2449904809567034E-2</v>
          </cell>
          <cell r="M7">
            <v>4.9817741925000991E-2</v>
          </cell>
          <cell r="N7">
            <v>0.17825671869181559</v>
          </cell>
          <cell r="O7">
            <v>0.14499999999999999</v>
          </cell>
          <cell r="P7" t="str">
            <v>- 240 bps</v>
          </cell>
        </row>
        <row r="8">
          <cell r="K8" t="str">
            <v>$1 billion</v>
          </cell>
          <cell r="L8">
            <v>-3.6224952516461961E-2</v>
          </cell>
          <cell r="M8">
            <v>2.4908870709831721E-2</v>
          </cell>
          <cell r="N8">
            <v>8.9128359008404878E-2</v>
          </cell>
          <cell r="O8">
            <v>0.13900000000000001</v>
          </cell>
          <cell r="P8" t="str">
            <v>- 130 bps</v>
          </cell>
        </row>
        <row r="9">
          <cell r="B9" t="str">
            <v>Δ EPS</v>
          </cell>
          <cell r="D9">
            <v>1.4468741303721444E-3</v>
          </cell>
          <cell r="E9">
            <v>-0.3629260943709709</v>
          </cell>
          <cell r="F9">
            <v>-0.41034829707867493</v>
          </cell>
          <cell r="G9">
            <v>-0.4326293851850016</v>
          </cell>
          <cell r="H9">
            <v>-0.2984684249205829</v>
          </cell>
        </row>
        <row r="10">
          <cell r="K10" t="str">
            <v>Notes</v>
          </cell>
        </row>
        <row r="11">
          <cell r="K11" t="str">
            <v>Assumptions include:</v>
          </cell>
        </row>
        <row r="12">
          <cell r="B12" t="str">
            <v>Assumptions</v>
          </cell>
          <cell r="K12" t="str">
            <v>1) 30% premium to market price</v>
          </cell>
        </row>
        <row r="13">
          <cell r="A13" t="str">
            <v>x</v>
          </cell>
          <cell r="B13" t="str">
            <v>Acquisition</v>
          </cell>
          <cell r="D13">
            <v>0</v>
          </cell>
          <cell r="E13">
            <v>-600</v>
          </cell>
          <cell r="F13">
            <v>0</v>
          </cell>
          <cell r="G13">
            <v>0</v>
          </cell>
          <cell r="H13">
            <v>0</v>
          </cell>
          <cell r="K13" t="str">
            <v>2) 3.5x price/sales</v>
          </cell>
        </row>
        <row r="14">
          <cell r="K14" t="str">
            <v>3) 15% NI margin ramping to 30% by 2012</v>
          </cell>
        </row>
        <row r="15">
          <cell r="B15" t="str">
            <v>High-ball premium</v>
          </cell>
          <cell r="D15">
            <v>0.4</v>
          </cell>
          <cell r="K15" t="str">
            <v>4) 10% sales growth rate</v>
          </cell>
        </row>
        <row r="16">
          <cell r="B16" t="str">
            <v>High price/sales</v>
          </cell>
          <cell r="D16">
            <v>4.5</v>
          </cell>
        </row>
        <row r="17">
          <cell r="B17" t="str">
            <v>Low NI margin</v>
          </cell>
          <cell r="D17">
            <v>0.2</v>
          </cell>
          <cell r="E17">
            <v>0.2</v>
          </cell>
          <cell r="F17">
            <v>0.2</v>
          </cell>
          <cell r="G17">
            <v>0.3</v>
          </cell>
          <cell r="H17">
            <v>0.4</v>
          </cell>
        </row>
        <row r="18">
          <cell r="O18" t="str">
            <v>'08-'12</v>
          </cell>
        </row>
        <row r="19">
          <cell r="B19" t="str">
            <v>Growth rate</v>
          </cell>
          <cell r="D19">
            <v>0.15</v>
          </cell>
          <cell r="E19">
            <v>0.15</v>
          </cell>
          <cell r="F19">
            <v>0.15</v>
          </cell>
          <cell r="G19">
            <v>0.15</v>
          </cell>
          <cell r="H19">
            <v>0.15</v>
          </cell>
          <cell r="L19" t="str">
            <v>EPS Impact</v>
          </cell>
          <cell r="O19" t="str">
            <v>EPS CAGR w/</v>
          </cell>
          <cell r="P19" t="str">
            <v>2012 ROIC</v>
          </cell>
        </row>
        <row r="20">
          <cell r="B20" t="str">
            <v>Interest rate on cash</v>
          </cell>
          <cell r="K20" t="str">
            <v>Deal size</v>
          </cell>
          <cell r="L20">
            <v>2010</v>
          </cell>
          <cell r="M20">
            <v>2011</v>
          </cell>
          <cell r="N20">
            <v>2012</v>
          </cell>
          <cell r="O20" t="str">
            <v>Acquisition</v>
          </cell>
          <cell r="P20" t="str">
            <v>Implications</v>
          </cell>
        </row>
        <row r="21">
          <cell r="B21" t="str">
            <v>Tax rate</v>
          </cell>
          <cell r="D21">
            <v>0.29283618562593206</v>
          </cell>
          <cell r="E21">
            <v>0.25884838880084521</v>
          </cell>
          <cell r="F21">
            <v>0.21195873009091332</v>
          </cell>
          <cell r="G21">
            <v>0.22200000000000006</v>
          </cell>
          <cell r="H21">
            <v>0.21799999999999994</v>
          </cell>
          <cell r="K21" t="str">
            <v>$500 million</v>
          </cell>
          <cell r="L21">
            <v>-1.9276210715227116E-2</v>
          </cell>
          <cell r="M21">
            <v>1.9030028510921504E-2</v>
          </cell>
          <cell r="N21">
            <v>4.9011373164352001E-2</v>
          </cell>
          <cell r="O21">
            <v>0.13600000000000001</v>
          </cell>
          <cell r="P21" t="str">
            <v>- 70 bps</v>
          </cell>
        </row>
        <row r="22">
          <cell r="B22" t="str">
            <v>Amortization discount</v>
          </cell>
          <cell r="D22">
            <v>0.3</v>
          </cell>
          <cell r="E22">
            <v>0.3</v>
          </cell>
          <cell r="F22">
            <v>0.3</v>
          </cell>
          <cell r="G22">
            <v>0.3</v>
          </cell>
          <cell r="H22">
            <v>0.3</v>
          </cell>
          <cell r="K22" t="str">
            <v>$300 million</v>
          </cell>
          <cell r="L22">
            <v>-1.1565726040420721E-2</v>
          </cell>
          <cell r="M22">
            <v>1.1418017983345408E-2</v>
          </cell>
          <cell r="N22">
            <v>2.9406825068802434E-2</v>
          </cell>
          <cell r="O22">
            <v>0.1343</v>
          </cell>
          <cell r="P22" t="str">
            <v>- 40 bps</v>
          </cell>
        </row>
        <row r="23">
          <cell r="B23" t="str">
            <v>Amortization years</v>
          </cell>
          <cell r="D23">
            <v>15</v>
          </cell>
          <cell r="E23">
            <v>15</v>
          </cell>
          <cell r="F23">
            <v>15</v>
          </cell>
          <cell r="G23">
            <v>15</v>
          </cell>
          <cell r="H23">
            <v>15</v>
          </cell>
          <cell r="K23" t="str">
            <v>$100 million</v>
          </cell>
          <cell r="L23">
            <v>-3.8552425373379329E-3</v>
          </cell>
          <cell r="M23">
            <v>3.806004811448549E-3</v>
          </cell>
          <cell r="N23">
            <v>9.802273443562548E-3</v>
          </cell>
          <cell r="O23">
            <v>0.13300000000000001</v>
          </cell>
          <cell r="P23" t="str">
            <v>- 15 bps</v>
          </cell>
        </row>
        <row r="24">
          <cell r="B24" t="str">
            <v>EBIT</v>
          </cell>
          <cell r="D24">
            <v>0.75</v>
          </cell>
          <cell r="E24">
            <v>0.75</v>
          </cell>
          <cell r="F24">
            <v>0.75</v>
          </cell>
          <cell r="G24">
            <v>0.75</v>
          </cell>
          <cell r="H24">
            <v>0.75</v>
          </cell>
        </row>
        <row r="25">
          <cell r="K25" t="str">
            <v>Notes</v>
          </cell>
        </row>
        <row r="26">
          <cell r="B26" t="str">
            <v>Results of Acquisition</v>
          </cell>
          <cell r="K26" t="str">
            <v>Assumptions include:</v>
          </cell>
        </row>
        <row r="27">
          <cell r="A27" t="str">
            <v>x</v>
          </cell>
          <cell r="B27" t="str">
            <v>MINIMUM RESULTS</v>
          </cell>
          <cell r="K27" t="str">
            <v>1) 40% premium to market price</v>
          </cell>
        </row>
        <row r="28">
          <cell r="B28" t="str">
            <v>Value w/o premium</v>
          </cell>
          <cell r="D28">
            <v>0</v>
          </cell>
          <cell r="E28">
            <v>428.57142857142861</v>
          </cell>
          <cell r="F28">
            <v>0</v>
          </cell>
          <cell r="G28">
            <v>0</v>
          </cell>
          <cell r="H28">
            <v>0</v>
          </cell>
          <cell r="K28" t="str">
            <v>2) 4.5x price/sales</v>
          </cell>
        </row>
        <row r="29">
          <cell r="B29" t="str">
            <v>Sales</v>
          </cell>
          <cell r="D29">
            <v>0</v>
          </cell>
          <cell r="E29">
            <v>95.238095238095241</v>
          </cell>
          <cell r="F29">
            <v>0</v>
          </cell>
          <cell r="G29">
            <v>0</v>
          </cell>
          <cell r="H29">
            <v>0</v>
          </cell>
          <cell r="K29" t="str">
            <v>3) 20% NI margin ramping to 40% by 2012</v>
          </cell>
        </row>
        <row r="30">
          <cell r="B30" t="str">
            <v>Sales growth</v>
          </cell>
          <cell r="D30">
            <v>0</v>
          </cell>
          <cell r="E30">
            <v>0</v>
          </cell>
          <cell r="F30">
            <v>109.52380952380952</v>
          </cell>
          <cell r="G30">
            <v>125.95238095238093</v>
          </cell>
          <cell r="H30">
            <v>144.84523809523807</v>
          </cell>
          <cell r="K30" t="str">
            <v>4) 15% sales growth rate</v>
          </cell>
        </row>
        <row r="31">
          <cell r="B31" t="str">
            <v>Total Sales</v>
          </cell>
          <cell r="D31">
            <v>0</v>
          </cell>
          <cell r="E31">
            <v>95.238095238095241</v>
          </cell>
          <cell r="F31">
            <v>109.52380952380952</v>
          </cell>
          <cell r="G31">
            <v>125.95238095238093</v>
          </cell>
          <cell r="H31">
            <v>144.84523809523807</v>
          </cell>
        </row>
        <row r="32">
          <cell r="B32" t="str">
            <v>Net income</v>
          </cell>
          <cell r="D32">
            <v>0</v>
          </cell>
          <cell r="E32">
            <v>19.047619047619047</v>
          </cell>
          <cell r="F32">
            <v>21.904761904761905</v>
          </cell>
          <cell r="G32">
            <v>37.785714285714278</v>
          </cell>
          <cell r="H32">
            <v>57.938095238095229</v>
          </cell>
        </row>
        <row r="33">
          <cell r="B33" t="str">
            <v>Loss in interest</v>
          </cell>
          <cell r="D33">
            <v>0</v>
          </cell>
          <cell r="E33">
            <v>0</v>
          </cell>
          <cell r="F33">
            <v>0</v>
          </cell>
          <cell r="G33">
            <v>0</v>
          </cell>
          <cell r="H33">
            <v>0</v>
          </cell>
        </row>
        <row r="34">
          <cell r="B34" t="str">
            <v>Amortization Expense</v>
          </cell>
          <cell r="D34">
            <v>0</v>
          </cell>
          <cell r="E34">
            <v>-12</v>
          </cell>
          <cell r="F34">
            <v>-12</v>
          </cell>
          <cell r="G34">
            <v>-12</v>
          </cell>
          <cell r="H34">
            <v>-12</v>
          </cell>
        </row>
        <row r="35">
          <cell r="B35" t="str">
            <v>Taxes</v>
          </cell>
          <cell r="D35">
            <v>0</v>
          </cell>
          <cell r="E35">
            <v>3.1061806656101423</v>
          </cell>
          <cell r="F35">
            <v>2.5435047610909596</v>
          </cell>
          <cell r="G35">
            <v>2.6640000000000006</v>
          </cell>
          <cell r="H35">
            <v>2.6159999999999992</v>
          </cell>
        </row>
        <row r="36">
          <cell r="B36" t="str">
            <v>Total Net income</v>
          </cell>
          <cell r="D36">
            <v>0</v>
          </cell>
          <cell r="E36">
            <v>10.153799713229191</v>
          </cell>
          <cell r="F36">
            <v>12.448266665852865</v>
          </cell>
          <cell r="G36">
            <v>28.449714285714279</v>
          </cell>
          <cell r="H36">
            <v>48.554095238095229</v>
          </cell>
        </row>
        <row r="38">
          <cell r="B38" t="str">
            <v>ANALYSIS</v>
          </cell>
        </row>
        <row r="39">
          <cell r="B39" t="str">
            <v>EBIT</v>
          </cell>
          <cell r="D39">
            <v>0</v>
          </cell>
          <cell r="E39">
            <v>126.98412698412699</v>
          </cell>
          <cell r="F39">
            <v>29.206349206349206</v>
          </cell>
          <cell r="G39">
            <v>50.380952380952372</v>
          </cell>
          <cell r="H39">
            <v>77.250793650793639</v>
          </cell>
        </row>
        <row r="40">
          <cell r="B40" t="str">
            <v>ROIC</v>
          </cell>
          <cell r="E40">
            <v>0</v>
          </cell>
          <cell r="F40">
            <v>0</v>
          </cell>
          <cell r="G40">
            <v>0</v>
          </cell>
          <cell r="H40">
            <v>0</v>
          </cell>
        </row>
        <row r="41">
          <cell r="B41" t="str">
            <v>True ROIC</v>
          </cell>
          <cell r="E41">
            <v>0.17502255439956466</v>
          </cell>
          <cell r="F41">
            <v>0.18862898877766771</v>
          </cell>
          <cell r="G41">
            <v>0.20370948647918324</v>
          </cell>
          <cell r="H41">
            <v>0.2193134469870652</v>
          </cell>
        </row>
        <row r="43">
          <cell r="B43" t="str">
            <v>ROIC CHANGE</v>
          </cell>
          <cell r="H43">
            <v>2193.1344698706521</v>
          </cell>
        </row>
        <row r="45">
          <cell r="A45" t="str">
            <v>x</v>
          </cell>
        </row>
        <row r="48">
          <cell r="A48" t="str">
            <v>x</v>
          </cell>
        </row>
      </sheetData>
      <sheetData sheetId="1"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7">
          <cell r="A7" t="str">
            <v>2005A Geographic Mix</v>
          </cell>
        </row>
        <row r="9">
          <cell r="B9" t="str">
            <v>US</v>
          </cell>
          <cell r="C9">
            <v>0.4</v>
          </cell>
        </row>
        <row r="10">
          <cell r="B10" t="str">
            <v>Europe</v>
          </cell>
          <cell r="C10">
            <v>0.41</v>
          </cell>
        </row>
        <row r="11">
          <cell r="B11" t="str">
            <v>Japan</v>
          </cell>
          <cell r="C11">
            <v>0.05</v>
          </cell>
        </row>
        <row r="12">
          <cell r="B12" t="str">
            <v>Latin America</v>
          </cell>
          <cell r="C12">
            <v>0.04</v>
          </cell>
        </row>
        <row r="13">
          <cell r="B13" t="str">
            <v>Asia</v>
          </cell>
          <cell r="C13">
            <v>0.04</v>
          </cell>
        </row>
        <row r="14">
          <cell r="B14" t="str">
            <v>Other</v>
          </cell>
          <cell r="C14">
            <v>0.06</v>
          </cell>
        </row>
        <row r="31">
          <cell r="A31" t="str">
            <v>2005A Product Mix</v>
          </cell>
        </row>
        <row r="32">
          <cell r="B32" t="str">
            <v>Consumable</v>
          </cell>
          <cell r="C32">
            <v>0.36</v>
          </cell>
        </row>
        <row r="33">
          <cell r="B33" t="str">
            <v>Laboratory Products</v>
          </cell>
          <cell r="C33">
            <v>0.28000000000000003</v>
          </cell>
        </row>
        <row r="34">
          <cell r="B34" t="str">
            <v>Specialty Products</v>
          </cell>
          <cell r="C34">
            <v>0.34</v>
          </cell>
        </row>
        <row r="51">
          <cell r="A51" t="str">
            <v>Edentulous rate</v>
          </cell>
        </row>
        <row r="52">
          <cell r="C52" t="str">
            <v>1971 - 1974</v>
          </cell>
          <cell r="D52" t="str">
            <v>1988 - 1994</v>
          </cell>
        </row>
        <row r="53">
          <cell r="B53" t="str">
            <v>Total</v>
          </cell>
          <cell r="C53">
            <v>0.15</v>
          </cell>
          <cell r="D53">
            <v>0.08</v>
          </cell>
        </row>
        <row r="54">
          <cell r="B54" t="str">
            <v>18 - 24</v>
          </cell>
          <cell r="C54">
            <v>0.01</v>
          </cell>
          <cell r="D54">
            <v>0</v>
          </cell>
        </row>
        <row r="55">
          <cell r="B55" t="str">
            <v>25 - 34</v>
          </cell>
          <cell r="C55">
            <v>0.03</v>
          </cell>
          <cell r="D55">
            <v>0.01</v>
          </cell>
        </row>
        <row r="56">
          <cell r="B56" t="str">
            <v>35 - 44</v>
          </cell>
          <cell r="C56">
            <v>0.09</v>
          </cell>
          <cell r="D56">
            <v>0.03</v>
          </cell>
        </row>
        <row r="57">
          <cell r="B57" t="str">
            <v>45 - 54</v>
          </cell>
          <cell r="C57">
            <v>0.16</v>
          </cell>
          <cell r="D57">
            <v>0.09</v>
          </cell>
        </row>
        <row r="58">
          <cell r="B58" t="str">
            <v>55 - 64</v>
          </cell>
          <cell r="C58">
            <v>0.33</v>
          </cell>
          <cell r="D58">
            <v>0.2</v>
          </cell>
        </row>
        <row r="59">
          <cell r="B59" t="str">
            <v>65 - 74</v>
          </cell>
          <cell r="C59">
            <v>0.46</v>
          </cell>
          <cell r="D59">
            <v>0.28999999999999998</v>
          </cell>
        </row>
        <row r="79">
          <cell r="A79" t="str">
            <v>XRAY Market Growth Rate Projections</v>
          </cell>
        </row>
        <row r="81">
          <cell r="B81" t="str">
            <v>Total</v>
          </cell>
          <cell r="C81">
            <v>4.4999999999999998E-2</v>
          </cell>
        </row>
        <row r="82">
          <cell r="B82" t="str">
            <v>US</v>
          </cell>
          <cell r="C82">
            <v>5.5E-2</v>
          </cell>
        </row>
        <row r="83">
          <cell r="B83" t="str">
            <v>Europe</v>
          </cell>
          <cell r="C83">
            <v>0.04</v>
          </cell>
        </row>
        <row r="84">
          <cell r="B84" t="str">
            <v>Japan</v>
          </cell>
          <cell r="C84">
            <v>0</v>
          </cell>
        </row>
        <row r="85">
          <cell r="B85" t="str">
            <v>Latin America</v>
          </cell>
          <cell r="C85">
            <v>0.03</v>
          </cell>
        </row>
        <row r="86">
          <cell r="B86" t="str">
            <v>Asia</v>
          </cell>
          <cell r="C86">
            <v>0.1</v>
          </cell>
        </row>
        <row r="87">
          <cell r="B87" t="str">
            <v>Other</v>
          </cell>
          <cell r="C87">
            <v>0.06</v>
          </cell>
        </row>
        <row r="104">
          <cell r="A104" t="str">
            <v>XRAY Estimated Total Retail Market Size</v>
          </cell>
        </row>
        <row r="106">
          <cell r="B106" t="str">
            <v>US</v>
          </cell>
          <cell r="C106">
            <v>5000</v>
          </cell>
        </row>
        <row r="107">
          <cell r="B107" t="str">
            <v>Europe</v>
          </cell>
          <cell r="C107">
            <v>3800</v>
          </cell>
        </row>
        <row r="108">
          <cell r="B108" t="str">
            <v>Japan</v>
          </cell>
          <cell r="C108">
            <v>1700</v>
          </cell>
        </row>
        <row r="109">
          <cell r="B109" t="str">
            <v>Latin America</v>
          </cell>
          <cell r="C109">
            <v>800</v>
          </cell>
        </row>
        <row r="110">
          <cell r="B110" t="str">
            <v>Asia</v>
          </cell>
          <cell r="C110">
            <v>440</v>
          </cell>
        </row>
        <row r="111">
          <cell r="B111" t="str">
            <v>Other</v>
          </cell>
          <cell r="C111">
            <v>760</v>
          </cell>
        </row>
      </sheetData>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Client Title Page "/>
      <sheetName val="Title Page"/>
      <sheetName val="__FDSCACHE__"/>
      <sheetName val="Drivers"/>
      <sheetName val="Valuations"/>
      <sheetName val="Lipitor NPV"/>
      <sheetName val="mwareTaxoPres"/>
      <sheetName val="mwareValPrintout"/>
      <sheetName val="Lipitor NPV-Mar 2010"/>
      <sheetName val="5 yr Sales and Earnings"/>
      <sheetName val="Qtr Income"/>
      <sheetName val="Qtr Margin"/>
      <sheetName val="Qtr Sales"/>
      <sheetName val="Gross Mgn Calc"/>
      <sheetName val="Alliance revenues"/>
      <sheetName val="Product History"/>
      <sheetName val="mwarePreview"/>
      <sheetName val="BalanceSheet"/>
      <sheetName val="Cashflow"/>
      <sheetName val="ROIC"/>
      <sheetName val="RI Valuation"/>
      <sheetName val="Dynamic Convergence"/>
      <sheetName val="Global Feed"/>
      <sheetName val="Summary"/>
      <sheetName val="Q-Preview"/>
      <sheetName val="PFE Qtr Incomesolo"/>
      <sheetName val="PFE Qtr Marginsolo"/>
      <sheetName val="PFE Qrt Salessolo"/>
      <sheetName val="PFE 2 Qtr Salessolo"/>
      <sheetName val="PHAPharmaSales"/>
      <sheetName val="Combined products"/>
      <sheetName val="PFE-PHA mergerold"/>
      <sheetName val="P&amp;L Charts"/>
      <sheetName val="setbacks"/>
      <sheetName val="mwareDates"/>
      <sheetName val="TO DO"/>
      <sheetName val="mwareSettings"/>
      <sheetName val="mStartup"/>
      <sheetName val="EPS Sensitivity"/>
      <sheetName val="PFE Qtr Income"/>
      <sheetName val="PFE Qtr Margin"/>
      <sheetName val="PFE Qtr Sales"/>
      <sheetName val="PFE Q-Preview"/>
      <sheetName val="Implied ROIC "/>
      <sheetName val="P&amp;L Charts (2)"/>
      <sheetName val="ADJ ROIC"/>
      <sheetName val="PFEwork"/>
      <sheetName val="xbrlPreview"/>
      <sheetName val="xbrldates"/>
      <sheetName val="xbrlSettings"/>
      <sheetName val="BS CHeck"/>
      <sheetName val="MWare_Cached"/>
      <sheetName val="Sheet1"/>
      <sheetName val=""/>
      <sheetName val="Torcetrapib"/>
      <sheetName val="Divestiture calculation"/>
      <sheetName val="Annu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5">
          <cell r="C5" t="str">
            <v>2001A</v>
          </cell>
        </row>
        <row r="6">
          <cell r="C6">
            <v>6449</v>
          </cell>
        </row>
        <row r="7">
          <cell r="C7">
            <v>3582</v>
          </cell>
        </row>
        <row r="8">
          <cell r="C8">
            <v>551</v>
          </cell>
        </row>
        <row r="9">
          <cell r="C9">
            <v>604</v>
          </cell>
        </row>
        <row r="10">
          <cell r="C10">
            <v>284</v>
          </cell>
        </row>
        <row r="11">
          <cell r="C11">
            <v>0</v>
          </cell>
        </row>
        <row r="12">
          <cell r="C12">
            <v>0</v>
          </cell>
        </row>
        <row r="13">
          <cell r="C13">
            <v>2367</v>
          </cell>
        </row>
        <row r="14">
          <cell r="C14">
            <v>1751</v>
          </cell>
        </row>
        <row r="15">
          <cell r="C15">
            <v>323</v>
          </cell>
        </row>
        <row r="16">
          <cell r="C16">
            <v>149</v>
          </cell>
        </row>
        <row r="17">
          <cell r="C17">
            <v>0</v>
          </cell>
        </row>
        <row r="18">
          <cell r="C18">
            <v>0</v>
          </cell>
        </row>
        <row r="19">
          <cell r="C19">
            <v>0</v>
          </cell>
        </row>
        <row r="20">
          <cell r="C20">
            <v>0</v>
          </cell>
        </row>
        <row r="21">
          <cell r="C21">
            <v>0</v>
          </cell>
        </row>
        <row r="22">
          <cell r="C22">
            <v>0</v>
          </cell>
        </row>
        <row r="23">
          <cell r="C23">
            <v>1507</v>
          </cell>
        </row>
        <row r="24">
          <cell r="C24">
            <v>1067</v>
          </cell>
        </row>
        <row r="25">
          <cell r="C25">
            <v>365</v>
          </cell>
        </row>
        <row r="26">
          <cell r="C26">
            <v>0</v>
          </cell>
        </row>
        <row r="27">
          <cell r="C27">
            <v>0</v>
          </cell>
        </row>
        <row r="28">
          <cell r="C28">
            <v>1518</v>
          </cell>
        </row>
        <row r="29">
          <cell r="C29">
            <v>0</v>
          </cell>
        </row>
        <row r="30">
          <cell r="C30">
            <v>0</v>
          </cell>
        </row>
        <row r="31">
          <cell r="C31">
            <v>0</v>
          </cell>
        </row>
        <row r="32">
          <cell r="C32">
            <v>261</v>
          </cell>
        </row>
        <row r="33">
          <cell r="C33">
            <v>0</v>
          </cell>
        </row>
        <row r="34">
          <cell r="C34">
            <v>989</v>
          </cell>
        </row>
        <row r="35">
          <cell r="C35">
            <v>323</v>
          </cell>
        </row>
        <row r="36">
          <cell r="C36">
            <v>3050</v>
          </cell>
        </row>
        <row r="37">
          <cell r="C37">
            <v>3050</v>
          </cell>
        </row>
        <row r="38">
          <cell r="C38">
            <v>3050</v>
          </cell>
        </row>
        <row r="45">
          <cell r="C45">
            <v>1378</v>
          </cell>
        </row>
        <row r="47">
          <cell r="C47">
            <v>1378</v>
          </cell>
        </row>
        <row r="48">
          <cell r="C48">
            <v>1201.5</v>
          </cell>
        </row>
        <row r="49">
          <cell r="C49">
            <v>24116</v>
          </cell>
        </row>
        <row r="50">
          <cell r="C50">
            <v>1201.5</v>
          </cell>
        </row>
        <row r="51">
          <cell r="C51">
            <v>2986</v>
          </cell>
        </row>
        <row r="52">
          <cell r="C52">
            <v>1880.25</v>
          </cell>
        </row>
        <row r="53">
          <cell r="C53">
            <v>5033.5</v>
          </cell>
        </row>
        <row r="54">
          <cell r="C54">
            <v>31803.75</v>
          </cell>
        </row>
        <row r="55">
          <cell r="C55">
            <v>5033.5</v>
          </cell>
        </row>
        <row r="56">
          <cell r="C56">
            <v>26770.25</v>
          </cell>
        </row>
        <row r="57">
          <cell r="C57">
            <v>11023</v>
          </cell>
        </row>
        <row r="58">
          <cell r="C58">
            <v>278</v>
          </cell>
        </row>
        <row r="59">
          <cell r="C59">
            <v>11178.25</v>
          </cell>
        </row>
        <row r="60">
          <cell r="C60">
            <v>278</v>
          </cell>
        </row>
        <row r="61">
          <cell r="C61">
            <v>11178.25</v>
          </cell>
        </row>
        <row r="62">
          <cell r="C62">
            <v>16</v>
          </cell>
        </row>
        <row r="63">
          <cell r="C63">
            <v>2850.8362414456324</v>
          </cell>
        </row>
        <row r="64">
          <cell r="C64">
            <v>16</v>
          </cell>
        </row>
        <row r="65">
          <cell r="C65">
            <v>8311.4137585543685</v>
          </cell>
        </row>
        <row r="66">
          <cell r="C66">
            <v>8311.4137585543685</v>
          </cell>
        </row>
        <row r="67">
          <cell r="C67">
            <v>8311.4137585543685</v>
          </cell>
        </row>
        <row r="68">
          <cell r="C68">
            <v>-523</v>
          </cell>
        </row>
        <row r="69">
          <cell r="C69">
            <v>8311.4137585543685</v>
          </cell>
        </row>
        <row r="70">
          <cell r="C70">
            <v>-523</v>
          </cell>
        </row>
        <row r="71">
          <cell r="C71">
            <v>-523</v>
          </cell>
        </row>
        <row r="72">
          <cell r="C72">
            <v>7788</v>
          </cell>
        </row>
        <row r="73">
          <cell r="C73">
            <v>0.24</v>
          </cell>
        </row>
        <row r="74">
          <cell r="C74">
            <v>1.3066206191722007</v>
          </cell>
        </row>
        <row r="75">
          <cell r="C75">
            <v>0.24</v>
          </cell>
        </row>
        <row r="76">
          <cell r="C76" t="str">
            <v>--</v>
          </cell>
        </row>
        <row r="77">
          <cell r="C77">
            <v>1.3066206191722007</v>
          </cell>
        </row>
        <row r="78">
          <cell r="C78">
            <v>1.3066206191722007</v>
          </cell>
        </row>
        <row r="79">
          <cell r="C79">
            <v>6361</v>
          </cell>
        </row>
        <row r="80">
          <cell r="C80">
            <v>6361</v>
          </cell>
        </row>
        <row r="81">
          <cell r="C81" t="str">
            <v>2001A</v>
          </cell>
        </row>
        <row r="82">
          <cell r="C82" t="str">
            <v>2001A</v>
          </cell>
        </row>
        <row r="83">
          <cell r="C83">
            <v>0.84173250009825884</v>
          </cell>
        </row>
        <row r="84">
          <cell r="C84">
            <v>0.84173250009825884</v>
          </cell>
        </row>
        <row r="85">
          <cell r="C85">
            <v>0.34273474040011004</v>
          </cell>
        </row>
        <row r="86">
          <cell r="C86">
            <v>0.35147584797390247</v>
          </cell>
        </row>
        <row r="87">
          <cell r="C87">
            <v>0.34273474040011004</v>
          </cell>
        </row>
        <row r="88">
          <cell r="C88">
            <v>0.35147584797390247</v>
          </cell>
        </row>
        <row r="89">
          <cell r="C89" t="str">
            <v>--</v>
          </cell>
        </row>
        <row r="90">
          <cell r="C90" t="str">
            <v>--</v>
          </cell>
        </row>
        <row r="91">
          <cell r="C91" t="str">
            <v>--</v>
          </cell>
        </row>
        <row r="92">
          <cell r="C92" t="str">
            <v>--</v>
          </cell>
        </row>
        <row r="93">
          <cell r="C93" t="str">
            <v>--</v>
          </cell>
        </row>
        <row r="94">
          <cell r="C94" t="str">
            <v>--</v>
          </cell>
        </row>
        <row r="95">
          <cell r="C95" t="str">
            <v>--</v>
          </cell>
        </row>
        <row r="96">
          <cell r="C96" t="str">
            <v>--</v>
          </cell>
        </row>
        <row r="97">
          <cell r="C97" t="str">
            <v>--</v>
          </cell>
        </row>
        <row r="98">
          <cell r="C98" t="str">
            <v>--</v>
          </cell>
        </row>
        <row r="99">
          <cell r="C99" t="str">
            <v>--</v>
          </cell>
        </row>
        <row r="100">
          <cell r="C100" t="str">
            <v>--</v>
          </cell>
        </row>
        <row r="101">
          <cell r="C101" t="str">
            <v>--</v>
          </cell>
        </row>
        <row r="102">
          <cell r="C102" t="str">
            <v>--</v>
          </cell>
        </row>
        <row r="103">
          <cell r="C103">
            <v>10</v>
          </cell>
        </row>
        <row r="104">
          <cell r="C104">
            <v>7</v>
          </cell>
        </row>
        <row r="105">
          <cell r="C105">
            <v>10</v>
          </cell>
        </row>
        <row r="106">
          <cell r="C106">
            <v>7</v>
          </cell>
        </row>
        <row r="107">
          <cell r="C107">
            <v>0.26741582351965498</v>
          </cell>
        </row>
        <row r="108">
          <cell r="C108">
            <v>0.41594791839442691</v>
          </cell>
        </row>
        <row r="109">
          <cell r="C109" t="e">
            <v>#REF!</v>
          </cell>
        </row>
        <row r="110">
          <cell r="C110" t="e">
            <v>#REF!</v>
          </cell>
        </row>
        <row r="111">
          <cell r="C111" t="e">
            <v>#REF!</v>
          </cell>
        </row>
        <row r="112">
          <cell r="C112" t="e">
            <v>#REF!</v>
          </cell>
        </row>
        <row r="113">
          <cell r="C113" t="e">
            <v>#REF!</v>
          </cell>
        </row>
        <row r="114">
          <cell r="C114" t="e">
            <v>#REF!</v>
          </cell>
        </row>
        <row r="115">
          <cell r="C115" t="e">
            <v>#REF!</v>
          </cell>
        </row>
        <row r="116">
          <cell r="C116" t="e">
            <v>#REF!</v>
          </cell>
        </row>
        <row r="117">
          <cell r="C117" t="e">
            <v>#REF!</v>
          </cell>
        </row>
        <row r="120">
          <cell r="C120" t="str">
            <v>2001A</v>
          </cell>
        </row>
        <row r="121">
          <cell r="C121" t="str">
            <v>2001A</v>
          </cell>
        </row>
        <row r="122">
          <cell r="C122">
            <v>0.15826749990174116</v>
          </cell>
        </row>
        <row r="123">
          <cell r="C123">
            <v>0.15826749990174116</v>
          </cell>
        </row>
        <row r="124">
          <cell r="C124">
            <v>0.15826749990174116</v>
          </cell>
        </row>
        <row r="125">
          <cell r="C125">
            <v>0.15826749990174116</v>
          </cell>
        </row>
        <row r="126">
          <cell r="C126">
            <v>0</v>
          </cell>
        </row>
        <row r="127">
          <cell r="C127">
            <v>0.34659434815076839</v>
          </cell>
        </row>
        <row r="128">
          <cell r="C128">
            <v>0.34659434815076839</v>
          </cell>
        </row>
        <row r="129">
          <cell r="C129">
            <v>0.15240341154738041</v>
          </cell>
        </row>
        <row r="130">
          <cell r="C130">
            <v>0.15240341154738041</v>
          </cell>
        </row>
        <row r="131">
          <cell r="C131">
            <v>0.15240341154738041</v>
          </cell>
        </row>
        <row r="132">
          <cell r="C132">
            <v>0.15240341154738041</v>
          </cell>
        </row>
        <row r="133">
          <cell r="C133">
            <v>6449</v>
          </cell>
        </row>
        <row r="134">
          <cell r="C134">
            <v>6449</v>
          </cell>
        </row>
        <row r="135">
          <cell r="C135">
            <v>3582</v>
          </cell>
        </row>
        <row r="136">
          <cell r="C136">
            <v>551</v>
          </cell>
        </row>
        <row r="137">
          <cell r="C137">
            <v>604</v>
          </cell>
        </row>
        <row r="138">
          <cell r="C138">
            <v>284</v>
          </cell>
        </row>
        <row r="139">
          <cell r="C139">
            <v>0</v>
          </cell>
        </row>
        <row r="140">
          <cell r="C140">
            <v>0</v>
          </cell>
        </row>
        <row r="141">
          <cell r="C141" t="str">
            <v>_2001</v>
          </cell>
        </row>
        <row r="142">
          <cell r="C142" t="str">
            <v>2001-fy</v>
          </cell>
        </row>
        <row r="143">
          <cell r="C143">
            <v>323</v>
          </cell>
        </row>
        <row r="144">
          <cell r="C144">
            <v>149</v>
          </cell>
        </row>
        <row r="145">
          <cell r="C145">
            <v>0</v>
          </cell>
        </row>
        <row r="146">
          <cell r="C146">
            <v>0</v>
          </cell>
        </row>
        <row r="147">
          <cell r="C147">
            <v>0</v>
          </cell>
        </row>
        <row r="148">
          <cell r="C148">
            <v>0</v>
          </cell>
        </row>
        <row r="149">
          <cell r="C149">
            <v>0</v>
          </cell>
        </row>
        <row r="150">
          <cell r="C150">
            <v>0</v>
          </cell>
        </row>
        <row r="151">
          <cell r="C151">
            <v>1507</v>
          </cell>
        </row>
        <row r="152">
          <cell r="C152">
            <v>1067</v>
          </cell>
        </row>
        <row r="153">
          <cell r="C153">
            <v>365</v>
          </cell>
        </row>
        <row r="154">
          <cell r="C154">
            <v>0</v>
          </cell>
        </row>
        <row r="155">
          <cell r="C155">
            <v>0</v>
          </cell>
        </row>
        <row r="156">
          <cell r="C156">
            <v>1518</v>
          </cell>
        </row>
        <row r="157">
          <cell r="C157">
            <v>0</v>
          </cell>
        </row>
        <row r="158">
          <cell r="C158">
            <v>2004</v>
          </cell>
        </row>
        <row r="159">
          <cell r="C159">
            <v>0</v>
          </cell>
        </row>
        <row r="160">
          <cell r="C160">
            <v>10862</v>
          </cell>
        </row>
        <row r="161">
          <cell r="C161">
            <v>50</v>
          </cell>
        </row>
        <row r="162">
          <cell r="C162">
            <v>5</v>
          </cell>
        </row>
        <row r="163">
          <cell r="C163">
            <v>323</v>
          </cell>
        </row>
        <row r="164">
          <cell r="C164">
            <v>2723</v>
          </cell>
        </row>
        <row r="165">
          <cell r="C165">
            <v>10</v>
          </cell>
        </row>
        <row r="166">
          <cell r="C166">
            <v>0</v>
          </cell>
        </row>
        <row r="167">
          <cell r="C167">
            <v>4588</v>
          </cell>
        </row>
        <row r="168">
          <cell r="C168">
            <v>0</v>
          </cell>
        </row>
        <row r="169">
          <cell r="C169">
            <v>0</v>
          </cell>
        </row>
        <row r="170">
          <cell r="C170">
            <v>721</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ci"/>
      <sheetName val="Inputs"/>
      <sheetName val="Scen 1"/>
      <sheetName val="Scen 2"/>
      <sheetName val="Scen 3"/>
      <sheetName val="Scen 4"/>
      <sheetName val="Scen 5"/>
      <sheetName val="__FDSCACHE__"/>
      <sheetName val="Target"/>
      <sheetName val="10-Year DCF"/>
      <sheetName val="5-Year DCF"/>
      <sheetName val="Acq Scen1"/>
      <sheetName val="Acq Scen 2"/>
      <sheetName val="Acq Scen 3"/>
      <sheetName val="Acq Scen 4"/>
      <sheetName val="Acq Scen 5"/>
      <sheetName val="Acquiror"/>
      <sheetName val="Val-Matrix"/>
      <sheetName val="Switches"/>
      <sheetName val="Sources &amp; Uses"/>
      <sheetName val="AdditionalPrintCode"/>
      <sheetName val="MainPrintCode"/>
      <sheetName val="Combined"/>
      <sheetName val="Combined  PF BS"/>
      <sheetName val="LBO Summary"/>
      <sheetName val="LBO Financials"/>
      <sheetName val="LBO PF BS"/>
      <sheetName val="Spinoff"/>
      <sheetName val="SPIN PFBS "/>
      <sheetName val="PF Comb Summary"/>
    </sheetNames>
    <sheetDataSet>
      <sheetData sheetId="0" refreshError="1"/>
      <sheetData sheetId="1" refreshError="1">
        <row r="9">
          <cell r="F9" t="str">
            <v>Scenario 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8">
          <cell r="AE8">
            <v>0.33300000000000002</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 Shares"/>
      <sheetName val="EPS to March"/>
      <sheetName val="__FDSCACHE__"/>
      <sheetName val="merger output"/>
      <sheetName val="MM on ownership"/>
      <sheetName val="SBS"/>
      <sheetName val="SBS (1)"/>
      <sheetName val="PP Analysis"/>
      <sheetName val="Ownership Analysis"/>
      <sheetName val="Spending"/>
    </sheetNames>
    <sheetDataSet>
      <sheetData sheetId="0" refreshError="1">
        <row r="2">
          <cell r="B2" t="str">
            <v>Balboa</v>
          </cell>
        </row>
        <row r="3">
          <cell r="B3" t="str">
            <v>Peary</v>
          </cell>
        </row>
      </sheetData>
      <sheetData sheetId="1"/>
      <sheetData sheetId="2"/>
      <sheetData sheetId="3"/>
      <sheetData sheetId="4"/>
      <sheetData sheetId="5"/>
      <sheetData sheetId="6"/>
      <sheetData sheetId="7"/>
      <sheetData sheetId="8"/>
      <sheetData sheetId="9"/>
      <sheetData sheetId="1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amp; Cases"/>
      <sheetName val="Case Comparison"/>
      <sheetName val="Crossover"/>
      <sheetName val="Rev Mult"/>
      <sheetName val="MLNM Internal Model"/>
      <sheetName val="Aruba MSDW Model"/>
      <sheetName val="Pro Forma P&amp;L"/>
      <sheetName val="A DCF Adj"/>
      <sheetName val="Aruba Int Adj"/>
      <sheetName val="Change"/>
      <sheetName val="Premium Paid Matrix"/>
      <sheetName val="Trading Matrix"/>
      <sheetName val="Aruba DCF"/>
      <sheetName val="Antegren"/>
      <sheetName val="In-license"/>
      <sheetName val="__FDSCACHE__"/>
      <sheetName val="Contribution Analysis"/>
      <sheetName val="Inputs"/>
      <sheetName val="Side-by-Side Agg Value"/>
      <sheetName val="Selections"/>
      <sheetName val="AdditionalPrintCode"/>
      <sheetName val="MainPrintCode"/>
      <sheetName val="Calculations"/>
      <sheetName val="A Val Mat"/>
      <sheetName val="Exchange Analysis"/>
      <sheetName val="PEGrowth"/>
      <sheetName val="Aggregate Value"/>
      <sheetName val="Aggregate Value (fee)"/>
      <sheetName val="Summary Fin"/>
      <sheetName val="DE Analysis"/>
      <sheetName val="Output "/>
      <sheetName val="Bar Chart"/>
      <sheetName val="Accretion Dilution Matrix"/>
    </sheetNames>
    <sheetDataSet>
      <sheetData sheetId="0" refreshError="1">
        <row r="6">
          <cell r="F6" t="str">
            <v>Project Bermuda</v>
          </cell>
        </row>
        <row r="13">
          <cell r="F13">
            <v>0.3</v>
          </cell>
        </row>
        <row r="16">
          <cell r="F16">
            <v>20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6">
          <cell r="I6" t="str">
            <v>MLNM-INT</v>
          </cell>
          <cell r="J6" t="str">
            <v>MLNM</v>
          </cell>
          <cell r="K6" t="str">
            <v>BGEN</v>
          </cell>
        </row>
        <row r="7">
          <cell r="I7" t="str">
            <v>MILLENNIUM PHARMACTCLS INC</v>
          </cell>
          <cell r="J7" t="str">
            <v>MILLENNIUM PHARMACTCLS INC</v>
          </cell>
          <cell r="K7" t="str">
            <v>BIOGEN INC</v>
          </cell>
        </row>
        <row r="11">
          <cell r="I11">
            <v>62.40625</v>
          </cell>
          <cell r="J11">
            <v>62.40625</v>
          </cell>
          <cell r="K11">
            <v>70.875</v>
          </cell>
        </row>
        <row r="12">
          <cell r="I12">
            <v>158</v>
          </cell>
          <cell r="J12">
            <v>158</v>
          </cell>
          <cell r="K12">
            <v>129</v>
          </cell>
        </row>
        <row r="13">
          <cell r="I13">
            <v>28.375</v>
          </cell>
          <cell r="J13">
            <v>28.375</v>
          </cell>
          <cell r="K13">
            <v>48.5</v>
          </cell>
        </row>
        <row r="16">
          <cell r="I16">
            <v>95.828300488185121</v>
          </cell>
          <cell r="J16">
            <v>95.828300488185121</v>
          </cell>
          <cell r="K16">
            <v>147.97635700000001</v>
          </cell>
        </row>
        <row r="17">
          <cell r="I17">
            <v>107.01811834701336</v>
          </cell>
          <cell r="J17">
            <v>107.01811834701336</v>
          </cell>
          <cell r="K17">
            <v>159.76488066843032</v>
          </cell>
        </row>
        <row r="20">
          <cell r="I20">
            <v>5980.2848773408032</v>
          </cell>
          <cell r="J20">
            <v>5980.2848773408032</v>
          </cell>
          <cell r="K20">
            <v>10487.824302375</v>
          </cell>
        </row>
        <row r="21">
          <cell r="I21">
            <v>6678.5994480933023</v>
          </cell>
          <cell r="J21">
            <v>6678.5994480933023</v>
          </cell>
          <cell r="K21">
            <v>11323.335917375</v>
          </cell>
        </row>
        <row r="25">
          <cell r="I25">
            <v>183.679</v>
          </cell>
          <cell r="J25">
            <v>183.679</v>
          </cell>
          <cell r="K25">
            <v>794.43599999999992</v>
          </cell>
        </row>
        <row r="26">
          <cell r="I26">
            <v>215.7</v>
          </cell>
          <cell r="J26">
            <v>215.7</v>
          </cell>
          <cell r="K26">
            <v>948.04599999999994</v>
          </cell>
        </row>
        <row r="27">
          <cell r="I27">
            <v>239.82749268750001</v>
          </cell>
          <cell r="J27">
            <v>239.82749268750001</v>
          </cell>
          <cell r="K27">
            <v>1068.7070000000001</v>
          </cell>
        </row>
        <row r="28">
          <cell r="I28">
            <v>278.89494427083338</v>
          </cell>
          <cell r="J28">
            <v>278.89494427083338</v>
          </cell>
          <cell r="K28">
            <v>1166.3430000000001</v>
          </cell>
        </row>
        <row r="31">
          <cell r="I31">
            <v>159.87700000000001</v>
          </cell>
          <cell r="J31">
            <v>159.87700000000001</v>
          </cell>
          <cell r="K31">
            <v>221.15299999999999</v>
          </cell>
        </row>
        <row r="32">
          <cell r="I32">
            <v>259.11900000000003</v>
          </cell>
          <cell r="J32">
            <v>259.11900000000003</v>
          </cell>
          <cell r="K32">
            <v>300.44299999999998</v>
          </cell>
        </row>
        <row r="33">
          <cell r="I33">
            <v>289.32096000000001</v>
          </cell>
          <cell r="J33">
            <v>289.32096000000001</v>
          </cell>
          <cell r="K33">
            <v>316.96699999999998</v>
          </cell>
        </row>
        <row r="34">
          <cell r="I34">
            <v>329.92834192307691</v>
          </cell>
          <cell r="J34">
            <v>329.92834192307691</v>
          </cell>
          <cell r="K34">
            <v>326.476</v>
          </cell>
        </row>
        <row r="37">
          <cell r="I37">
            <v>32.896000000000001</v>
          </cell>
          <cell r="J37">
            <v>32.896000000000001</v>
          </cell>
          <cell r="K37">
            <v>146.02600000000001</v>
          </cell>
        </row>
        <row r="38">
          <cell r="I38">
            <v>43</v>
          </cell>
          <cell r="J38">
            <v>43</v>
          </cell>
          <cell r="K38">
            <v>170.39099999999999</v>
          </cell>
        </row>
        <row r="39">
          <cell r="I39">
            <v>43.398144000000002</v>
          </cell>
          <cell r="J39">
            <v>43.398144000000002</v>
          </cell>
          <cell r="K39">
            <v>177.20699999999999</v>
          </cell>
        </row>
        <row r="40">
          <cell r="I40">
            <v>51.716751288461538</v>
          </cell>
          <cell r="J40">
            <v>51.716751288461538</v>
          </cell>
          <cell r="K40">
            <v>193.333</v>
          </cell>
        </row>
        <row r="43">
          <cell r="I43">
            <v>-9.0940000000000225</v>
          </cell>
          <cell r="J43">
            <v>-9.0940000000000225</v>
          </cell>
          <cell r="K43">
            <v>300.96499999999997</v>
          </cell>
        </row>
        <row r="44">
          <cell r="I44">
            <v>-86.41900000000004</v>
          </cell>
          <cell r="J44">
            <v>-86.41900000000004</v>
          </cell>
          <cell r="K44">
            <v>347.71799999999996</v>
          </cell>
        </row>
        <row r="45">
          <cell r="I45">
            <v>-92.891611312500004</v>
          </cell>
          <cell r="J45">
            <v>-92.891611312500004</v>
          </cell>
          <cell r="K45">
            <v>424.49000000000012</v>
          </cell>
        </row>
        <row r="46">
          <cell r="I46">
            <v>-102.75014894070506</v>
          </cell>
          <cell r="J46">
            <v>-102.75014894070506</v>
          </cell>
          <cell r="K46">
            <v>482.20500000000004</v>
          </cell>
        </row>
        <row r="49">
          <cell r="I49">
            <v>-351.96000000000004</v>
          </cell>
          <cell r="J49">
            <v>-351.96000000000004</v>
          </cell>
          <cell r="K49">
            <v>220.45042749999996</v>
          </cell>
        </row>
        <row r="50">
          <cell r="I50">
            <v>-239.91900000000004</v>
          </cell>
          <cell r="J50">
            <v>-239.91900000000004</v>
          </cell>
          <cell r="K50">
            <v>300.65692000000001</v>
          </cell>
        </row>
        <row r="51">
          <cell r="I51">
            <v>-92.967179312500008</v>
          </cell>
          <cell r="J51">
            <v>-92.967179312500008</v>
          </cell>
          <cell r="K51">
            <v>344.62152000000003</v>
          </cell>
        </row>
        <row r="52">
          <cell r="I52">
            <v>-83.904591878178834</v>
          </cell>
          <cell r="J52">
            <v>-83.904591878178834</v>
          </cell>
          <cell r="K52">
            <v>410.89765500000004</v>
          </cell>
        </row>
        <row r="55">
          <cell r="I55">
            <v>72.706000000000003</v>
          </cell>
          <cell r="J55">
            <v>72.706000000000003</v>
          </cell>
          <cell r="K55">
            <v>157.78775000000002</v>
          </cell>
        </row>
        <row r="56">
          <cell r="I56">
            <v>99.919767919799511</v>
          </cell>
          <cell r="J56">
            <v>99.919767919799511</v>
          </cell>
          <cell r="K56">
            <v>157.41200000000001</v>
          </cell>
        </row>
        <row r="57">
          <cell r="I57">
            <v>104.62810125313284</v>
          </cell>
          <cell r="J57">
            <v>104.62810125313284</v>
          </cell>
          <cell r="K57">
            <v>159.547</v>
          </cell>
        </row>
        <row r="58">
          <cell r="I58">
            <v>107.38435125313283</v>
          </cell>
          <cell r="J58">
            <v>107.38435125313283</v>
          </cell>
          <cell r="K58">
            <v>160.821</v>
          </cell>
        </row>
        <row r="59">
          <cell r="I59" t="str">
            <v>MSDW</v>
          </cell>
          <cell r="J59" t="str">
            <v>MSDW</v>
          </cell>
          <cell r="K59" t="str">
            <v>MSDW</v>
          </cell>
        </row>
        <row r="60">
          <cell r="I60">
            <v>1.4999999999999999E-2</v>
          </cell>
          <cell r="J60">
            <v>1.4999999999999999E-2</v>
          </cell>
          <cell r="K60">
            <v>0</v>
          </cell>
        </row>
        <row r="62">
          <cell r="I62">
            <v>-4.8408659532913383</v>
          </cell>
          <cell r="J62">
            <v>-4.8408659532913383</v>
          </cell>
          <cell r="K62">
            <v>1.3971327146752517</v>
          </cell>
        </row>
        <row r="63">
          <cell r="I63">
            <v>-2.4011164656884585</v>
          </cell>
          <cell r="J63">
            <v>-2.4011164656884585</v>
          </cell>
          <cell r="K63">
            <v>1.9100000000000001</v>
          </cell>
        </row>
        <row r="64">
          <cell r="I64">
            <v>-0.88854885254563798</v>
          </cell>
          <cell r="J64">
            <v>-0.88854885254563798</v>
          </cell>
          <cell r="K64">
            <v>2.16</v>
          </cell>
        </row>
        <row r="65">
          <cell r="I65">
            <v>-0.78134840783638859</v>
          </cell>
          <cell r="J65">
            <v>-0.78134840783638859</v>
          </cell>
          <cell r="K65">
            <v>2.5550000000000002</v>
          </cell>
        </row>
        <row r="68">
          <cell r="I68">
            <v>-4.8408659532913383</v>
          </cell>
          <cell r="J68">
            <v>-4.8408659532913383</v>
          </cell>
          <cell r="K68">
            <v>1.3971327146752517</v>
          </cell>
        </row>
        <row r="69">
          <cell r="I69">
            <v>-2.4011164656884585</v>
          </cell>
          <cell r="J69">
            <v>-2.4011164656884585</v>
          </cell>
          <cell r="K69">
            <v>1.9100000000000001</v>
          </cell>
        </row>
        <row r="70">
          <cell r="I70">
            <v>-0.88854885254563798</v>
          </cell>
          <cell r="J70">
            <v>-0.88854885254563798</v>
          </cell>
          <cell r="K70">
            <v>2.16</v>
          </cell>
        </row>
        <row r="71">
          <cell r="I71">
            <v>-0.78134840783638859</v>
          </cell>
          <cell r="J71">
            <v>-0.78134840783638859</v>
          </cell>
          <cell r="K71">
            <v>2.5550000000000002</v>
          </cell>
        </row>
        <row r="72">
          <cell r="I72" t="str">
            <v>MLNM Internal</v>
          </cell>
          <cell r="J72" t="str">
            <v>MLNM Internal</v>
          </cell>
          <cell r="K72" t="str">
            <v>IBES</v>
          </cell>
        </row>
        <row r="74">
          <cell r="I74">
            <v>12</v>
          </cell>
          <cell r="J74">
            <v>12</v>
          </cell>
          <cell r="K74">
            <v>12</v>
          </cell>
        </row>
        <row r="75">
          <cell r="I75" t="e">
            <v>#N/A</v>
          </cell>
          <cell r="J75">
            <v>27</v>
          </cell>
          <cell r="K75">
            <v>21</v>
          </cell>
        </row>
        <row r="78">
          <cell r="I78">
            <v>794.75</v>
          </cell>
          <cell r="J78">
            <v>794.75</v>
          </cell>
          <cell r="K78">
            <v>698.60900000000004</v>
          </cell>
        </row>
        <row r="80">
          <cell r="I80">
            <v>440.58</v>
          </cell>
          <cell r="J80">
            <v>440.58</v>
          </cell>
          <cell r="K80">
            <v>54.518000000000001</v>
          </cell>
        </row>
        <row r="82">
          <cell r="I82">
            <v>430.49099999999999</v>
          </cell>
          <cell r="J82">
            <v>430.49099999999999</v>
          </cell>
          <cell r="K82">
            <v>1003.193</v>
          </cell>
        </row>
        <row r="85">
          <cell r="I85">
            <v>1.659694</v>
          </cell>
          <cell r="J85">
            <v>1.659694</v>
          </cell>
          <cell r="K85">
            <v>3.8090000000000002</v>
          </cell>
        </row>
        <row r="86">
          <cell r="I86">
            <v>2.4550000000000001</v>
          </cell>
          <cell r="J86">
            <v>2.4550000000000001</v>
          </cell>
          <cell r="K86">
            <v>7.77</v>
          </cell>
        </row>
        <row r="87">
          <cell r="I87">
            <v>1.5944032836054081</v>
          </cell>
          <cell r="J87">
            <v>1.5944032836054081</v>
          </cell>
          <cell r="K87">
            <v>3.3914207407407408</v>
          </cell>
        </row>
        <row r="88">
          <cell r="I88">
            <v>2.0568819999999999</v>
          </cell>
          <cell r="J88">
            <v>2.0568819999999999</v>
          </cell>
          <cell r="K88">
            <v>8.1630000000000003</v>
          </cell>
        </row>
        <row r="89">
          <cell r="I89">
            <v>7.77</v>
          </cell>
          <cell r="J89">
            <v>7.77</v>
          </cell>
          <cell r="K89">
            <v>15.51</v>
          </cell>
        </row>
        <row r="90">
          <cell r="I90">
            <v>1.8007862861892838</v>
          </cell>
          <cell r="J90">
            <v>1.8007862861892838</v>
          </cell>
          <cell r="K90">
            <v>6.3766419047619047</v>
          </cell>
        </row>
        <row r="91">
          <cell r="I91">
            <v>1.4407920000000001</v>
          </cell>
          <cell r="J91">
            <v>1.4407920000000001</v>
          </cell>
          <cell r="K91">
            <v>0.97599999999999998</v>
          </cell>
        </row>
        <row r="92">
          <cell r="I92">
            <v>8.6150000000000002</v>
          </cell>
          <cell r="J92">
            <v>8.6150000000000002</v>
          </cell>
          <cell r="K92">
            <v>22.93</v>
          </cell>
        </row>
        <row r="93">
          <cell r="I93">
            <v>1.2418948850475715</v>
          </cell>
          <cell r="J93">
            <v>1.2418948850475715</v>
          </cell>
          <cell r="K93">
            <v>0.66023731922398587</v>
          </cell>
        </row>
        <row r="94">
          <cell r="I94">
            <v>1.9704459999999999</v>
          </cell>
          <cell r="J94">
            <v>1.9704459999999999</v>
          </cell>
          <cell r="K94">
            <v>0.28100000000000003</v>
          </cell>
        </row>
        <row r="95">
          <cell r="I95">
            <v>9.52</v>
          </cell>
          <cell r="J95">
            <v>9.52</v>
          </cell>
          <cell r="K95">
            <v>33.85</v>
          </cell>
        </row>
        <row r="96">
          <cell r="I96">
            <v>1.6698567814521783</v>
          </cell>
          <cell r="J96">
            <v>1.6698567814521783</v>
          </cell>
          <cell r="K96">
            <v>0.14679400352733687</v>
          </cell>
        </row>
        <row r="97">
          <cell r="I97">
            <v>1.581242</v>
          </cell>
          <cell r="J97">
            <v>1.581242</v>
          </cell>
          <cell r="K97">
            <v>2.7029999999999998</v>
          </cell>
        </row>
        <row r="98">
          <cell r="I98">
            <v>10.785</v>
          </cell>
          <cell r="J98">
            <v>10.785</v>
          </cell>
          <cell r="K98">
            <v>41.25</v>
          </cell>
        </row>
        <row r="99">
          <cell r="I99">
            <v>1.3079729769454183</v>
          </cell>
          <cell r="J99">
            <v>1.3079729769454183</v>
          </cell>
          <cell r="K99">
            <v>1.1298253968253968</v>
          </cell>
        </row>
        <row r="100">
          <cell r="I100">
            <v>0.78243600000000002</v>
          </cell>
          <cell r="J100">
            <v>0.78243600000000002</v>
          </cell>
          <cell r="K100">
            <v>0.35199999999999998</v>
          </cell>
        </row>
        <row r="101">
          <cell r="I101">
            <v>14.85</v>
          </cell>
          <cell r="J101">
            <v>14.85</v>
          </cell>
          <cell r="K101">
            <v>54.27</v>
          </cell>
        </row>
        <row r="102">
          <cell r="I102">
            <v>0.5962499272909364</v>
          </cell>
          <cell r="J102">
            <v>0.5962499272909364</v>
          </cell>
          <cell r="K102">
            <v>8.2468571428571391E-2</v>
          </cell>
        </row>
        <row r="103">
          <cell r="I103">
            <v>1.4737579999999999</v>
          </cell>
          <cell r="J103">
            <v>1.4737579999999999</v>
          </cell>
          <cell r="K103">
            <v>1.7000000000000001E-2</v>
          </cell>
        </row>
        <row r="104">
          <cell r="I104">
            <v>16.25</v>
          </cell>
          <cell r="J104">
            <v>16.25</v>
          </cell>
          <cell r="K104">
            <v>66.14</v>
          </cell>
        </row>
        <row r="105">
          <cell r="I105">
            <v>1.0900052909364044</v>
          </cell>
          <cell r="J105">
            <v>1.0900052909364044</v>
          </cell>
          <cell r="K105">
            <v>1.135731922398589E-3</v>
          </cell>
        </row>
        <row r="106">
          <cell r="I106">
            <v>1.4543839999999999</v>
          </cell>
          <cell r="J106">
            <v>1.4543839999999999</v>
          </cell>
          <cell r="K106">
            <v>1.4850000000000001</v>
          </cell>
        </row>
        <row r="107">
          <cell r="I107">
            <v>23.08</v>
          </cell>
          <cell r="J107">
            <v>23.08</v>
          </cell>
          <cell r="K107">
            <v>72.27</v>
          </cell>
        </row>
        <row r="108">
          <cell r="I108">
            <v>0.91650225386079109</v>
          </cell>
          <cell r="J108">
            <v>0.91650225386079109</v>
          </cell>
          <cell r="K108">
            <v>0</v>
          </cell>
        </row>
        <row r="109">
          <cell r="I109">
            <v>1.1245540000000001</v>
          </cell>
          <cell r="J109">
            <v>1.1245540000000001</v>
          </cell>
          <cell r="K109">
            <v>0.152</v>
          </cell>
        </row>
        <row r="110">
          <cell r="I110">
            <v>43.215000000000003</v>
          </cell>
          <cell r="J110">
            <v>43.215000000000003</v>
          </cell>
          <cell r="K110">
            <v>85.37</v>
          </cell>
        </row>
        <row r="111">
          <cell r="I111">
            <v>0.34582428767150719</v>
          </cell>
          <cell r="J111">
            <v>0.34582428767150719</v>
          </cell>
          <cell r="K111">
            <v>0</v>
          </cell>
        </row>
        <row r="112">
          <cell r="I112">
            <v>0.19012999999999999</v>
          </cell>
          <cell r="J112">
            <v>0.19012999999999999</v>
          </cell>
          <cell r="K112">
            <v>0</v>
          </cell>
        </row>
        <row r="113">
          <cell r="I113">
            <v>61</v>
          </cell>
          <cell r="J113">
            <v>61</v>
          </cell>
          <cell r="K113">
            <v>0</v>
          </cell>
        </row>
        <row r="114">
          <cell r="I114">
            <v>4.2843515272909249E-3</v>
          </cell>
          <cell r="J114">
            <v>4.2843515272909249E-3</v>
          </cell>
          <cell r="K114">
            <v>0</v>
          </cell>
        </row>
        <row r="117">
          <cell r="I117">
            <v>0.70309999999999995</v>
          </cell>
          <cell r="J117">
            <v>0.70309999999999995</v>
          </cell>
          <cell r="K117">
            <v>0</v>
          </cell>
        </row>
        <row r="118">
          <cell r="I118">
            <v>7.1950000000000003</v>
          </cell>
          <cell r="J118">
            <v>7.1950000000000003</v>
          </cell>
          <cell r="K118">
            <v>0</v>
          </cell>
        </row>
        <row r="119">
          <cell r="I119">
            <v>0.62203753430145214</v>
          </cell>
          <cell r="J119">
            <v>0.62203753430145214</v>
          </cell>
          <cell r="K119">
            <v>0</v>
          </cell>
        </row>
        <row r="120">
          <cell r="I120">
            <v>0</v>
          </cell>
          <cell r="J120">
            <v>0</v>
          </cell>
          <cell r="K120">
            <v>0</v>
          </cell>
        </row>
        <row r="121">
          <cell r="I121">
            <v>0</v>
          </cell>
          <cell r="J121">
            <v>0</v>
          </cell>
          <cell r="K121">
            <v>0</v>
          </cell>
        </row>
        <row r="122">
          <cell r="I122">
            <v>0</v>
          </cell>
          <cell r="J122">
            <v>0</v>
          </cell>
          <cell r="K122">
            <v>0</v>
          </cell>
        </row>
        <row r="123">
          <cell r="I123">
            <v>0</v>
          </cell>
          <cell r="J123">
            <v>0</v>
          </cell>
          <cell r="K123">
            <v>0</v>
          </cell>
        </row>
        <row r="124">
          <cell r="I124">
            <v>0</v>
          </cell>
          <cell r="J124">
            <v>0</v>
          </cell>
          <cell r="K124">
            <v>0</v>
          </cell>
        </row>
        <row r="125">
          <cell r="I125">
            <v>0</v>
          </cell>
          <cell r="J125">
            <v>0</v>
          </cell>
          <cell r="K125">
            <v>0</v>
          </cell>
        </row>
        <row r="126">
          <cell r="I126">
            <v>0</v>
          </cell>
          <cell r="J126">
            <v>0</v>
          </cell>
          <cell r="K126">
            <v>0</v>
          </cell>
        </row>
        <row r="127">
          <cell r="I127">
            <v>0</v>
          </cell>
          <cell r="J127">
            <v>0</v>
          </cell>
          <cell r="K127">
            <v>0</v>
          </cell>
        </row>
        <row r="128">
          <cell r="I128">
            <v>0</v>
          </cell>
          <cell r="J128">
            <v>0</v>
          </cell>
          <cell r="K128">
            <v>0</v>
          </cell>
        </row>
        <row r="131">
          <cell r="I131">
            <v>400</v>
          </cell>
          <cell r="J131">
            <v>400</v>
          </cell>
          <cell r="K131">
            <v>0</v>
          </cell>
        </row>
        <row r="132">
          <cell r="I132">
            <v>84.14</v>
          </cell>
          <cell r="J132">
            <v>84.14</v>
          </cell>
          <cell r="K132">
            <v>0</v>
          </cell>
        </row>
        <row r="133">
          <cell r="I133">
            <v>0</v>
          </cell>
          <cell r="J133">
            <v>0</v>
          </cell>
          <cell r="K133">
            <v>0</v>
          </cell>
        </row>
        <row r="134">
          <cell r="I134">
            <v>0</v>
          </cell>
          <cell r="J134">
            <v>0</v>
          </cell>
          <cell r="K134">
            <v>0</v>
          </cell>
        </row>
        <row r="135">
          <cell r="I135">
            <v>0</v>
          </cell>
          <cell r="J135">
            <v>0</v>
          </cell>
          <cell r="K135">
            <v>0</v>
          </cell>
        </row>
        <row r="136">
          <cell r="I136">
            <v>0</v>
          </cell>
          <cell r="J136">
            <v>0</v>
          </cell>
          <cell r="K136">
            <v>0</v>
          </cell>
        </row>
        <row r="137">
          <cell r="I137">
            <v>0</v>
          </cell>
          <cell r="J137">
            <v>0</v>
          </cell>
          <cell r="K137">
            <v>0</v>
          </cell>
        </row>
        <row r="138">
          <cell r="I138">
            <v>0</v>
          </cell>
          <cell r="J138">
            <v>0</v>
          </cell>
          <cell r="K138">
            <v>0</v>
          </cell>
        </row>
        <row r="139">
          <cell r="I139">
            <v>0</v>
          </cell>
          <cell r="J139">
            <v>0</v>
          </cell>
          <cell r="K139">
            <v>0</v>
          </cell>
        </row>
        <row r="142">
          <cell r="I142">
            <v>0</v>
          </cell>
          <cell r="J142">
            <v>0</v>
          </cell>
          <cell r="K142">
            <v>0</v>
          </cell>
        </row>
        <row r="143">
          <cell r="I143">
            <v>0</v>
          </cell>
          <cell r="J143">
            <v>0</v>
          </cell>
          <cell r="K143">
            <v>0</v>
          </cell>
        </row>
        <row r="144">
          <cell r="I144">
            <v>0</v>
          </cell>
          <cell r="J144">
            <v>0</v>
          </cell>
          <cell r="K144">
            <v>0</v>
          </cell>
        </row>
        <row r="145">
          <cell r="I145">
            <v>0</v>
          </cell>
          <cell r="J145">
            <v>0</v>
          </cell>
          <cell r="K145">
            <v>0</v>
          </cell>
        </row>
        <row r="146">
          <cell r="I146">
            <v>0</v>
          </cell>
          <cell r="J146">
            <v>0</v>
          </cell>
          <cell r="K146">
            <v>0</v>
          </cell>
        </row>
        <row r="147">
          <cell r="I147">
            <v>0</v>
          </cell>
          <cell r="J147">
            <v>0</v>
          </cell>
          <cell r="K147">
            <v>0</v>
          </cell>
        </row>
        <row r="148">
          <cell r="I148">
            <v>0</v>
          </cell>
          <cell r="J148">
            <v>0</v>
          </cell>
          <cell r="K148">
            <v>0</v>
          </cell>
        </row>
        <row r="149">
          <cell r="I149">
            <v>0</v>
          </cell>
          <cell r="J149">
            <v>0</v>
          </cell>
          <cell r="K149">
            <v>0</v>
          </cell>
        </row>
        <row r="150">
          <cell r="I150">
            <v>0</v>
          </cell>
          <cell r="J150">
            <v>0</v>
          </cell>
          <cell r="K150">
            <v>0</v>
          </cell>
        </row>
        <row r="151">
          <cell r="I151">
            <v>0</v>
          </cell>
          <cell r="J151">
            <v>0</v>
          </cell>
          <cell r="K151">
            <v>0</v>
          </cell>
        </row>
        <row r="152">
          <cell r="I152">
            <v>0</v>
          </cell>
          <cell r="J152">
            <v>0</v>
          </cell>
          <cell r="K152">
            <v>0</v>
          </cell>
        </row>
        <row r="153">
          <cell r="I153">
            <v>0</v>
          </cell>
          <cell r="J153">
            <v>0</v>
          </cell>
          <cell r="K153">
            <v>0</v>
          </cell>
        </row>
      </sheetData>
      <sheetData sheetId="18" refreshError="1"/>
      <sheetData sheetId="19" refreshError="1">
        <row r="11">
          <cell r="J11">
            <v>70.875</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qua SA  ---&gt;"/>
      <sheetName val="Aqua Assump."/>
      <sheetName val="Aqua Financials"/>
      <sheetName val="Aqua Downside"/>
      <sheetName val="Downside Change"/>
      <sheetName val="Apple Impact"/>
      <sheetName val="Fox -----&gt;"/>
      <sheetName val="Fox Assump."/>
      <sheetName val="Fox IS"/>
      <sheetName val="Fox Financials"/>
      <sheetName val="Fox PF Adj."/>
      <sheetName val="Fox Credit"/>
      <sheetName val="Fox Summary"/>
      <sheetName val="Fox Valuation Matrix"/>
      <sheetName val="Gray ----&gt;"/>
      <sheetName val="Gray Assump."/>
      <sheetName val="Gray Financials"/>
      <sheetName val="Gray Summary"/>
      <sheetName val="Gray Valuation Matrix"/>
      <sheetName val="Gray Synergies"/>
      <sheetName val="__FDSCACHE__"/>
      <sheetName val="Gray PF Adj."/>
      <sheetName val="Accdil Backup"/>
      <sheetName val="Acc.Dil aquagray"/>
      <sheetName val="Kitchen -----&gt;"/>
      <sheetName val="Kitchen Assump."/>
      <sheetName val="Kitchen Financials"/>
      <sheetName val="Kitchen PF Adj."/>
      <sheetName val="Kitchen Credit"/>
      <sheetName val="Kitchen Summary"/>
      <sheetName val="Kitchen Valuation Matrix"/>
      <sheetName val="ProForma -----&gt;"/>
      <sheetName val="Financials Feeder"/>
      <sheetName val="ProForma Financials"/>
      <sheetName val="Pro Forma BS"/>
      <sheetName val="PF Shares"/>
      <sheetName val="ROIC"/>
      <sheetName val="Gray ROIC"/>
      <sheetName val="Output Pgs -----&gt;"/>
      <sheetName val="PrintManagerCode"/>
      <sheetName val="Master"/>
      <sheetName val="Key Metrics"/>
      <sheetName val="Intl Cash"/>
      <sheetName val="Impact of Seq."/>
      <sheetName val="Value Overview"/>
      <sheetName val="Trading Value Overview"/>
      <sheetName val="JNJ"/>
      <sheetName val="Future Value"/>
      <sheetName val="ROIC Output"/>
      <sheetName val="Sequencing Cash"/>
      <sheetName val="Acc.Dil Cash"/>
      <sheetName val="Sequencing Stock"/>
      <sheetName val="Acc.Dil Cash Stock"/>
      <sheetName val="Value Acc"/>
      <sheetName val="ProForma Val Matrix"/>
      <sheetName val="ProForma Credit"/>
      <sheetName val="Acc.Dil2"/>
      <sheetName val="Acc.Dil stock"/>
      <sheetName val="Business Mix"/>
      <sheetName val="Trans Sum"/>
      <sheetName val="Gray stats"/>
      <sheetName val="Spin_split"/>
      <sheetName val="Rank"/>
      <sheetName val="DCF Inputs"/>
      <sheetName val="DCF"/>
      <sheetName val="Fox CS &amp; BS Breakout"/>
      <sheetName val="BS BY MONTH"/>
      <sheetName val="C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row r="13">
          <cell r="M13">
            <v>0</v>
          </cell>
        </row>
      </sheetData>
      <sheetData sheetId="33" refreshError="1">
        <row r="67">
          <cell r="A67" t="str">
            <v>Cash Flow Statement</v>
          </cell>
        </row>
        <row r="70">
          <cell r="B70" t="str">
            <v>($MM)</v>
          </cell>
          <cell r="D70">
            <v>2002</v>
          </cell>
          <cell r="E70">
            <v>2003</v>
          </cell>
          <cell r="F70">
            <v>2004</v>
          </cell>
          <cell r="G70">
            <v>2005</v>
          </cell>
          <cell r="H70">
            <v>2006</v>
          </cell>
          <cell r="I70">
            <v>2007</v>
          </cell>
        </row>
        <row r="72">
          <cell r="B72" t="str">
            <v>Net Income</v>
          </cell>
          <cell r="D72">
            <v>3243.309999999999</v>
          </cell>
          <cell r="E72">
            <v>3458.6645429455129</v>
          </cell>
          <cell r="F72">
            <v>3807.3755725314959</v>
          </cell>
          <cell r="G72">
            <v>4146.7979673206301</v>
          </cell>
          <cell r="H72">
            <v>4566.7412434807011</v>
          </cell>
          <cell r="I72">
            <v>5159.8319834303038</v>
          </cell>
        </row>
        <row r="73">
          <cell r="B73" t="str">
            <v>% Growth</v>
          </cell>
          <cell r="E73">
            <v>6.639961734940969E-2</v>
          </cell>
          <cell r="F73">
            <v>0.10082244902797344</v>
          </cell>
          <cell r="G73">
            <v>8.9148650644794269E-2</v>
          </cell>
          <cell r="H73">
            <v>0.10126928764542842</v>
          </cell>
          <cell r="I73">
            <v>0.12987176376508636</v>
          </cell>
        </row>
        <row r="74">
          <cell r="B74" t="str">
            <v>Depreciation</v>
          </cell>
          <cell r="D74">
            <v>1177</v>
          </cell>
          <cell r="E74">
            <v>1032.0341374045795</v>
          </cell>
          <cell r="F74">
            <v>967.03198727735355</v>
          </cell>
          <cell r="G74">
            <v>935.03092875318123</v>
          </cell>
          <cell r="H74">
            <v>1039.034368956743</v>
          </cell>
          <cell r="I74">
            <v>1086.0359236641223</v>
          </cell>
        </row>
        <row r="75">
          <cell r="B75" t="str">
            <v>% Sales</v>
          </cell>
          <cell r="D75">
            <v>6.6551375032264978E-2</v>
          </cell>
          <cell r="E75">
            <v>5.40455616653574E-2</v>
          </cell>
          <cell r="F75">
            <v>4.6878029862323055E-2</v>
          </cell>
          <cell r="G75">
            <v>4.1568487974036401E-2</v>
          </cell>
          <cell r="H75">
            <v>4.2688688935453398E-2</v>
          </cell>
          <cell r="I75">
            <v>4.0687872316511199E-2</v>
          </cell>
        </row>
        <row r="76">
          <cell r="B76" t="str">
            <v>% of Capex</v>
          </cell>
          <cell r="D76">
            <v>0.91953125000000002</v>
          </cell>
          <cell r="E76">
            <v>0.79080459770114908</v>
          </cell>
          <cell r="F76">
            <v>0.67386759581881528</v>
          </cell>
          <cell r="G76">
            <v>0.68901989683124587</v>
          </cell>
          <cell r="H76">
            <v>0.67864141084258667</v>
          </cell>
          <cell r="I76">
            <v>0.71447368421052648</v>
          </cell>
        </row>
        <row r="77">
          <cell r="B77" t="str">
            <v>Amortization</v>
          </cell>
          <cell r="D77">
            <v>0</v>
          </cell>
          <cell r="E77">
            <v>0</v>
          </cell>
          <cell r="F77">
            <v>0</v>
          </cell>
          <cell r="G77">
            <v>0</v>
          </cell>
          <cell r="H77">
            <v>0</v>
          </cell>
          <cell r="I77">
            <v>0</v>
          </cell>
        </row>
        <row r="78">
          <cell r="B78" t="str">
            <v>Amortization</v>
          </cell>
          <cell r="D78">
            <v>0</v>
          </cell>
          <cell r="E78">
            <v>196.00648346055976</v>
          </cell>
          <cell r="F78">
            <v>263.00869974554706</v>
          </cell>
          <cell r="G78">
            <v>324.01071755725184</v>
          </cell>
          <cell r="H78">
            <v>280.00926208651396</v>
          </cell>
          <cell r="I78">
            <v>276.00912977099233</v>
          </cell>
        </row>
        <row r="79">
          <cell r="B79" t="str">
            <v>% Sales</v>
          </cell>
          <cell r="D79">
            <v>0</v>
          </cell>
          <cell r="E79">
            <v>1.0264467137994239E-2</v>
          </cell>
          <cell r="F79">
            <v>1.2749660655419819E-2</v>
          </cell>
          <cell r="G79">
            <v>1.4404481394211532E-2</v>
          </cell>
          <cell r="H79">
            <v>1.1504170261719874E-2</v>
          </cell>
          <cell r="I79">
            <v>1.0340564235135441E-2</v>
          </cell>
        </row>
        <row r="80">
          <cell r="B80" t="str">
            <v>New Amortization of Intan. Assets</v>
          </cell>
          <cell r="D80">
            <v>0</v>
          </cell>
          <cell r="E80">
            <v>0</v>
          </cell>
          <cell r="F80">
            <v>0</v>
          </cell>
          <cell r="G80">
            <v>0</v>
          </cell>
          <cell r="H80">
            <v>0</v>
          </cell>
          <cell r="I80">
            <v>0</v>
          </cell>
        </row>
        <row r="81">
          <cell r="B81" t="str">
            <v>Deferred Tax Liability</v>
          </cell>
          <cell r="D81">
            <v>0</v>
          </cell>
          <cell r="E81">
            <v>0</v>
          </cell>
          <cell r="F81">
            <v>0</v>
          </cell>
          <cell r="G81">
            <v>0</v>
          </cell>
          <cell r="H81">
            <v>0</v>
          </cell>
          <cell r="I81">
            <v>0</v>
          </cell>
        </row>
        <row r="82">
          <cell r="B82" t="str">
            <v>Other Equity Item</v>
          </cell>
          <cell r="E82">
            <v>-98</v>
          </cell>
          <cell r="F82">
            <v>45</v>
          </cell>
          <cell r="G82">
            <v>44</v>
          </cell>
          <cell r="H82">
            <v>44</v>
          </cell>
          <cell r="I82">
            <v>39</v>
          </cell>
        </row>
        <row r="83">
          <cell r="B83" t="str">
            <v>Accounts Receivable</v>
          </cell>
          <cell r="D83">
            <v>0</v>
          </cell>
          <cell r="E83">
            <v>-311.10710941475782</v>
          </cell>
          <cell r="F83">
            <v>-318.01051908396994</v>
          </cell>
          <cell r="G83">
            <v>-343.01134605597917</v>
          </cell>
          <cell r="H83">
            <v>-400.01323155216278</v>
          </cell>
          <cell r="I83">
            <v>-606.02004580152698</v>
          </cell>
        </row>
        <row r="84">
          <cell r="B84" t="str">
            <v>Inventory</v>
          </cell>
          <cell r="D84">
            <v>0</v>
          </cell>
          <cell r="E84">
            <v>-112.08445038167838</v>
          </cell>
          <cell r="F84">
            <v>-18.581309214887824</v>
          </cell>
          <cell r="G84">
            <v>-30.717580860306498</v>
          </cell>
          <cell r="H84">
            <v>-30.638187414175718</v>
          </cell>
          <cell r="I84">
            <v>-151.76035817962793</v>
          </cell>
        </row>
        <row r="85">
          <cell r="B85" t="str">
            <v>Prepaid Expenses/Income Taxes</v>
          </cell>
          <cell r="D85">
            <v>0</v>
          </cell>
          <cell r="E85">
            <v>128</v>
          </cell>
          <cell r="F85">
            <v>-205</v>
          </cell>
          <cell r="G85">
            <v>-138</v>
          </cell>
          <cell r="H85">
            <v>-381</v>
          </cell>
          <cell r="I85">
            <v>-373</v>
          </cell>
        </row>
        <row r="86">
          <cell r="B86" t="str">
            <v>Other Assets/Deferred Taxes</v>
          </cell>
          <cell r="D86">
            <v>0</v>
          </cell>
          <cell r="E86">
            <v>186.70655725190983</v>
          </cell>
          <cell r="F86">
            <v>-113.00373791348619</v>
          </cell>
          <cell r="G86">
            <v>-93.00307633587704</v>
          </cell>
          <cell r="H86">
            <v>-94.003109414759422</v>
          </cell>
          <cell r="I86">
            <v>-90.002977099235977</v>
          </cell>
        </row>
        <row r="87">
          <cell r="B87" t="str">
            <v>AP, Salaries &amp; Other Accrued Liab.</v>
          </cell>
          <cell r="D87">
            <v>0</v>
          </cell>
          <cell r="E87">
            <v>-165.85848854961841</v>
          </cell>
          <cell r="F87">
            <v>82.00271246819193</v>
          </cell>
          <cell r="G87">
            <v>174.01149735245144</v>
          </cell>
          <cell r="H87">
            <v>233.92489135204323</v>
          </cell>
          <cell r="I87">
            <v>275.08620417082511</v>
          </cell>
        </row>
        <row r="88">
          <cell r="B88" t="str">
            <v>Dividends Payable</v>
          </cell>
          <cell r="D88">
            <v>0</v>
          </cell>
          <cell r="E88">
            <v>13.999999999999943</v>
          </cell>
          <cell r="F88">
            <v>14.999943147844931</v>
          </cell>
          <cell r="G88">
            <v>19.99993683960264</v>
          </cell>
          <cell r="H88">
            <v>26.999991205958679</v>
          </cell>
          <cell r="I88">
            <v>35.999988600967754</v>
          </cell>
        </row>
        <row r="89">
          <cell r="B89" t="str">
            <v>Income Taxes Payable</v>
          </cell>
          <cell r="D89">
            <v>0</v>
          </cell>
          <cell r="E89">
            <v>-42</v>
          </cell>
          <cell r="F89">
            <v>0</v>
          </cell>
          <cell r="G89">
            <v>0</v>
          </cell>
          <cell r="H89">
            <v>0</v>
          </cell>
          <cell r="I89">
            <v>0</v>
          </cell>
        </row>
        <row r="90">
          <cell r="B90" t="str">
            <v>Other Long Term Liabilities</v>
          </cell>
          <cell r="D90">
            <v>0</v>
          </cell>
          <cell r="E90">
            <v>8</v>
          </cell>
          <cell r="F90">
            <v>62</v>
          </cell>
          <cell r="G90">
            <v>86</v>
          </cell>
          <cell r="H90">
            <v>94</v>
          </cell>
          <cell r="I90">
            <v>102</v>
          </cell>
        </row>
        <row r="91">
          <cell r="B91" t="str">
            <v>Operating Cash Flow</v>
          </cell>
          <cell r="D91">
            <v>4420.3099999999995</v>
          </cell>
          <cell r="E91">
            <v>4294.3616727165063</v>
          </cell>
          <cell r="F91">
            <v>4586.8233489580898</v>
          </cell>
          <cell r="G91">
            <v>5125.1190445709544</v>
          </cell>
          <cell r="H91">
            <v>5379.0552287008632</v>
          </cell>
          <cell r="I91">
            <v>5753.1798485568206</v>
          </cell>
        </row>
        <row r="92">
          <cell r="B92" t="str">
            <v>% Growth</v>
          </cell>
          <cell r="E92">
            <v>-2.8493098285752194E-2</v>
          </cell>
          <cell r="F92">
            <v>6.8103643458744756E-2</v>
          </cell>
          <cell r="G92">
            <v>0.11735697118903432</v>
          </cell>
          <cell r="H92">
            <v>4.9547372835935022E-2</v>
          </cell>
          <cell r="I92">
            <v>6.9552106076128828E-2</v>
          </cell>
        </row>
        <row r="93">
          <cell r="B93" t="str">
            <v>% Revenue</v>
          </cell>
          <cell r="D93">
            <v>0.24993857992257534</v>
          </cell>
          <cell r="E93">
            <v>0.22488712357890014</v>
          </cell>
          <cell r="F93">
            <v>0.22235173681383916</v>
          </cell>
          <cell r="G93">
            <v>0.22784641964072336</v>
          </cell>
          <cell r="H93">
            <v>0.22099828676042094</v>
          </cell>
          <cell r="I93">
            <v>0.21554042733893983</v>
          </cell>
        </row>
        <row r="95">
          <cell r="B95" t="str">
            <v>Capital Expenditures</v>
          </cell>
          <cell r="D95">
            <v>-1280</v>
          </cell>
          <cell r="E95">
            <v>-1305.043167938931</v>
          </cell>
          <cell r="F95">
            <v>-1435.047468193384</v>
          </cell>
          <cell r="G95">
            <v>-1357.0448880407123</v>
          </cell>
          <cell r="H95">
            <v>-1531.050643765903</v>
          </cell>
          <cell r="I95">
            <v>-1520.0502798982186</v>
          </cell>
        </row>
        <row r="96">
          <cell r="B96" t="str">
            <v>% Sales</v>
          </cell>
          <cell r="D96">
            <v>7.2375327137892242E-2</v>
          </cell>
          <cell r="E96">
            <v>6.834249803613511E-2</v>
          </cell>
          <cell r="F96">
            <v>6.9565638937366683E-2</v>
          </cell>
          <cell r="G96">
            <v>6.0329880407237815E-2</v>
          </cell>
          <cell r="H96">
            <v>6.2903159538189743E-2</v>
          </cell>
          <cell r="I96">
            <v>5.6948034918137207E-2</v>
          </cell>
        </row>
        <row r="97">
          <cell r="B97" t="str">
            <v>Investments in Marketable Securities</v>
          </cell>
          <cell r="D97">
            <v>0</v>
          </cell>
          <cell r="E97">
            <v>199</v>
          </cell>
          <cell r="F97">
            <v>17</v>
          </cell>
          <cell r="G97">
            <v>6</v>
          </cell>
          <cell r="H97">
            <v>0</v>
          </cell>
          <cell r="I97">
            <v>0</v>
          </cell>
        </row>
        <row r="98">
          <cell r="B98" t="str">
            <v>Investment in Securities</v>
          </cell>
          <cell r="D98">
            <v>0</v>
          </cell>
          <cell r="E98">
            <v>7</v>
          </cell>
          <cell r="F98">
            <v>6</v>
          </cell>
          <cell r="G98">
            <v>-3</v>
          </cell>
          <cell r="H98">
            <v>-2</v>
          </cell>
          <cell r="I98">
            <v>0</v>
          </cell>
        </row>
        <row r="99">
          <cell r="B99" t="str">
            <v>Free Cash Flow Before Financing</v>
          </cell>
          <cell r="D99">
            <v>3140.3099999999995</v>
          </cell>
          <cell r="E99">
            <v>3195.3185047775751</v>
          </cell>
          <cell r="F99">
            <v>3174.775880764706</v>
          </cell>
          <cell r="G99">
            <v>3771.0741565302424</v>
          </cell>
          <cell r="H99">
            <v>3846.0045849349599</v>
          </cell>
          <cell r="I99">
            <v>4233.1295686586018</v>
          </cell>
          <cell r="K99">
            <v>18220.302695666083</v>
          </cell>
        </row>
        <row r="101">
          <cell r="B101" t="str">
            <v>Equity Financing</v>
          </cell>
          <cell r="D101">
            <v>137</v>
          </cell>
          <cell r="E101">
            <v>39</v>
          </cell>
          <cell r="F101">
            <v>54</v>
          </cell>
          <cell r="G101">
            <v>120</v>
          </cell>
          <cell r="H101">
            <v>193</v>
          </cell>
          <cell r="I101">
            <v>274</v>
          </cell>
        </row>
        <row r="102">
          <cell r="B102" t="str">
            <v>Purchase of Treasury Stock</v>
          </cell>
          <cell r="D102">
            <v>0</v>
          </cell>
          <cell r="E102">
            <v>-300</v>
          </cell>
          <cell r="F102">
            <v>-300</v>
          </cell>
          <cell r="G102">
            <v>-750</v>
          </cell>
          <cell r="H102">
            <v>-1200</v>
          </cell>
          <cell r="I102">
            <v>-1050</v>
          </cell>
          <cell r="K102">
            <v>-3600</v>
          </cell>
        </row>
        <row r="103">
          <cell r="B103" t="str">
            <v>Issuance of Treasury Stock and Other</v>
          </cell>
          <cell r="D103">
            <v>0</v>
          </cell>
          <cell r="E103">
            <v>0</v>
          </cell>
          <cell r="F103">
            <v>0</v>
          </cell>
          <cell r="G103">
            <v>0</v>
          </cell>
          <cell r="H103">
            <v>0</v>
          </cell>
          <cell r="I103">
            <v>0</v>
          </cell>
        </row>
        <row r="104">
          <cell r="B104" t="str">
            <v>Common Dividends</v>
          </cell>
          <cell r="D104">
            <v>-1428</v>
          </cell>
          <cell r="E104">
            <v>-1514</v>
          </cell>
          <cell r="F104">
            <v>-1570.9997744577379</v>
          </cell>
          <cell r="G104">
            <v>-1650.9995237001824</v>
          </cell>
          <cell r="H104">
            <v>-1753.9994900073011</v>
          </cell>
          <cell r="I104">
            <v>-1884.9994482513464</v>
          </cell>
          <cell r="K104">
            <v>-8374.998236416568</v>
          </cell>
        </row>
        <row r="105">
          <cell r="B105" t="str">
            <v>Dividends per Share</v>
          </cell>
          <cell r="D105">
            <v>0.90765038680017018</v>
          </cell>
          <cell r="E105">
            <v>0.96608308186884118</v>
          </cell>
          <cell r="F105">
            <v>1.0062654763509886</v>
          </cell>
          <cell r="G105">
            <v>1.0625149779904126</v>
          </cell>
          <cell r="H105">
            <v>1.1376760203946978</v>
          </cell>
          <cell r="I105">
            <v>1.23082391981382</v>
          </cell>
        </row>
        <row r="106">
          <cell r="B106" t="str">
            <v>Mandatory Debt Retirement</v>
          </cell>
          <cell r="D106">
            <v>0</v>
          </cell>
          <cell r="E106">
            <v>-741</v>
          </cell>
          <cell r="F106">
            <v>-1211</v>
          </cell>
          <cell r="G106">
            <v>-480</v>
          </cell>
          <cell r="H106">
            <v>-98</v>
          </cell>
          <cell r="I106">
            <v>-602</v>
          </cell>
        </row>
        <row r="107">
          <cell r="B107" t="str">
            <v>Free Operating Cash Flow</v>
          </cell>
          <cell r="D107">
            <v>1849.3099999999995</v>
          </cell>
          <cell r="E107">
            <v>679.31850477757507</v>
          </cell>
          <cell r="F107">
            <v>146.77610630696816</v>
          </cell>
          <cell r="G107">
            <v>1010.0746328300598</v>
          </cell>
          <cell r="H107">
            <v>987.00509492765889</v>
          </cell>
          <cell r="I107">
            <v>970.1301204072555</v>
          </cell>
        </row>
        <row r="108">
          <cell r="B108" t="str">
            <v>% Growth</v>
          </cell>
          <cell r="E108">
            <v>-0.63266380175439751</v>
          </cell>
          <cell r="F108">
            <v>-0.78393624599549794</v>
          </cell>
          <cell r="G108">
            <v>5.8817374860563856</v>
          </cell>
          <cell r="H108">
            <v>-2.283943894102558E-2</v>
          </cell>
          <cell r="I108">
            <v>-1.7097150366422564E-2</v>
          </cell>
        </row>
        <row r="109">
          <cell r="B109" t="str">
            <v>% Revenue</v>
          </cell>
          <cell r="D109">
            <v>0.10456595017919959</v>
          </cell>
          <cell r="E109">
            <v>3.5574550113919426E-2</v>
          </cell>
          <cell r="F109">
            <v>7.115146949694587E-3</v>
          </cell>
          <cell r="G109">
            <v>4.4904691317177697E-2</v>
          </cell>
          <cell r="H109">
            <v>4.0551068120470039E-2</v>
          </cell>
          <cell r="I109">
            <v>3.6345510870724837E-2</v>
          </cell>
        </row>
        <row r="111">
          <cell r="B111" t="str">
            <v>Debt Additions/(Retirement)</v>
          </cell>
          <cell r="D111">
            <v>0</v>
          </cell>
          <cell r="E111">
            <v>0</v>
          </cell>
          <cell r="F111">
            <v>0</v>
          </cell>
          <cell r="G111">
            <v>0</v>
          </cell>
          <cell r="H111">
            <v>0</v>
          </cell>
          <cell r="I111">
            <v>0</v>
          </cell>
        </row>
        <row r="112">
          <cell r="B112" t="str">
            <v>Excess Cash</v>
          </cell>
          <cell r="D112">
            <v>1849.3099999999995</v>
          </cell>
          <cell r="E112">
            <v>679.31850477757507</v>
          </cell>
          <cell r="F112">
            <v>146.77610630696816</v>
          </cell>
          <cell r="G112">
            <v>1010.0746328300598</v>
          </cell>
          <cell r="H112">
            <v>987.00509492765889</v>
          </cell>
          <cell r="I112">
            <v>970.1301204072555</v>
          </cell>
        </row>
        <row r="114">
          <cell r="B114" t="str">
            <v>DCF Statistics</v>
          </cell>
        </row>
        <row r="115">
          <cell r="B115" t="str">
            <v>Free Operating Cash Flow</v>
          </cell>
          <cell r="D115">
            <v>3140.3099999999995</v>
          </cell>
          <cell r="E115">
            <v>3195.3185047775751</v>
          </cell>
          <cell r="F115">
            <v>3174.775880764706</v>
          </cell>
          <cell r="G115">
            <v>3771.0741565302424</v>
          </cell>
          <cell r="H115">
            <v>3846.0045849349599</v>
          </cell>
          <cell r="I115">
            <v>4233.1295686586018</v>
          </cell>
        </row>
        <row r="116">
          <cell r="B116" t="str">
            <v>After Tax Interest Expense</v>
          </cell>
          <cell r="D116">
            <v>154.77500000000001</v>
          </cell>
          <cell r="E116">
            <v>125.59913420461304</v>
          </cell>
          <cell r="F116">
            <v>102.93768293924086</v>
          </cell>
          <cell r="G116">
            <v>75.125042450359246</v>
          </cell>
          <cell r="H116">
            <v>32.913481506571742</v>
          </cell>
          <cell r="I116">
            <v>-19.039861598246272</v>
          </cell>
        </row>
        <row r="117">
          <cell r="B117" t="str">
            <v>Unlevered Free Cash Flow</v>
          </cell>
          <cell r="D117">
            <v>3295.0849999999996</v>
          </cell>
          <cell r="E117">
            <v>3320.9176389821882</v>
          </cell>
          <cell r="F117">
            <v>3277.7135637039469</v>
          </cell>
          <cell r="G117">
            <v>3846.1991989806015</v>
          </cell>
          <cell r="H117">
            <v>3878.9180664415317</v>
          </cell>
          <cell r="I117">
            <v>4214.0897070603551</v>
          </cell>
          <cell r="K117">
            <v>18537.838175168625</v>
          </cell>
        </row>
        <row r="118">
          <cell r="B118" t="str">
            <v>% Growth</v>
          </cell>
          <cell r="E118">
            <v>7.8397488933330539E-3</v>
          </cell>
          <cell r="F118">
            <v>-1.3009679846044842E-2</v>
          </cell>
          <cell r="G118">
            <v>0.17343969331909626</v>
          </cell>
          <cell r="H118">
            <v>8.5068052298491459E-3</v>
          </cell>
          <cell r="I118">
            <v>8.6408538380473132E-2</v>
          </cell>
        </row>
        <row r="119">
          <cell r="B119" t="str">
            <v>% Revenue</v>
          </cell>
          <cell r="D119">
            <v>0.1863147303298138</v>
          </cell>
          <cell r="E119">
            <v>0.17390980834660569</v>
          </cell>
          <cell r="F119">
            <v>0.15889107738003494</v>
          </cell>
          <cell r="G119">
            <v>0.17098972903684242</v>
          </cell>
          <cell r="H119">
            <v>0.1593652064759819</v>
          </cell>
          <cell r="I119">
            <v>0.15787907213299868</v>
          </cell>
        </row>
        <row r="123">
          <cell r="A123" t="str">
            <v>Balance Sheet</v>
          </cell>
        </row>
        <row r="126">
          <cell r="B126" t="str">
            <v>($MM)</v>
          </cell>
          <cell r="D126">
            <v>2002</v>
          </cell>
          <cell r="E126" t="str">
            <v>PF2003E</v>
          </cell>
          <cell r="F126">
            <v>2004</v>
          </cell>
          <cell r="G126">
            <v>2005</v>
          </cell>
          <cell r="H126">
            <v>2006</v>
          </cell>
          <cell r="I126">
            <v>2007</v>
          </cell>
        </row>
        <row r="128">
          <cell r="B128" t="str">
            <v>Assets</v>
          </cell>
        </row>
        <row r="129">
          <cell r="B129" t="str">
            <v>Current Assets</v>
          </cell>
        </row>
        <row r="130">
          <cell r="B130" t="str">
            <v>Cash</v>
          </cell>
          <cell r="D130">
            <v>704</v>
          </cell>
          <cell r="E130">
            <v>1383.3185047775751</v>
          </cell>
          <cell r="F130">
            <v>1530.0946110845432</v>
          </cell>
          <cell r="G130">
            <v>2540.1692439146032</v>
          </cell>
          <cell r="H130">
            <v>3527.1743388422619</v>
          </cell>
          <cell r="I130">
            <v>4497.3044592495171</v>
          </cell>
        </row>
        <row r="131">
          <cell r="B131" t="str">
            <v>Marketable Securities</v>
          </cell>
          <cell r="D131">
            <v>262</v>
          </cell>
          <cell r="E131">
            <v>63</v>
          </cell>
          <cell r="F131">
            <v>46</v>
          </cell>
          <cell r="G131">
            <v>40</v>
          </cell>
          <cell r="H131">
            <v>40</v>
          </cell>
          <cell r="I131">
            <v>40</v>
          </cell>
        </row>
        <row r="132">
          <cell r="B132" t="str">
            <v>Accounts Receivable</v>
          </cell>
          <cell r="D132">
            <v>2927</v>
          </cell>
          <cell r="E132">
            <v>3238.1071094147578</v>
          </cell>
          <cell r="F132">
            <v>3556.1176284987278</v>
          </cell>
          <cell r="G132">
            <v>3899.1289745547069</v>
          </cell>
          <cell r="H132">
            <v>4299.1422061068697</v>
          </cell>
          <cell r="I132">
            <v>4905.1622519083967</v>
          </cell>
        </row>
        <row r="133">
          <cell r="B133" t="str">
            <v>Inventory</v>
          </cell>
          <cell r="D133">
            <v>2441</v>
          </cell>
          <cell r="E133">
            <v>2553.0844503816784</v>
          </cell>
          <cell r="F133">
            <v>2571.6657595965662</v>
          </cell>
          <cell r="G133">
            <v>2602.3833404568727</v>
          </cell>
          <cell r="H133">
            <v>2633.0215278710484</v>
          </cell>
          <cell r="I133">
            <v>2784.7818860506763</v>
          </cell>
        </row>
        <row r="134">
          <cell r="B134" t="str">
            <v>Prepaid Expenses/Income Taxes</v>
          </cell>
          <cell r="D134">
            <v>2787</v>
          </cell>
          <cell r="E134">
            <v>2659</v>
          </cell>
          <cell r="F134">
            <v>2864</v>
          </cell>
          <cell r="G134">
            <v>3002</v>
          </cell>
          <cell r="H134">
            <v>3383</v>
          </cell>
          <cell r="I134">
            <v>3756</v>
          </cell>
        </row>
        <row r="135">
          <cell r="B135" t="str">
            <v>Total Current Assets</v>
          </cell>
          <cell r="D135">
            <v>9121</v>
          </cell>
          <cell r="E135">
            <v>9896.5100645740113</v>
          </cell>
          <cell r="F135">
            <v>10567.877999179836</v>
          </cell>
          <cell r="G135">
            <v>12083.681558926182</v>
          </cell>
          <cell r="H135">
            <v>13882.338072820181</v>
          </cell>
          <cell r="I135">
            <v>15983.248597208591</v>
          </cell>
        </row>
        <row r="137">
          <cell r="B137" t="str">
            <v>Investment Securities</v>
          </cell>
          <cell r="D137">
            <v>251</v>
          </cell>
          <cell r="E137">
            <v>244</v>
          </cell>
          <cell r="F137">
            <v>238</v>
          </cell>
          <cell r="G137">
            <v>241</v>
          </cell>
          <cell r="H137">
            <v>243</v>
          </cell>
          <cell r="I137">
            <v>243</v>
          </cell>
        </row>
        <row r="138">
          <cell r="B138">
            <v>966</v>
          </cell>
        </row>
        <row r="139">
          <cell r="B139" t="str">
            <v>PP&amp;E</v>
          </cell>
          <cell r="D139">
            <v>5828</v>
          </cell>
          <cell r="E139">
            <v>6101.009030534352</v>
          </cell>
          <cell r="F139">
            <v>6569.0245114503823</v>
          </cell>
          <cell r="G139">
            <v>6991.0384707379135</v>
          </cell>
          <cell r="H139">
            <v>7483.0547455470742</v>
          </cell>
          <cell r="I139">
            <v>7917.0691017811705</v>
          </cell>
        </row>
        <row r="141">
          <cell r="B141" t="str">
            <v>Other</v>
          </cell>
          <cell r="D141">
            <v>9058</v>
          </cell>
          <cell r="E141">
            <v>8675.2869592875304</v>
          </cell>
          <cell r="F141">
            <v>8525.2819974554695</v>
          </cell>
          <cell r="G141">
            <v>8294.2743562340947</v>
          </cell>
          <cell r="H141">
            <v>8108.2682035623402</v>
          </cell>
          <cell r="I141">
            <v>7922.2620508905848</v>
          </cell>
        </row>
        <row r="142">
          <cell r="B142" t="str">
            <v>New Intangible Assets</v>
          </cell>
          <cell r="D142">
            <v>0</v>
          </cell>
          <cell r="E142">
            <v>0</v>
          </cell>
          <cell r="F142">
            <v>0</v>
          </cell>
          <cell r="G142">
            <v>0</v>
          </cell>
          <cell r="H142">
            <v>0</v>
          </cell>
          <cell r="I142">
            <v>0</v>
          </cell>
        </row>
        <row r="143">
          <cell r="B143" t="str">
            <v>Total Assets</v>
          </cell>
          <cell r="D143">
            <v>24258</v>
          </cell>
          <cell r="E143">
            <v>24916.806054395893</v>
          </cell>
          <cell r="F143">
            <v>25900.184508085687</v>
          </cell>
          <cell r="G143">
            <v>27609.99438589819</v>
          </cell>
          <cell r="H143">
            <v>29716.661021929594</v>
          </cell>
          <cell r="I143">
            <v>32065.579749880348</v>
          </cell>
        </row>
        <row r="144">
          <cell r="D144">
            <v>24258</v>
          </cell>
          <cell r="E144">
            <v>24916.563190307923</v>
          </cell>
          <cell r="F144">
            <v>25899.829847989815</v>
          </cell>
          <cell r="G144">
            <v>27609.51313887287</v>
          </cell>
          <cell r="H144">
            <v>29716.037025937796</v>
          </cell>
          <cell r="I144">
            <v>32064.791402664901</v>
          </cell>
        </row>
        <row r="145">
          <cell r="B145" t="str">
            <v>Liabilities &amp; Equity</v>
          </cell>
        </row>
        <row r="146">
          <cell r="B146" t="str">
            <v>Current Liabilities</v>
          </cell>
        </row>
        <row r="147">
          <cell r="B147" t="str">
            <v>Revolver</v>
          </cell>
          <cell r="D147">
            <v>0</v>
          </cell>
          <cell r="E147">
            <v>0</v>
          </cell>
          <cell r="F147">
            <v>0</v>
          </cell>
          <cell r="G147">
            <v>0</v>
          </cell>
          <cell r="H147">
            <v>0</v>
          </cell>
          <cell r="I147">
            <v>0</v>
          </cell>
        </row>
        <row r="148">
          <cell r="B148" t="str">
            <v>Short Term Borrowings &amp; Curr. Portion of LTD</v>
          </cell>
          <cell r="D148">
            <v>1200</v>
          </cell>
          <cell r="E148">
            <v>659</v>
          </cell>
          <cell r="F148">
            <v>659</v>
          </cell>
          <cell r="G148">
            <v>329</v>
          </cell>
          <cell r="H148">
            <v>2083.7370000000001</v>
          </cell>
          <cell r="I148">
            <v>2083.7370000000001</v>
          </cell>
        </row>
        <row r="149">
          <cell r="B149" t="str">
            <v>AP, Salaries &amp; Other Accrued Liab.</v>
          </cell>
          <cell r="D149">
            <v>4444</v>
          </cell>
          <cell r="E149">
            <v>4278.1415114503816</v>
          </cell>
          <cell r="F149">
            <v>4360.1442239185735</v>
          </cell>
          <cell r="G149">
            <v>4534.155721271025</v>
          </cell>
          <cell r="H149">
            <v>4768.0806126230682</v>
          </cell>
          <cell r="I149">
            <v>5043.1668167938933</v>
          </cell>
        </row>
        <row r="150">
          <cell r="B150" t="str">
            <v>Dividends Payable</v>
          </cell>
          <cell r="D150">
            <v>367</v>
          </cell>
          <cell r="E150">
            <v>380.99999999999994</v>
          </cell>
          <cell r="F150">
            <v>395.99994314784487</v>
          </cell>
          <cell r="G150">
            <v>415.99987998744751</v>
          </cell>
          <cell r="H150">
            <v>442.99987119340619</v>
          </cell>
          <cell r="I150">
            <v>478.99985979437395</v>
          </cell>
        </row>
        <row r="151">
          <cell r="B151" t="str">
            <v>Income Taxes Payable</v>
          </cell>
          <cell r="D151">
            <v>42</v>
          </cell>
          <cell r="E151">
            <v>0</v>
          </cell>
          <cell r="F151">
            <v>0</v>
          </cell>
          <cell r="G151">
            <v>0</v>
          </cell>
          <cell r="H151">
            <v>0</v>
          </cell>
          <cell r="I151">
            <v>0</v>
          </cell>
        </row>
        <row r="152">
          <cell r="B152" t="str">
            <v>Total Current Liabilities</v>
          </cell>
          <cell r="D152">
            <v>6053</v>
          </cell>
          <cell r="E152">
            <v>5318.1415114503816</v>
          </cell>
          <cell r="F152">
            <v>5415.144167066418</v>
          </cell>
          <cell r="G152">
            <v>5279.1556012584724</v>
          </cell>
          <cell r="H152">
            <v>7294.8174838164741</v>
          </cell>
          <cell r="I152">
            <v>7605.9036765882674</v>
          </cell>
        </row>
        <row r="154">
          <cell r="B154" t="str">
            <v>Long-Term Liabilities</v>
          </cell>
        </row>
        <row r="155">
          <cell r="B155" t="str">
            <v>Long-Term Debt</v>
          </cell>
          <cell r="E155">
            <v>0</v>
          </cell>
          <cell r="F155">
            <v>0</v>
          </cell>
          <cell r="G155">
            <v>0</v>
          </cell>
          <cell r="H155">
            <v>0</v>
          </cell>
          <cell r="I155">
            <v>0</v>
          </cell>
        </row>
        <row r="156">
          <cell r="B156" t="str">
            <v>Long-Term Debt</v>
          </cell>
          <cell r="D156">
            <v>5222</v>
          </cell>
          <cell r="E156">
            <v>5022</v>
          </cell>
          <cell r="F156">
            <v>3811</v>
          </cell>
          <cell r="G156">
            <v>3661</v>
          </cell>
          <cell r="H156">
            <v>1808.2629999999999</v>
          </cell>
          <cell r="I156">
            <v>1206.2629999999999</v>
          </cell>
        </row>
        <row r="157">
          <cell r="B157" t="str">
            <v>Other Long Term Liab.</v>
          </cell>
          <cell r="D157">
            <v>2318</v>
          </cell>
          <cell r="E157">
            <v>2326</v>
          </cell>
          <cell r="F157">
            <v>2388</v>
          </cell>
          <cell r="G157">
            <v>2474</v>
          </cell>
          <cell r="H157">
            <v>2568</v>
          </cell>
          <cell r="I157">
            <v>2670</v>
          </cell>
        </row>
        <row r="158">
          <cell r="B158" t="str">
            <v>Acquisition Debt</v>
          </cell>
          <cell r="D158">
            <v>0</v>
          </cell>
          <cell r="E158">
            <v>0</v>
          </cell>
          <cell r="F158">
            <v>0</v>
          </cell>
          <cell r="G158">
            <v>0</v>
          </cell>
          <cell r="H158">
            <v>0</v>
          </cell>
          <cell r="I158">
            <v>0</v>
          </cell>
        </row>
        <row r="159">
          <cell r="B159" t="str">
            <v>Total Long-Term Liabilities</v>
          </cell>
          <cell r="D159">
            <v>7540</v>
          </cell>
          <cell r="E159">
            <v>7348</v>
          </cell>
          <cell r="F159">
            <v>6199</v>
          </cell>
          <cell r="G159">
            <v>6135</v>
          </cell>
          <cell r="H159">
            <v>4376.2629999999999</v>
          </cell>
          <cell r="I159">
            <v>3876.2629999999999</v>
          </cell>
        </row>
        <row r="160">
          <cell r="B160" t="str">
            <v>Equity</v>
          </cell>
          <cell r="D160">
            <v>10665</v>
          </cell>
          <cell r="E160">
            <v>12250.664542945513</v>
          </cell>
          <cell r="F160">
            <v>14286.04034101927</v>
          </cell>
          <cell r="G160">
            <v>16195.83878463972</v>
          </cell>
          <cell r="H160">
            <v>18045.580538113121</v>
          </cell>
          <cell r="I160">
            <v>20583.413073292078</v>
          </cell>
        </row>
        <row r="161">
          <cell r="B161" t="str">
            <v>Total Liabilities &amp; Equity</v>
          </cell>
          <cell r="D161">
            <v>24258</v>
          </cell>
          <cell r="E161">
            <v>24916.806054395893</v>
          </cell>
          <cell r="F161">
            <v>25900.184508085687</v>
          </cell>
          <cell r="G161">
            <v>27609.994385898193</v>
          </cell>
          <cell r="H161">
            <v>29716.661021929594</v>
          </cell>
          <cell r="I161">
            <v>32065.579749880344</v>
          </cell>
        </row>
        <row r="162">
          <cell r="B162" t="str">
            <v/>
          </cell>
          <cell r="D162" t="str">
            <v/>
          </cell>
          <cell r="E162">
            <v>0</v>
          </cell>
          <cell r="F162">
            <v>0</v>
          </cell>
          <cell r="G162">
            <v>-3.637978807091713E-12</v>
          </cell>
          <cell r="H162">
            <v>0</v>
          </cell>
          <cell r="I162">
            <v>3.637978807091713E-12</v>
          </cell>
        </row>
      </sheetData>
      <sheetData sheetId="34" refreshError="1">
        <row r="2">
          <cell r="A2" t="str">
            <v>Pro Forma Balance Sheet 2003</v>
          </cell>
        </row>
        <row r="3">
          <cell r="A3" t="str">
            <v xml:space="preserve">Pro Forma Aqua </v>
          </cell>
          <cell r="F3" t="str">
            <v>Adjustments</v>
          </cell>
        </row>
        <row r="4">
          <cell r="D4" t="str">
            <v>Standalone</v>
          </cell>
          <cell r="F4" t="str">
            <v>Apple</v>
          </cell>
          <cell r="G4" t="str">
            <v>Gray Acquisition</v>
          </cell>
          <cell r="J4" t="str">
            <v>Kitchen</v>
          </cell>
          <cell r="M4" t="str">
            <v xml:space="preserve">Fox </v>
          </cell>
          <cell r="P4" t="str">
            <v>ProForma</v>
          </cell>
        </row>
        <row r="5">
          <cell r="B5" t="str">
            <v>($MM)</v>
          </cell>
          <cell r="D5">
            <v>2003</v>
          </cell>
          <cell r="F5" t="str">
            <v>Trans.</v>
          </cell>
          <cell r="G5">
            <v>2003</v>
          </cell>
          <cell r="H5" t="str">
            <v>Trans. Adj.</v>
          </cell>
          <cell r="J5" t="str">
            <v>Sale/Spin/Split</v>
          </cell>
          <cell r="K5" t="str">
            <v>Trans. Adj.</v>
          </cell>
          <cell r="M5" t="str">
            <v>Sale/Spin/Split</v>
          </cell>
          <cell r="N5" t="str">
            <v>Trans. Adj.</v>
          </cell>
          <cell r="P5">
            <v>2003</v>
          </cell>
        </row>
        <row r="7">
          <cell r="B7" t="str">
            <v>Assets</v>
          </cell>
        </row>
        <row r="8">
          <cell r="B8" t="str">
            <v>Current Assets</v>
          </cell>
        </row>
        <row r="9">
          <cell r="B9" t="str">
            <v>Cash</v>
          </cell>
          <cell r="D9">
            <v>1383.3185047775751</v>
          </cell>
          <cell r="F9">
            <v>0</v>
          </cell>
          <cell r="G9">
            <v>0</v>
          </cell>
          <cell r="H9">
            <v>0</v>
          </cell>
          <cell r="J9">
            <v>0</v>
          </cell>
          <cell r="K9">
            <v>0</v>
          </cell>
          <cell r="M9">
            <v>0</v>
          </cell>
          <cell r="N9">
            <v>0</v>
          </cell>
          <cell r="P9">
            <v>1383.3185047775751</v>
          </cell>
        </row>
        <row r="10">
          <cell r="B10" t="str">
            <v>Marketable Securities</v>
          </cell>
          <cell r="D10">
            <v>63</v>
          </cell>
          <cell r="G10">
            <v>0</v>
          </cell>
          <cell r="H10">
            <v>0</v>
          </cell>
          <cell r="J10">
            <v>0</v>
          </cell>
          <cell r="M10">
            <v>0</v>
          </cell>
          <cell r="P10">
            <v>63</v>
          </cell>
        </row>
        <row r="11">
          <cell r="B11" t="str">
            <v>Accounts Receivable</v>
          </cell>
          <cell r="D11">
            <v>3238.1071094147578</v>
          </cell>
          <cell r="G11">
            <v>0</v>
          </cell>
          <cell r="H11">
            <v>0</v>
          </cell>
          <cell r="J11">
            <v>0</v>
          </cell>
          <cell r="M11">
            <v>0</v>
          </cell>
          <cell r="P11">
            <v>3238.1071094147578</v>
          </cell>
        </row>
        <row r="12">
          <cell r="B12" t="str">
            <v>Inventory</v>
          </cell>
          <cell r="D12">
            <v>2553.0844503816784</v>
          </cell>
          <cell r="G12">
            <v>0</v>
          </cell>
          <cell r="H12">
            <v>0</v>
          </cell>
          <cell r="J12">
            <v>0</v>
          </cell>
          <cell r="M12">
            <v>0</v>
          </cell>
          <cell r="P12">
            <v>2553.0844503816784</v>
          </cell>
        </row>
        <row r="13">
          <cell r="B13" t="str">
            <v>Prepaid Expenses/Income Taxes</v>
          </cell>
          <cell r="D13">
            <v>2659</v>
          </cell>
          <cell r="G13">
            <v>0</v>
          </cell>
          <cell r="H13">
            <v>0</v>
          </cell>
          <cell r="J13">
            <v>0</v>
          </cell>
          <cell r="M13">
            <v>0</v>
          </cell>
          <cell r="P13">
            <v>2659</v>
          </cell>
        </row>
        <row r="14">
          <cell r="B14" t="str">
            <v>Total Current Assets</v>
          </cell>
          <cell r="D14">
            <v>9896.5100645740113</v>
          </cell>
          <cell r="F14">
            <v>0</v>
          </cell>
          <cell r="G14">
            <v>0</v>
          </cell>
          <cell r="H14">
            <v>0</v>
          </cell>
          <cell r="J14">
            <v>0</v>
          </cell>
          <cell r="K14">
            <v>0</v>
          </cell>
          <cell r="M14">
            <v>0</v>
          </cell>
          <cell r="N14">
            <v>0</v>
          </cell>
          <cell r="P14">
            <v>9896.5100645740113</v>
          </cell>
        </row>
        <row r="16">
          <cell r="B16" t="str">
            <v>Investment Securities</v>
          </cell>
          <cell r="D16">
            <v>244</v>
          </cell>
          <cell r="G16">
            <v>0</v>
          </cell>
          <cell r="H16">
            <v>0</v>
          </cell>
          <cell r="J16">
            <v>0</v>
          </cell>
          <cell r="M16">
            <v>0</v>
          </cell>
          <cell r="P16">
            <v>244</v>
          </cell>
        </row>
        <row r="18">
          <cell r="B18" t="str">
            <v>PP&amp;E</v>
          </cell>
          <cell r="D18">
            <v>6101.009030534352</v>
          </cell>
          <cell r="G18">
            <v>0</v>
          </cell>
          <cell r="H18">
            <v>0</v>
          </cell>
          <cell r="J18">
            <v>0</v>
          </cell>
          <cell r="M18">
            <v>0</v>
          </cell>
          <cell r="P18">
            <v>6101.009030534352</v>
          </cell>
        </row>
        <row r="20">
          <cell r="B20" t="str">
            <v>Other</v>
          </cell>
          <cell r="D20">
            <v>8675.2869592875304</v>
          </cell>
          <cell r="F20">
            <v>0</v>
          </cell>
          <cell r="G20">
            <v>0</v>
          </cell>
          <cell r="H20">
            <v>0</v>
          </cell>
          <cell r="J20">
            <v>0</v>
          </cell>
          <cell r="M20">
            <v>0</v>
          </cell>
          <cell r="P20">
            <v>8675.2869592875304</v>
          </cell>
        </row>
        <row r="21">
          <cell r="B21" t="str">
            <v>Intangible Assets</v>
          </cell>
          <cell r="D21">
            <v>0</v>
          </cell>
          <cell r="F21">
            <v>0</v>
          </cell>
          <cell r="G21">
            <v>0</v>
          </cell>
          <cell r="H21">
            <v>0</v>
          </cell>
          <cell r="J21">
            <v>0</v>
          </cell>
          <cell r="P21">
            <v>0</v>
          </cell>
        </row>
        <row r="22">
          <cell r="B22" t="str">
            <v>Total Assets</v>
          </cell>
          <cell r="D22">
            <v>24916.806054395893</v>
          </cell>
          <cell r="F22">
            <v>0</v>
          </cell>
          <cell r="G22">
            <v>0</v>
          </cell>
          <cell r="H22">
            <v>0</v>
          </cell>
          <cell r="J22">
            <v>0</v>
          </cell>
          <cell r="K22">
            <v>0</v>
          </cell>
          <cell r="M22">
            <v>0</v>
          </cell>
          <cell r="N22">
            <v>0</v>
          </cell>
          <cell r="P22">
            <v>24916.806054395893</v>
          </cell>
        </row>
        <row r="24">
          <cell r="B24" t="str">
            <v>Liabilities &amp; Equity</v>
          </cell>
        </row>
        <row r="25">
          <cell r="B25" t="str">
            <v>Current Liabilities</v>
          </cell>
        </row>
        <row r="26">
          <cell r="B26" t="str">
            <v>Revolver</v>
          </cell>
          <cell r="D26">
            <v>0</v>
          </cell>
          <cell r="G26">
            <v>0</v>
          </cell>
          <cell r="H26">
            <v>0</v>
          </cell>
          <cell r="J26">
            <v>0</v>
          </cell>
          <cell r="M26">
            <v>0</v>
          </cell>
          <cell r="P26">
            <v>0</v>
          </cell>
        </row>
        <row r="27">
          <cell r="B27" t="str">
            <v>Short Term Borrowings &amp; Curr. Portion of LTD</v>
          </cell>
          <cell r="D27">
            <v>659</v>
          </cell>
          <cell r="F27">
            <v>0</v>
          </cell>
          <cell r="G27">
            <v>0</v>
          </cell>
          <cell r="H27">
            <v>0</v>
          </cell>
          <cell r="J27">
            <v>0</v>
          </cell>
          <cell r="K27">
            <v>0</v>
          </cell>
          <cell r="M27">
            <v>0</v>
          </cell>
          <cell r="N27">
            <v>0</v>
          </cell>
          <cell r="P27">
            <v>659</v>
          </cell>
        </row>
        <row r="28">
          <cell r="B28" t="str">
            <v>AP, Salaries &amp; Other Accrued Liab.</v>
          </cell>
          <cell r="D28">
            <v>4278.1415114503816</v>
          </cell>
          <cell r="G28">
            <v>0</v>
          </cell>
          <cell r="H28">
            <v>0</v>
          </cell>
          <cell r="J28">
            <v>0</v>
          </cell>
          <cell r="M28">
            <v>0</v>
          </cell>
          <cell r="P28">
            <v>4278.1415114503816</v>
          </cell>
        </row>
        <row r="29">
          <cell r="B29" t="str">
            <v>Dividends Payable</v>
          </cell>
          <cell r="D29">
            <v>380.99999999999994</v>
          </cell>
          <cell r="G29">
            <v>0</v>
          </cell>
          <cell r="H29">
            <v>0</v>
          </cell>
          <cell r="J29">
            <v>0</v>
          </cell>
          <cell r="M29">
            <v>0</v>
          </cell>
          <cell r="P29">
            <v>380.99999999999994</v>
          </cell>
        </row>
        <row r="30">
          <cell r="B30" t="str">
            <v>Income Taxes Payable</v>
          </cell>
          <cell r="D30">
            <v>0</v>
          </cell>
          <cell r="G30">
            <v>0</v>
          </cell>
          <cell r="H30">
            <v>0</v>
          </cell>
          <cell r="J30">
            <v>0</v>
          </cell>
          <cell r="M30">
            <v>0</v>
          </cell>
          <cell r="P30">
            <v>0</v>
          </cell>
        </row>
        <row r="31">
          <cell r="B31" t="str">
            <v>Total Current Liabilities</v>
          </cell>
          <cell r="D31">
            <v>5318.1415114503816</v>
          </cell>
          <cell r="F31">
            <v>0</v>
          </cell>
          <cell r="G31">
            <v>0</v>
          </cell>
          <cell r="H31">
            <v>0</v>
          </cell>
          <cell r="J31">
            <v>0</v>
          </cell>
          <cell r="K31">
            <v>0</v>
          </cell>
          <cell r="M31">
            <v>0</v>
          </cell>
          <cell r="N31">
            <v>0</v>
          </cell>
          <cell r="P31">
            <v>5318.1415114503816</v>
          </cell>
        </row>
        <row r="33">
          <cell r="B33" t="str">
            <v>Long-Term Liabilities</v>
          </cell>
        </row>
        <row r="34">
          <cell r="B34" t="str">
            <v>Long-Term Debt</v>
          </cell>
          <cell r="D34">
            <v>0</v>
          </cell>
          <cell r="F34" t="e">
            <v>#REF!</v>
          </cell>
          <cell r="G34" t="e">
            <v>#REF!</v>
          </cell>
          <cell r="J34" t="e">
            <v>#REF!</v>
          </cell>
          <cell r="N34" t="e">
            <v>#REF!</v>
          </cell>
        </row>
        <row r="35">
          <cell r="B35" t="str">
            <v>Long-Term Debt</v>
          </cell>
          <cell r="D35">
            <v>5022</v>
          </cell>
          <cell r="F35">
            <v>0</v>
          </cell>
          <cell r="G35">
            <v>0</v>
          </cell>
          <cell r="H35">
            <v>0</v>
          </cell>
          <cell r="J35">
            <v>0</v>
          </cell>
          <cell r="K35">
            <v>0</v>
          </cell>
          <cell r="M35">
            <v>0</v>
          </cell>
          <cell r="N35">
            <v>0</v>
          </cell>
          <cell r="P35">
            <v>5022</v>
          </cell>
        </row>
        <row r="36">
          <cell r="B36" t="str">
            <v>Other Long Term Liab.</v>
          </cell>
          <cell r="D36">
            <v>2326</v>
          </cell>
          <cell r="G36">
            <v>0</v>
          </cell>
          <cell r="H36">
            <v>0</v>
          </cell>
          <cell r="J36">
            <v>0</v>
          </cell>
          <cell r="M36">
            <v>0</v>
          </cell>
          <cell r="P36">
            <v>2326</v>
          </cell>
        </row>
        <row r="37">
          <cell r="B37" t="str">
            <v>Acquisition Debt</v>
          </cell>
          <cell r="D37">
            <v>0</v>
          </cell>
          <cell r="G37">
            <v>0</v>
          </cell>
          <cell r="H37">
            <v>0</v>
          </cell>
          <cell r="J37">
            <v>0</v>
          </cell>
          <cell r="K37">
            <v>0</v>
          </cell>
          <cell r="M37">
            <v>0</v>
          </cell>
          <cell r="N37">
            <v>0</v>
          </cell>
          <cell r="P37">
            <v>0</v>
          </cell>
        </row>
        <row r="38">
          <cell r="B38" t="str">
            <v>Total Long-Term Liabilities</v>
          </cell>
          <cell r="D38">
            <v>7348</v>
          </cell>
          <cell r="F38">
            <v>0</v>
          </cell>
          <cell r="G38">
            <v>0</v>
          </cell>
          <cell r="H38">
            <v>0</v>
          </cell>
          <cell r="J38">
            <v>0</v>
          </cell>
          <cell r="K38">
            <v>0</v>
          </cell>
          <cell r="M38">
            <v>0</v>
          </cell>
          <cell r="N38">
            <v>0</v>
          </cell>
          <cell r="P38">
            <v>7348</v>
          </cell>
        </row>
        <row r="39">
          <cell r="B39" t="str">
            <v>Equity</v>
          </cell>
          <cell r="D39">
            <v>12250.664542945513</v>
          </cell>
          <cell r="F39">
            <v>0</v>
          </cell>
          <cell r="G39">
            <v>0</v>
          </cell>
          <cell r="H39">
            <v>0</v>
          </cell>
          <cell r="J39">
            <v>0</v>
          </cell>
          <cell r="K39">
            <v>0</v>
          </cell>
          <cell r="M39">
            <v>0</v>
          </cell>
          <cell r="N39">
            <v>0</v>
          </cell>
          <cell r="P39">
            <v>12250.664542945513</v>
          </cell>
        </row>
        <row r="40">
          <cell r="B40" t="str">
            <v>Total Liabilities &amp; Equity</v>
          </cell>
          <cell r="D40">
            <v>24916.806054395893</v>
          </cell>
          <cell r="F40">
            <v>0</v>
          </cell>
          <cell r="G40">
            <v>0</v>
          </cell>
          <cell r="H40">
            <v>0</v>
          </cell>
          <cell r="J40">
            <v>0</v>
          </cell>
          <cell r="K40">
            <v>0</v>
          </cell>
          <cell r="M40">
            <v>0</v>
          </cell>
          <cell r="N40">
            <v>0</v>
          </cell>
          <cell r="P40">
            <v>24916.806054395893</v>
          </cell>
        </row>
        <row r="41">
          <cell r="B41" t="str">
            <v/>
          </cell>
          <cell r="D41" t="str">
            <v/>
          </cell>
          <cell r="F41">
            <v>0</v>
          </cell>
          <cell r="G41">
            <v>0</v>
          </cell>
          <cell r="H41">
            <v>0</v>
          </cell>
          <cell r="J41">
            <v>0</v>
          </cell>
          <cell r="K41">
            <v>0</v>
          </cell>
          <cell r="M41">
            <v>0</v>
          </cell>
          <cell r="N41">
            <v>0</v>
          </cell>
          <cell r="P41">
            <v>0</v>
          </cell>
        </row>
      </sheetData>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MW-Cache"/>
      <sheetName val="MWA RR_NOVN.VX"/>
      <sheetName val="Qrtly Sales"/>
      <sheetName val=" Qrtly P&amp;L"/>
      <sheetName val="Div SOP"/>
      <sheetName val="BalanceSheet"/>
      <sheetName val="CashFlowSt"/>
      <sheetName val="mwareTaxoPres"/>
      <sheetName val="mwareDates"/>
      <sheetName val="mwareSettings"/>
      <sheetName val="Changes to model"/>
      <sheetName val="MW Valuation"/>
      <sheetName val="Scenarios"/>
      <sheetName val="Pipeline"/>
      <sheetName val="Gross Margin"/>
      <sheetName val="Yrly Sales"/>
      <sheetName val="Currency"/>
      <sheetName val="Annual P&amp;L"/>
      <sheetName val="Div P&amp;L"/>
      <sheetName val="Alcon"/>
      <sheetName val=" Qrtly P&amp;L (ex Alcon)"/>
      <sheetName val="Galvus"/>
      <sheetName val="Telbivudine"/>
      <sheetName val="By division"/>
      <sheetName val="DCF 2020"/>
      <sheetName val="Open Platform"/>
      <sheetName val="Product DCF"/>
      <sheetName val="cons"/>
      <sheetName val="Sheet3"/>
      <sheetName val="Sheet1"/>
      <sheetName val="sales sheet for model"/>
      <sheetName val="Novartisfeed"/>
      <sheetName val="DCF"/>
      <sheetName val="MWare_Cached"/>
      <sheetName val="SOP EBITDA"/>
      <sheetName val="SOP PE"/>
      <sheetName val="__FDSCACHE__"/>
      <sheetName val="FutureProducts"/>
      <sheetName val="Sales Charts"/>
      <sheetName val=" Yrly P&amp;L"/>
      <sheetName val="Chiron acquisition"/>
      <sheetName val="Sandoz"/>
      <sheetName val="Restructuring and synergies"/>
      <sheetName val="IFRS adjustments"/>
      <sheetName val="GVAT Adjusted CHF"/>
      <sheetName val="GVAT Adjusted $"/>
      <sheetName val="GVAT RI Valuation"/>
      <sheetName val="GVAT Reported $"/>
      <sheetName val="GVAT pensions CHF"/>
      <sheetName val="GVAT Reported CHF"/>
      <sheetName val="GVAT options CHF"/>
      <sheetName val="RI Valuation"/>
      <sheetName val="Convergence Valuation"/>
      <sheetName val="Model_Template"/>
      <sheetName val="RI GW"/>
      <sheetName val="Key metrics"/>
      <sheetName val="QPreview"/>
      <sheetName val="GE3"/>
      <sheetName val="Sum of parts"/>
      <sheetName val="new sop"/>
      <sheetName val="vildagliptin"/>
      <sheetName val="Product concentration"/>
      <sheetName val="div p&amp;L new"/>
      <sheetName val="mwareValPrintout"/>
      <sheetName val="Zelnorm"/>
      <sheetName val="Gleevec"/>
      <sheetName val="Elidel"/>
      <sheetName val="GE Upload"/>
      <sheetName val="Disclaimer"/>
      <sheetName val="mwareDates_38456_582518"/>
      <sheetName val="Report"/>
      <sheetName val="mwarePreview"/>
      <sheetName val="Primary Care"/>
      <sheetName val=" Qrtly P&amp;Lold"/>
      <sheetName val=" Yrly P&amp;L old"/>
      <sheetName val="Residual Income"/>
      <sheetName val="Tables"/>
      <sheetName val="Page 3"/>
      <sheetName val="Alcon P&amp;L Pro For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row r="149">
          <cell r="C149" t="e">
            <v>#REF!</v>
          </cell>
        </row>
      </sheetData>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opin MF Valuation"/>
      <sheetName val="Accretion-Dilution"/>
      <sheetName val="Synergy Analysis"/>
      <sheetName val="__FDSCACHE__"/>
      <sheetName val="Blended Analysis"/>
      <sheetName val="Operating Eff."/>
      <sheetName val="Step-Up"/>
      <sheetName val="Bach Pro Forma"/>
      <sheetName val="DistributedCo"/>
      <sheetName val="Chopin MF Consolidated"/>
      <sheetName val="Chopin Dist. Cons."/>
      <sheetName val="Chopin Pro Serv Cons."/>
      <sheetName val="Chopin Corp- Unall Cons."/>
      <sheetName val="Chopin Summary Cons."/>
      <sheetName val="Chopin Corp - Unall Uncons."/>
      <sheetName val="Chopin MF Uncons."/>
      <sheetName val="Chopin Dist Uncons."/>
      <sheetName val="Chopin Pro Serv Uncons."/>
      <sheetName val="Chopin Sum Uncons."/>
      <sheetName val="Bach MF"/>
      <sheetName val="Bach Distributed"/>
      <sheetName val="Bach Pro Serv"/>
      <sheetName val="Bach Corp- Unall"/>
      <sheetName val="Bach Summary"/>
    </sheetNames>
    <sheetDataSet>
      <sheetData sheetId="0" refreshError="1">
        <row r="10">
          <cell r="C10">
            <v>0.02</v>
          </cell>
        </row>
      </sheetData>
      <sheetData sheetId="1" refreshError="1">
        <row r="24">
          <cell r="T24">
            <v>16.13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_Assumptions"/>
      <sheetName val="Nickel_Assumptions"/>
      <sheetName val="Nickel_Model"/>
      <sheetName val="Nickel_DCFInputs"/>
      <sheetName val="Nickel_DCFMatrix"/>
      <sheetName val="Bolt_Assumptions"/>
      <sheetName val="Bolt_Model"/>
      <sheetName val="Bolt_DCFInputs"/>
      <sheetName val="Bolt_DCFMatrix"/>
      <sheetName val="FootballField"/>
      <sheetName val="Contribution"/>
      <sheetName val="Ownership"/>
      <sheetName val="Synergy_Premiums"/>
      <sheetName val="Xratio_Ownership"/>
      <sheetName val="Nickel_FSOutput"/>
      <sheetName val="Bolt_FSOutput"/>
    </sheetNames>
    <sheetDataSet>
      <sheetData sheetId="0" refreshError="1">
        <row r="18">
          <cell r="P18">
            <v>129.792754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amp;A inputs"/>
      <sheetName val="M&amp;A Financials"/>
      <sheetName val="PF BS"/>
      <sheetName val="EPS Analysis"/>
      <sheetName val="EPS Tables"/>
      <sheetName val="PF Ownership"/>
      <sheetName val="Sheet1"/>
      <sheetName val="Valuation Matrix"/>
      <sheetName val="Rerating"/>
      <sheetName val="Standalone PPaids"/>
    </sheetNames>
    <sheetDataSet>
      <sheetData sheetId="0" refreshError="1"/>
      <sheetData sheetId="1" refreshError="1">
        <row r="11">
          <cell r="J11" t="str">
            <v>Bear</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Matrix"/>
      <sheetName val="Overview"/>
      <sheetName val="AD Sensitivities"/>
      <sheetName val="Inputs"/>
      <sheetName val="Funds Output"/>
      <sheetName val="Assumptions"/>
      <sheetName val="PF Credit Stats"/>
      <sheetName val="Module1"/>
      <sheetName val="Module2"/>
      <sheetName val="Pro Forma Balance Sheet"/>
      <sheetName val="PF Financials"/>
      <sheetName val="AccDil"/>
      <sheetName val="JV Assumptions"/>
      <sheetName val="JV AccDil "/>
      <sheetName val="JV Pro Forma Balance Sheet"/>
      <sheetName val="JV Credit Stats "/>
      <sheetName val="JV Financials"/>
      <sheetName val="Returns Analysis"/>
      <sheetName val="Acquiror Financials"/>
      <sheetName val="Target  Financials"/>
      <sheetName val="Target Detail"/>
      <sheetName val="DCF"/>
      <sheetName val="Exit Analysis"/>
      <sheetName val="Buildup"/>
      <sheetName val="Synergies"/>
      <sheetName val="Shareholder Analysis"/>
      <sheetName val="Broncos AccDil Input"/>
      <sheetName val="Broncos AccDil"/>
      <sheetName val="BUD AccDil Input"/>
      <sheetName val="BUD AccDil"/>
      <sheetName val="HEIN AccDil Input"/>
      <sheetName val="HEIN AccDil"/>
      <sheetName val="SAB AccDil Input"/>
      <sheetName val="SAB AccDil"/>
      <sheetName val="PMB AccDil Input"/>
      <sheetName val="PMB AccDil"/>
      <sheetName val="Combination Analysis"/>
      <sheetName val="Strategic JV Analysis"/>
      <sheetName val="MOL AccDil Input"/>
      <sheetName val="MOL AccDil 2"/>
      <sheetName val="MOL AccDil"/>
      <sheetName val="AdditionalPrintCode"/>
      <sheetName val="MainPrintCod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 Inputs"/>
      <sheetName val="Company Inputs"/>
      <sheetName val="MainPrintCode"/>
      <sheetName val="Calcs"/>
      <sheetName val="AccDil Backup"/>
      <sheetName val="AccDil Output"/>
      <sheetName val="Summary Output"/>
      <sheetName val="Mkt. Value Backup"/>
      <sheetName val="Mkt Value Output"/>
      <sheetName val="Debt Page"/>
      <sheetName val="__FDSCACHE__"/>
      <sheetName val="Full Side-By-Side"/>
      <sheetName val="Side-By-Side"/>
      <sheetName val="Braves - Key Assumptions"/>
      <sheetName val="Braves - Summ.Inc. Stmnt"/>
      <sheetName val="NewCo -  Inc. Stmnt  No Divest"/>
      <sheetName val="NewCo - Summ. Inc. Stmnt  Div"/>
      <sheetName val="Angels-Braves Trans Adj."/>
      <sheetName val="Braves - Synergies II"/>
      <sheetName val="Braves-Angels - Synergies"/>
      <sheetName val="Skipper-Angels - Synergies "/>
      <sheetName val="Pirates-Angels - Synergies "/>
      <sheetName val="Braves - Inventory Situation"/>
      <sheetName val="Braves - Income Stmt. Analysis"/>
      <sheetName val="PharmaCo - Summary Income Stmnt"/>
      <sheetName val="Value Creation - Bowman"/>
      <sheetName val="NewCo - Equity Value Bowman"/>
      <sheetName val="NewCo - Equity Value Archer"/>
      <sheetName val="SpinCo Valuation Matrix"/>
      <sheetName val="Key Stats"/>
      <sheetName val="Fin Stats"/>
      <sheetName val="Analyst Estimates"/>
      <sheetName val="Analyst Estimates (Old)"/>
      <sheetName val="Ex Ratio"/>
      <sheetName val="Options"/>
      <sheetName val="FACTSET DOWNLOADS"/>
      <sheetName val="Old Sheets ----&gt;"/>
      <sheetName val="Anti-Trust Case"/>
      <sheetName val="Pirate - EPS Assumptions"/>
      <sheetName val="Changes to MS Sniper Model"/>
      <sheetName val=" Scenario Overview"/>
      <sheetName val="Financial Comparison"/>
      <sheetName val="Sniper - Synergies"/>
      <sheetName val="Pikeman Monarch EPS"/>
      <sheetName val="Matrix"/>
    </sheetNames>
    <sheetDataSet>
      <sheetData sheetId="0" refreshError="1">
        <row r="14">
          <cell r="B14">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page"/>
      <sheetName val="Module2"/>
      <sheetName val="Module1"/>
      <sheetName val="__FDSCACHE__"/>
      <sheetName val="Company Inputs"/>
      <sheetName val="Target&amp;Acquiror"/>
      <sheetName val="Trans"/>
      <sheetName val="Calcs"/>
      <sheetName val="newpage"/>
      <sheetName val="Summary"/>
      <sheetName val="Reconcile"/>
      <sheetName val="Module3"/>
    </sheetNames>
    <sheetDataSet>
      <sheetData sheetId="0"/>
      <sheetData sheetId="1" refreshError="1"/>
      <sheetData sheetId="2" refreshError="1"/>
      <sheetData sheetId="3"/>
      <sheetData sheetId="4" refreshError="1">
        <row r="3">
          <cell r="C3" t="str">
            <v>Elementis</v>
          </cell>
        </row>
        <row r="39">
          <cell r="B39">
            <v>0.37</v>
          </cell>
        </row>
        <row r="41">
          <cell r="C41">
            <v>1.6203000000000001</v>
          </cell>
        </row>
        <row r="43">
          <cell r="C43">
            <v>23.041</v>
          </cell>
        </row>
      </sheetData>
      <sheetData sheetId="5" refreshError="1">
        <row r="2">
          <cell r="C2">
            <v>0</v>
          </cell>
        </row>
      </sheetData>
      <sheetData sheetId="6" refreshError="1">
        <row r="11">
          <cell r="E11">
            <v>0</v>
          </cell>
        </row>
        <row r="17">
          <cell r="C17">
            <v>1.6203000000000001</v>
          </cell>
        </row>
        <row r="23">
          <cell r="I23" t="str">
            <v>PROJECT STAR</v>
          </cell>
        </row>
      </sheetData>
      <sheetData sheetId="7" refreshError="1">
        <row r="10">
          <cell r="C10">
            <v>37.568275800000002</v>
          </cell>
        </row>
        <row r="45">
          <cell r="G45">
            <v>24.193999999999999</v>
          </cell>
        </row>
      </sheetData>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ensitivity (Growth) (2)"/>
      <sheetName val="DCF Sensitivity (EBITDA)"/>
      <sheetName val="FB Field Backup"/>
      <sheetName val="CRailDCF"/>
      <sheetName val="DCF Inputs"/>
      <sheetName val="DCF Matrix"/>
      <sheetName val="INPUTS"/>
      <sheetName val="Dallas Trans Assump"/>
      <sheetName val="RONA"/>
      <sheetName val="ValMatrix"/>
      <sheetName val="AccDil"/>
      <sheetName val="Merger Summary"/>
      <sheetName val="PF Adjust"/>
      <sheetName val="Dallas Pro Forma"/>
      <sheetName val="Dallas Standalone"/>
      <sheetName val="Dallas Cases"/>
      <sheetName val="Segment Valuations"/>
      <sheetName val="Light Duty Sales"/>
      <sheetName val="1998 Balance Sheet"/>
      <sheetName val="Light Duty"/>
      <sheetName val="Medium Duty"/>
      <sheetName val="Heavy Duty"/>
      <sheetName val="Heavy Industrial"/>
      <sheetName val="International"/>
      <sheetName val="Aftermarket"/>
      <sheetName val="Adjustment"/>
      <sheetName val="Laredo Standalone"/>
      <sheetName val="Module16"/>
      <sheetName val="Module17"/>
      <sheetName val="Module19"/>
      <sheetName val="Module20"/>
      <sheetName val="Laredo Cases"/>
      <sheetName val="Common Rail"/>
      <sheetName val="MainPrint Code"/>
      <sheetName val="AdditionalPrint Code"/>
      <sheetName val="AdditionalPrintCode"/>
      <sheetName val="MainPrintCode"/>
      <sheetName val="Module2"/>
      <sheetName val="Module3"/>
      <sheetName val="__FDSCACHE__"/>
      <sheetName val="InitialPrintDialog"/>
      <sheetName val="DCF Code"/>
      <sheetName val="DCFprintDialog"/>
      <sheetName val="FMO"/>
      <sheetName val="BorgWarner"/>
      <sheetName val="Siemens"/>
      <sheetName val="Valeo"/>
      <sheetName val="Rheinmetall"/>
      <sheetName val="98 vs 99"/>
      <sheetName val="MiniSummary"/>
      <sheetName val="Module6"/>
      <sheetName val="Module7"/>
      <sheetName val="Module1"/>
      <sheetName val="Module4"/>
      <sheetName val="Module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Trans_Inputs"/>
      <sheetName val="Target_Sum"/>
      <sheetName val="Acquiror_Sum"/>
      <sheetName val="NI_Analysis"/>
      <sheetName val="Presentation_Output"/>
      <sheetName val="Dura Income Statement"/>
      <sheetName val="Dura Adjusted IS"/>
      <sheetName val="__FDSCACHE__"/>
      <sheetName val="Share_Calculations"/>
      <sheetName val="SEPR Adjusted IS"/>
      <sheetName val="Public_Macro"/>
      <sheetName val="Private_Macro"/>
      <sheetName val="Module2"/>
      <sheetName val="Module3"/>
      <sheetName val="Module1"/>
      <sheetName val="Module4"/>
      <sheetName val="Module5"/>
      <sheetName val="Module6"/>
      <sheetName val="Module7"/>
    </sheetNames>
    <sheetDataSet>
      <sheetData sheetId="0" refreshError="1">
        <row r="15">
          <cell r="O15" t="str">
            <v>AAS</v>
          </cell>
          <cell r="Q15" t="str">
            <v>BSX</v>
          </cell>
          <cell r="S15" t="str">
            <v>CNTO</v>
          </cell>
          <cell r="U15" t="str">
            <v>AGPH</v>
          </cell>
          <cell r="W15" t="str">
            <v>PFE</v>
          </cell>
          <cell r="Y15" t="str">
            <v>BGEN</v>
          </cell>
          <cell r="AA15" t="str">
            <v>AMGN</v>
          </cell>
          <cell r="AC15" t="str">
            <v>GNE</v>
          </cell>
          <cell r="AE15" t="str">
            <v>BMY</v>
          </cell>
          <cell r="AG15" t="str">
            <v>CHIR</v>
          </cell>
          <cell r="AI15" t="str">
            <v>LLY</v>
          </cell>
          <cell r="AK15" t="str">
            <v>CLTR</v>
          </cell>
          <cell r="AM15" t="str">
            <v>IDPH</v>
          </cell>
          <cell r="AO15" t="str">
            <v>PGNS</v>
          </cell>
          <cell r="AQ15" t="str">
            <v>PDLI</v>
          </cell>
          <cell r="AS15" t="str">
            <v>GILD</v>
          </cell>
          <cell r="AU15" t="str">
            <v>GELX</v>
          </cell>
          <cell r="AW15" t="str">
            <v>SANG</v>
          </cell>
          <cell r="AY15" t="str">
            <v>ALGO</v>
          </cell>
          <cell r="BA15" t="str">
            <v>DURA</v>
          </cell>
          <cell r="BC15" t="str">
            <v>VPHM</v>
          </cell>
          <cell r="BE15" t="str">
            <v>SUGN</v>
          </cell>
          <cell r="BG15" t="str">
            <v>TRMS</v>
          </cell>
          <cell r="BI15" t="str">
            <v>ONXX</v>
          </cell>
          <cell r="BK15" t="str">
            <v>IMCL</v>
          </cell>
          <cell r="BM15" t="str">
            <v>SEPR</v>
          </cell>
          <cell r="BO15" t="str">
            <v>JNJ</v>
          </cell>
          <cell r="BQ15" t="str">
            <v>BCHE</v>
          </cell>
          <cell r="BS15" t="str">
            <v>ELN</v>
          </cell>
          <cell r="BU15" t="str">
            <v>MRK</v>
          </cell>
          <cell r="BW15" t="str">
            <v>SBH</v>
          </cell>
          <cell r="BY15" t="str">
            <v>AZA</v>
          </cell>
          <cell r="CA15" t="str">
            <v>ELN</v>
          </cell>
          <cell r="CC15" t="str">
            <v>MEDI</v>
          </cell>
          <cell r="CE15" t="str">
            <v>ABT</v>
          </cell>
          <cell r="CG15" t="str">
            <v>SGP</v>
          </cell>
          <cell r="CI15" t="str">
            <v>GLX</v>
          </cell>
          <cell r="CK15" t="str">
            <v>BMY</v>
          </cell>
          <cell r="CM15" t="str">
            <v>FSH</v>
          </cell>
          <cell r="CO15" t="str">
            <v>025212</v>
          </cell>
          <cell r="CQ15" t="str">
            <v>527313</v>
          </cell>
          <cell r="CS15" t="str">
            <v>484760</v>
          </cell>
          <cell r="CU15" t="str">
            <v>SHPGY</v>
          </cell>
        </row>
        <row r="16">
          <cell r="O16" t="str">
            <v>AAS</v>
          </cell>
          <cell r="Q16" t="str">
            <v>BSX</v>
          </cell>
          <cell r="S16" t="str">
            <v>CNTO</v>
          </cell>
          <cell r="U16" t="str">
            <v>AGPH</v>
          </cell>
          <cell r="W16" t="str">
            <v>PFE</v>
          </cell>
          <cell r="Y16" t="str">
            <v>BGEN</v>
          </cell>
          <cell r="AA16" t="str">
            <v>AMGN</v>
          </cell>
          <cell r="AC16" t="str">
            <v>GNE</v>
          </cell>
          <cell r="AE16" t="str">
            <v>BMY</v>
          </cell>
          <cell r="AG16" t="str">
            <v>CHIR</v>
          </cell>
          <cell r="AI16" t="str">
            <v>LLY</v>
          </cell>
          <cell r="AK16" t="str">
            <v>CLTR</v>
          </cell>
          <cell r="AM16" t="str">
            <v>IDPH</v>
          </cell>
          <cell r="AO16" t="str">
            <v>PGNS</v>
          </cell>
          <cell r="AQ16" t="str">
            <v>PDLI</v>
          </cell>
          <cell r="AS16" t="str">
            <v>GILD</v>
          </cell>
          <cell r="AU16" t="str">
            <v>GELX</v>
          </cell>
          <cell r="AW16" t="str">
            <v>SANG</v>
          </cell>
          <cell r="AY16" t="str">
            <v>ALGO</v>
          </cell>
          <cell r="BA16" t="str">
            <v>DURA</v>
          </cell>
          <cell r="BC16" t="str">
            <v>VPHM</v>
          </cell>
          <cell r="BE16" t="str">
            <v>SUGN</v>
          </cell>
          <cell r="BG16" t="str">
            <v>TRMS</v>
          </cell>
          <cell r="BI16" t="str">
            <v>ONXX</v>
          </cell>
          <cell r="BK16" t="str">
            <v>IMCL</v>
          </cell>
          <cell r="BM16" t="str">
            <v>SEPR</v>
          </cell>
          <cell r="BO16" t="str">
            <v>JNJ</v>
          </cell>
          <cell r="BQ16" t="str">
            <v>BCHE</v>
          </cell>
          <cell r="BS16" t="str">
            <v>ELN</v>
          </cell>
          <cell r="BU16" t="str">
            <v>MRK</v>
          </cell>
          <cell r="BW16" t="str">
            <v>SBH</v>
          </cell>
          <cell r="BY16" t="str">
            <v>AZA</v>
          </cell>
          <cell r="CA16" t="str">
            <v>ELN</v>
          </cell>
          <cell r="CC16" t="str">
            <v>MEDI</v>
          </cell>
          <cell r="CE16" t="str">
            <v>ABT</v>
          </cell>
          <cell r="CG16" t="str">
            <v>SGP</v>
          </cell>
          <cell r="CI16" t="str">
            <v>GLX</v>
          </cell>
          <cell r="CK16" t="str">
            <v>BMY</v>
          </cell>
          <cell r="CM16" t="str">
            <v>FSH</v>
          </cell>
          <cell r="CO16" t="str">
            <v>OXFORD</v>
          </cell>
          <cell r="CQ16" t="str">
            <v>ALTANA</v>
          </cell>
          <cell r="CS16" t="str">
            <v>SCHWARZ</v>
          </cell>
          <cell r="CU16" t="str">
            <v>SHIRE</v>
          </cell>
        </row>
        <row r="17">
          <cell r="P17" t="str">
            <v xml:space="preserve"> </v>
          </cell>
          <cell r="R17" t="str">
            <v xml:space="preserve"> </v>
          </cell>
          <cell r="V17" t="str">
            <v xml:space="preserve"> </v>
          </cell>
          <cell r="AD17" t="str">
            <v xml:space="preserve"> </v>
          </cell>
          <cell r="AF17" t="str">
            <v xml:space="preserve"> </v>
          </cell>
          <cell r="AJ17" t="str">
            <v xml:space="preserve"> </v>
          </cell>
          <cell r="AL17" t="str">
            <v xml:space="preserve"> </v>
          </cell>
          <cell r="AN17" t="str">
            <v xml:space="preserve"> </v>
          </cell>
          <cell r="BV17" t="str">
            <v xml:space="preserve"> </v>
          </cell>
          <cell r="BX17" t="str">
            <v xml:space="preserve"> </v>
          </cell>
          <cell r="BZ17" t="str">
            <v xml:space="preserve"> </v>
          </cell>
        </row>
        <row r="18">
          <cell r="P18" t="str">
            <v xml:space="preserve"> </v>
          </cell>
          <cell r="R18" t="str">
            <v xml:space="preserve"> </v>
          </cell>
          <cell r="V18" t="str">
            <v xml:space="preserve"> </v>
          </cell>
          <cell r="AD18" t="str">
            <v xml:space="preserve"> </v>
          </cell>
          <cell r="AF18" t="str">
            <v xml:space="preserve"> </v>
          </cell>
          <cell r="AJ18" t="str">
            <v xml:space="preserve"> </v>
          </cell>
          <cell r="AL18" t="str">
            <v xml:space="preserve"> </v>
          </cell>
          <cell r="AN18" t="str">
            <v xml:space="preserve"> </v>
          </cell>
          <cell r="BV18" t="str">
            <v xml:space="preserve"> </v>
          </cell>
          <cell r="BX18" t="str">
            <v xml:space="preserve"> </v>
          </cell>
          <cell r="BZ18" t="str">
            <v xml:space="preserve"> </v>
          </cell>
        </row>
        <row r="21">
          <cell r="P21" t="str">
            <v xml:space="preserve"> </v>
          </cell>
        </row>
        <row r="22">
          <cell r="P22" t="str">
            <v xml:space="preserve"> </v>
          </cell>
        </row>
        <row r="23">
          <cell r="O23" t="str">
            <v>AMERISOURCE HEALTH CP  -CL A</v>
          </cell>
          <cell r="P23" t="str">
            <v xml:space="preserve"> </v>
          </cell>
          <cell r="Q23" t="str">
            <v>BOSTON SCIENTIFIC CORP</v>
          </cell>
          <cell r="R23" t="str">
            <v xml:space="preserve"> </v>
          </cell>
          <cell r="S23" t="str">
            <v>Centocor</v>
          </cell>
          <cell r="U23" t="str">
            <v>Agouron Pharma</v>
          </cell>
          <cell r="W23" t="str">
            <v>Pfizer</v>
          </cell>
          <cell r="Y23" t="str">
            <v>Biogen</v>
          </cell>
          <cell r="AA23" t="str">
            <v>Amgen</v>
          </cell>
          <cell r="AC23" t="str">
            <v>Genentech</v>
          </cell>
          <cell r="AE23" t="str">
            <v>Bristol-Myers Squibb</v>
          </cell>
          <cell r="AG23" t="str">
            <v>Chiron</v>
          </cell>
          <cell r="AI23" t="str">
            <v>Eli Lilly</v>
          </cell>
          <cell r="AK23" t="str">
            <v>Coulter</v>
          </cell>
          <cell r="AM23" t="str">
            <v>IDEC</v>
          </cell>
          <cell r="AO23" t="str">
            <v>Pathogenesis</v>
          </cell>
          <cell r="AQ23" t="str">
            <v>PROTEIN DESIGN LABS INC</v>
          </cell>
          <cell r="AS23" t="str">
            <v>GILEAD SCIENCES INC</v>
          </cell>
          <cell r="AU23" t="str">
            <v>GELTEX PHARMACEUTICALS INC</v>
          </cell>
          <cell r="AW23" t="str">
            <v>SANGSTAT MEDICAL CORP</v>
          </cell>
          <cell r="AY23" t="str">
            <v>ALGOS PHARMACEUTICAL CORP</v>
          </cell>
          <cell r="BA23" t="str">
            <v>DURA PHARMACEUTICALS INC</v>
          </cell>
          <cell r="BC23" t="str">
            <v>VIROPHARMA INC</v>
          </cell>
          <cell r="BE23" t="str">
            <v>SUGEN INC</v>
          </cell>
          <cell r="BG23" t="str">
            <v>TRIMERIS INC</v>
          </cell>
          <cell r="BI23" t="str">
            <v>ONYX PHARMACEUTICALS INC</v>
          </cell>
          <cell r="BK23" t="str">
            <v>IMCLONE SYSTEMS INC</v>
          </cell>
          <cell r="BM23" t="str">
            <v>SEPRACOR INC</v>
          </cell>
          <cell r="BO23" t="str">
            <v>JOHNSON &amp; JOHNSON</v>
          </cell>
          <cell r="BQ23" t="str">
            <v>BIOCHEM PHARMA INC</v>
          </cell>
          <cell r="BS23" t="str">
            <v>Elan</v>
          </cell>
          <cell r="BU23" t="str">
            <v>Merck</v>
          </cell>
          <cell r="BW23" t="str">
            <v>SmithKline</v>
          </cell>
          <cell r="BY23" t="str">
            <v>Alza</v>
          </cell>
          <cell r="CA23" t="str">
            <v>Elan</v>
          </cell>
          <cell r="CC23" t="str">
            <v>MEDIMMUNE INC</v>
          </cell>
          <cell r="CE23" t="str">
            <v>ABBOTT LABORATORIES</v>
          </cell>
          <cell r="CG23" t="str">
            <v>SCHERING-PLOUGH</v>
          </cell>
          <cell r="CI23" t="str">
            <v>GLAXO WELLCOME PLC  -SP ADR</v>
          </cell>
          <cell r="CK23" t="str">
            <v>BRISTOL MYERS SQUIBB</v>
          </cell>
          <cell r="CM23" t="str">
            <v>FISHER SCIENTIFIC INTL INC</v>
          </cell>
          <cell r="CO23" t="str">
            <v>OXFORD ASYMMETRY I</v>
          </cell>
          <cell r="CQ23" t="str">
            <v>ALTANA AG</v>
          </cell>
          <cell r="CS23" t="str">
            <v>SCHWARZ PHARMA AG</v>
          </cell>
          <cell r="CU23" t="str">
            <v>SHIRE PHARMACETCLS GRP  -ADR</v>
          </cell>
        </row>
        <row r="24">
          <cell r="O24" t="str">
            <v>AAS</v>
          </cell>
          <cell r="P24" t="str">
            <v xml:space="preserve"> </v>
          </cell>
          <cell r="Q24" t="str">
            <v>BSX</v>
          </cell>
          <cell r="R24" t="str">
            <v xml:space="preserve"> </v>
          </cell>
          <cell r="S24" t="str">
            <v>CNTO</v>
          </cell>
          <cell r="U24" t="str">
            <v>AGPH</v>
          </cell>
          <cell r="W24" t="str">
            <v>PFE</v>
          </cell>
          <cell r="Y24" t="str">
            <v>BGEN</v>
          </cell>
          <cell r="AA24" t="str">
            <v>AMGN</v>
          </cell>
          <cell r="AC24" t="str">
            <v>GNE</v>
          </cell>
          <cell r="AE24" t="str">
            <v>BMY</v>
          </cell>
          <cell r="AG24" t="str">
            <v>CHIR</v>
          </cell>
          <cell r="AI24" t="str">
            <v>LLY</v>
          </cell>
          <cell r="AK24" t="str">
            <v>CLTR</v>
          </cell>
          <cell r="AM24" t="str">
            <v>IDPH</v>
          </cell>
          <cell r="AO24" t="str">
            <v>PGNS</v>
          </cell>
          <cell r="AQ24" t="str">
            <v>PDLI</v>
          </cell>
          <cell r="AS24" t="str">
            <v>GILD</v>
          </cell>
          <cell r="AU24" t="str">
            <v>GELX</v>
          </cell>
          <cell r="AW24" t="str">
            <v>SANG</v>
          </cell>
          <cell r="AY24" t="str">
            <v>ALGO</v>
          </cell>
          <cell r="BA24" t="str">
            <v>DURA</v>
          </cell>
          <cell r="BC24" t="str">
            <v>VPHM</v>
          </cell>
          <cell r="BE24" t="str">
            <v>SUGN</v>
          </cell>
          <cell r="BG24" t="str">
            <v>TRMS</v>
          </cell>
          <cell r="BI24" t="str">
            <v>ONXX</v>
          </cell>
          <cell r="BK24" t="str">
            <v>IMCL</v>
          </cell>
          <cell r="BM24" t="str">
            <v>SEPR</v>
          </cell>
          <cell r="BO24" t="str">
            <v>JNJ</v>
          </cell>
          <cell r="BQ24" t="str">
            <v>BCHE</v>
          </cell>
          <cell r="BS24" t="str">
            <v>ELN</v>
          </cell>
          <cell r="BU24" t="str">
            <v>MRK</v>
          </cell>
          <cell r="BW24" t="str">
            <v>SBH</v>
          </cell>
          <cell r="BY24" t="str">
            <v>AZA</v>
          </cell>
          <cell r="CA24" t="str">
            <v>ELN</v>
          </cell>
          <cell r="CC24" t="str">
            <v>MEDI</v>
          </cell>
          <cell r="CE24" t="str">
            <v>ABT</v>
          </cell>
          <cell r="CG24" t="str">
            <v>SGP</v>
          </cell>
          <cell r="CI24" t="str">
            <v>GLX</v>
          </cell>
          <cell r="CK24" t="str">
            <v>BMY</v>
          </cell>
          <cell r="CM24" t="str">
            <v>FSH</v>
          </cell>
          <cell r="CO24" t="str">
            <v>025212</v>
          </cell>
          <cell r="CQ24" t="str">
            <v>527313</v>
          </cell>
          <cell r="CS24" t="str">
            <v>484760</v>
          </cell>
          <cell r="CU24" t="str">
            <v>SHPGY</v>
          </cell>
        </row>
        <row r="25">
          <cell r="O25">
            <v>9</v>
          </cell>
          <cell r="P25" t="str">
            <v xml:space="preserve"> </v>
          </cell>
          <cell r="Q25">
            <v>12</v>
          </cell>
          <cell r="R25" t="str">
            <v xml:space="preserve"> </v>
          </cell>
          <cell r="S25">
            <v>12</v>
          </cell>
          <cell r="U25">
            <v>6</v>
          </cell>
          <cell r="W25">
            <v>12</v>
          </cell>
          <cell r="Y25">
            <v>12</v>
          </cell>
          <cell r="AA25">
            <v>12</v>
          </cell>
          <cell r="AC25">
            <v>12</v>
          </cell>
          <cell r="AE25">
            <v>12</v>
          </cell>
          <cell r="AG25">
            <v>12</v>
          </cell>
          <cell r="AI25">
            <v>12</v>
          </cell>
          <cell r="AK25">
            <v>12</v>
          </cell>
          <cell r="AM25">
            <v>12</v>
          </cell>
          <cell r="AO25">
            <v>12</v>
          </cell>
          <cell r="AQ25">
            <v>12</v>
          </cell>
          <cell r="AS25">
            <v>12</v>
          </cell>
          <cell r="AU25">
            <v>12</v>
          </cell>
          <cell r="AW25">
            <v>12</v>
          </cell>
          <cell r="AY25">
            <v>12</v>
          </cell>
          <cell r="BA25">
            <v>12</v>
          </cell>
          <cell r="BC25">
            <v>12</v>
          </cell>
          <cell r="BE25">
            <v>12</v>
          </cell>
          <cell r="BG25">
            <v>12</v>
          </cell>
          <cell r="BI25">
            <v>12</v>
          </cell>
          <cell r="BK25">
            <v>12</v>
          </cell>
          <cell r="BM25">
            <v>12</v>
          </cell>
          <cell r="BO25">
            <v>12</v>
          </cell>
          <cell r="BQ25">
            <v>12</v>
          </cell>
          <cell r="BS25">
            <v>12</v>
          </cell>
          <cell r="BU25">
            <v>12</v>
          </cell>
          <cell r="BW25">
            <v>12</v>
          </cell>
          <cell r="BY25">
            <v>12</v>
          </cell>
          <cell r="CA25">
            <v>12</v>
          </cell>
          <cell r="CC25">
            <v>12</v>
          </cell>
          <cell r="CE25">
            <v>12</v>
          </cell>
          <cell r="CG25">
            <v>12</v>
          </cell>
          <cell r="CI25">
            <v>12</v>
          </cell>
          <cell r="CK25">
            <v>12</v>
          </cell>
          <cell r="CM25">
            <v>12</v>
          </cell>
          <cell r="CO25">
            <v>12</v>
          </cell>
          <cell r="CQ25">
            <v>12</v>
          </cell>
          <cell r="CS25">
            <v>12</v>
          </cell>
          <cell r="CU25">
            <v>12</v>
          </cell>
        </row>
        <row r="26">
          <cell r="P26" t="str">
            <v xml:space="preserve"> </v>
          </cell>
          <cell r="R26" t="str">
            <v xml:space="preserve"> </v>
          </cell>
        </row>
        <row r="27">
          <cell r="P27" t="str">
            <v xml:space="preserve"> </v>
          </cell>
          <cell r="R27" t="str">
            <v xml:space="preserve"> </v>
          </cell>
        </row>
        <row r="28">
          <cell r="O28">
            <v>1.06</v>
          </cell>
          <cell r="P28" t="str">
            <v xml:space="preserve"> </v>
          </cell>
          <cell r="Q28">
            <v>1.66</v>
          </cell>
          <cell r="R28" t="str">
            <v xml:space="preserve"> </v>
          </cell>
          <cell r="S28">
            <v>0.16</v>
          </cell>
          <cell r="U28">
            <v>0.4</v>
          </cell>
          <cell r="W28">
            <v>1.7</v>
          </cell>
          <cell r="Y28">
            <v>1.17</v>
          </cell>
          <cell r="AA28">
            <v>2.44</v>
          </cell>
          <cell r="AC28">
            <v>1.05</v>
          </cell>
          <cell r="AE28">
            <v>3.22</v>
          </cell>
          <cell r="AG28">
            <v>-0.41</v>
          </cell>
          <cell r="AI28">
            <v>0.77</v>
          </cell>
          <cell r="AK28">
            <v>-2.58</v>
          </cell>
          <cell r="AM28">
            <v>0.92</v>
          </cell>
          <cell r="AO28">
            <v>-2.1</v>
          </cell>
          <cell r="AQ28">
            <v>-1.35</v>
          </cell>
          <cell r="AS28">
            <v>-0.95</v>
          </cell>
          <cell r="AU28">
            <v>-1.8</v>
          </cell>
          <cell r="AW28">
            <v>-1.36</v>
          </cell>
          <cell r="AY28">
            <v>-0.98</v>
          </cell>
          <cell r="BA28">
            <v>0.44</v>
          </cell>
          <cell r="BC28">
            <v>-1.1299999999999999</v>
          </cell>
          <cell r="BE28">
            <v>-2.4700000000000002</v>
          </cell>
          <cell r="BG28">
            <v>-1.55</v>
          </cell>
          <cell r="BI28">
            <v>-1.65</v>
          </cell>
          <cell r="BK28">
            <v>-0.67</v>
          </cell>
          <cell r="BM28">
            <v>-3.23</v>
          </cell>
          <cell r="BO28">
            <v>2.67</v>
          </cell>
          <cell r="BQ28">
            <v>0.5247473303384026</v>
          </cell>
          <cell r="BS28">
            <v>1.58</v>
          </cell>
          <cell r="BU28">
            <v>3.74</v>
          </cell>
          <cell r="BW28">
            <v>1.61</v>
          </cell>
          <cell r="BY28">
            <v>0.55000000000000004</v>
          </cell>
          <cell r="CA28">
            <v>1.58</v>
          </cell>
          <cell r="CC28">
            <v>-1.6</v>
          </cell>
          <cell r="CE28">
            <v>2.68</v>
          </cell>
          <cell r="CG28">
            <v>0.97499999999999998</v>
          </cell>
          <cell r="CI28">
            <v>1.61</v>
          </cell>
          <cell r="CK28">
            <v>1.58</v>
          </cell>
          <cell r="CM28">
            <v>-1.24</v>
          </cell>
          <cell r="CO28" t="e">
            <v>#N/A</v>
          </cell>
          <cell r="CQ28" t="e">
            <v>#N/A</v>
          </cell>
          <cell r="CS28" t="e">
            <v>#N/A</v>
          </cell>
          <cell r="CU28">
            <v>-0.03</v>
          </cell>
        </row>
        <row r="29">
          <cell r="O29">
            <v>1.2050000000000001</v>
          </cell>
          <cell r="P29" t="str">
            <v xml:space="preserve"> </v>
          </cell>
          <cell r="Q29">
            <v>-0.57500000000000007</v>
          </cell>
          <cell r="R29" t="str">
            <v xml:space="preserve"> </v>
          </cell>
          <cell r="S29">
            <v>0.18173897556457919</v>
          </cell>
          <cell r="U29">
            <v>0.5</v>
          </cell>
          <cell r="W29">
            <v>1.7</v>
          </cell>
          <cell r="Y29">
            <v>1.6799999999999997</v>
          </cell>
          <cell r="AA29">
            <v>2.44</v>
          </cell>
          <cell r="AC29">
            <v>1.1200000000000001</v>
          </cell>
          <cell r="AE29">
            <v>3.3400000000000003</v>
          </cell>
          <cell r="AG29">
            <v>-0.31999999999999995</v>
          </cell>
          <cell r="AI29">
            <v>0.86</v>
          </cell>
          <cell r="AK29">
            <v>-2.79</v>
          </cell>
          <cell r="AM29">
            <v>0.92</v>
          </cell>
          <cell r="AO29">
            <v>-0.41999999999999993</v>
          </cell>
          <cell r="AQ29">
            <v>-1.1100000000000001</v>
          </cell>
          <cell r="AS29">
            <v>-1.7299999999999998</v>
          </cell>
          <cell r="AU29">
            <v>-1.95</v>
          </cell>
          <cell r="AW29">
            <v>-1.9800000000000004</v>
          </cell>
          <cell r="AY29">
            <v>-0.98</v>
          </cell>
          <cell r="BA29">
            <v>0.45999999999999996</v>
          </cell>
          <cell r="BC29">
            <v>-1.6999999999999997</v>
          </cell>
          <cell r="BE29">
            <v>-2.5099999999999998</v>
          </cell>
          <cell r="BG29">
            <v>-1.71</v>
          </cell>
          <cell r="BI29">
            <v>-1.7399999999999998</v>
          </cell>
          <cell r="BK29">
            <v>-0.89999999999999991</v>
          </cell>
          <cell r="BM29">
            <v>-3.73</v>
          </cell>
          <cell r="BO29">
            <v>2.67</v>
          </cell>
          <cell r="BQ29">
            <v>0.62688571686170835</v>
          </cell>
          <cell r="BS29">
            <v>1.69</v>
          </cell>
          <cell r="BU29">
            <v>3.8700000000000006</v>
          </cell>
          <cell r="BW29">
            <v>1.61</v>
          </cell>
          <cell r="BY29">
            <v>0.57000000000000006</v>
          </cell>
          <cell r="CA29">
            <v>1.69</v>
          </cell>
          <cell r="CC29">
            <v>-0.5</v>
          </cell>
          <cell r="CE29">
            <v>2.8100000000000005</v>
          </cell>
          <cell r="CG29">
            <v>1.1299999999999999</v>
          </cell>
          <cell r="CI29">
            <v>1.61</v>
          </cell>
          <cell r="CK29">
            <v>1.655</v>
          </cell>
          <cell r="CM29">
            <v>-0.10000003</v>
          </cell>
          <cell r="CO29" t="e">
            <v>#N/A</v>
          </cell>
          <cell r="CQ29" t="e">
            <v>#N/A</v>
          </cell>
          <cell r="CS29" t="e">
            <v>#N/A</v>
          </cell>
          <cell r="CU29">
            <v>-0.03</v>
          </cell>
        </row>
        <row r="30">
          <cell r="O30" t="e">
            <v>#N/A</v>
          </cell>
          <cell r="P30" t="str">
            <v xml:space="preserve"> </v>
          </cell>
          <cell r="Q30">
            <v>1.66</v>
          </cell>
          <cell r="R30" t="str">
            <v xml:space="preserve"> </v>
          </cell>
          <cell r="S30">
            <v>0.16</v>
          </cell>
          <cell r="U30">
            <v>0.50000000000000011</v>
          </cell>
          <cell r="W30">
            <v>1.7</v>
          </cell>
          <cell r="Y30">
            <v>1.17</v>
          </cell>
          <cell r="AA30">
            <v>2.44</v>
          </cell>
          <cell r="AC30">
            <v>1.05</v>
          </cell>
          <cell r="AE30">
            <v>3.22</v>
          </cell>
          <cell r="AG30">
            <v>0.41</v>
          </cell>
          <cell r="AI30">
            <v>0.77</v>
          </cell>
          <cell r="AK30">
            <v>-2.58</v>
          </cell>
          <cell r="AM30">
            <v>-0.83</v>
          </cell>
          <cell r="AO30">
            <v>-2.1</v>
          </cell>
          <cell r="AQ30">
            <v>-1.35</v>
          </cell>
          <cell r="AS30">
            <v>-0.95</v>
          </cell>
          <cell r="AU30">
            <v>-1.8</v>
          </cell>
          <cell r="AW30">
            <v>-1.36</v>
          </cell>
          <cell r="AY30">
            <v>-0.56000000000000005</v>
          </cell>
          <cell r="BA30">
            <v>0.44</v>
          </cell>
          <cell r="BC30">
            <v>-1.1299999999999999</v>
          </cell>
          <cell r="BE30">
            <v>-2.4700000000000002</v>
          </cell>
          <cell r="BG30">
            <v>-1.55</v>
          </cell>
          <cell r="BI30">
            <v>-1.65</v>
          </cell>
          <cell r="BK30">
            <v>-0.67</v>
          </cell>
          <cell r="BM30">
            <v>-3.23</v>
          </cell>
          <cell r="BO30">
            <v>2.41</v>
          </cell>
          <cell r="BQ30">
            <v>0.52</v>
          </cell>
          <cell r="BS30">
            <v>1.58</v>
          </cell>
          <cell r="BU30">
            <v>3.74</v>
          </cell>
          <cell r="BW30">
            <v>1.61</v>
          </cell>
          <cell r="BY30">
            <v>0.56999999999999995</v>
          </cell>
          <cell r="CA30">
            <v>1.58</v>
          </cell>
          <cell r="CC30">
            <v>-1.6</v>
          </cell>
          <cell r="CE30">
            <v>2.68</v>
          </cell>
          <cell r="CG30">
            <v>0.97499999999999998</v>
          </cell>
          <cell r="CI30">
            <v>1.74</v>
          </cell>
          <cell r="CK30">
            <v>1.6975</v>
          </cell>
          <cell r="CM30">
            <v>-1.24</v>
          </cell>
          <cell r="CO30">
            <v>8.5417919999999994E-2</v>
          </cell>
          <cell r="CQ30">
            <v>0</v>
          </cell>
          <cell r="CS30">
            <v>3.2469000000000001</v>
          </cell>
          <cell r="CU30">
            <v>-0.03</v>
          </cell>
        </row>
        <row r="31">
          <cell r="O31">
            <v>1.2150000000000001</v>
          </cell>
          <cell r="P31" t="str">
            <v xml:space="preserve"> </v>
          </cell>
          <cell r="Q31">
            <v>1.1000000000000001</v>
          </cell>
          <cell r="R31" t="str">
            <v xml:space="preserve"> </v>
          </cell>
          <cell r="S31">
            <v>0.75</v>
          </cell>
          <cell r="U31">
            <v>1.08</v>
          </cell>
          <cell r="W31">
            <v>0.81</v>
          </cell>
          <cell r="Y31">
            <v>1.35</v>
          </cell>
          <cell r="AA31">
            <v>1.95</v>
          </cell>
          <cell r="AC31" t="str">
            <v>N.A.</v>
          </cell>
          <cell r="AE31">
            <v>2.0499999999999998</v>
          </cell>
          <cell r="AG31">
            <v>0.61</v>
          </cell>
          <cell r="AI31">
            <v>2.2800000000000002</v>
          </cell>
          <cell r="AK31">
            <v>-2.08</v>
          </cell>
          <cell r="AM31">
            <v>0.92</v>
          </cell>
          <cell r="AO31">
            <v>0.34</v>
          </cell>
          <cell r="AQ31">
            <v>-0.42</v>
          </cell>
          <cell r="AS31">
            <v>-1.6500000000000001</v>
          </cell>
          <cell r="AU31">
            <v>-0.84</v>
          </cell>
          <cell r="AW31">
            <v>-1.6</v>
          </cell>
          <cell r="AY31">
            <v>-0.98</v>
          </cell>
          <cell r="BA31">
            <v>0.71</v>
          </cell>
          <cell r="BC31">
            <v>-2.04</v>
          </cell>
          <cell r="BE31">
            <v>-2.52</v>
          </cell>
          <cell r="BG31">
            <v>-1.93</v>
          </cell>
          <cell r="BI31" t="str">
            <v>N.A.</v>
          </cell>
          <cell r="BK31">
            <v>-0.42</v>
          </cell>
          <cell r="BM31">
            <v>-4.42</v>
          </cell>
          <cell r="BO31">
            <v>2.67</v>
          </cell>
          <cell r="BQ31">
            <v>0.87120000000000009</v>
          </cell>
          <cell r="BS31">
            <v>1.23</v>
          </cell>
          <cell r="BU31">
            <v>2.4500000000000002</v>
          </cell>
          <cell r="BW31">
            <v>1.9000000000000001</v>
          </cell>
          <cell r="BY31">
            <v>1.49</v>
          </cell>
          <cell r="CA31">
            <v>1.23</v>
          </cell>
          <cell r="CC31">
            <v>1</v>
          </cell>
          <cell r="CE31">
            <v>1.68</v>
          </cell>
          <cell r="CG31">
            <v>1.4000000000000001</v>
          </cell>
          <cell r="CI31">
            <v>1.61</v>
          </cell>
          <cell r="CK31">
            <v>2.1174999999999997</v>
          </cell>
          <cell r="CM31" t="str">
            <v>N.A.</v>
          </cell>
          <cell r="CO31">
            <v>0.14803632</v>
          </cell>
          <cell r="CQ31">
            <v>3.3226610000000005</v>
          </cell>
          <cell r="CS31">
            <v>3.4633600000000002</v>
          </cell>
          <cell r="CU31">
            <v>0.21</v>
          </cell>
        </row>
        <row r="32">
          <cell r="O32">
            <v>1.7649999999999999</v>
          </cell>
          <cell r="P32" t="str">
            <v xml:space="preserve"> </v>
          </cell>
          <cell r="Q32">
            <v>1.4000000000000001</v>
          </cell>
          <cell r="R32" t="str">
            <v xml:space="preserve"> </v>
          </cell>
          <cell r="S32">
            <v>1.5</v>
          </cell>
          <cell r="U32">
            <v>0.77999999999999992</v>
          </cell>
          <cell r="W32">
            <v>0.98</v>
          </cell>
          <cell r="Y32">
            <v>1.6</v>
          </cell>
          <cell r="AA32">
            <v>2.2000000000000002</v>
          </cell>
          <cell r="AC32" t="str">
            <v>N.A.</v>
          </cell>
          <cell r="AE32">
            <v>2.3199999999999998</v>
          </cell>
          <cell r="AG32">
            <v>0.75</v>
          </cell>
          <cell r="AI32">
            <v>2.68</v>
          </cell>
          <cell r="AK32">
            <v>-1.05</v>
          </cell>
          <cell r="AM32">
            <v>1.84</v>
          </cell>
          <cell r="AO32">
            <v>-0.46500000000000002</v>
          </cell>
          <cell r="AQ32">
            <v>0.1</v>
          </cell>
          <cell r="AS32">
            <v>-0.18</v>
          </cell>
          <cell r="AU32">
            <v>0.14000000000000001</v>
          </cell>
          <cell r="AW32">
            <v>0.45</v>
          </cell>
          <cell r="AY32">
            <v>-0.31</v>
          </cell>
          <cell r="BA32">
            <v>0.92500000000000004</v>
          </cell>
          <cell r="BC32">
            <v>-1.8900000000000001</v>
          </cell>
          <cell r="BE32">
            <v>-2.64</v>
          </cell>
          <cell r="BG32">
            <v>-3</v>
          </cell>
          <cell r="BI32" t="str">
            <v>N.A.</v>
          </cell>
          <cell r="BK32">
            <v>-1.6600000000000001</v>
          </cell>
          <cell r="BM32">
            <v>-4.32</v>
          </cell>
          <cell r="BO32">
            <v>3</v>
          </cell>
          <cell r="BQ32">
            <v>1.1153999999999999</v>
          </cell>
          <cell r="BS32">
            <v>1.55</v>
          </cell>
          <cell r="BU32">
            <v>2.7800000000000002</v>
          </cell>
          <cell r="BW32">
            <v>2.17</v>
          </cell>
          <cell r="BY32">
            <v>1.85</v>
          </cell>
          <cell r="CA32">
            <v>1.55</v>
          </cell>
          <cell r="CC32">
            <v>1.84</v>
          </cell>
          <cell r="CE32">
            <v>1.86</v>
          </cell>
          <cell r="CG32">
            <v>1.6300000000000001</v>
          </cell>
          <cell r="CI32">
            <v>1.82</v>
          </cell>
          <cell r="CK32">
            <v>2.4024999999999999</v>
          </cell>
          <cell r="CM32" t="e">
            <v>#REF!</v>
          </cell>
          <cell r="CO32">
            <v>0.20005776</v>
          </cell>
          <cell r="CQ32">
            <v>3.9503949999999999</v>
          </cell>
          <cell r="CS32">
            <v>3.9095099999999996</v>
          </cell>
          <cell r="CU32">
            <v>0.42</v>
          </cell>
        </row>
        <row r="33">
          <cell r="O33">
            <v>2.121</v>
          </cell>
          <cell r="P33" t="str">
            <v xml:space="preserve"> </v>
          </cell>
          <cell r="Q33">
            <v>1.6500000000000001</v>
          </cell>
          <cell r="R33" t="str">
            <v xml:space="preserve"> </v>
          </cell>
          <cell r="S33">
            <v>1.95</v>
          </cell>
          <cell r="U33">
            <v>0</v>
          </cell>
          <cell r="W33">
            <v>1.17</v>
          </cell>
          <cell r="Y33">
            <v>1.81</v>
          </cell>
          <cell r="AA33">
            <v>2.58</v>
          </cell>
          <cell r="AC33" t="str">
            <v>N.A.</v>
          </cell>
          <cell r="AE33">
            <v>2.65</v>
          </cell>
          <cell r="AG33">
            <v>0.97</v>
          </cell>
          <cell r="AI33">
            <v>3.0500000000000003</v>
          </cell>
          <cell r="AK33">
            <v>0.9</v>
          </cell>
          <cell r="AM33">
            <v>1.85</v>
          </cell>
          <cell r="AO33">
            <v>0.32</v>
          </cell>
          <cell r="AQ33">
            <v>1.02</v>
          </cell>
          <cell r="AS33">
            <v>1.79</v>
          </cell>
          <cell r="AU33">
            <v>1.8900000000000001</v>
          </cell>
          <cell r="AW33">
            <v>2.0300000000000002</v>
          </cell>
          <cell r="AY33">
            <v>1.43</v>
          </cell>
          <cell r="BA33">
            <v>1.2000000000000002</v>
          </cell>
          <cell r="BC33">
            <v>0.37</v>
          </cell>
          <cell r="BE33" t="str">
            <v>N.A.</v>
          </cell>
          <cell r="BG33">
            <v>0.55000000000000004</v>
          </cell>
          <cell r="BI33" t="str">
            <v>N.A.</v>
          </cell>
          <cell r="BK33">
            <v>-0.55000000000000004</v>
          </cell>
          <cell r="BM33">
            <v>0.39</v>
          </cell>
          <cell r="BO33">
            <v>3.39</v>
          </cell>
          <cell r="BQ33" t="str">
            <v>N.A.</v>
          </cell>
          <cell r="BS33">
            <v>1.84</v>
          </cell>
          <cell r="BU33">
            <v>3.0500000000000003</v>
          </cell>
          <cell r="BW33">
            <v>2.64</v>
          </cell>
          <cell r="BY33">
            <v>2.35</v>
          </cell>
          <cell r="CA33">
            <v>1.84</v>
          </cell>
          <cell r="CC33">
            <v>2.56</v>
          </cell>
          <cell r="CE33">
            <v>2.1</v>
          </cell>
          <cell r="CG33">
            <v>1.9000000000000001</v>
          </cell>
          <cell r="CI33">
            <v>2.0499999999999998</v>
          </cell>
          <cell r="CK33">
            <v>2.7361249999999999</v>
          </cell>
          <cell r="CM33" t="e">
            <v>#REF!</v>
          </cell>
          <cell r="CO33">
            <v>0.23827103999999999</v>
          </cell>
          <cell r="CQ33">
            <v>4.6647130000000008</v>
          </cell>
          <cell r="CS33">
            <v>4.2470999999999997</v>
          </cell>
          <cell r="CU33">
            <v>0.83</v>
          </cell>
        </row>
        <row r="34">
          <cell r="O34">
            <v>2.5451999999999999</v>
          </cell>
          <cell r="P34" t="str">
            <v xml:space="preserve"> </v>
          </cell>
          <cell r="Q34">
            <v>2.0625</v>
          </cell>
          <cell r="R34" t="str">
            <v xml:space="preserve"> </v>
          </cell>
          <cell r="S34">
            <v>2.7689999999999997</v>
          </cell>
          <cell r="U34">
            <v>0</v>
          </cell>
          <cell r="W34">
            <v>1.3885559999999999</v>
          </cell>
          <cell r="Y34">
            <v>2.3088360000000003</v>
          </cell>
          <cell r="AA34">
            <v>2.9765459999999999</v>
          </cell>
          <cell r="AC34">
            <v>0</v>
          </cell>
          <cell r="AE34">
            <v>2.9865499999999998</v>
          </cell>
          <cell r="AG34">
            <v>1.2124999999999999</v>
          </cell>
          <cell r="AI34">
            <v>3.5331199999999998</v>
          </cell>
          <cell r="AK34">
            <v>1.4</v>
          </cell>
          <cell r="AM34">
            <v>2.57</v>
          </cell>
          <cell r="AO34">
            <v>2.4700000000000002</v>
          </cell>
          <cell r="AQ34">
            <v>1.224</v>
          </cell>
          <cell r="AS34">
            <v>2.327</v>
          </cell>
          <cell r="AU34">
            <v>2.4570000000000003</v>
          </cell>
          <cell r="AW34">
            <v>2.0300000000000002</v>
          </cell>
          <cell r="AY34">
            <v>2.95</v>
          </cell>
          <cell r="BA34">
            <v>1.41</v>
          </cell>
          <cell r="BC34">
            <v>0.13</v>
          </cell>
          <cell r="BE34">
            <v>0</v>
          </cell>
          <cell r="BG34">
            <v>0.55000000000000004</v>
          </cell>
          <cell r="BI34">
            <v>0</v>
          </cell>
          <cell r="BK34">
            <v>-0.25</v>
          </cell>
          <cell r="BM34">
            <v>6.29</v>
          </cell>
          <cell r="BO34">
            <v>3.81</v>
          </cell>
          <cell r="BQ34">
            <v>0</v>
          </cell>
          <cell r="BS34">
            <v>5.0599999999999996</v>
          </cell>
          <cell r="BU34">
            <v>6.17</v>
          </cell>
          <cell r="BW34">
            <v>2.9940240000000005</v>
          </cell>
          <cell r="BY34">
            <v>3.39</v>
          </cell>
          <cell r="CA34">
            <v>5.0599999999999996</v>
          </cell>
          <cell r="CC34">
            <v>3.7376</v>
          </cell>
          <cell r="CE34">
            <v>2.3520000000000003</v>
          </cell>
          <cell r="CG34">
            <v>2.2040000000000002</v>
          </cell>
          <cell r="CI34">
            <v>2.3000000000000003</v>
          </cell>
          <cell r="CK34">
            <v>3.0918212499999993</v>
          </cell>
          <cell r="CM34" t="e">
            <v>#REF!</v>
          </cell>
          <cell r="CO34">
            <v>0.216756</v>
          </cell>
          <cell r="CQ34">
            <v>5.5090260530000013</v>
          </cell>
          <cell r="CS34">
            <v>4.0510799999999998</v>
          </cell>
          <cell r="CU34">
            <v>1.21</v>
          </cell>
        </row>
        <row r="35">
          <cell r="O35" t="e">
            <v>#N/A</v>
          </cell>
          <cell r="Q35">
            <v>1.66</v>
          </cell>
          <cell r="S35">
            <v>0.16</v>
          </cell>
          <cell r="U35">
            <v>0.4</v>
          </cell>
          <cell r="W35">
            <v>1.7</v>
          </cell>
          <cell r="Y35">
            <v>1.17</v>
          </cell>
          <cell r="AA35">
            <v>2.44</v>
          </cell>
          <cell r="AC35">
            <v>1.05</v>
          </cell>
          <cell r="AE35">
            <v>3.22</v>
          </cell>
          <cell r="AG35">
            <v>0.41</v>
          </cell>
          <cell r="AI35">
            <v>0.77</v>
          </cell>
          <cell r="AK35">
            <v>-2.58</v>
          </cell>
          <cell r="AM35">
            <v>-0.83</v>
          </cell>
          <cell r="AO35">
            <v>-2.1</v>
          </cell>
          <cell r="AQ35">
            <v>-1.35</v>
          </cell>
          <cell r="AS35">
            <v>-0.95</v>
          </cell>
          <cell r="AU35">
            <v>-1.8</v>
          </cell>
          <cell r="AW35">
            <v>-1.36</v>
          </cell>
          <cell r="AY35">
            <v>-0.56000000000000005</v>
          </cell>
          <cell r="BA35">
            <v>0.44</v>
          </cell>
          <cell r="BC35">
            <v>-1.1299999999999999</v>
          </cell>
          <cell r="BE35">
            <v>-2.4700000000000002</v>
          </cell>
          <cell r="BG35">
            <v>-1.55</v>
          </cell>
          <cell r="BI35">
            <v>-1.65</v>
          </cell>
          <cell r="BK35">
            <v>-0.67</v>
          </cell>
          <cell r="BM35">
            <v>-3.23</v>
          </cell>
          <cell r="BO35">
            <v>2.41</v>
          </cell>
          <cell r="BQ35">
            <v>0.52</v>
          </cell>
          <cell r="BS35">
            <v>1.58</v>
          </cell>
          <cell r="BU35">
            <v>3.74</v>
          </cell>
          <cell r="BW35">
            <v>1.61</v>
          </cell>
          <cell r="BY35">
            <v>0.56999999999999995</v>
          </cell>
          <cell r="CA35">
            <v>1.58</v>
          </cell>
          <cell r="CC35">
            <v>-1.6</v>
          </cell>
          <cell r="CE35">
            <v>2.68</v>
          </cell>
          <cell r="CG35">
            <v>0.97499999999999998</v>
          </cell>
          <cell r="CI35">
            <v>1.74</v>
          </cell>
          <cell r="CK35">
            <v>1.58</v>
          </cell>
          <cell r="CM35">
            <v>-1.24</v>
          </cell>
          <cell r="CO35">
            <v>8.5417919999999994E-2</v>
          </cell>
          <cell r="CS35">
            <v>3.2469000000000001</v>
          </cell>
          <cell r="CU35">
            <v>-0.03</v>
          </cell>
        </row>
        <row r="36">
          <cell r="O36">
            <v>1.06</v>
          </cell>
          <cell r="Q36">
            <v>1.1000000000000001</v>
          </cell>
          <cell r="S36">
            <v>0.75</v>
          </cell>
          <cell r="U36">
            <v>0.60000000000000009</v>
          </cell>
          <cell r="W36">
            <v>0.81</v>
          </cell>
          <cell r="Y36">
            <v>1.35</v>
          </cell>
          <cell r="AA36">
            <v>1.95</v>
          </cell>
          <cell r="AC36" t="str">
            <v>N.A.</v>
          </cell>
          <cell r="AE36">
            <v>2.0499999999999998</v>
          </cell>
          <cell r="AG36">
            <v>0.61</v>
          </cell>
          <cell r="AI36">
            <v>2.2800000000000002</v>
          </cell>
          <cell r="AK36">
            <v>-2.08</v>
          </cell>
          <cell r="AM36">
            <v>0.92</v>
          </cell>
          <cell r="AO36">
            <v>0.34</v>
          </cell>
          <cell r="AQ36">
            <v>-0.42</v>
          </cell>
          <cell r="AS36">
            <v>-1.6500000000000001</v>
          </cell>
          <cell r="AU36">
            <v>-0.84</v>
          </cell>
          <cell r="AW36">
            <v>-1.6</v>
          </cell>
          <cell r="AY36">
            <v>-0.98</v>
          </cell>
          <cell r="BA36">
            <v>0.71</v>
          </cell>
          <cell r="BC36">
            <v>-2.04</v>
          </cell>
          <cell r="BE36">
            <v>-2.52</v>
          </cell>
          <cell r="BG36">
            <v>-1.93</v>
          </cell>
          <cell r="BI36" t="str">
            <v>N.A.</v>
          </cell>
          <cell r="BK36">
            <v>-0.42</v>
          </cell>
          <cell r="BM36">
            <v>-4.42</v>
          </cell>
          <cell r="BO36">
            <v>2.67</v>
          </cell>
          <cell r="BQ36">
            <v>0.87120000000000009</v>
          </cell>
          <cell r="BS36">
            <v>1.23</v>
          </cell>
          <cell r="BU36">
            <v>2.4500000000000002</v>
          </cell>
          <cell r="BW36">
            <v>1.9000000000000001</v>
          </cell>
          <cell r="BY36">
            <v>1.49</v>
          </cell>
          <cell r="CA36">
            <v>1.23</v>
          </cell>
          <cell r="CC36">
            <v>1</v>
          </cell>
          <cell r="CE36">
            <v>1.68</v>
          </cell>
          <cell r="CG36">
            <v>1.4000000000000001</v>
          </cell>
          <cell r="CI36">
            <v>1.61</v>
          </cell>
          <cell r="CK36">
            <v>2.0499999999999998</v>
          </cell>
          <cell r="CM36" t="str">
            <v>N.A.</v>
          </cell>
          <cell r="CO36">
            <v>0.14803632</v>
          </cell>
          <cell r="CQ36">
            <v>3.3226610000000005</v>
          </cell>
          <cell r="CS36">
            <v>3.4633600000000002</v>
          </cell>
          <cell r="CU36">
            <v>0.21</v>
          </cell>
        </row>
        <row r="37">
          <cell r="O37">
            <v>1.68</v>
          </cell>
          <cell r="Q37">
            <v>1.4000000000000001</v>
          </cell>
          <cell r="S37">
            <v>1.5</v>
          </cell>
          <cell r="U37">
            <v>1.56</v>
          </cell>
          <cell r="W37">
            <v>0.98</v>
          </cell>
          <cell r="Y37">
            <v>1.6</v>
          </cell>
          <cell r="AA37">
            <v>2.2000000000000002</v>
          </cell>
          <cell r="AC37" t="str">
            <v>N.A.</v>
          </cell>
          <cell r="AE37">
            <v>2.3199999999999998</v>
          </cell>
          <cell r="AG37">
            <v>0.75</v>
          </cell>
          <cell r="AI37">
            <v>2.68</v>
          </cell>
          <cell r="AK37">
            <v>-1.05</v>
          </cell>
          <cell r="AM37">
            <v>1.84</v>
          </cell>
          <cell r="AO37">
            <v>-0.46500000000000002</v>
          </cell>
          <cell r="AQ37">
            <v>0.1</v>
          </cell>
          <cell r="AS37">
            <v>-0.18</v>
          </cell>
          <cell r="AU37">
            <v>0.14000000000000001</v>
          </cell>
          <cell r="AW37">
            <v>0.45</v>
          </cell>
          <cell r="AY37">
            <v>-0.31</v>
          </cell>
          <cell r="BA37">
            <v>0.92500000000000004</v>
          </cell>
          <cell r="BC37">
            <v>-1.8900000000000001</v>
          </cell>
          <cell r="BE37">
            <v>-2.64</v>
          </cell>
          <cell r="BG37">
            <v>-3</v>
          </cell>
          <cell r="BI37" t="str">
            <v>N.A.</v>
          </cell>
          <cell r="BK37">
            <v>-1.6600000000000001</v>
          </cell>
          <cell r="BM37">
            <v>-4.32</v>
          </cell>
          <cell r="BO37">
            <v>3</v>
          </cell>
          <cell r="BQ37">
            <v>1.1153999999999999</v>
          </cell>
          <cell r="BS37">
            <v>1.55</v>
          </cell>
          <cell r="BU37">
            <v>2.7800000000000002</v>
          </cell>
          <cell r="BW37">
            <v>2.17</v>
          </cell>
          <cell r="BY37">
            <v>1.85</v>
          </cell>
          <cell r="CA37">
            <v>1.55</v>
          </cell>
          <cell r="CC37">
            <v>1.84</v>
          </cell>
          <cell r="CE37">
            <v>1.86</v>
          </cell>
          <cell r="CG37">
            <v>1.6300000000000001</v>
          </cell>
          <cell r="CI37">
            <v>1.82</v>
          </cell>
          <cell r="CK37">
            <v>2.3199999999999998</v>
          </cell>
          <cell r="CM37" t="e">
            <v>#REF!</v>
          </cell>
          <cell r="CO37">
            <v>0.20005776</v>
          </cell>
          <cell r="CQ37">
            <v>3.9503949999999999</v>
          </cell>
          <cell r="CS37">
            <v>3.9095099999999996</v>
          </cell>
          <cell r="CU37">
            <v>0.42</v>
          </cell>
        </row>
        <row r="38">
          <cell r="O38">
            <v>2.02</v>
          </cell>
          <cell r="Q38">
            <v>1.6500000000000001</v>
          </cell>
          <cell r="S38">
            <v>1.95</v>
          </cell>
          <cell r="U38" t="str">
            <v>N.A.</v>
          </cell>
          <cell r="W38">
            <v>1.17</v>
          </cell>
          <cell r="Y38">
            <v>1.81</v>
          </cell>
          <cell r="AA38">
            <v>2.58</v>
          </cell>
          <cell r="AC38" t="str">
            <v>N.A.</v>
          </cell>
          <cell r="AE38">
            <v>2.65</v>
          </cell>
          <cell r="AG38">
            <v>0.97</v>
          </cell>
          <cell r="AI38">
            <v>3.0500000000000003</v>
          </cell>
          <cell r="AK38">
            <v>0.9</v>
          </cell>
          <cell r="AM38">
            <v>1.85</v>
          </cell>
          <cell r="AO38">
            <v>0.32</v>
          </cell>
          <cell r="AQ38">
            <v>1.02</v>
          </cell>
          <cell r="AS38">
            <v>1.79</v>
          </cell>
          <cell r="AU38">
            <v>1.8900000000000001</v>
          </cell>
          <cell r="AW38">
            <v>2.0300000000000002</v>
          </cell>
          <cell r="AY38">
            <v>1.43</v>
          </cell>
          <cell r="BA38">
            <v>1.2000000000000002</v>
          </cell>
          <cell r="BC38">
            <v>0.37</v>
          </cell>
          <cell r="BE38" t="str">
            <v>N.A.</v>
          </cell>
          <cell r="BG38">
            <v>0.55000000000000004</v>
          </cell>
          <cell r="BI38" t="str">
            <v>N.A.</v>
          </cell>
          <cell r="BK38">
            <v>-0.55000000000000004</v>
          </cell>
          <cell r="BM38">
            <v>0.39</v>
          </cell>
          <cell r="BO38">
            <v>3.39</v>
          </cell>
          <cell r="BQ38" t="str">
            <v>N.A.</v>
          </cell>
          <cell r="BS38">
            <v>1.84</v>
          </cell>
          <cell r="BU38">
            <v>3.0500000000000003</v>
          </cell>
          <cell r="BW38">
            <v>2.64</v>
          </cell>
          <cell r="BY38">
            <v>2.35</v>
          </cell>
          <cell r="CA38">
            <v>1.84</v>
          </cell>
          <cell r="CC38">
            <v>2.56</v>
          </cell>
          <cell r="CE38">
            <v>2.1</v>
          </cell>
          <cell r="CG38">
            <v>1.9000000000000001</v>
          </cell>
          <cell r="CI38">
            <v>2.0499999999999998</v>
          </cell>
          <cell r="CK38">
            <v>2.65</v>
          </cell>
          <cell r="CM38" t="e">
            <v>#REF!</v>
          </cell>
          <cell r="CO38">
            <v>0.23827103999999999</v>
          </cell>
          <cell r="CQ38">
            <v>4.6647130000000008</v>
          </cell>
          <cell r="CS38">
            <v>4.2470999999999997</v>
          </cell>
          <cell r="CU38">
            <v>0.83</v>
          </cell>
        </row>
        <row r="39">
          <cell r="O39">
            <v>2.4239999999999999</v>
          </cell>
          <cell r="Q39">
            <v>2.0625</v>
          </cell>
          <cell r="S39">
            <v>2.7689999999999997</v>
          </cell>
          <cell r="U39">
            <v>0</v>
          </cell>
          <cell r="W39">
            <v>1.3885559999999999</v>
          </cell>
          <cell r="Y39">
            <v>2.3088360000000003</v>
          </cell>
          <cell r="AA39">
            <v>2.9765459999999999</v>
          </cell>
          <cell r="AC39">
            <v>0</v>
          </cell>
          <cell r="AE39">
            <v>2.9865499999999998</v>
          </cell>
          <cell r="AG39">
            <v>1.2124999999999999</v>
          </cell>
          <cell r="AI39">
            <v>3.5331199999999998</v>
          </cell>
          <cell r="AK39">
            <v>1.4</v>
          </cell>
          <cell r="AM39">
            <v>2.57</v>
          </cell>
          <cell r="AO39">
            <v>2.4700000000000002</v>
          </cell>
          <cell r="AQ39">
            <v>1.224</v>
          </cell>
          <cell r="AS39">
            <v>2.327</v>
          </cell>
          <cell r="AU39">
            <v>2.4570000000000003</v>
          </cell>
          <cell r="AW39">
            <v>2.0300000000000002</v>
          </cell>
          <cell r="AY39">
            <v>2.95</v>
          </cell>
          <cell r="BA39">
            <v>1.41</v>
          </cell>
          <cell r="BC39">
            <v>0.13</v>
          </cell>
          <cell r="BG39">
            <v>0.55000000000000004</v>
          </cell>
          <cell r="BK39">
            <v>-0.25</v>
          </cell>
          <cell r="BM39">
            <v>6.29</v>
          </cell>
          <cell r="BO39">
            <v>3.81</v>
          </cell>
          <cell r="BQ39">
            <v>0</v>
          </cell>
          <cell r="BS39">
            <v>5.0599999999999996</v>
          </cell>
          <cell r="BU39">
            <v>6.17</v>
          </cell>
          <cell r="BW39">
            <v>2.9940240000000005</v>
          </cell>
          <cell r="BY39">
            <v>3.39</v>
          </cell>
          <cell r="CA39">
            <v>5.0599999999999996</v>
          </cell>
          <cell r="CC39">
            <v>3.7376</v>
          </cell>
          <cell r="CE39">
            <v>2.3520000000000003</v>
          </cell>
          <cell r="CG39">
            <v>2.2040000000000002</v>
          </cell>
          <cell r="CI39">
            <v>2.3000000000000003</v>
          </cell>
          <cell r="CK39">
            <v>2.9944999999999995</v>
          </cell>
          <cell r="CM39" t="e">
            <v>#REF!</v>
          </cell>
          <cell r="CO39">
            <v>0.216756</v>
          </cell>
          <cell r="CQ39">
            <v>5.5090260530000013</v>
          </cell>
          <cell r="CS39">
            <v>4.0510799999999998</v>
          </cell>
          <cell r="CU39">
            <v>1.21</v>
          </cell>
        </row>
        <row r="40">
          <cell r="O40">
            <v>2.9087999999999998</v>
          </cell>
          <cell r="P40" t="str">
            <v xml:space="preserve"> </v>
          </cell>
          <cell r="Q40">
            <v>2.578125</v>
          </cell>
          <cell r="R40" t="str">
            <v xml:space="preserve"> </v>
          </cell>
          <cell r="S40">
            <v>3.9319799999999994</v>
          </cell>
          <cell r="U40">
            <v>0</v>
          </cell>
          <cell r="W40">
            <v>1.6479382607999999</v>
          </cell>
          <cell r="Y40">
            <v>2.9451512016000008</v>
          </cell>
          <cell r="AA40">
            <v>3.4340411201999999</v>
          </cell>
          <cell r="AC40">
            <v>0</v>
          </cell>
          <cell r="AE40">
            <v>3.3658418499999998</v>
          </cell>
          <cell r="AG40">
            <v>1.515625</v>
          </cell>
          <cell r="AI40">
            <v>4.0927662079999996</v>
          </cell>
          <cell r="AK40">
            <v>2.63</v>
          </cell>
          <cell r="AQ40">
            <v>1.4687999999999999</v>
          </cell>
          <cell r="AS40">
            <v>3.0251000000000001</v>
          </cell>
          <cell r="AU40">
            <v>3.1941000000000006</v>
          </cell>
          <cell r="AW40">
            <v>2.0300000000000002</v>
          </cell>
          <cell r="AY40">
            <v>5.49</v>
          </cell>
          <cell r="BC40">
            <v>4.12</v>
          </cell>
          <cell r="BG40">
            <v>0.55000000000000004</v>
          </cell>
          <cell r="BK40">
            <v>0.22</v>
          </cell>
          <cell r="BO40">
            <v>4.3052999999999999</v>
          </cell>
          <cell r="BQ40">
            <v>0</v>
          </cell>
          <cell r="BS40">
            <v>6.4560000000000004</v>
          </cell>
          <cell r="BU40">
            <v>6.98</v>
          </cell>
          <cell r="BW40">
            <v>3.3955226184000007</v>
          </cell>
          <cell r="BY40">
            <v>3.92</v>
          </cell>
          <cell r="CA40">
            <v>6.4560000000000004</v>
          </cell>
          <cell r="CC40">
            <v>5.4568959999999995</v>
          </cell>
          <cell r="CE40">
            <v>2.6342400000000006</v>
          </cell>
          <cell r="CG40">
            <v>2.5566400000000002</v>
          </cell>
          <cell r="CI40">
            <v>2.5530000000000004</v>
          </cell>
          <cell r="CK40">
            <v>3.3837849999999992</v>
          </cell>
          <cell r="CM40" t="e">
            <v>#REF!</v>
          </cell>
          <cell r="CO40">
            <v>0.26107056000000001</v>
          </cell>
          <cell r="CQ40">
            <v>6.5061597685930019</v>
          </cell>
          <cell r="CS40">
            <v>4.6538899999999996</v>
          </cell>
          <cell r="CU40">
            <v>1.4</v>
          </cell>
        </row>
        <row r="41">
          <cell r="O41">
            <v>0.2</v>
          </cell>
          <cell r="P41" t="str">
            <v xml:space="preserve"> </v>
          </cell>
          <cell r="Q41">
            <v>0.25</v>
          </cell>
          <cell r="R41" t="str">
            <v xml:space="preserve"> </v>
          </cell>
          <cell r="S41">
            <v>0.42</v>
          </cell>
          <cell r="U41">
            <v>0.21330000000000002</v>
          </cell>
          <cell r="W41">
            <v>0.18679999999999999</v>
          </cell>
          <cell r="Y41">
            <v>0.27560000000000001</v>
          </cell>
          <cell r="AA41">
            <v>0.1537</v>
          </cell>
          <cell r="AC41">
            <v>0</v>
          </cell>
          <cell r="AE41">
            <v>0.127</v>
          </cell>
          <cell r="AG41">
            <v>0.25</v>
          </cell>
          <cell r="AI41">
            <v>0.15839999999999999</v>
          </cell>
          <cell r="AK41" t="str">
            <v>N.A.</v>
          </cell>
          <cell r="AM41">
            <v>0.41950000000000004</v>
          </cell>
          <cell r="AO41" t="str">
            <v>N.A.</v>
          </cell>
          <cell r="AQ41">
            <v>0.2</v>
          </cell>
          <cell r="AS41">
            <v>0.3</v>
          </cell>
          <cell r="AU41">
            <v>0.46500000000000002</v>
          </cell>
          <cell r="AW41" t="str">
            <v>N.A.</v>
          </cell>
          <cell r="AY41">
            <v>0.9</v>
          </cell>
          <cell r="BA41">
            <v>0.25390000000000001</v>
          </cell>
          <cell r="BC41" t="str">
            <v>N.A.</v>
          </cell>
          <cell r="BE41" t="str">
            <v>N.A.</v>
          </cell>
          <cell r="BG41" t="str">
            <v>N.A.</v>
          </cell>
          <cell r="BI41" t="str">
            <v>N.A.</v>
          </cell>
          <cell r="BK41" t="str">
            <v>N.A.</v>
          </cell>
          <cell r="BM41">
            <v>1</v>
          </cell>
          <cell r="BO41">
            <v>0.13</v>
          </cell>
          <cell r="BQ41">
            <v>0.27250000000000002</v>
          </cell>
          <cell r="BS41">
            <v>0.23900000000000002</v>
          </cell>
          <cell r="BU41">
            <v>0.12790000000000001</v>
          </cell>
          <cell r="BW41">
            <v>0.1341</v>
          </cell>
          <cell r="BY41">
            <v>0.215</v>
          </cell>
          <cell r="CA41">
            <v>0.23900000000000002</v>
          </cell>
          <cell r="CC41">
            <v>0.46</v>
          </cell>
          <cell r="CE41">
            <v>0.12</v>
          </cell>
          <cell r="CG41">
            <v>0.16</v>
          </cell>
          <cell r="CI41">
            <v>0.11</v>
          </cell>
          <cell r="CK41">
            <v>0.13</v>
          </cell>
          <cell r="CM41">
            <v>0</v>
          </cell>
          <cell r="CO41">
            <v>0</v>
          </cell>
          <cell r="CQ41">
            <v>0.18099999999999999</v>
          </cell>
          <cell r="CS41">
            <v>7.2999999999999995E-2</v>
          </cell>
          <cell r="CU41">
            <v>0.4</v>
          </cell>
        </row>
        <row r="42">
          <cell r="P42" t="str">
            <v xml:space="preserve"> </v>
          </cell>
          <cell r="R42" t="str">
            <v xml:space="preserve"> </v>
          </cell>
          <cell r="CO42">
            <v>1.6055999999999999</v>
          </cell>
          <cell r="CQ42">
            <v>1.0823</v>
          </cell>
          <cell r="CS42">
            <v>1.8070999999999999</v>
          </cell>
          <cell r="CU42">
            <v>1.6055999999999999</v>
          </cell>
        </row>
        <row r="43">
          <cell r="O43">
            <v>0</v>
          </cell>
          <cell r="P43" t="str">
            <v xml:space="preserve"> </v>
          </cell>
          <cell r="Q43">
            <v>27.126999999999999</v>
          </cell>
          <cell r="R43" t="str">
            <v xml:space="preserve"> </v>
          </cell>
          <cell r="S43">
            <v>60.533999999999999</v>
          </cell>
          <cell r="U43">
            <v>0.81899999999999995</v>
          </cell>
          <cell r="W43">
            <v>2255</v>
          </cell>
          <cell r="Y43">
            <v>23.64</v>
          </cell>
          <cell r="AA43">
            <v>30</v>
          </cell>
          <cell r="AC43">
            <v>0</v>
          </cell>
          <cell r="AE43">
            <v>542</v>
          </cell>
          <cell r="AG43">
            <v>25.617999999999999</v>
          </cell>
          <cell r="AI43">
            <v>220</v>
          </cell>
          <cell r="AK43">
            <v>0</v>
          </cell>
          <cell r="AM43">
            <v>1.8680000000000001</v>
          </cell>
          <cell r="AO43">
            <v>5.0397550000000004</v>
          </cell>
          <cell r="AQ43">
            <v>0</v>
          </cell>
          <cell r="AS43">
            <v>0.81399999999999995</v>
          </cell>
          <cell r="AU43">
            <v>0.91100000000000003</v>
          </cell>
          <cell r="AW43">
            <v>1.609</v>
          </cell>
          <cell r="AY43">
            <v>0</v>
          </cell>
          <cell r="BC43">
            <v>0.155</v>
          </cell>
          <cell r="BE43">
            <v>2.5339999999999998</v>
          </cell>
          <cell r="BG43">
            <v>0.4</v>
          </cell>
          <cell r="BI43">
            <v>2.1989999999999998</v>
          </cell>
          <cell r="BK43">
            <v>0.59799999999999998</v>
          </cell>
          <cell r="BO43">
            <v>575</v>
          </cell>
          <cell r="BQ43">
            <v>24.850320000000004</v>
          </cell>
          <cell r="BS43">
            <v>924.95999999999992</v>
          </cell>
          <cell r="BU43">
            <v>902.5</v>
          </cell>
          <cell r="BW43">
            <v>924.95999999999992</v>
          </cell>
          <cell r="BY43">
            <v>1.8</v>
          </cell>
          <cell r="CA43">
            <v>924.95999999999992</v>
          </cell>
          <cell r="CC43">
            <v>0</v>
          </cell>
          <cell r="CE43">
            <v>1419.97</v>
          </cell>
          <cell r="CG43">
            <v>138</v>
          </cell>
          <cell r="CI43">
            <v>1972.27</v>
          </cell>
          <cell r="CK43">
            <v>453</v>
          </cell>
          <cell r="CM43">
            <v>40.6</v>
          </cell>
          <cell r="CS43">
            <v>48.142880858834594</v>
          </cell>
          <cell r="CU43">
            <v>20.254643999999999</v>
          </cell>
        </row>
        <row r="44">
          <cell r="O44">
            <v>453.76099999999997</v>
          </cell>
          <cell r="P44" t="str">
            <v xml:space="preserve"> </v>
          </cell>
          <cell r="Q44">
            <v>551.19200000000001</v>
          </cell>
          <cell r="R44" t="str">
            <v xml:space="preserve"> </v>
          </cell>
          <cell r="S44">
            <v>460</v>
          </cell>
          <cell r="U44">
            <v>6.242</v>
          </cell>
          <cell r="W44">
            <v>729</v>
          </cell>
          <cell r="Y44">
            <v>58.595999999999997</v>
          </cell>
          <cell r="AA44">
            <v>229</v>
          </cell>
          <cell r="AC44">
            <v>150</v>
          </cell>
          <cell r="AE44">
            <v>1387</v>
          </cell>
          <cell r="AG44">
            <v>78.622000000000014</v>
          </cell>
          <cell r="AI44">
            <v>2337.1999999999998</v>
          </cell>
          <cell r="AK44">
            <v>0</v>
          </cell>
          <cell r="AM44">
            <v>2.5049999999999999</v>
          </cell>
          <cell r="AO44">
            <v>4.6236290000000002</v>
          </cell>
          <cell r="AQ44">
            <v>0</v>
          </cell>
          <cell r="AS44">
            <v>0.747</v>
          </cell>
          <cell r="AU44">
            <v>6.7930000000000001</v>
          </cell>
          <cell r="AW44">
            <v>17.304000000000002</v>
          </cell>
          <cell r="AY44">
            <v>0</v>
          </cell>
          <cell r="BC44">
            <v>1.4410000000000001</v>
          </cell>
          <cell r="BE44">
            <v>12.11</v>
          </cell>
          <cell r="BG44">
            <v>0.83799999999999997</v>
          </cell>
          <cell r="BI44">
            <v>2.9319999999999999</v>
          </cell>
          <cell r="BK44">
            <v>3.4670000000000001</v>
          </cell>
          <cell r="BO44">
            <v>1117</v>
          </cell>
          <cell r="BQ44">
            <v>32.081940000000003</v>
          </cell>
          <cell r="BS44">
            <v>2345.1999999999998</v>
          </cell>
          <cell r="BU44">
            <v>1346.5</v>
          </cell>
          <cell r="BW44">
            <v>2345.1999999999998</v>
          </cell>
          <cell r="BY44">
            <v>902.6</v>
          </cell>
          <cell r="CA44">
            <v>2345.1999999999998</v>
          </cell>
          <cell r="CC44">
            <v>23.878</v>
          </cell>
          <cell r="CE44">
            <v>1340.845</v>
          </cell>
          <cell r="CG44">
            <v>46</v>
          </cell>
          <cell r="CI44">
            <v>3074.47</v>
          </cell>
          <cell r="CK44">
            <v>1336</v>
          </cell>
          <cell r="CM44">
            <v>1025</v>
          </cell>
          <cell r="CS44">
            <v>80.305461789607662</v>
          </cell>
          <cell r="CU44">
            <v>2.5673543999999997</v>
          </cell>
        </row>
        <row r="45">
          <cell r="O45">
            <v>0</v>
          </cell>
          <cell r="P45" t="str">
            <v xml:space="preserve"> </v>
          </cell>
          <cell r="Q45">
            <v>0</v>
          </cell>
          <cell r="R45" t="str">
            <v xml:space="preserve"> </v>
          </cell>
          <cell r="S45">
            <v>0</v>
          </cell>
          <cell r="U45">
            <v>0</v>
          </cell>
          <cell r="W45">
            <v>0</v>
          </cell>
          <cell r="Y45">
            <v>0</v>
          </cell>
          <cell r="AA45">
            <v>0</v>
          </cell>
          <cell r="AC45">
            <v>0</v>
          </cell>
          <cell r="AE45">
            <v>0</v>
          </cell>
          <cell r="AG45">
            <v>0</v>
          </cell>
          <cell r="AI45">
            <v>0</v>
          </cell>
          <cell r="AK45">
            <v>0</v>
          </cell>
          <cell r="AM45">
            <v>0</v>
          </cell>
          <cell r="AO45">
            <v>0</v>
          </cell>
          <cell r="AQ45">
            <v>0</v>
          </cell>
          <cell r="AS45">
            <v>1E-3</v>
          </cell>
          <cell r="AU45">
            <v>0</v>
          </cell>
          <cell r="AW45">
            <v>0</v>
          </cell>
          <cell r="AY45">
            <v>0</v>
          </cell>
          <cell r="BC45">
            <v>0</v>
          </cell>
          <cell r="BE45">
            <v>0</v>
          </cell>
          <cell r="BG45">
            <v>0</v>
          </cell>
          <cell r="BI45">
            <v>0</v>
          </cell>
          <cell r="BK45">
            <v>0.4</v>
          </cell>
          <cell r="BO45">
            <v>0</v>
          </cell>
          <cell r="BQ45">
            <v>0</v>
          </cell>
          <cell r="BS45">
            <v>0</v>
          </cell>
          <cell r="BU45">
            <v>0</v>
          </cell>
          <cell r="BW45">
            <v>0</v>
          </cell>
          <cell r="BY45">
            <v>0</v>
          </cell>
          <cell r="CA45">
            <v>0</v>
          </cell>
          <cell r="CC45">
            <v>0</v>
          </cell>
          <cell r="CE45">
            <v>0</v>
          </cell>
          <cell r="CG45">
            <v>0</v>
          </cell>
          <cell r="CI45">
            <v>0</v>
          </cell>
          <cell r="CK45">
            <v>0</v>
          </cell>
          <cell r="CM45">
            <v>0</v>
          </cell>
          <cell r="CS45">
            <v>0</v>
          </cell>
          <cell r="CU45">
            <v>0</v>
          </cell>
        </row>
        <row r="46">
          <cell r="O46">
            <v>0</v>
          </cell>
          <cell r="P46" t="str">
            <v xml:space="preserve"> </v>
          </cell>
          <cell r="Q46">
            <v>0</v>
          </cell>
          <cell r="R46" t="str">
            <v xml:space="preserve"> </v>
          </cell>
          <cell r="S46">
            <v>0</v>
          </cell>
          <cell r="U46">
            <v>0</v>
          </cell>
          <cell r="W46">
            <v>43</v>
          </cell>
          <cell r="Y46">
            <v>0</v>
          </cell>
          <cell r="AA46">
            <v>0</v>
          </cell>
          <cell r="AC46">
            <v>0</v>
          </cell>
          <cell r="AE46">
            <v>0</v>
          </cell>
          <cell r="AG46">
            <v>0</v>
          </cell>
          <cell r="AI46">
            <v>0</v>
          </cell>
          <cell r="AK46">
            <v>0</v>
          </cell>
          <cell r="AM46">
            <v>0</v>
          </cell>
          <cell r="AO46">
            <v>0</v>
          </cell>
          <cell r="AQ46">
            <v>0</v>
          </cell>
          <cell r="AS46">
            <v>0</v>
          </cell>
          <cell r="AU46">
            <v>0</v>
          </cell>
          <cell r="AW46">
            <v>0</v>
          </cell>
          <cell r="AY46">
            <v>0</v>
          </cell>
          <cell r="BC46">
            <v>0</v>
          </cell>
          <cell r="BE46">
            <v>0</v>
          </cell>
          <cell r="BG46">
            <v>0</v>
          </cell>
          <cell r="BI46">
            <v>0</v>
          </cell>
          <cell r="BK46">
            <v>0</v>
          </cell>
          <cell r="BO46">
            <v>0</v>
          </cell>
          <cell r="BQ46">
            <v>1.0315799999999999</v>
          </cell>
          <cell r="BS46">
            <v>0</v>
          </cell>
          <cell r="BU46">
            <v>1184.4000000000001</v>
          </cell>
          <cell r="BW46">
            <v>0</v>
          </cell>
          <cell r="BY46">
            <v>0</v>
          </cell>
          <cell r="CA46">
            <v>0</v>
          </cell>
          <cell r="CC46">
            <v>0</v>
          </cell>
          <cell r="CE46">
            <v>0</v>
          </cell>
          <cell r="CG46">
            <v>0</v>
          </cell>
          <cell r="CI46">
            <v>78.489999999999995</v>
          </cell>
          <cell r="CK46">
            <v>0</v>
          </cell>
          <cell r="CM46">
            <v>0</v>
          </cell>
          <cell r="CS46">
            <v>1.3845387637651485</v>
          </cell>
          <cell r="CU46">
            <v>0</v>
          </cell>
        </row>
        <row r="47">
          <cell r="O47">
            <v>75.308999999999997</v>
          </cell>
          <cell r="P47" t="str">
            <v xml:space="preserve"> </v>
          </cell>
          <cell r="Q47">
            <v>1182.3119999999999</v>
          </cell>
          <cell r="R47" t="str">
            <v xml:space="preserve"> </v>
          </cell>
          <cell r="S47">
            <v>109.601</v>
          </cell>
          <cell r="U47">
            <v>245.37200000000001</v>
          </cell>
          <cell r="W47">
            <v>7933</v>
          </cell>
          <cell r="Y47">
            <v>668.80200000000002</v>
          </cell>
          <cell r="AA47">
            <v>943.2</v>
          </cell>
          <cell r="AC47">
            <v>2031.2249999999999</v>
          </cell>
          <cell r="AE47">
            <v>7185</v>
          </cell>
          <cell r="AG47">
            <v>1141.8979999999999</v>
          </cell>
          <cell r="AI47">
            <v>4793.3999999999996</v>
          </cell>
          <cell r="AK47">
            <v>55.796999999999997</v>
          </cell>
          <cell r="AM47">
            <v>98.938000000000002</v>
          </cell>
          <cell r="AO47">
            <v>89.622433999999998</v>
          </cell>
          <cell r="AQ47">
            <v>167.58799999999999</v>
          </cell>
          <cell r="AS47">
            <v>284.65899999999999</v>
          </cell>
          <cell r="AU47">
            <v>105.65600000000001</v>
          </cell>
          <cell r="AW47">
            <v>68.125</v>
          </cell>
          <cell r="AY47">
            <v>28.175999999999998</v>
          </cell>
          <cell r="BA47">
            <v>418.87299999999999</v>
          </cell>
          <cell r="BC47">
            <v>22.5</v>
          </cell>
          <cell r="BE47">
            <v>31.911999999999999</v>
          </cell>
          <cell r="BG47">
            <v>23.472000000000001</v>
          </cell>
          <cell r="BI47">
            <v>25.75</v>
          </cell>
          <cell r="BK47">
            <v>52.578000000000003</v>
          </cell>
          <cell r="BM47">
            <v>-23.809000000000001</v>
          </cell>
          <cell r="BO47">
            <v>13938</v>
          </cell>
          <cell r="BQ47">
            <v>291.01314000000002</v>
          </cell>
          <cell r="BS47">
            <v>2937.24</v>
          </cell>
          <cell r="BU47">
            <v>12613.5</v>
          </cell>
          <cell r="BW47">
            <v>2937.24</v>
          </cell>
          <cell r="BY47">
            <v>1369.2</v>
          </cell>
          <cell r="CA47">
            <v>2937.24</v>
          </cell>
          <cell r="CC47">
            <v>100.256</v>
          </cell>
          <cell r="CE47">
            <v>5373.8919999999998</v>
          </cell>
          <cell r="CG47">
            <v>3694</v>
          </cell>
          <cell r="CI47">
            <v>3077.81</v>
          </cell>
          <cell r="CK47">
            <v>7244</v>
          </cell>
          <cell r="CM47">
            <v>-308.5</v>
          </cell>
          <cell r="CO47">
            <v>10.4958072</v>
          </cell>
          <cell r="CQ47">
            <v>720.35028498699569</v>
          </cell>
          <cell r="CS47">
            <v>515.4075590725472</v>
          </cell>
          <cell r="CU47">
            <v>74.714990399999991</v>
          </cell>
        </row>
        <row r="48">
          <cell r="P48" t="str">
            <v xml:space="preserve"> </v>
          </cell>
          <cell r="R48" t="str">
            <v xml:space="preserve"> </v>
          </cell>
        </row>
        <row r="49">
          <cell r="P49" t="str">
            <v xml:space="preserve"> </v>
          </cell>
          <cell r="Q49">
            <v>155.91999999999999</v>
          </cell>
          <cell r="R49" t="str">
            <v xml:space="preserve"> </v>
          </cell>
          <cell r="S49">
            <v>277.82099999999997</v>
          </cell>
          <cell r="U49">
            <v>61.94</v>
          </cell>
          <cell r="W49">
            <v>1589</v>
          </cell>
          <cell r="Y49">
            <v>504.76</v>
          </cell>
          <cell r="AA49">
            <v>1026.5</v>
          </cell>
          <cell r="AC49">
            <v>833.32199999999989</v>
          </cell>
          <cell r="AE49">
            <v>1565</v>
          </cell>
          <cell r="AG49">
            <v>192.43700000000001</v>
          </cell>
          <cell r="AI49">
            <v>1327.8</v>
          </cell>
          <cell r="AK49">
            <v>67.371000000000009</v>
          </cell>
          <cell r="AM49">
            <v>65.241</v>
          </cell>
          <cell r="AO49">
            <v>58.124499999999998</v>
          </cell>
          <cell r="AQ49">
            <v>122.846</v>
          </cell>
          <cell r="AS49">
            <v>295.86099999999999</v>
          </cell>
          <cell r="AU49">
            <v>99.445999999999998</v>
          </cell>
          <cell r="AW49">
            <v>43.298999999999999</v>
          </cell>
          <cell r="AY49">
            <v>25.332000000000001</v>
          </cell>
          <cell r="BC49">
            <v>27.36</v>
          </cell>
          <cell r="BE49">
            <v>54.302</v>
          </cell>
          <cell r="BG49">
            <v>24.859000000000002</v>
          </cell>
          <cell r="BI49">
            <v>34.871000000000002</v>
          </cell>
          <cell r="BK49">
            <v>47.516000000000005</v>
          </cell>
          <cell r="BO49">
            <v>3826</v>
          </cell>
          <cell r="BQ49">
            <v>117.10248</v>
          </cell>
          <cell r="BS49">
            <v>722.49399999999991</v>
          </cell>
          <cell r="BU49">
            <v>2309.3000000000002</v>
          </cell>
          <cell r="BW49">
            <v>923.31999999999994</v>
          </cell>
          <cell r="BY49">
            <v>174.2</v>
          </cell>
          <cell r="CA49">
            <v>722.49399999999991</v>
          </cell>
          <cell r="CC49">
            <v>100.35</v>
          </cell>
          <cell r="CE49">
            <v>274.03300000000002</v>
          </cell>
          <cell r="CG49">
            <v>937</v>
          </cell>
          <cell r="CI49">
            <v>2710.41</v>
          </cell>
          <cell r="CK49">
            <v>1005</v>
          </cell>
          <cell r="CM49">
            <v>22.2</v>
          </cell>
          <cell r="CS49">
            <v>32.01040340877649</v>
          </cell>
          <cell r="CU49">
            <v>54.911520000000003</v>
          </cell>
        </row>
        <row r="50">
          <cell r="P50" t="str">
            <v xml:space="preserve"> </v>
          </cell>
          <cell r="Q50">
            <v>2217</v>
          </cell>
          <cell r="R50" t="str">
            <v xml:space="preserve"> </v>
          </cell>
          <cell r="S50">
            <v>351.517</v>
          </cell>
          <cell r="U50">
            <v>466.505</v>
          </cell>
          <cell r="W50">
            <v>13330</v>
          </cell>
          <cell r="Y50">
            <v>529.53368</v>
          </cell>
          <cell r="AA50">
            <v>2713.1299999999997</v>
          </cell>
          <cell r="AC50">
            <v>1199.7626399999999</v>
          </cell>
          <cell r="AE50">
            <v>18872.13</v>
          </cell>
          <cell r="AG50">
            <v>1452.5</v>
          </cell>
          <cell r="AI50">
            <v>9880.4159999999993</v>
          </cell>
          <cell r="AK50">
            <v>0</v>
          </cell>
          <cell r="AM50">
            <v>65.793850000000006</v>
          </cell>
          <cell r="AO50">
            <v>0.56560639999999995</v>
          </cell>
          <cell r="AQ50">
            <v>14.923580000000001</v>
          </cell>
          <cell r="AS50">
            <v>52.048099999999998</v>
          </cell>
          <cell r="AU50">
            <v>10.484</v>
          </cell>
          <cell r="AW50">
            <v>6.1114500000000005</v>
          </cell>
          <cell r="AY50">
            <v>1.9</v>
          </cell>
          <cell r="BQ50">
            <v>219.10680000000002</v>
          </cell>
          <cell r="BS50">
            <v>575.29999999999995</v>
          </cell>
          <cell r="BU50">
            <v>26861</v>
          </cell>
          <cell r="BW50">
            <v>14062.18</v>
          </cell>
          <cell r="BY50">
            <v>562</v>
          </cell>
          <cell r="CA50">
            <v>575.29999999999995</v>
          </cell>
          <cell r="CC50">
            <v>113.3496</v>
          </cell>
          <cell r="CE50">
            <v>13309.477440000001</v>
          </cell>
          <cell r="CG50">
            <v>7862.48</v>
          </cell>
          <cell r="CI50">
            <v>14792.526</v>
          </cell>
          <cell r="CK50">
            <v>18234</v>
          </cell>
        </row>
        <row r="51">
          <cell r="P51" t="str">
            <v xml:space="preserve"> </v>
          </cell>
          <cell r="Q51">
            <v>1943.7380000000001</v>
          </cell>
          <cell r="R51" t="str">
            <v xml:space="preserve"> </v>
          </cell>
          <cell r="S51">
            <v>200.78399999999999</v>
          </cell>
          <cell r="U51">
            <v>466.505</v>
          </cell>
          <cell r="W51">
            <v>12504</v>
          </cell>
          <cell r="Y51">
            <v>434.04399999999998</v>
          </cell>
          <cell r="AA51">
            <v>2401</v>
          </cell>
          <cell r="AC51">
            <v>1016.748</v>
          </cell>
          <cell r="AE51">
            <v>16701</v>
          </cell>
          <cell r="AG51">
            <v>1162</v>
          </cell>
          <cell r="AI51">
            <v>8517.6</v>
          </cell>
          <cell r="AK51">
            <v>0</v>
          </cell>
          <cell r="AM51">
            <v>44.606000000000002</v>
          </cell>
          <cell r="AO51">
            <v>0.44188</v>
          </cell>
          <cell r="AQ51">
            <v>11.137</v>
          </cell>
          <cell r="AS51">
            <v>40.036999999999999</v>
          </cell>
          <cell r="AU51">
            <v>10.484</v>
          </cell>
          <cell r="AW51">
            <v>4.5270000000000001</v>
          </cell>
          <cell r="AY51">
            <v>1</v>
          </cell>
          <cell r="BC51">
            <v>1.5</v>
          </cell>
          <cell r="BE51">
            <v>6.0309999999999997</v>
          </cell>
          <cell r="BG51">
            <v>0.43099999999999999</v>
          </cell>
          <cell r="BI51">
            <v>7.7990000000000004</v>
          </cell>
          <cell r="BK51">
            <v>5.3479999999999999</v>
          </cell>
          <cell r="BQ51">
            <v>170.78885999999997</v>
          </cell>
          <cell r="BS51">
            <v>389.3</v>
          </cell>
          <cell r="BU51">
            <v>23637</v>
          </cell>
          <cell r="BW51">
            <v>12783.8</v>
          </cell>
          <cell r="BY51">
            <v>464.4</v>
          </cell>
          <cell r="CA51">
            <v>389.3</v>
          </cell>
          <cell r="CC51">
            <v>80.963999999999999</v>
          </cell>
          <cell r="CE51">
            <v>11883.462</v>
          </cell>
          <cell r="CG51">
            <v>6778</v>
          </cell>
          <cell r="CI51">
            <v>13326.599999999999</v>
          </cell>
          <cell r="CK51">
            <v>17468</v>
          </cell>
        </row>
        <row r="52">
          <cell r="P52" t="str">
            <v xml:space="preserve"> </v>
          </cell>
          <cell r="Q52">
            <v>668.74300000000005</v>
          </cell>
          <cell r="R52" t="str">
            <v xml:space="preserve"> </v>
          </cell>
          <cell r="S52">
            <v>187.49799999999999</v>
          </cell>
          <cell r="U52">
            <v>16.016999999999999</v>
          </cell>
          <cell r="W52">
            <v>3088</v>
          </cell>
          <cell r="Y52">
            <v>126.83299999999998</v>
          </cell>
          <cell r="AA52">
            <v>792.5</v>
          </cell>
          <cell r="AC52">
            <v>173.43699999999998</v>
          </cell>
          <cell r="AE52">
            <v>4482</v>
          </cell>
          <cell r="AG52">
            <v>109.84299999999999</v>
          </cell>
          <cell r="AI52">
            <v>2321.3999999999996</v>
          </cell>
          <cell r="AK52">
            <v>-28.664999999999999</v>
          </cell>
          <cell r="AM52">
            <v>-17.995999999999999</v>
          </cell>
          <cell r="AO52">
            <v>-38.15793</v>
          </cell>
          <cell r="AQ52">
            <v>-21.106000000000002</v>
          </cell>
          <cell r="AS52">
            <v>-45.764000000000003</v>
          </cell>
          <cell r="AU52">
            <v>-25.050999999999998</v>
          </cell>
          <cell r="AW52">
            <v>-26.486000000000001</v>
          </cell>
          <cell r="AY52">
            <v>-11.257</v>
          </cell>
          <cell r="BC52">
            <v>-12.77</v>
          </cell>
          <cell r="BE52">
            <v>-34.780999999999999</v>
          </cell>
          <cell r="BG52">
            <v>-11.898999999999999</v>
          </cell>
          <cell r="BI52">
            <v>-18.004999999999999</v>
          </cell>
          <cell r="BK52">
            <v>-16.463000000000001</v>
          </cell>
          <cell r="BQ52">
            <v>52.805279999999996</v>
          </cell>
          <cell r="BS52">
            <v>133.69999999999999</v>
          </cell>
          <cell r="BU52">
            <v>5864</v>
          </cell>
          <cell r="BW52">
            <v>2833.9199999999996</v>
          </cell>
          <cell r="BY52">
            <v>164.8</v>
          </cell>
          <cell r="CA52">
            <v>133.69999999999999</v>
          </cell>
          <cell r="CC52">
            <v>-25.872999999999998</v>
          </cell>
          <cell r="CE52">
            <v>2850.4259999999999</v>
          </cell>
          <cell r="CG52">
            <v>1959</v>
          </cell>
          <cell r="CI52">
            <v>4547.41</v>
          </cell>
          <cell r="CK52">
            <v>4729</v>
          </cell>
        </row>
        <row r="53">
          <cell r="P53" t="str">
            <v xml:space="preserve"> </v>
          </cell>
          <cell r="Q53">
            <v>21.885999999999999</v>
          </cell>
          <cell r="R53" t="str">
            <v xml:space="preserve"> </v>
          </cell>
          <cell r="S53">
            <v>3.9380000000000002</v>
          </cell>
          <cell r="U53">
            <v>0.752</v>
          </cell>
          <cell r="W53">
            <v>152</v>
          </cell>
          <cell r="Y53">
            <v>0</v>
          </cell>
          <cell r="AA53">
            <v>0</v>
          </cell>
          <cell r="AC53">
            <v>3.6419999999999999</v>
          </cell>
          <cell r="AE53">
            <v>0</v>
          </cell>
          <cell r="AG53">
            <v>0</v>
          </cell>
          <cell r="AI53">
            <v>0</v>
          </cell>
          <cell r="AK53">
            <v>0</v>
          </cell>
          <cell r="AM53">
            <v>0.91700000000000004</v>
          </cell>
          <cell r="AO53">
            <v>0</v>
          </cell>
          <cell r="AQ53">
            <v>0</v>
          </cell>
          <cell r="AS53">
            <v>0.48899999999999999</v>
          </cell>
          <cell r="AU53">
            <v>0.217</v>
          </cell>
          <cell r="AW53">
            <v>0.21</v>
          </cell>
          <cell r="AY53">
            <v>0</v>
          </cell>
          <cell r="BC53">
            <v>0</v>
          </cell>
          <cell r="BE53">
            <v>1.0649999999999999</v>
          </cell>
          <cell r="BG53">
            <v>0.113</v>
          </cell>
          <cell r="BI53">
            <v>0.05</v>
          </cell>
          <cell r="BK53">
            <v>0.55100000000000005</v>
          </cell>
          <cell r="BQ53">
            <v>3.8695800000000005</v>
          </cell>
          <cell r="BS53">
            <v>0</v>
          </cell>
          <cell r="BU53">
            <v>0</v>
          </cell>
          <cell r="BW53">
            <v>0</v>
          </cell>
          <cell r="BY53">
            <v>0</v>
          </cell>
          <cell r="CA53">
            <v>0</v>
          </cell>
          <cell r="CC53">
            <v>3.4830000000000001</v>
          </cell>
          <cell r="CE53">
            <v>134.55000000000001</v>
          </cell>
          <cell r="CG53">
            <v>0</v>
          </cell>
          <cell r="CI53">
            <v>205.41</v>
          </cell>
          <cell r="CK53">
            <v>118</v>
          </cell>
        </row>
        <row r="54">
          <cell r="P54" t="str">
            <v xml:space="preserve"> </v>
          </cell>
          <cell r="Q54">
            <v>3.6610000000000005</v>
          </cell>
          <cell r="R54" t="str">
            <v xml:space="preserve"> </v>
          </cell>
          <cell r="S54">
            <v>9.6069999999999993</v>
          </cell>
          <cell r="U54">
            <v>5.907</v>
          </cell>
          <cell r="W54">
            <v>153</v>
          </cell>
          <cell r="Y54">
            <v>22.135000000000002</v>
          </cell>
          <cell r="AA54">
            <v>0</v>
          </cell>
          <cell r="AC54">
            <v>0</v>
          </cell>
          <cell r="AE54">
            <v>0</v>
          </cell>
          <cell r="AG54">
            <v>0</v>
          </cell>
          <cell r="AI54">
            <v>0</v>
          </cell>
          <cell r="AK54">
            <v>0</v>
          </cell>
          <cell r="AM54">
            <v>3.4889999999999999</v>
          </cell>
          <cell r="AO54">
            <v>5.278098</v>
          </cell>
          <cell r="AQ54">
            <v>9.1180000000000003</v>
          </cell>
          <cell r="AS54">
            <v>18.260000000000002</v>
          </cell>
          <cell r="AU54">
            <v>3.0939999999999999</v>
          </cell>
          <cell r="AW54">
            <v>5.7160000000000002</v>
          </cell>
          <cell r="AY54">
            <v>2.4350000000000001</v>
          </cell>
          <cell r="BC54">
            <v>1.32</v>
          </cell>
          <cell r="BE54">
            <v>2.786</v>
          </cell>
          <cell r="BG54">
            <v>0.58399999999999996</v>
          </cell>
          <cell r="BI54">
            <v>2.0299999999999998</v>
          </cell>
          <cell r="BK54">
            <v>1.5229999999999999</v>
          </cell>
          <cell r="BQ54">
            <v>8.1081000000000003</v>
          </cell>
          <cell r="BS54">
            <v>0</v>
          </cell>
          <cell r="BU54">
            <v>0</v>
          </cell>
          <cell r="BW54">
            <v>0</v>
          </cell>
          <cell r="BY54">
            <v>0</v>
          </cell>
          <cell r="CA54">
            <v>0</v>
          </cell>
          <cell r="CC54">
            <v>4.0039999999999996</v>
          </cell>
          <cell r="CE54">
            <v>47.747999999999998</v>
          </cell>
          <cell r="CG54">
            <v>0</v>
          </cell>
          <cell r="CI54">
            <v>0</v>
          </cell>
          <cell r="CK54">
            <v>106</v>
          </cell>
        </row>
        <row r="55">
          <cell r="P55" t="str">
            <v xml:space="preserve"> </v>
          </cell>
          <cell r="Q55">
            <v>0</v>
          </cell>
          <cell r="R55" t="str">
            <v xml:space="preserve"> </v>
          </cell>
          <cell r="S55">
            <v>0</v>
          </cell>
          <cell r="U55">
            <v>0</v>
          </cell>
          <cell r="W55">
            <v>0</v>
          </cell>
          <cell r="Y55">
            <v>0</v>
          </cell>
          <cell r="AA55">
            <v>0</v>
          </cell>
          <cell r="AC55">
            <v>0</v>
          </cell>
          <cell r="AE55">
            <v>0</v>
          </cell>
          <cell r="AG55">
            <v>0</v>
          </cell>
          <cell r="AI55">
            <v>0</v>
          </cell>
          <cell r="AK55">
            <v>0</v>
          </cell>
          <cell r="AM55">
            <v>0</v>
          </cell>
          <cell r="AO55">
            <v>0</v>
          </cell>
          <cell r="AQ55">
            <v>0</v>
          </cell>
          <cell r="AS55">
            <v>0</v>
          </cell>
          <cell r="AU55">
            <v>0</v>
          </cell>
          <cell r="AW55">
            <v>0</v>
          </cell>
          <cell r="AY55">
            <v>0</v>
          </cell>
          <cell r="BC55">
            <v>0</v>
          </cell>
          <cell r="BE55">
            <v>0</v>
          </cell>
          <cell r="BG55">
            <v>0</v>
          </cell>
          <cell r="BI55">
            <v>0</v>
          </cell>
          <cell r="BK55">
            <v>0.16300000000000001</v>
          </cell>
          <cell r="BQ55">
            <v>0</v>
          </cell>
          <cell r="BS55">
            <v>0</v>
          </cell>
          <cell r="BU55">
            <v>0</v>
          </cell>
          <cell r="BW55">
            <v>0</v>
          </cell>
          <cell r="BY55">
            <v>0</v>
          </cell>
          <cell r="CA55">
            <v>0</v>
          </cell>
          <cell r="CC55">
            <v>0</v>
          </cell>
          <cell r="CE55">
            <v>0</v>
          </cell>
          <cell r="CG55">
            <v>0</v>
          </cell>
          <cell r="CI55">
            <v>0</v>
          </cell>
          <cell r="CK55">
            <v>0</v>
          </cell>
        </row>
        <row r="56">
          <cell r="P56" t="str">
            <v xml:space="preserve"> </v>
          </cell>
          <cell r="Q56">
            <v>86.691999999999993</v>
          </cell>
          <cell r="R56" t="str">
            <v xml:space="preserve"> </v>
          </cell>
          <cell r="S56">
            <v>14.617000000000001</v>
          </cell>
          <cell r="U56">
            <v>9.0869999999999997</v>
          </cell>
          <cell r="W56">
            <v>502</v>
          </cell>
          <cell r="Y56">
            <v>19.295999999999999</v>
          </cell>
          <cell r="AA56">
            <v>117.1</v>
          </cell>
          <cell r="AC56">
            <v>65.533000000000001</v>
          </cell>
          <cell r="AE56">
            <v>591</v>
          </cell>
          <cell r="AG56">
            <v>102.589</v>
          </cell>
          <cell r="AI56">
            <v>509.8</v>
          </cell>
          <cell r="AK56">
            <v>0.25</v>
          </cell>
          <cell r="AM56">
            <v>4.01</v>
          </cell>
          <cell r="AO56">
            <v>2.109982</v>
          </cell>
          <cell r="AQ56">
            <v>3.2440000000000002</v>
          </cell>
          <cell r="AS56">
            <v>2.9830000000000001</v>
          </cell>
          <cell r="AU56">
            <v>1.1930000000000001</v>
          </cell>
          <cell r="AW56">
            <v>0.629</v>
          </cell>
          <cell r="AY56">
            <v>5.0999999999999997E-2</v>
          </cell>
          <cell r="BC56">
            <v>0.28799999999999998</v>
          </cell>
          <cell r="BE56">
            <v>3.1459999999999999</v>
          </cell>
          <cell r="BG56">
            <v>0.95500000000000007</v>
          </cell>
          <cell r="BI56">
            <v>1.843</v>
          </cell>
          <cell r="BK56">
            <v>1.7969999999999999</v>
          </cell>
          <cell r="BQ56">
            <v>7.3207200000000006</v>
          </cell>
          <cell r="BS56">
            <v>0</v>
          </cell>
          <cell r="BU56">
            <v>0</v>
          </cell>
          <cell r="BW56">
            <v>439.52</v>
          </cell>
          <cell r="BY56">
            <v>0</v>
          </cell>
          <cell r="CA56">
            <v>0</v>
          </cell>
          <cell r="CC56">
            <v>4.016</v>
          </cell>
          <cell r="CE56">
            <v>727.75400000000002</v>
          </cell>
          <cell r="CG56">
            <v>200</v>
          </cell>
          <cell r="CI56">
            <v>622.91</v>
          </cell>
          <cell r="CK56">
            <v>623</v>
          </cell>
        </row>
        <row r="57">
          <cell r="P57" t="str">
            <v xml:space="preserve"> </v>
          </cell>
          <cell r="Q57">
            <v>319.66000000000003</v>
          </cell>
          <cell r="R57" t="str">
            <v xml:space="preserve"> </v>
          </cell>
          <cell r="S57">
            <v>0</v>
          </cell>
          <cell r="U57">
            <v>0</v>
          </cell>
          <cell r="W57">
            <v>0</v>
          </cell>
          <cell r="Y57">
            <v>0</v>
          </cell>
          <cell r="AA57">
            <v>0</v>
          </cell>
          <cell r="AC57">
            <v>0</v>
          </cell>
          <cell r="AE57">
            <v>0</v>
          </cell>
          <cell r="AG57">
            <v>0</v>
          </cell>
          <cell r="AI57">
            <v>0</v>
          </cell>
          <cell r="AK57">
            <v>0</v>
          </cell>
          <cell r="AM57">
            <v>0</v>
          </cell>
          <cell r="AO57">
            <v>0</v>
          </cell>
          <cell r="AQ57">
            <v>0</v>
          </cell>
          <cell r="AS57">
            <v>0</v>
          </cell>
          <cell r="AU57">
            <v>0</v>
          </cell>
          <cell r="AW57">
            <v>0</v>
          </cell>
          <cell r="AY57">
            <v>0</v>
          </cell>
          <cell r="BC57">
            <v>0</v>
          </cell>
          <cell r="BE57">
            <v>0</v>
          </cell>
          <cell r="BG57">
            <v>0</v>
          </cell>
          <cell r="BI57">
            <v>0</v>
          </cell>
          <cell r="BK57">
            <v>0</v>
          </cell>
          <cell r="BQ57">
            <v>0</v>
          </cell>
          <cell r="BS57">
            <v>0</v>
          </cell>
          <cell r="BU57">
            <v>0</v>
          </cell>
          <cell r="BW57">
            <v>0</v>
          </cell>
          <cell r="BY57">
            <v>0</v>
          </cell>
          <cell r="CA57">
            <v>0</v>
          </cell>
          <cell r="CC57">
            <v>0</v>
          </cell>
          <cell r="CE57">
            <v>0</v>
          </cell>
          <cell r="CG57">
            <v>0</v>
          </cell>
          <cell r="CI57">
            <v>0</v>
          </cell>
          <cell r="CK57">
            <v>0</v>
          </cell>
        </row>
        <row r="58">
          <cell r="P58" t="str">
            <v xml:space="preserve"> </v>
          </cell>
          <cell r="Q58">
            <v>550.59400000000005</v>
          </cell>
          <cell r="R58" t="str">
            <v xml:space="preserve"> </v>
          </cell>
          <cell r="S58">
            <v>33.715000000000003</v>
          </cell>
          <cell r="U58">
            <v>22.241</v>
          </cell>
          <cell r="W58">
            <v>1629</v>
          </cell>
          <cell r="Y58">
            <v>108.46299999999999</v>
          </cell>
          <cell r="AA58">
            <v>902.9</v>
          </cell>
          <cell r="AC58">
            <v>118.324</v>
          </cell>
          <cell r="AE58">
            <v>3796</v>
          </cell>
          <cell r="AG58">
            <v>185.35607999999999</v>
          </cell>
          <cell r="AI58">
            <v>1920</v>
          </cell>
          <cell r="AK58">
            <v>-27</v>
          </cell>
          <cell r="AM58">
            <v>-11.528</v>
          </cell>
          <cell r="AO58">
            <v>-30.927018</v>
          </cell>
          <cell r="AQ58">
            <v>-8.7439999999999998</v>
          </cell>
          <cell r="AS58">
            <v>-25.009999999999998</v>
          </cell>
          <cell r="AU58">
            <v>-23.29</v>
          </cell>
          <cell r="AW58">
            <v>-20.350999999999999</v>
          </cell>
          <cell r="AY58">
            <v>-8.770999999999999</v>
          </cell>
          <cell r="BC58">
            <v>-11.157</v>
          </cell>
          <cell r="BE58">
            <v>-29.914000000000001</v>
          </cell>
          <cell r="BG58">
            <v>-10.473000000000001</v>
          </cell>
          <cell r="BI58">
            <v>-14.181999999999999</v>
          </cell>
          <cell r="BK58">
            <v>-13.856999999999999</v>
          </cell>
          <cell r="BQ58">
            <v>64.279445999999993</v>
          </cell>
          <cell r="BS58">
            <v>0</v>
          </cell>
          <cell r="BU58">
            <v>0</v>
          </cell>
          <cell r="BW58">
            <v>3273.4399999999996</v>
          </cell>
          <cell r="BY58">
            <v>0</v>
          </cell>
          <cell r="CA58">
            <v>0</v>
          </cell>
          <cell r="CC58">
            <v>-21.336000000000006</v>
          </cell>
          <cell r="CE58">
            <v>729.84800000000007</v>
          </cell>
          <cell r="CG58">
            <v>1644</v>
          </cell>
          <cell r="CI58">
            <v>3712.41</v>
          </cell>
          <cell r="CK58">
            <v>4489</v>
          </cell>
        </row>
        <row r="59">
          <cell r="P59" t="str">
            <v xml:space="preserve"> </v>
          </cell>
          <cell r="R59" t="str">
            <v xml:space="preserve"> </v>
          </cell>
        </row>
        <row r="60">
          <cell r="O60">
            <v>25.5</v>
          </cell>
          <cell r="P60" t="str">
            <v xml:space="preserve"> </v>
          </cell>
          <cell r="Q60">
            <v>42.9375</v>
          </cell>
          <cell r="R60" t="str">
            <v xml:space="preserve"> </v>
          </cell>
          <cell r="S60">
            <v>55.625</v>
          </cell>
          <cell r="U60" t="e">
            <v>#N/A</v>
          </cell>
          <cell r="W60">
            <v>34</v>
          </cell>
          <cell r="Y60">
            <v>66.875</v>
          </cell>
          <cell r="AA60">
            <v>73.625</v>
          </cell>
          <cell r="AC60" t="e">
            <v>#N/A</v>
          </cell>
          <cell r="AE60">
            <v>67.25</v>
          </cell>
          <cell r="AG60">
            <v>23.125</v>
          </cell>
          <cell r="AI60">
            <v>66.375</v>
          </cell>
          <cell r="AK60">
            <v>24.875</v>
          </cell>
          <cell r="AM60">
            <v>99.4375</v>
          </cell>
          <cell r="AO60">
            <v>13.6875</v>
          </cell>
          <cell r="AQ60">
            <v>25.84375</v>
          </cell>
          <cell r="AS60">
            <v>68.3125</v>
          </cell>
          <cell r="AU60">
            <v>13.5625</v>
          </cell>
          <cell r="AW60">
            <v>18.5</v>
          </cell>
          <cell r="AY60">
            <v>23.625</v>
          </cell>
          <cell r="BA60">
            <v>10.25</v>
          </cell>
          <cell r="BC60">
            <v>13.875</v>
          </cell>
          <cell r="BE60">
            <v>29.5</v>
          </cell>
          <cell r="BG60">
            <v>16.5</v>
          </cell>
          <cell r="BI60">
            <v>8.75</v>
          </cell>
          <cell r="BK60">
            <v>26.3125</v>
          </cell>
          <cell r="BM60">
            <v>75.6875</v>
          </cell>
          <cell r="BO60">
            <v>93.25</v>
          </cell>
          <cell r="BQ60">
            <v>20.625</v>
          </cell>
          <cell r="BS60">
            <v>29</v>
          </cell>
          <cell r="BU60">
            <v>66.75</v>
          </cell>
          <cell r="BW60">
            <v>59.3125</v>
          </cell>
          <cell r="BY60">
            <v>49.5</v>
          </cell>
          <cell r="CA60">
            <v>29</v>
          </cell>
          <cell r="CC60">
            <v>78.6875</v>
          </cell>
          <cell r="CE60">
            <v>43.375</v>
          </cell>
          <cell r="CG60">
            <v>50.1875</v>
          </cell>
          <cell r="CI60">
            <v>51.1875</v>
          </cell>
          <cell r="CK60">
            <v>67.25</v>
          </cell>
          <cell r="CM60">
            <v>19.875</v>
          </cell>
          <cell r="CO60">
            <v>6.2327000000000004</v>
          </cell>
          <cell r="CQ60">
            <v>57.539280000000005</v>
          </cell>
          <cell r="CS60">
            <v>46.610030000000002</v>
          </cell>
          <cell r="CU60">
            <v>24.125</v>
          </cell>
        </row>
        <row r="61">
          <cell r="O61">
            <v>41.375</v>
          </cell>
          <cell r="P61" t="str">
            <v xml:space="preserve"> </v>
          </cell>
          <cell r="Q61">
            <v>47.0625</v>
          </cell>
          <cell r="R61" t="str">
            <v xml:space="preserve"> </v>
          </cell>
          <cell r="S61">
            <v>58</v>
          </cell>
          <cell r="U61">
            <v>61.25</v>
          </cell>
          <cell r="W61">
            <v>50.041670000000003</v>
          </cell>
          <cell r="Y61">
            <v>76.625</v>
          </cell>
          <cell r="AA61">
            <v>81.375</v>
          </cell>
          <cell r="AC61">
            <v>90</v>
          </cell>
          <cell r="AE61">
            <v>76</v>
          </cell>
          <cell r="AG61">
            <v>26.625</v>
          </cell>
          <cell r="AI61">
            <v>97.75</v>
          </cell>
          <cell r="AK61">
            <v>34.125</v>
          </cell>
          <cell r="AM61">
            <v>101.625</v>
          </cell>
          <cell r="AO61">
            <v>61.5</v>
          </cell>
          <cell r="AQ61">
            <v>28.4375</v>
          </cell>
          <cell r="AS61">
            <v>69.6875</v>
          </cell>
          <cell r="AU61">
            <v>29</v>
          </cell>
          <cell r="AW61">
            <v>32.875</v>
          </cell>
          <cell r="AY61">
            <v>36</v>
          </cell>
          <cell r="BA61">
            <v>26.5</v>
          </cell>
          <cell r="BC61">
            <v>22.5</v>
          </cell>
          <cell r="BE61">
            <v>30.9375</v>
          </cell>
          <cell r="BG61">
            <v>28</v>
          </cell>
          <cell r="BI61">
            <v>12.375</v>
          </cell>
          <cell r="BK61">
            <v>30.4375</v>
          </cell>
          <cell r="BM61">
            <v>140.875</v>
          </cell>
          <cell r="BO61">
            <v>103</v>
          </cell>
          <cell r="BQ61">
            <v>30.25</v>
          </cell>
          <cell r="BS61">
            <v>43.9375</v>
          </cell>
          <cell r="BU61">
            <v>87.375</v>
          </cell>
          <cell r="BW61">
            <v>76.375</v>
          </cell>
          <cell r="BY61">
            <v>55.75</v>
          </cell>
          <cell r="CA61">
            <v>43.9375</v>
          </cell>
          <cell r="CC61">
            <v>84</v>
          </cell>
          <cell r="CE61">
            <v>53.3125</v>
          </cell>
          <cell r="CG61">
            <v>60.8125</v>
          </cell>
          <cell r="CI61">
            <v>76.1875</v>
          </cell>
          <cell r="CK61">
            <v>76</v>
          </cell>
          <cell r="CM61">
            <v>24.4375</v>
          </cell>
          <cell r="CO61">
            <v>5.84</v>
          </cell>
          <cell r="CQ61">
            <v>69.280050000000003</v>
          </cell>
          <cell r="CS61">
            <v>69.024410000000003</v>
          </cell>
          <cell r="CU61">
            <v>29.375</v>
          </cell>
        </row>
        <row r="62">
          <cell r="O62">
            <v>0</v>
          </cell>
          <cell r="P62" t="str">
            <v xml:space="preserve"> </v>
          </cell>
          <cell r="Q62">
            <v>0</v>
          </cell>
          <cell r="R62" t="str">
            <v xml:space="preserve"> </v>
          </cell>
          <cell r="S62">
            <v>0</v>
          </cell>
          <cell r="U62">
            <v>0</v>
          </cell>
          <cell r="W62">
            <v>0</v>
          </cell>
          <cell r="Y62">
            <v>0</v>
          </cell>
          <cell r="AA62">
            <v>0</v>
          </cell>
          <cell r="AC62">
            <v>0</v>
          </cell>
          <cell r="AE62">
            <v>0</v>
          </cell>
          <cell r="AG62">
            <v>0</v>
          </cell>
          <cell r="AI62">
            <v>0</v>
          </cell>
          <cell r="AK62">
            <v>0</v>
          </cell>
          <cell r="AM62">
            <v>0</v>
          </cell>
          <cell r="AO62">
            <v>0</v>
          </cell>
          <cell r="AQ62">
            <v>0</v>
          </cell>
          <cell r="AS62">
            <v>0</v>
          </cell>
          <cell r="AU62">
            <v>0</v>
          </cell>
          <cell r="AW62">
            <v>0</v>
          </cell>
          <cell r="AY62">
            <v>0</v>
          </cell>
          <cell r="BA62">
            <v>0</v>
          </cell>
          <cell r="BC62">
            <v>0</v>
          </cell>
          <cell r="BE62">
            <v>0</v>
          </cell>
          <cell r="BG62">
            <v>0</v>
          </cell>
          <cell r="BI62">
            <v>0</v>
          </cell>
          <cell r="BK62">
            <v>0</v>
          </cell>
          <cell r="BM62">
            <v>0</v>
          </cell>
          <cell r="BO62">
            <v>0</v>
          </cell>
          <cell r="BQ62">
            <v>0</v>
          </cell>
          <cell r="BS62">
            <v>0</v>
          </cell>
          <cell r="BU62">
            <v>0</v>
          </cell>
          <cell r="BW62">
            <v>0</v>
          </cell>
          <cell r="BY62">
            <v>0</v>
          </cell>
          <cell r="CA62">
            <v>0</v>
          </cell>
          <cell r="CC62">
            <v>0</v>
          </cell>
          <cell r="CE62">
            <v>0</v>
          </cell>
          <cell r="CG62">
            <v>0.44</v>
          </cell>
          <cell r="CI62">
            <v>1.0174000000000001</v>
          </cell>
          <cell r="CK62">
            <v>1.56</v>
          </cell>
          <cell r="CM62">
            <v>0</v>
          </cell>
          <cell r="CO62">
            <v>0</v>
          </cell>
          <cell r="CQ62">
            <v>0</v>
          </cell>
          <cell r="CS62">
            <v>0</v>
          </cell>
          <cell r="CU62">
            <v>0</v>
          </cell>
        </row>
        <row r="63">
          <cell r="O63">
            <v>22.234375</v>
          </cell>
          <cell r="P63" t="str">
            <v xml:space="preserve"> </v>
          </cell>
          <cell r="Q63">
            <v>20.125</v>
          </cell>
          <cell r="R63" t="str">
            <v xml:space="preserve"> </v>
          </cell>
          <cell r="S63">
            <v>31.25</v>
          </cell>
          <cell r="U63">
            <v>19.25</v>
          </cell>
          <cell r="W63">
            <v>28.666670000000003</v>
          </cell>
          <cell r="Y63">
            <v>20.875</v>
          </cell>
          <cell r="AA63">
            <v>28.96875</v>
          </cell>
          <cell r="AC63">
            <v>63.5625</v>
          </cell>
          <cell r="AE63">
            <v>44.15625</v>
          </cell>
          <cell r="AG63">
            <v>13.75</v>
          </cell>
          <cell r="AI63">
            <v>63.875</v>
          </cell>
          <cell r="AK63">
            <v>13.25</v>
          </cell>
          <cell r="AM63">
            <v>17.25</v>
          </cell>
          <cell r="AO63">
            <v>10.0625</v>
          </cell>
          <cell r="AQ63">
            <v>13.375</v>
          </cell>
          <cell r="AS63">
            <v>18</v>
          </cell>
          <cell r="AU63">
            <v>12.25</v>
          </cell>
          <cell r="AW63">
            <v>10.9375</v>
          </cell>
          <cell r="AY63">
            <v>18.5</v>
          </cell>
          <cell r="BA63">
            <v>8</v>
          </cell>
          <cell r="BC63">
            <v>5</v>
          </cell>
          <cell r="BE63">
            <v>9.75</v>
          </cell>
          <cell r="BG63">
            <v>3.5</v>
          </cell>
          <cell r="BI63">
            <v>3.375</v>
          </cell>
          <cell r="BK63">
            <v>5.5625</v>
          </cell>
          <cell r="BM63">
            <v>42.25</v>
          </cell>
          <cell r="BO63">
            <v>68.125</v>
          </cell>
          <cell r="BQ63">
            <v>14.5</v>
          </cell>
          <cell r="BS63">
            <v>24.625</v>
          </cell>
          <cell r="BU63">
            <v>57.5</v>
          </cell>
          <cell r="BW63">
            <v>48.0625</v>
          </cell>
          <cell r="BY63">
            <v>31</v>
          </cell>
          <cell r="CA63">
            <v>24.625</v>
          </cell>
          <cell r="CC63">
            <v>21</v>
          </cell>
          <cell r="CE63">
            <v>36.625</v>
          </cell>
          <cell r="CG63">
            <v>42.375</v>
          </cell>
          <cell r="CI63">
            <v>49.375</v>
          </cell>
          <cell r="CK63">
            <v>44.15625</v>
          </cell>
          <cell r="CM63">
            <v>12.8125</v>
          </cell>
          <cell r="CO63">
            <v>3.2250000000000001</v>
          </cell>
          <cell r="CQ63">
            <v>46.527560000000001</v>
          </cell>
          <cell r="CS63">
            <v>42.437230000000007</v>
          </cell>
          <cell r="CU63">
            <v>14.125</v>
          </cell>
        </row>
        <row r="64">
          <cell r="O64">
            <v>24044</v>
          </cell>
          <cell r="P64" t="str">
            <v xml:space="preserve"> </v>
          </cell>
          <cell r="Q64">
            <v>195702.035</v>
          </cell>
          <cell r="R64" t="str">
            <v xml:space="preserve"> </v>
          </cell>
          <cell r="S64">
            <v>70363.044999999998</v>
          </cell>
          <cell r="U64">
            <v>31283</v>
          </cell>
          <cell r="W64">
            <v>1293255</v>
          </cell>
          <cell r="Y64">
            <v>73599.510999999999</v>
          </cell>
          <cell r="AA64">
            <v>254070.28</v>
          </cell>
          <cell r="AC64">
            <v>125160.38500000001</v>
          </cell>
          <cell r="AE64">
            <v>995294.31499999994</v>
          </cell>
          <cell r="AG64">
            <v>178653</v>
          </cell>
          <cell r="AI64">
            <v>1107425.186</v>
          </cell>
          <cell r="AK64">
            <v>13625</v>
          </cell>
          <cell r="AM64">
            <v>20002.87</v>
          </cell>
          <cell r="AO64">
            <v>16309.343000000001</v>
          </cell>
          <cell r="AQ64">
            <v>18554.572</v>
          </cell>
          <cell r="AS64">
            <v>30531.399000000001</v>
          </cell>
          <cell r="AU64">
            <v>16740.085999999999</v>
          </cell>
          <cell r="AW64">
            <v>16125.596</v>
          </cell>
          <cell r="AY64">
            <v>17028.649000000001</v>
          </cell>
          <cell r="BA64">
            <v>44104.851000000002</v>
          </cell>
          <cell r="BC64">
            <v>11485.782999999999</v>
          </cell>
          <cell r="BE64">
            <v>16399.208999999999</v>
          </cell>
          <cell r="BG64">
            <v>10593.477000000001</v>
          </cell>
          <cell r="BI64">
            <v>11418.286</v>
          </cell>
          <cell r="BK64">
            <v>24453.647000000001</v>
          </cell>
          <cell r="BM64">
            <v>32811.144</v>
          </cell>
          <cell r="BO64">
            <v>1344669.4480000001</v>
          </cell>
          <cell r="BQ64">
            <v>108255</v>
          </cell>
          <cell r="BS64">
            <v>99351.686000000002</v>
          </cell>
          <cell r="BU64">
            <v>1195259.3370000001</v>
          </cell>
          <cell r="BW64">
            <v>1094800</v>
          </cell>
          <cell r="BY64">
            <v>86420.91</v>
          </cell>
          <cell r="CA64">
            <v>99351.686000000002</v>
          </cell>
          <cell r="CC64">
            <v>26719.304</v>
          </cell>
          <cell r="CE64">
            <v>1517621.345</v>
          </cell>
          <cell r="CG64">
            <v>1469611.1140000001</v>
          </cell>
          <cell r="CI64">
            <v>1811000</v>
          </cell>
          <cell r="CK64">
            <v>994708.60699999996</v>
          </cell>
          <cell r="CM64">
            <v>40034.15</v>
          </cell>
          <cell r="CO64">
            <v>41273.527000000002</v>
          </cell>
          <cell r="CQ64">
            <v>39000</v>
          </cell>
          <cell r="CS64">
            <v>22540</v>
          </cell>
          <cell r="CU64">
            <v>47266.666666666664</v>
          </cell>
        </row>
        <row r="65">
          <cell r="O65">
            <v>24275</v>
          </cell>
          <cell r="P65" t="str">
            <v xml:space="preserve"> </v>
          </cell>
          <cell r="Q65">
            <v>194466</v>
          </cell>
          <cell r="R65" t="str">
            <v xml:space="preserve"> </v>
          </cell>
          <cell r="S65">
            <v>71770</v>
          </cell>
          <cell r="U65">
            <v>33235</v>
          </cell>
          <cell r="W65">
            <v>1301000</v>
          </cell>
          <cell r="Y65">
            <v>76905</v>
          </cell>
          <cell r="AA65">
            <v>264100</v>
          </cell>
          <cell r="AC65">
            <v>126397</v>
          </cell>
          <cell r="AE65">
            <v>996000</v>
          </cell>
          <cell r="AG65">
            <v>179546.37841832964</v>
          </cell>
          <cell r="AI65">
            <v>1100285.7142857143</v>
          </cell>
          <cell r="AK65">
            <v>10197</v>
          </cell>
          <cell r="AM65">
            <v>23503</v>
          </cell>
          <cell r="AO65">
            <v>16431</v>
          </cell>
          <cell r="AQ65">
            <v>18722</v>
          </cell>
          <cell r="AS65">
            <v>30472</v>
          </cell>
          <cell r="AU65">
            <v>16099</v>
          </cell>
          <cell r="AW65">
            <v>16258</v>
          </cell>
          <cell r="AY65">
            <v>16021</v>
          </cell>
          <cell r="BA65">
            <v>44972</v>
          </cell>
          <cell r="BC65">
            <v>13294</v>
          </cell>
          <cell r="BE65">
            <v>16054</v>
          </cell>
          <cell r="BG65">
            <v>11612</v>
          </cell>
          <cell r="BI65">
            <v>11272</v>
          </cell>
          <cell r="BK65">
            <v>24541</v>
          </cell>
          <cell r="BM65">
            <v>33730</v>
          </cell>
          <cell r="BO65">
            <v>1379100</v>
          </cell>
          <cell r="BQ65">
            <v>108864</v>
          </cell>
          <cell r="BS65">
            <v>99400</v>
          </cell>
          <cell r="BU65">
            <v>1195100</v>
          </cell>
          <cell r="BW65">
            <v>1094800</v>
          </cell>
          <cell r="BY65">
            <v>85900</v>
          </cell>
          <cell r="CA65">
            <v>99400</v>
          </cell>
          <cell r="CC65">
            <v>26791</v>
          </cell>
          <cell r="CE65">
            <v>762208</v>
          </cell>
          <cell r="CG65">
            <v>1488000</v>
          </cell>
          <cell r="CI65">
            <v>1811000</v>
          </cell>
          <cell r="CK65">
            <v>1020000</v>
          </cell>
          <cell r="CM65">
            <v>40000</v>
          </cell>
          <cell r="CO65">
            <v>41273.527000000002</v>
          </cell>
          <cell r="CQ65">
            <v>39000</v>
          </cell>
          <cell r="CS65">
            <v>22540</v>
          </cell>
          <cell r="CU65">
            <v>47266.666666666664</v>
          </cell>
        </row>
        <row r="66">
          <cell r="P66" t="str">
            <v xml:space="preserve"> </v>
          </cell>
          <cell r="R66" t="str">
            <v xml:space="preserve"> </v>
          </cell>
        </row>
        <row r="67">
          <cell r="O67" t="str">
            <v>9/30/98</v>
          </cell>
          <cell r="P67" t="str">
            <v xml:space="preserve"> </v>
          </cell>
          <cell r="Q67" t="str">
            <v>12/31/97</v>
          </cell>
          <cell r="R67" t="str">
            <v xml:space="preserve"> </v>
          </cell>
          <cell r="S67" t="str">
            <v>12/31/97</v>
          </cell>
          <cell r="U67" t="str">
            <v>6/30/98</v>
          </cell>
          <cell r="W67" t="str">
            <v>12/31/97</v>
          </cell>
          <cell r="Y67" t="str">
            <v>12/31/97</v>
          </cell>
          <cell r="AA67" t="str">
            <v>12/31/97</v>
          </cell>
          <cell r="AC67" t="str">
            <v>12/31/97</v>
          </cell>
          <cell r="AE67" t="str">
            <v>12/31/97</v>
          </cell>
          <cell r="AG67" t="str">
            <v>12/31/97</v>
          </cell>
          <cell r="AI67" t="str">
            <v>12/31/97</v>
          </cell>
          <cell r="AK67" t="str">
            <v>12/31/97</v>
          </cell>
          <cell r="AM67" t="str">
            <v>12/31/97</v>
          </cell>
          <cell r="AO67" t="str">
            <v>12/31/97</v>
          </cell>
          <cell r="AQ67" t="str">
            <v>12/31/97</v>
          </cell>
          <cell r="AS67" t="str">
            <v>12/31/97</v>
          </cell>
          <cell r="AU67" t="str">
            <v>12/31/97</v>
          </cell>
          <cell r="AW67" t="str">
            <v>12/31/97</v>
          </cell>
          <cell r="AY67" t="str">
            <v>12/31/97</v>
          </cell>
          <cell r="BA67" t="str">
            <v>12/31/98</v>
          </cell>
          <cell r="BC67" t="str">
            <v>12/31/97</v>
          </cell>
          <cell r="BE67" t="str">
            <v>12/31/97</v>
          </cell>
          <cell r="BG67" t="str">
            <v>12/31/97</v>
          </cell>
          <cell r="BI67" t="str">
            <v>12/31/97</v>
          </cell>
          <cell r="BK67" t="str">
            <v>12/31/97</v>
          </cell>
          <cell r="BM67" t="str">
            <v>12/31/98</v>
          </cell>
          <cell r="BO67" t="str">
            <v>12/31/97</v>
          </cell>
          <cell r="BQ67" t="str">
            <v>12/31/97</v>
          </cell>
          <cell r="BS67" t="str">
            <v>12/31/97</v>
          </cell>
          <cell r="BU67" t="str">
            <v>12/31/97</v>
          </cell>
          <cell r="BW67" t="str">
            <v>12/31/97</v>
          </cell>
          <cell r="BY67" t="str">
            <v>12/31/97</v>
          </cell>
          <cell r="CA67" t="str">
            <v>12/31/97</v>
          </cell>
          <cell r="CC67" t="str">
            <v>12/31/97</v>
          </cell>
          <cell r="CE67" t="str">
            <v>12/31/97</v>
          </cell>
          <cell r="CG67" t="str">
            <v>12/31/97</v>
          </cell>
          <cell r="CI67" t="str">
            <v>12/31/97</v>
          </cell>
          <cell r="CK67" t="str">
            <v>12/31/97</v>
          </cell>
          <cell r="CM67" t="str">
            <v>12/31/97</v>
          </cell>
          <cell r="CO67" t="str">
            <v>12/31/97</v>
          </cell>
          <cell r="CQ67" t="str">
            <v>12/31/97</v>
          </cell>
          <cell r="CS67" t="str">
            <v>12/31/97</v>
          </cell>
          <cell r="CU67" t="str">
            <v>06/30/98</v>
          </cell>
        </row>
        <row r="68">
          <cell r="O68" t="str">
            <v>9/30/98</v>
          </cell>
          <cell r="P68" t="str">
            <v xml:space="preserve"> </v>
          </cell>
          <cell r="Q68" t="str">
            <v>6/30/98</v>
          </cell>
          <cell r="R68" t="str">
            <v xml:space="preserve"> </v>
          </cell>
          <cell r="S68" t="str">
            <v>3/31/98</v>
          </cell>
          <cell r="U68" t="str">
            <v>9/30/98</v>
          </cell>
          <cell r="W68" t="str">
            <v>12/31/97</v>
          </cell>
          <cell r="Y68" t="str">
            <v>9/30/98</v>
          </cell>
          <cell r="AA68" t="str">
            <v>3/31/98</v>
          </cell>
          <cell r="AC68" t="str">
            <v>3/31/98</v>
          </cell>
          <cell r="AE68" t="str">
            <v>3/31/98</v>
          </cell>
          <cell r="AG68" t="str">
            <v>9/30/98</v>
          </cell>
          <cell r="AI68" t="str">
            <v>3/31/98</v>
          </cell>
          <cell r="AK68" t="str">
            <v>3/31/98</v>
          </cell>
          <cell r="AM68" t="str">
            <v>9/30/98</v>
          </cell>
          <cell r="AO68" t="str">
            <v>9/30/98</v>
          </cell>
          <cell r="AQ68" t="str">
            <v>9/30/98</v>
          </cell>
          <cell r="AS68" t="str">
            <v>9/30/98</v>
          </cell>
          <cell r="AU68" t="str">
            <v>9/30/98</v>
          </cell>
          <cell r="AW68" t="str">
            <v>9/30/98</v>
          </cell>
          <cell r="AY68" t="str">
            <v>9/30/98</v>
          </cell>
          <cell r="BA68" t="str">
            <v>3/31/99</v>
          </cell>
          <cell r="BC68" t="str">
            <v>9/30/98</v>
          </cell>
          <cell r="BE68" t="str">
            <v>9/30/98</v>
          </cell>
          <cell r="BG68" t="str">
            <v>9/30/98</v>
          </cell>
          <cell r="BI68" t="str">
            <v>9/30/98</v>
          </cell>
          <cell r="BK68" t="str">
            <v>9/30/98</v>
          </cell>
          <cell r="BM68" t="str">
            <v>3/31/99</v>
          </cell>
          <cell r="BO68" t="str">
            <v>9/30/98</v>
          </cell>
          <cell r="BQ68" t="str">
            <v>9/30/98</v>
          </cell>
          <cell r="BS68" t="str">
            <v>12/31/97</v>
          </cell>
          <cell r="BU68" t="str">
            <v>12/31/97</v>
          </cell>
          <cell r="BW68" t="str">
            <v>12/31/97</v>
          </cell>
          <cell r="BY68" t="str">
            <v>12/31/97</v>
          </cell>
          <cell r="CA68" t="str">
            <v>12/31/97</v>
          </cell>
          <cell r="CC68" t="str">
            <v>9/30/98</v>
          </cell>
          <cell r="CE68" t="str">
            <v>9/30/98</v>
          </cell>
          <cell r="CG68" t="str">
            <v>9/30/98</v>
          </cell>
          <cell r="CI68" t="str">
            <v>12/31/97</v>
          </cell>
          <cell r="CK68" t="str">
            <v>6/30/98</v>
          </cell>
          <cell r="CM68" t="str">
            <v>3/31/98</v>
          </cell>
          <cell r="CO68" t="str">
            <v>3/31/98</v>
          </cell>
          <cell r="CQ68" t="str">
            <v>3/31/98</v>
          </cell>
          <cell r="CS68" t="str">
            <v>3/31/98</v>
          </cell>
          <cell r="CU68" t="str">
            <v>06/30/98</v>
          </cell>
        </row>
        <row r="69">
          <cell r="O69">
            <v>0.311</v>
          </cell>
          <cell r="P69" t="str">
            <v xml:space="preserve"> </v>
          </cell>
          <cell r="Q69">
            <v>0.33</v>
          </cell>
          <cell r="R69" t="str">
            <v xml:space="preserve"> </v>
          </cell>
          <cell r="S69">
            <v>0.35</v>
          </cell>
          <cell r="U69">
            <v>0.4</v>
          </cell>
          <cell r="W69">
            <v>0.28499999999999998</v>
          </cell>
          <cell r="Y69">
            <v>0.32898074381051057</v>
          </cell>
          <cell r="AA69">
            <v>0.25203157650336661</v>
          </cell>
          <cell r="AC69">
            <v>0.24000117789098618</v>
          </cell>
          <cell r="AE69">
            <v>0.28491744756804999</v>
          </cell>
          <cell r="AG69">
            <v>0.33886468561024774</v>
          </cell>
          <cell r="AI69">
            <v>0.25</v>
          </cell>
          <cell r="AK69">
            <v>0</v>
          </cell>
          <cell r="AM69">
            <v>0</v>
          </cell>
          <cell r="AO69">
            <v>0</v>
          </cell>
          <cell r="AQ69">
            <v>0</v>
          </cell>
          <cell r="AS69">
            <v>0</v>
          </cell>
          <cell r="AU69">
            <v>0</v>
          </cell>
          <cell r="AW69">
            <v>0</v>
          </cell>
          <cell r="AY69">
            <v>0</v>
          </cell>
          <cell r="BA69">
            <v>0.34</v>
          </cell>
          <cell r="BC69">
            <v>0</v>
          </cell>
          <cell r="BE69">
            <v>0</v>
          </cell>
          <cell r="BG69">
            <v>0</v>
          </cell>
          <cell r="BI69">
            <v>0</v>
          </cell>
          <cell r="BK69">
            <v>0</v>
          </cell>
          <cell r="BM69">
            <v>0</v>
          </cell>
          <cell r="BO69">
            <v>0.27800000000000002</v>
          </cell>
          <cell r="BQ69">
            <v>8.2199999999999995E-2</v>
          </cell>
          <cell r="BS69">
            <v>0.27030303030303032</v>
          </cell>
          <cell r="BU69">
            <v>0.27030303030303032</v>
          </cell>
          <cell r="BW69">
            <v>0.27030303030303032</v>
          </cell>
          <cell r="BY69">
            <v>0.27030303030303032</v>
          </cell>
          <cell r="CA69">
            <v>0.27030303030303032</v>
          </cell>
          <cell r="CC69">
            <v>0.38</v>
          </cell>
          <cell r="CE69">
            <v>0.28999999999999998</v>
          </cell>
          <cell r="CG69">
            <v>0.2451646628332462</v>
          </cell>
          <cell r="CI69">
            <v>0.30499999999999999</v>
          </cell>
          <cell r="CK69">
            <v>0.28999999999999998</v>
          </cell>
          <cell r="CM69">
            <v>0</v>
          </cell>
          <cell r="CO69">
            <v>0</v>
          </cell>
          <cell r="CQ69">
            <v>0</v>
          </cell>
          <cell r="CS69">
            <v>0.42499999999999999</v>
          </cell>
          <cell r="CU69">
            <v>0</v>
          </cell>
        </row>
        <row r="70">
          <cell r="P70" t="str">
            <v xml:space="preserve"> </v>
          </cell>
          <cell r="R70" t="str">
            <v xml:space="preserve"> </v>
          </cell>
        </row>
        <row r="71">
          <cell r="O71" t="str">
            <v>07/29/99</v>
          </cell>
          <cell r="P71" t="str">
            <v xml:space="preserve"> </v>
          </cell>
          <cell r="Q71" t="str">
            <v>07/29/99</v>
          </cell>
          <cell r="R71" t="str">
            <v xml:space="preserve"> </v>
          </cell>
          <cell r="S71" t="str">
            <v>07/29/99</v>
          </cell>
          <cell r="U71" t="str">
            <v>07/29/99</v>
          </cell>
          <cell r="W71" t="str">
            <v>07/29/99</v>
          </cell>
          <cell r="Y71" t="str">
            <v>07/29/99</v>
          </cell>
          <cell r="AA71" t="str">
            <v>07/29/99</v>
          </cell>
          <cell r="AC71" t="str">
            <v>07/29/99</v>
          </cell>
          <cell r="AE71" t="str">
            <v>07/29/99</v>
          </cell>
          <cell r="AG71" t="str">
            <v>07/29/99</v>
          </cell>
          <cell r="AI71" t="str">
            <v>07/29/99</v>
          </cell>
          <cell r="AK71" t="str">
            <v>07/29/99</v>
          </cell>
          <cell r="AM71" t="str">
            <v>07/29/99</v>
          </cell>
          <cell r="AO71" t="str">
            <v>07/29/99</v>
          </cell>
          <cell r="AQ71" t="str">
            <v>07/29/99</v>
          </cell>
          <cell r="AS71" t="str">
            <v>07/29/99</v>
          </cell>
          <cell r="AU71" t="str">
            <v>07/29/99</v>
          </cell>
          <cell r="AW71" t="str">
            <v>07/29/99</v>
          </cell>
          <cell r="AY71" t="str">
            <v>07/29/99</v>
          </cell>
          <cell r="BA71" t="str">
            <v>07/29/99</v>
          </cell>
          <cell r="BC71" t="str">
            <v>07/29/99</v>
          </cell>
          <cell r="BE71" t="str">
            <v>07/29/99</v>
          </cell>
          <cell r="BG71" t="str">
            <v>07/29/99</v>
          </cell>
          <cell r="BI71" t="str">
            <v>07/29/99</v>
          </cell>
          <cell r="BK71" t="str">
            <v>07/29/99</v>
          </cell>
          <cell r="BM71" t="str">
            <v>07/29/99</v>
          </cell>
          <cell r="BO71" t="str">
            <v>07/29/99</v>
          </cell>
          <cell r="BQ71" t="str">
            <v>07/29/99</v>
          </cell>
          <cell r="BS71" t="str">
            <v>07/29/99</v>
          </cell>
          <cell r="BU71" t="str">
            <v>07/29/99</v>
          </cell>
          <cell r="BW71" t="str">
            <v>07/29/99</v>
          </cell>
          <cell r="BY71" t="str">
            <v>07/29/99</v>
          </cell>
          <cell r="CA71" t="str">
            <v>07/29/99</v>
          </cell>
          <cell r="CC71" t="str">
            <v>07/29/99</v>
          </cell>
          <cell r="CE71" t="str">
            <v>07/29/99</v>
          </cell>
          <cell r="CG71" t="str">
            <v>07/29/99</v>
          </cell>
          <cell r="CI71" t="str">
            <v>07/29/99</v>
          </cell>
          <cell r="CK71" t="str">
            <v>07/29/99</v>
          </cell>
          <cell r="CM71" t="str">
            <v>07/29/99</v>
          </cell>
          <cell r="CO71" t="str">
            <v>07/29/99</v>
          </cell>
          <cell r="CQ71" t="str">
            <v>07/29/99</v>
          </cell>
          <cell r="CS71" t="str">
            <v>07/29/99</v>
          </cell>
          <cell r="CU71" t="str">
            <v>07/29/99</v>
          </cell>
        </row>
        <row r="72">
          <cell r="O72" t="str">
            <v>07/29/99</v>
          </cell>
          <cell r="P72" t="str">
            <v xml:space="preserve"> </v>
          </cell>
          <cell r="Q72" t="str">
            <v>07/29/99</v>
          </cell>
          <cell r="R72" t="str">
            <v xml:space="preserve"> </v>
          </cell>
          <cell r="S72" t="str">
            <v>07/29/99</v>
          </cell>
          <cell r="U72" t="str">
            <v>07/29/99</v>
          </cell>
          <cell r="W72" t="str">
            <v>07/29/99</v>
          </cell>
          <cell r="Y72" t="str">
            <v>07/29/99</v>
          </cell>
          <cell r="AA72" t="str">
            <v>07/29/99</v>
          </cell>
          <cell r="AC72" t="str">
            <v>07/29/99</v>
          </cell>
          <cell r="AE72" t="str">
            <v>07/29/99</v>
          </cell>
          <cell r="AG72" t="str">
            <v>07/29/99</v>
          </cell>
          <cell r="AI72" t="str">
            <v>07/29/99</v>
          </cell>
          <cell r="AK72" t="str">
            <v>07/29/99</v>
          </cell>
          <cell r="AM72" t="str">
            <v>07/29/99</v>
          </cell>
          <cell r="AO72" t="str">
            <v>07/29/99</v>
          </cell>
          <cell r="AQ72" t="str">
            <v>07/29/99</v>
          </cell>
          <cell r="AS72" t="str">
            <v>07/29/99</v>
          </cell>
          <cell r="AU72" t="str">
            <v>07/29/99</v>
          </cell>
          <cell r="AW72" t="str">
            <v>07/29/99</v>
          </cell>
          <cell r="AY72" t="str">
            <v>07/29/99</v>
          </cell>
          <cell r="BA72" t="str">
            <v>07/29/99</v>
          </cell>
          <cell r="BC72" t="str">
            <v>07/29/99</v>
          </cell>
          <cell r="BE72" t="str">
            <v>07/29/99</v>
          </cell>
          <cell r="BG72" t="str">
            <v>07/29/99</v>
          </cell>
          <cell r="BI72" t="str">
            <v>07/29/99</v>
          </cell>
          <cell r="BK72" t="str">
            <v>07/29/99</v>
          </cell>
          <cell r="BM72" t="str">
            <v>07/29/99</v>
          </cell>
          <cell r="BO72" t="str">
            <v>07/29/99</v>
          </cell>
          <cell r="BQ72" t="str">
            <v>07/29/99</v>
          </cell>
          <cell r="BS72" t="str">
            <v>07/29/99</v>
          </cell>
          <cell r="BU72" t="str">
            <v>07/29/99</v>
          </cell>
          <cell r="BW72" t="str">
            <v>07/29/99</v>
          </cell>
          <cell r="BY72" t="str">
            <v>07/29/99</v>
          </cell>
          <cell r="CA72" t="str">
            <v>07/29/99</v>
          </cell>
          <cell r="CC72" t="str">
            <v>07/29/99</v>
          </cell>
          <cell r="CE72" t="str">
            <v>07/29/99</v>
          </cell>
          <cell r="CG72" t="str">
            <v>07/29/99</v>
          </cell>
          <cell r="CI72" t="str">
            <v>07/29/99</v>
          </cell>
          <cell r="CK72" t="str">
            <v>07/29/99</v>
          </cell>
          <cell r="CM72" t="str">
            <v>07/29/99</v>
          </cell>
          <cell r="CO72" t="str">
            <v>07/29/99</v>
          </cell>
          <cell r="CQ72" t="str">
            <v>07/29/99</v>
          </cell>
          <cell r="CS72" t="str">
            <v>07/29/99</v>
          </cell>
          <cell r="CU72" t="str">
            <v>07/29/99</v>
          </cell>
        </row>
        <row r="73">
          <cell r="P73" t="str">
            <v xml:space="preserve"> </v>
          </cell>
          <cell r="R73" t="str">
            <v xml:space="preserve"> </v>
          </cell>
        </row>
        <row r="74">
          <cell r="P74" t="str">
            <v xml:space="preserve"> </v>
          </cell>
          <cell r="R74" t="str">
            <v xml:space="preserve"> </v>
          </cell>
        </row>
        <row r="75">
          <cell r="O75">
            <v>60.789000000000001</v>
          </cell>
          <cell r="P75" t="str">
            <v xml:space="preserve"> </v>
          </cell>
          <cell r="Q75">
            <v>562.53</v>
          </cell>
          <cell r="R75" t="str">
            <v xml:space="preserve"> </v>
          </cell>
          <cell r="S75">
            <v>89.957999999999998</v>
          </cell>
          <cell r="U75">
            <v>45.67</v>
          </cell>
          <cell r="W75">
            <v>4137</v>
          </cell>
          <cell r="Y75">
            <v>178.678</v>
          </cell>
          <cell r="AA75">
            <v>1186.2</v>
          </cell>
          <cell r="AC75">
            <v>668.36300000000006</v>
          </cell>
          <cell r="AE75">
            <v>4183</v>
          </cell>
          <cell r="AG75">
            <v>514.27599999999995</v>
          </cell>
          <cell r="AI75">
            <v>4041.8</v>
          </cell>
          <cell r="AK75">
            <v>2573</v>
          </cell>
          <cell r="AM75">
            <v>21.481999999999999</v>
          </cell>
          <cell r="AO75">
            <v>16.207312000000002</v>
          </cell>
          <cell r="AQ75">
            <v>22.169</v>
          </cell>
          <cell r="AS75">
            <v>9.7309999999999999</v>
          </cell>
          <cell r="AU75">
            <v>8.1829999999999998</v>
          </cell>
          <cell r="AW75">
            <v>3.387</v>
          </cell>
          <cell r="AY75">
            <v>1.0509999999999999</v>
          </cell>
          <cell r="BC75">
            <v>2.472</v>
          </cell>
          <cell r="BE75">
            <v>5.6</v>
          </cell>
          <cell r="BG75">
            <v>1.665</v>
          </cell>
          <cell r="BI75">
            <v>3.8109999999999999</v>
          </cell>
          <cell r="BK75">
            <v>11.568</v>
          </cell>
          <cell r="BO75">
            <v>5975</v>
          </cell>
          <cell r="BQ75">
            <v>71.898420000000002</v>
          </cell>
          <cell r="BS75">
            <v>118.32</v>
          </cell>
          <cell r="BU75">
            <v>6609.4</v>
          </cell>
          <cell r="BW75">
            <v>4980.6799999999994</v>
          </cell>
          <cell r="BY75">
            <v>310.39999999999998</v>
          </cell>
          <cell r="CA75">
            <v>118.32</v>
          </cell>
          <cell r="CC75">
            <v>69.02</v>
          </cell>
          <cell r="CE75">
            <v>4645.7669999999998</v>
          </cell>
          <cell r="CG75">
            <v>2581</v>
          </cell>
          <cell r="CI75">
            <v>5983.61</v>
          </cell>
        </row>
        <row r="76">
          <cell r="O76">
            <v>0</v>
          </cell>
          <cell r="P76" t="str">
            <v xml:space="preserve"> </v>
          </cell>
          <cell r="Q76">
            <v>319.66000000000003</v>
          </cell>
          <cell r="R76" t="str">
            <v xml:space="preserve"> </v>
          </cell>
          <cell r="S76">
            <v>259.58300000000003</v>
          </cell>
          <cell r="U76">
            <v>3.35</v>
          </cell>
          <cell r="W76">
            <v>1294</v>
          </cell>
          <cell r="Y76">
            <v>0</v>
          </cell>
          <cell r="AA76">
            <v>0</v>
          </cell>
          <cell r="AC76">
            <v>0</v>
          </cell>
          <cell r="AE76">
            <v>0</v>
          </cell>
          <cell r="AG76">
            <v>0</v>
          </cell>
          <cell r="AI76">
            <v>0</v>
          </cell>
          <cell r="AK76">
            <v>0</v>
          </cell>
          <cell r="AM76">
            <v>0</v>
          </cell>
          <cell r="AO76">
            <v>0</v>
          </cell>
          <cell r="AQ76">
            <v>0</v>
          </cell>
          <cell r="AS76">
            <v>0</v>
          </cell>
          <cell r="AU76">
            <v>0.68100000000000005</v>
          </cell>
          <cell r="AW76">
            <v>14.4</v>
          </cell>
          <cell r="AY76">
            <v>0</v>
          </cell>
          <cell r="BC76">
            <v>0</v>
          </cell>
          <cell r="BE76">
            <v>0</v>
          </cell>
          <cell r="BG76">
            <v>0</v>
          </cell>
          <cell r="BI76">
            <v>0</v>
          </cell>
          <cell r="BK76">
            <v>0</v>
          </cell>
          <cell r="BO76">
            <v>0</v>
          </cell>
          <cell r="BQ76">
            <v>13.861980000000001</v>
          </cell>
          <cell r="BS76">
            <v>0</v>
          </cell>
          <cell r="BU76">
            <v>0</v>
          </cell>
          <cell r="BW76">
            <v>0</v>
          </cell>
          <cell r="BY76">
            <v>0</v>
          </cell>
          <cell r="CA76">
            <v>0</v>
          </cell>
          <cell r="CC76">
            <v>0</v>
          </cell>
          <cell r="CE76">
            <v>0</v>
          </cell>
          <cell r="CG76">
            <v>563</v>
          </cell>
          <cell r="CI76">
            <v>0</v>
          </cell>
        </row>
        <row r="77">
          <cell r="O77">
            <v>1552.2819999999999</v>
          </cell>
          <cell r="P77" t="str">
            <v xml:space="preserve"> </v>
          </cell>
          <cell r="Q77">
            <v>2229.2370000000001</v>
          </cell>
          <cell r="R77" t="str">
            <v xml:space="preserve"> </v>
          </cell>
          <cell r="S77">
            <v>725.45</v>
          </cell>
          <cell r="U77">
            <v>338.78399999999999</v>
          </cell>
          <cell r="W77">
            <v>15336</v>
          </cell>
          <cell r="Y77">
            <v>888.55100000000004</v>
          </cell>
          <cell r="AA77">
            <v>3110.2</v>
          </cell>
          <cell r="AC77">
            <v>2573.5210000000002</v>
          </cell>
          <cell r="AE77">
            <v>15243</v>
          </cell>
          <cell r="AG77">
            <v>1960.4490000000001</v>
          </cell>
          <cell r="AI77">
            <v>12046.8</v>
          </cell>
          <cell r="AK77">
            <v>71105</v>
          </cell>
          <cell r="AM77">
            <v>115.992</v>
          </cell>
          <cell r="AO77">
            <v>109.543201</v>
          </cell>
          <cell r="AQ77">
            <v>178.47900000000001</v>
          </cell>
          <cell r="AS77">
            <v>316.70400000000001</v>
          </cell>
          <cell r="AU77">
            <v>116.72199999999999</v>
          </cell>
          <cell r="AW77">
            <v>106.99</v>
          </cell>
          <cell r="AY77">
            <v>31.675999999999998</v>
          </cell>
          <cell r="BC77">
            <v>30.6</v>
          </cell>
          <cell r="BE77">
            <v>63.68</v>
          </cell>
          <cell r="BG77">
            <v>27.503</v>
          </cell>
          <cell r="BI77">
            <v>40.418999999999997</v>
          </cell>
          <cell r="BK77">
            <v>48.639000000000003</v>
          </cell>
          <cell r="BO77">
            <v>12176</v>
          </cell>
          <cell r="BQ77">
            <v>432.47952000000004</v>
          </cell>
          <cell r="BS77">
            <v>770440</v>
          </cell>
          <cell r="BU77">
            <v>25811.9</v>
          </cell>
          <cell r="BW77">
            <v>13910.48</v>
          </cell>
          <cell r="BY77">
            <v>1369.2</v>
          </cell>
          <cell r="CA77">
            <v>770440</v>
          </cell>
          <cell r="CC77">
            <v>219.65600000000001</v>
          </cell>
          <cell r="CE77">
            <v>12603.034</v>
          </cell>
          <cell r="CG77">
            <v>7216</v>
          </cell>
          <cell r="CI77">
            <v>8019.3399999999992</v>
          </cell>
          <cell r="CK77">
            <v>14593</v>
          </cell>
        </row>
        <row r="78">
          <cell r="P78" t="str">
            <v xml:space="preserve"> </v>
          </cell>
          <cell r="R78" t="str">
            <v xml:space="preserve"> </v>
          </cell>
        </row>
        <row r="79">
          <cell r="P79" t="str">
            <v xml:space="preserve"> </v>
          </cell>
          <cell r="Q79">
            <v>0</v>
          </cell>
          <cell r="R79" t="str">
            <v xml:space="preserve"> </v>
          </cell>
          <cell r="S79">
            <v>0</v>
          </cell>
          <cell r="U79">
            <v>0</v>
          </cell>
          <cell r="W79">
            <v>0</v>
          </cell>
          <cell r="Y79">
            <v>0</v>
          </cell>
          <cell r="AA79">
            <v>0</v>
          </cell>
          <cell r="AC79">
            <v>0</v>
          </cell>
          <cell r="AE79">
            <v>0</v>
          </cell>
          <cell r="AG79">
            <v>0</v>
          </cell>
          <cell r="AI79">
            <v>0</v>
          </cell>
          <cell r="AK79">
            <v>0</v>
          </cell>
          <cell r="AM79">
            <v>0</v>
          </cell>
          <cell r="AO79">
            <v>0</v>
          </cell>
          <cell r="AQ79">
            <v>0</v>
          </cell>
          <cell r="AS79">
            <v>0</v>
          </cell>
          <cell r="AU79">
            <v>0</v>
          </cell>
          <cell r="AW79">
            <v>0</v>
          </cell>
          <cell r="AY79">
            <v>0</v>
          </cell>
          <cell r="BC79">
            <v>0</v>
          </cell>
          <cell r="BE79">
            <v>0</v>
          </cell>
          <cell r="BG79">
            <v>0</v>
          </cell>
          <cell r="BI79">
            <v>0</v>
          </cell>
          <cell r="BK79">
            <v>0</v>
          </cell>
          <cell r="BQ79">
            <v>0</v>
          </cell>
          <cell r="BS79">
            <v>0</v>
          </cell>
          <cell r="BU79">
            <v>0</v>
          </cell>
          <cell r="BW79">
            <v>0</v>
          </cell>
          <cell r="BY79">
            <v>0</v>
          </cell>
          <cell r="CA79">
            <v>0</v>
          </cell>
          <cell r="CC79">
            <v>0</v>
          </cell>
          <cell r="CE79">
            <v>0</v>
          </cell>
          <cell r="CG79">
            <v>0</v>
          </cell>
          <cell r="CI79">
            <v>0</v>
          </cell>
        </row>
        <row r="80">
          <cell r="P80" t="str">
            <v xml:space="preserve"> </v>
          </cell>
          <cell r="Q80">
            <v>0</v>
          </cell>
          <cell r="R80" t="str">
            <v xml:space="preserve"> </v>
          </cell>
          <cell r="S80">
            <v>0</v>
          </cell>
          <cell r="U80">
            <v>0</v>
          </cell>
          <cell r="W80">
            <v>0</v>
          </cell>
          <cell r="Y80">
            <v>0</v>
          </cell>
          <cell r="AA80">
            <v>0</v>
          </cell>
          <cell r="AC80">
            <v>0</v>
          </cell>
          <cell r="AE80">
            <v>0</v>
          </cell>
          <cell r="AG80">
            <v>0</v>
          </cell>
          <cell r="AI80">
            <v>0</v>
          </cell>
          <cell r="AK80">
            <v>0</v>
          </cell>
          <cell r="AM80">
            <v>0</v>
          </cell>
          <cell r="AO80">
            <v>0</v>
          </cell>
          <cell r="AQ80">
            <v>0</v>
          </cell>
          <cell r="AS80">
            <v>0</v>
          </cell>
          <cell r="AU80">
            <v>0</v>
          </cell>
          <cell r="AW80">
            <v>0</v>
          </cell>
          <cell r="AY80">
            <v>0</v>
          </cell>
          <cell r="BC80">
            <v>0</v>
          </cell>
          <cell r="BE80">
            <v>0</v>
          </cell>
          <cell r="BG80">
            <v>0</v>
          </cell>
          <cell r="BI80">
            <v>0</v>
          </cell>
          <cell r="BK80">
            <v>0</v>
          </cell>
          <cell r="BQ80">
            <v>0</v>
          </cell>
          <cell r="BS80">
            <v>0</v>
          </cell>
          <cell r="BU80">
            <v>0</v>
          </cell>
          <cell r="BW80">
            <v>0</v>
          </cell>
          <cell r="BY80">
            <v>0</v>
          </cell>
          <cell r="CA80">
            <v>0</v>
          </cell>
          <cell r="CC80">
            <v>0</v>
          </cell>
          <cell r="CE80">
            <v>0</v>
          </cell>
          <cell r="CG80">
            <v>0</v>
          </cell>
          <cell r="CI80">
            <v>0</v>
          </cell>
        </row>
        <row r="81">
          <cell r="O81">
            <v>1266</v>
          </cell>
          <cell r="P81" t="str">
            <v xml:space="preserve"> </v>
          </cell>
          <cell r="Q81">
            <v>16603</v>
          </cell>
          <cell r="R81" t="str">
            <v xml:space="preserve"> </v>
          </cell>
          <cell r="S81">
            <v>3782</v>
          </cell>
          <cell r="U81">
            <v>8421.268</v>
          </cell>
          <cell r="W81">
            <v>21463</v>
          </cell>
          <cell r="Y81">
            <v>11152</v>
          </cell>
          <cell r="AA81">
            <v>35500</v>
          </cell>
          <cell r="AC81">
            <v>16239.609</v>
          </cell>
          <cell r="AE81">
            <v>66300.902000000002</v>
          </cell>
          <cell r="AG81">
            <v>24694.166000000001</v>
          </cell>
          <cell r="AI81">
            <v>60893.644</v>
          </cell>
          <cell r="AK81">
            <v>1648</v>
          </cell>
          <cell r="AM81">
            <v>3781</v>
          </cell>
          <cell r="AO81">
            <v>1888.3969999999999</v>
          </cell>
          <cell r="AQ81">
            <v>2100</v>
          </cell>
          <cell r="AS81">
            <v>4117</v>
          </cell>
          <cell r="AU81">
            <v>1013</v>
          </cell>
          <cell r="AW81">
            <v>1501</v>
          </cell>
          <cell r="AY81">
            <v>780.65</v>
          </cell>
          <cell r="BA81">
            <v>3962.422</v>
          </cell>
          <cell r="BC81">
            <v>755.01099999999997</v>
          </cell>
          <cell r="BE81">
            <v>2263.3409999999999</v>
          </cell>
          <cell r="BG81">
            <v>267</v>
          </cell>
          <cell r="BI81">
            <v>534.92200000000003</v>
          </cell>
          <cell r="BK81">
            <v>2377.0949999999998</v>
          </cell>
          <cell r="BM81">
            <v>4935</v>
          </cell>
          <cell r="BO81">
            <v>78845</v>
          </cell>
          <cell r="BQ81">
            <v>6182.6</v>
          </cell>
          <cell r="BS81">
            <v>0</v>
          </cell>
          <cell r="BU81">
            <v>85455.593999999997</v>
          </cell>
          <cell r="BW81">
            <v>0</v>
          </cell>
          <cell r="BY81">
            <v>6100</v>
          </cell>
          <cell r="CA81">
            <v>0</v>
          </cell>
          <cell r="CC81">
            <v>3674.3380000000002</v>
          </cell>
          <cell r="CE81">
            <v>29328.123</v>
          </cell>
          <cell r="CG81">
            <v>26000</v>
          </cell>
          <cell r="CI81">
            <v>57175.402000000002</v>
          </cell>
          <cell r="CK81">
            <v>26112.254000000001</v>
          </cell>
          <cell r="CM81">
            <v>5950.4219999999996</v>
          </cell>
          <cell r="CO81">
            <v>0</v>
          </cell>
          <cell r="CQ81">
            <v>0</v>
          </cell>
          <cell r="CS81">
            <v>0</v>
          </cell>
          <cell r="CU81">
            <v>0</v>
          </cell>
        </row>
        <row r="82">
          <cell r="O82">
            <v>31</v>
          </cell>
          <cell r="P82" t="str">
            <v xml:space="preserve"> </v>
          </cell>
          <cell r="Q82">
            <v>31.51</v>
          </cell>
          <cell r="R82" t="str">
            <v xml:space="preserve"> </v>
          </cell>
          <cell r="S82">
            <v>22.57</v>
          </cell>
          <cell r="U82">
            <v>22.1</v>
          </cell>
          <cell r="W82">
            <v>28.17</v>
          </cell>
          <cell r="Y82">
            <v>23.95</v>
          </cell>
          <cell r="AA82">
            <v>40.08</v>
          </cell>
          <cell r="AC82">
            <v>44.41</v>
          </cell>
          <cell r="AE82">
            <v>40.08</v>
          </cell>
          <cell r="AG82">
            <v>17.959728677615594</v>
          </cell>
          <cell r="AI82">
            <v>24.05</v>
          </cell>
          <cell r="AK82">
            <v>7.29</v>
          </cell>
          <cell r="AM82">
            <v>14.09</v>
          </cell>
          <cell r="AO82">
            <v>17.989799358927176</v>
          </cell>
          <cell r="AQ82">
            <v>22.25</v>
          </cell>
          <cell r="AS82">
            <v>19.39</v>
          </cell>
          <cell r="AU82">
            <v>7.84</v>
          </cell>
          <cell r="AW82">
            <v>11.78</v>
          </cell>
          <cell r="AY82">
            <v>4.8099999999999996</v>
          </cell>
          <cell r="BA82">
            <v>10.53</v>
          </cell>
          <cell r="BC82">
            <v>5.28</v>
          </cell>
          <cell r="BE82">
            <v>10.27</v>
          </cell>
          <cell r="BG82">
            <v>0.75</v>
          </cell>
          <cell r="BI82">
            <v>6.46</v>
          </cell>
          <cell r="BK82">
            <v>6.19</v>
          </cell>
          <cell r="BM82">
            <v>29.29</v>
          </cell>
          <cell r="BO82">
            <v>34.479999999999997</v>
          </cell>
          <cell r="BQ82">
            <v>14.493600000000001</v>
          </cell>
          <cell r="BS82">
            <v>0</v>
          </cell>
          <cell r="BU82">
            <v>50.54</v>
          </cell>
          <cell r="BW82">
            <v>0</v>
          </cell>
          <cell r="BY82">
            <v>25</v>
          </cell>
          <cell r="CA82">
            <v>0</v>
          </cell>
          <cell r="CC82">
            <v>13.32</v>
          </cell>
          <cell r="CE82">
            <v>41.08</v>
          </cell>
          <cell r="CG82">
            <v>9.2850000000000001</v>
          </cell>
          <cell r="CI82">
            <v>25.651199999999999</v>
          </cell>
          <cell r="CK82">
            <v>32.336234553325042</v>
          </cell>
          <cell r="CM82">
            <v>13.430815965657562</v>
          </cell>
          <cell r="CO82">
            <v>13.430815965657562</v>
          </cell>
          <cell r="CQ82">
            <v>13.430815965657562</v>
          </cell>
          <cell r="CS82">
            <v>13.430815965657562</v>
          </cell>
          <cell r="CU82">
            <v>13.430815965657562</v>
          </cell>
        </row>
        <row r="83">
          <cell r="O83">
            <v>23770.941176470587</v>
          </cell>
          <cell r="Q83">
            <v>200120.80140465795</v>
          </cell>
          <cell r="S83">
            <v>72610.487876404499</v>
          </cell>
          <cell r="U83" t="e">
            <v>#N/A</v>
          </cell>
          <cell r="W83">
            <v>1296935.273235294</v>
          </cell>
          <cell r="Y83">
            <v>80757.63585981309</v>
          </cell>
          <cell r="AA83">
            <v>270244.77915110358</v>
          </cell>
          <cell r="AC83" t="e">
            <v>#N/A</v>
          </cell>
          <cell r="AE83">
            <v>1022080.8652950185</v>
          </cell>
          <cell r="AG83">
            <v>184168.76507978377</v>
          </cell>
          <cell r="AI83">
            <v>1146254.918313371</v>
          </cell>
          <cell r="AK83">
            <v>14790.028341708543</v>
          </cell>
          <cell r="AM83">
            <v>23248.113469516025</v>
          </cell>
          <cell r="AO83">
            <v>15715.775934977171</v>
          </cell>
          <cell r="AQ83">
            <v>18846.591347037484</v>
          </cell>
          <cell r="AS83">
            <v>33479.818871912175</v>
          </cell>
          <cell r="AU83">
            <v>17167.506645161291</v>
          </cell>
          <cell r="AW83">
            <v>16670.824108108107</v>
          </cell>
          <cell r="AY83">
            <v>17650.360312169316</v>
          </cell>
          <cell r="BA83">
            <v>43996.609228292684</v>
          </cell>
          <cell r="BC83">
            <v>11953.481705945946</v>
          </cell>
          <cell r="BE83">
            <v>17874.600438305086</v>
          </cell>
          <cell r="BG83">
            <v>10848.340636363637</v>
          </cell>
          <cell r="BI83">
            <v>11558.282729142858</v>
          </cell>
          <cell r="BK83">
            <v>26271.531812826604</v>
          </cell>
          <cell r="BM83">
            <v>35836.368277456648</v>
          </cell>
          <cell r="BO83">
            <v>1394360.8222627346</v>
          </cell>
          <cell r="BQ83">
            <v>110092.96332800001</v>
          </cell>
          <cell r="BS83">
            <v>99351.686000000002</v>
          </cell>
          <cell r="BU83">
            <v>1216011.9239474158</v>
          </cell>
          <cell r="BW83">
            <v>1094800</v>
          </cell>
          <cell r="BY83">
            <v>89440.101919191919</v>
          </cell>
          <cell r="CA83">
            <v>99351.686000000002</v>
          </cell>
          <cell r="CC83">
            <v>29771.66033633042</v>
          </cell>
          <cell r="CE83">
            <v>1519173.1154273197</v>
          </cell>
          <cell r="CG83">
            <v>1490800.9521070984</v>
          </cell>
          <cell r="CI83">
            <v>1839523.5305121876</v>
          </cell>
          <cell r="CK83">
            <v>1008265.1439730854</v>
          </cell>
          <cell r="CM83">
            <v>41963.489091823896</v>
          </cell>
          <cell r="CO83">
            <v>41273.527000000002</v>
          </cell>
          <cell r="CQ83">
            <v>39000</v>
          </cell>
          <cell r="CS83">
            <v>22540</v>
          </cell>
          <cell r="CU83">
            <v>47266.666666666664</v>
          </cell>
        </row>
        <row r="84">
          <cell r="P84" t="str">
            <v xml:space="preserve"> </v>
          </cell>
          <cell r="R84" t="str">
            <v xml:space="preserve"> </v>
          </cell>
          <cell r="S84">
            <v>3</v>
          </cell>
          <cell r="U84">
            <v>3</v>
          </cell>
          <cell r="W84">
            <v>1</v>
          </cell>
          <cell r="Y84">
            <v>8</v>
          </cell>
          <cell r="AA84">
            <v>3</v>
          </cell>
          <cell r="AC84">
            <v>4</v>
          </cell>
          <cell r="AE84">
            <v>30</v>
          </cell>
          <cell r="AG84">
            <v>10</v>
          </cell>
          <cell r="AI84">
            <v>12</v>
          </cell>
          <cell r="AK84">
            <v>0</v>
          </cell>
          <cell r="AM84">
            <v>0</v>
          </cell>
          <cell r="AO84">
            <v>0</v>
          </cell>
          <cell r="AQ84">
            <v>0</v>
          </cell>
          <cell r="AS84">
            <v>0</v>
          </cell>
          <cell r="AU84">
            <v>0</v>
          </cell>
          <cell r="AW84">
            <v>0</v>
          </cell>
          <cell r="AY84">
            <v>0</v>
          </cell>
          <cell r="BC84">
            <v>0</v>
          </cell>
          <cell r="BE84">
            <v>0</v>
          </cell>
          <cell r="BG84">
            <v>0</v>
          </cell>
          <cell r="BI84">
            <v>0</v>
          </cell>
          <cell r="BK84">
            <v>0</v>
          </cell>
          <cell r="BQ84">
            <v>0</v>
          </cell>
          <cell r="BS84">
            <v>0</v>
          </cell>
          <cell r="BU84">
            <v>0</v>
          </cell>
          <cell r="BW84">
            <v>0</v>
          </cell>
          <cell r="BY84">
            <v>0</v>
          </cell>
          <cell r="CA84">
            <v>0</v>
          </cell>
          <cell r="CC84">
            <v>5</v>
          </cell>
          <cell r="CE84">
            <v>6.2149999999999999</v>
          </cell>
          <cell r="CG84">
            <v>0</v>
          </cell>
          <cell r="CI84">
            <v>0</v>
          </cell>
          <cell r="CM84">
            <v>0</v>
          </cell>
          <cell r="CO84">
            <v>0</v>
          </cell>
          <cell r="CQ84">
            <v>0</v>
          </cell>
          <cell r="CS84">
            <v>0</v>
          </cell>
          <cell r="CU84">
            <v>0</v>
          </cell>
        </row>
        <row r="85">
          <cell r="P85" t="str">
            <v xml:space="preserve"> </v>
          </cell>
          <cell r="R85" t="str">
            <v xml:space="preserve"> </v>
          </cell>
          <cell r="S85">
            <v>90</v>
          </cell>
          <cell r="U85">
            <v>41</v>
          </cell>
          <cell r="W85">
            <v>4137</v>
          </cell>
          <cell r="Y85">
            <v>178.678</v>
          </cell>
          <cell r="AA85">
            <v>1186.2</v>
          </cell>
          <cell r="AC85">
            <v>668.4</v>
          </cell>
          <cell r="AE85">
            <v>4183</v>
          </cell>
          <cell r="AG85">
            <v>514.27599999999995</v>
          </cell>
          <cell r="AI85">
            <v>4041.8</v>
          </cell>
          <cell r="AK85">
            <v>2573</v>
          </cell>
          <cell r="AM85">
            <v>21.481999999999999</v>
          </cell>
          <cell r="AO85">
            <v>16.207312000000002</v>
          </cell>
          <cell r="AQ85">
            <v>22.169</v>
          </cell>
          <cell r="AS85">
            <v>9.7309999999999999</v>
          </cell>
          <cell r="AU85">
            <v>8.1829999999999998</v>
          </cell>
          <cell r="AW85">
            <v>3.387</v>
          </cell>
          <cell r="AY85">
            <v>1.0509999999999999</v>
          </cell>
          <cell r="BC85">
            <v>2.472</v>
          </cell>
          <cell r="BE85">
            <v>5.6</v>
          </cell>
          <cell r="BG85">
            <v>1.665</v>
          </cell>
          <cell r="BI85">
            <v>3.8109999999999999</v>
          </cell>
          <cell r="BK85">
            <v>11.568</v>
          </cell>
          <cell r="BO85">
            <v>5975</v>
          </cell>
          <cell r="BQ85">
            <v>71.898420000000002</v>
          </cell>
          <cell r="BS85">
            <v>118.32</v>
          </cell>
          <cell r="BU85">
            <v>6609.4</v>
          </cell>
          <cell r="BW85">
            <v>4980.6799999999994</v>
          </cell>
          <cell r="BY85">
            <v>310.39999999999998</v>
          </cell>
          <cell r="CA85">
            <v>118.32</v>
          </cell>
          <cell r="CC85">
            <v>69.02</v>
          </cell>
          <cell r="CE85">
            <v>4645.7669999999998</v>
          </cell>
          <cell r="CG85">
            <v>2581</v>
          </cell>
          <cell r="CI85">
            <v>5983.61</v>
          </cell>
          <cell r="CM85">
            <v>0</v>
          </cell>
          <cell r="CO85">
            <v>0</v>
          </cell>
          <cell r="CQ85">
            <v>0</v>
          </cell>
          <cell r="CS85">
            <v>0</v>
          </cell>
          <cell r="CU85">
            <v>0</v>
          </cell>
        </row>
        <row r="86">
          <cell r="O86">
            <v>0</v>
          </cell>
          <cell r="P86" t="str">
            <v xml:space="preserve"> </v>
          </cell>
          <cell r="Q86">
            <v>0</v>
          </cell>
          <cell r="R86" t="str">
            <v xml:space="preserve"> </v>
          </cell>
          <cell r="S86">
            <v>10236.015874626986</v>
          </cell>
          <cell r="AC86">
            <v>1013.5135135135135</v>
          </cell>
          <cell r="AG86">
            <v>12026</v>
          </cell>
          <cell r="AI86">
            <v>0</v>
          </cell>
          <cell r="BA86">
            <v>5677.8907870050361</v>
          </cell>
          <cell r="BM86">
            <v>6402.3812915493127</v>
          </cell>
          <cell r="BU86">
            <v>0</v>
          </cell>
          <cell r="BY86">
            <v>12300</v>
          </cell>
          <cell r="CC86">
            <v>3048.78</v>
          </cell>
          <cell r="CE86">
            <v>0</v>
          </cell>
          <cell r="CG86">
            <v>0</v>
          </cell>
          <cell r="CI86">
            <v>0</v>
          </cell>
          <cell r="CK86">
            <v>0</v>
          </cell>
          <cell r="CM86">
            <v>0</v>
          </cell>
          <cell r="CO86">
            <v>0</v>
          </cell>
          <cell r="CQ86">
            <v>0</v>
          </cell>
          <cell r="CS86">
            <v>0</v>
          </cell>
          <cell r="CU86">
            <v>0</v>
          </cell>
        </row>
        <row r="87">
          <cell r="Q87">
            <v>0</v>
          </cell>
          <cell r="BM87">
            <v>94.872549721640524</v>
          </cell>
        </row>
        <row r="89">
          <cell r="O89">
            <v>0</v>
          </cell>
          <cell r="Q89">
            <v>0</v>
          </cell>
          <cell r="S89">
            <v>0</v>
          </cell>
          <cell r="U89">
            <v>0</v>
          </cell>
          <cell r="W89">
            <v>0</v>
          </cell>
          <cell r="Y89">
            <v>0</v>
          </cell>
          <cell r="AA89">
            <v>0</v>
          </cell>
          <cell r="AC89">
            <v>0</v>
          </cell>
          <cell r="AE89">
            <v>0</v>
          </cell>
          <cell r="AG89">
            <v>0</v>
          </cell>
          <cell r="AI89">
            <v>0</v>
          </cell>
          <cell r="AK89">
            <v>0</v>
          </cell>
          <cell r="AM89">
            <v>0</v>
          </cell>
          <cell r="AO89">
            <v>0</v>
          </cell>
          <cell r="AQ89">
            <v>0</v>
          </cell>
          <cell r="AS89">
            <v>0</v>
          </cell>
          <cell r="AU89">
            <v>0</v>
          </cell>
          <cell r="AW89">
            <v>0</v>
          </cell>
          <cell r="AY89">
            <v>0</v>
          </cell>
          <cell r="BC89">
            <v>0</v>
          </cell>
          <cell r="BE89">
            <v>0</v>
          </cell>
          <cell r="BG89">
            <v>0</v>
          </cell>
          <cell r="BI89">
            <v>0</v>
          </cell>
          <cell r="BK89">
            <v>0</v>
          </cell>
          <cell r="BO89">
            <v>0</v>
          </cell>
          <cell r="BQ89">
            <v>0</v>
          </cell>
          <cell r="BS89">
            <v>0</v>
          </cell>
          <cell r="BU89">
            <v>0</v>
          </cell>
          <cell r="BW89">
            <v>0</v>
          </cell>
          <cell r="BY89">
            <v>0</v>
          </cell>
          <cell r="CA89">
            <v>0</v>
          </cell>
          <cell r="CC89">
            <v>0</v>
          </cell>
          <cell r="CE89">
            <v>0</v>
          </cell>
          <cell r="CG89">
            <v>0</v>
          </cell>
          <cell r="CI89">
            <v>0</v>
          </cell>
          <cell r="CK89">
            <v>0</v>
          </cell>
          <cell r="CM89">
            <v>0</v>
          </cell>
          <cell r="CO89">
            <v>0</v>
          </cell>
          <cell r="CQ89">
            <v>0</v>
          </cell>
          <cell r="CS89">
            <v>0</v>
          </cell>
          <cell r="CU89">
            <v>0</v>
          </cell>
        </row>
        <row r="90">
          <cell r="O90">
            <v>8517.1710000000003</v>
          </cell>
          <cell r="Q90">
            <v>937.7230000000003</v>
          </cell>
          <cell r="S90">
            <v>187.49800000000002</v>
          </cell>
          <cell r="U90">
            <v>450.488</v>
          </cell>
          <cell r="W90">
            <v>9158</v>
          </cell>
          <cell r="Y90">
            <v>285.07600000000002</v>
          </cell>
          <cell r="AA90">
            <v>1608.5</v>
          </cell>
          <cell r="AC90">
            <v>846.95299999999997</v>
          </cell>
          <cell r="AE90">
            <v>12219</v>
          </cell>
          <cell r="AG90">
            <v>1052.2150000000001</v>
          </cell>
          <cell r="AI90">
            <v>6059.3</v>
          </cell>
          <cell r="AK90">
            <v>28.655000000000001</v>
          </cell>
          <cell r="AM90">
            <v>62.601999999999997</v>
          </cell>
          <cell r="AO90">
            <v>38.599809999999998</v>
          </cell>
          <cell r="AQ90">
            <v>32.243000000000002</v>
          </cell>
          <cell r="AS90">
            <v>85.801000000000002</v>
          </cell>
          <cell r="AU90">
            <v>35.536000000000001</v>
          </cell>
          <cell r="AW90">
            <v>31.013000000000002</v>
          </cell>
          <cell r="AY90">
            <v>12.257</v>
          </cell>
          <cell r="BC90">
            <v>14.27</v>
          </cell>
          <cell r="BE90">
            <v>40.811999999999998</v>
          </cell>
          <cell r="BG90">
            <v>12.33</v>
          </cell>
          <cell r="BI90">
            <v>25.803999999999998</v>
          </cell>
          <cell r="BK90">
            <v>21.811</v>
          </cell>
          <cell r="BO90">
            <v>18007</v>
          </cell>
          <cell r="BQ90">
            <v>117.02922000000001</v>
          </cell>
          <cell r="BS90">
            <v>149.4</v>
          </cell>
          <cell r="BU90">
            <v>17174.599999999999</v>
          </cell>
          <cell r="BW90">
            <v>6131.96</v>
          </cell>
          <cell r="BY90">
            <v>668.4</v>
          </cell>
          <cell r="CA90">
            <v>149.4</v>
          </cell>
          <cell r="CC90">
            <v>106.83699999999999</v>
          </cell>
          <cell r="CE90">
            <v>9033.0360000000001</v>
          </cell>
          <cell r="CG90">
            <v>4819</v>
          </cell>
          <cell r="CI90">
            <v>8779.19</v>
          </cell>
          <cell r="CK90">
            <v>8092</v>
          </cell>
          <cell r="CM90">
            <v>2169.6999999999994</v>
          </cell>
          <cell r="CO90">
            <v>2169.6999999999994</v>
          </cell>
          <cell r="CQ90">
            <v>2169.6999999999994</v>
          </cell>
          <cell r="CS90">
            <v>387.53859775330636</v>
          </cell>
          <cell r="CU90">
            <v>64.572415199999995</v>
          </cell>
        </row>
        <row r="91">
          <cell r="U91">
            <v>247.096</v>
          </cell>
          <cell r="Y91">
            <v>92.971000000000004</v>
          </cell>
          <cell r="AG91">
            <v>192.2</v>
          </cell>
          <cell r="AM91">
            <v>23.87</v>
          </cell>
          <cell r="AO91">
            <v>16.2</v>
          </cell>
          <cell r="AQ91">
            <v>0</v>
          </cell>
          <cell r="AS91">
            <v>4.7</v>
          </cell>
          <cell r="AU91">
            <v>0</v>
          </cell>
          <cell r="AW91">
            <v>43.9</v>
          </cell>
          <cell r="AY91">
            <v>11.2</v>
          </cell>
          <cell r="BA91">
            <v>38.299999999999997</v>
          </cell>
          <cell r="BK91">
            <v>0</v>
          </cell>
          <cell r="BM91">
            <v>12.391</v>
          </cell>
          <cell r="BO91">
            <v>8393</v>
          </cell>
          <cell r="BQ91">
            <v>46.86</v>
          </cell>
          <cell r="CC91">
            <v>65.37</v>
          </cell>
          <cell r="CE91">
            <v>5613</v>
          </cell>
          <cell r="CG91">
            <v>1779</v>
          </cell>
          <cell r="CI91">
            <v>2728.7799999999997</v>
          </cell>
          <cell r="CO91">
            <v>6.8510214250124566</v>
          </cell>
          <cell r="CQ91">
            <v>10.163540607964519</v>
          </cell>
          <cell r="CU91">
            <v>34.652059199999997</v>
          </cell>
        </row>
        <row r="92">
          <cell r="U92">
            <v>150.16900000000001</v>
          </cell>
          <cell r="Y92">
            <v>205.19499999999999</v>
          </cell>
          <cell r="AG92">
            <v>261.39999999999998</v>
          </cell>
          <cell r="AM92">
            <v>42.776000000000003</v>
          </cell>
          <cell r="AO92">
            <v>35.9</v>
          </cell>
          <cell r="AQ92">
            <v>38.438000000000002</v>
          </cell>
          <cell r="AS92">
            <v>75</v>
          </cell>
          <cell r="AU92">
            <v>20</v>
          </cell>
          <cell r="AW92">
            <v>24</v>
          </cell>
          <cell r="AY92">
            <v>18</v>
          </cell>
          <cell r="BA92">
            <v>65.2</v>
          </cell>
          <cell r="BC92">
            <v>26.081</v>
          </cell>
          <cell r="BK92">
            <v>15</v>
          </cell>
          <cell r="BM92">
            <v>129.56899999999999</v>
          </cell>
          <cell r="BO92">
            <v>2547</v>
          </cell>
          <cell r="BQ92">
            <v>52.800000000000004</v>
          </cell>
          <cell r="CC92">
            <v>35.506</v>
          </cell>
          <cell r="CE92">
            <v>1318</v>
          </cell>
          <cell r="CG92">
            <v>1140</v>
          </cell>
          <cell r="CI92">
            <v>2062.4499999999998</v>
          </cell>
          <cell r="CO92">
            <v>1.3079222720478327</v>
          </cell>
          <cell r="CQ92">
            <v>1.9403122978841356</v>
          </cell>
          <cell r="CU92">
            <v>56.998799999999996</v>
          </cell>
        </row>
        <row r="93">
          <cell r="U93">
            <v>80.245999999999995</v>
          </cell>
          <cell r="Y93">
            <v>121.955</v>
          </cell>
          <cell r="AG93">
            <v>160.69999999999999</v>
          </cell>
          <cell r="AM93">
            <v>18.623999999999999</v>
          </cell>
          <cell r="AO93">
            <v>30</v>
          </cell>
          <cell r="AQ93">
            <v>12.201000000000001</v>
          </cell>
          <cell r="AS93">
            <v>38</v>
          </cell>
          <cell r="AU93">
            <v>6.0949999999999998</v>
          </cell>
          <cell r="AW93">
            <v>42.9</v>
          </cell>
          <cell r="AY93">
            <v>34</v>
          </cell>
          <cell r="BA93">
            <v>93.6</v>
          </cell>
          <cell r="BC93">
            <v>15.52</v>
          </cell>
          <cell r="BK93">
            <v>8</v>
          </cell>
          <cell r="BM93">
            <v>51.872</v>
          </cell>
          <cell r="BO93">
            <v>10052</v>
          </cell>
          <cell r="BQ93">
            <v>51.480000000000004</v>
          </cell>
          <cell r="CC93">
            <v>69.947000000000003</v>
          </cell>
          <cell r="CE93">
            <v>2899</v>
          </cell>
          <cell r="CG93">
            <v>3604</v>
          </cell>
          <cell r="CI93">
            <v>4682.6799999999994</v>
          </cell>
          <cell r="CO93">
            <v>2.1798704534130544</v>
          </cell>
          <cell r="CQ93">
            <v>3.2338538298068924</v>
          </cell>
          <cell r="CU93">
            <v>58.761748799999992</v>
          </cell>
        </row>
        <row r="94">
          <cell r="U94">
            <v>263.50099999999998</v>
          </cell>
          <cell r="Y94">
            <v>104.715</v>
          </cell>
          <cell r="AG94">
            <v>223.9</v>
          </cell>
          <cell r="AM94">
            <v>25.344999999999999</v>
          </cell>
          <cell r="AO94">
            <v>25.2</v>
          </cell>
          <cell r="AQ94">
            <v>1.1000000000000001</v>
          </cell>
          <cell r="AS94">
            <v>19.8</v>
          </cell>
          <cell r="AU94">
            <v>0</v>
          </cell>
          <cell r="AW94">
            <v>78.900000000000006</v>
          </cell>
          <cell r="AY94">
            <v>32.299999999999997</v>
          </cell>
          <cell r="BA94">
            <v>55.4</v>
          </cell>
          <cell r="BC94">
            <v>2.625</v>
          </cell>
          <cell r="BK94">
            <v>0</v>
          </cell>
          <cell r="BM94">
            <v>24.875</v>
          </cell>
          <cell r="BO94">
            <v>9182</v>
          </cell>
          <cell r="BQ94">
            <v>48.18</v>
          </cell>
          <cell r="CC94">
            <v>78.762</v>
          </cell>
          <cell r="CE94">
            <v>5959</v>
          </cell>
          <cell r="CG94">
            <v>2008</v>
          </cell>
          <cell r="CI94">
            <v>2987.6299999999997</v>
          </cell>
          <cell r="CO94">
            <v>8.2835077229696079</v>
          </cell>
          <cell r="CQ94">
            <v>12.288644553266193</v>
          </cell>
          <cell r="CU94">
            <v>48.546921599999997</v>
          </cell>
        </row>
        <row r="95">
          <cell r="U95">
            <v>172.727</v>
          </cell>
          <cell r="Y95">
            <v>216.48099999999999</v>
          </cell>
          <cell r="AG95">
            <v>249</v>
          </cell>
          <cell r="AM95">
            <v>39.350999999999999</v>
          </cell>
          <cell r="AO95">
            <v>44</v>
          </cell>
          <cell r="AQ95">
            <v>43.819000000000003</v>
          </cell>
          <cell r="AS95">
            <v>78</v>
          </cell>
          <cell r="AU95">
            <v>22.25</v>
          </cell>
          <cell r="AW95">
            <v>26</v>
          </cell>
          <cell r="AY95">
            <v>35</v>
          </cell>
          <cell r="BA95">
            <v>77.599999999999994</v>
          </cell>
          <cell r="BC95">
            <v>29.992999999999999</v>
          </cell>
          <cell r="BK95">
            <v>20</v>
          </cell>
          <cell r="BM95">
            <v>183.578</v>
          </cell>
          <cell r="BO95">
            <v>2827</v>
          </cell>
          <cell r="BQ95">
            <v>46.2</v>
          </cell>
          <cell r="CC95">
            <v>37.991</v>
          </cell>
          <cell r="CE95">
            <v>1462</v>
          </cell>
          <cell r="CG95">
            <v>1294</v>
          </cell>
          <cell r="CI95">
            <v>2289.5699999999997</v>
          </cell>
          <cell r="CO95">
            <v>1.5570503238664675</v>
          </cell>
          <cell r="CQ95">
            <v>2.3098955927192089</v>
          </cell>
          <cell r="CU95">
            <v>63.596210399999997</v>
          </cell>
        </row>
        <row r="96">
          <cell r="U96">
            <v>89.474999999999994</v>
          </cell>
          <cell r="Y96">
            <v>133.78399999999999</v>
          </cell>
          <cell r="AG96">
            <v>156.6</v>
          </cell>
          <cell r="AM96">
            <v>22.907</v>
          </cell>
          <cell r="AO96">
            <v>40.299999999999997</v>
          </cell>
          <cell r="AQ96">
            <v>15.862</v>
          </cell>
          <cell r="AS96">
            <v>45</v>
          </cell>
          <cell r="AU96">
            <v>8</v>
          </cell>
          <cell r="AW96">
            <v>42.4</v>
          </cell>
          <cell r="AY96">
            <v>80</v>
          </cell>
          <cell r="BA96">
            <v>98.8</v>
          </cell>
          <cell r="BC96">
            <v>25.608000000000001</v>
          </cell>
          <cell r="BK96">
            <v>14</v>
          </cell>
          <cell r="BM96">
            <v>61.69</v>
          </cell>
          <cell r="BO96">
            <v>10856</v>
          </cell>
          <cell r="BQ96">
            <v>56.1</v>
          </cell>
          <cell r="CC96">
            <v>71.763999999999996</v>
          </cell>
          <cell r="CE96">
            <v>3077</v>
          </cell>
          <cell r="CG96">
            <v>4068</v>
          </cell>
          <cell r="CI96">
            <v>5110.2</v>
          </cell>
          <cell r="CO96">
            <v>2.4912805181863478</v>
          </cell>
          <cell r="CQ96">
            <v>3.6958329483507346</v>
          </cell>
          <cell r="CU96">
            <v>78.162213599999987</v>
          </cell>
        </row>
        <row r="97">
          <cell r="U97">
            <v>291.28100000000001</v>
          </cell>
          <cell r="Y97">
            <v>114.898</v>
          </cell>
          <cell r="AG97">
            <v>255.3</v>
          </cell>
          <cell r="AM97">
            <v>45.893999999999998</v>
          </cell>
          <cell r="AO97">
            <v>33.200000000000003</v>
          </cell>
          <cell r="AQ97">
            <v>6.45</v>
          </cell>
          <cell r="AS97">
            <v>29.7</v>
          </cell>
          <cell r="AU97">
            <v>0</v>
          </cell>
          <cell r="AW97">
            <v>107.5</v>
          </cell>
          <cell r="AY97">
            <v>54.5</v>
          </cell>
          <cell r="BA97">
            <v>75.900000000000006</v>
          </cell>
          <cell r="BC97">
            <v>29.309000000000001</v>
          </cell>
          <cell r="BK97">
            <v>3.15</v>
          </cell>
          <cell r="BM97">
            <v>54.088000000000001</v>
          </cell>
          <cell r="BO97">
            <v>9861</v>
          </cell>
          <cell r="BQ97">
            <v>48.18</v>
          </cell>
          <cell r="CC97">
            <v>96.73</v>
          </cell>
          <cell r="CE97">
            <v>6674</v>
          </cell>
          <cell r="CG97">
            <v>2240</v>
          </cell>
          <cell r="CI97">
            <v>3264.85</v>
          </cell>
          <cell r="CO97">
            <v>9.5291479820627814</v>
          </cell>
          <cell r="CQ97">
            <v>14.136561027441561</v>
          </cell>
          <cell r="CU97">
            <v>63.996004799999994</v>
          </cell>
        </row>
        <row r="98">
          <cell r="U98">
            <v>176.18199999999999</v>
          </cell>
          <cell r="Y98">
            <v>227.30500000000001</v>
          </cell>
          <cell r="AG98">
            <v>254</v>
          </cell>
          <cell r="AM98">
            <v>40.137999999999998</v>
          </cell>
          <cell r="AO98">
            <v>50.8</v>
          </cell>
          <cell r="AQ98">
            <v>49.078000000000003</v>
          </cell>
          <cell r="AS98">
            <v>83</v>
          </cell>
          <cell r="AU98">
            <v>27.25</v>
          </cell>
          <cell r="AW98">
            <v>27</v>
          </cell>
          <cell r="AY98">
            <v>50</v>
          </cell>
          <cell r="BA98">
            <v>70.400000000000006</v>
          </cell>
          <cell r="BC98">
            <v>36.290999999999997</v>
          </cell>
          <cell r="BK98">
            <v>21.925000000000001</v>
          </cell>
          <cell r="BM98">
            <v>201.20599999999999</v>
          </cell>
          <cell r="BO98">
            <v>3081</v>
          </cell>
          <cell r="BQ98">
            <v>49.5</v>
          </cell>
          <cell r="CC98">
            <v>42.55</v>
          </cell>
          <cell r="CE98">
            <v>1637</v>
          </cell>
          <cell r="CG98">
            <v>1439</v>
          </cell>
          <cell r="CI98">
            <v>2479.9499999999998</v>
          </cell>
          <cell r="CO98">
            <v>1.8684603886397608</v>
          </cell>
          <cell r="CQ98">
            <v>2.7718747112630506</v>
          </cell>
          <cell r="CU98">
            <v>72.955252799999997</v>
          </cell>
        </row>
        <row r="99">
          <cell r="U99">
            <v>116.31699999999999</v>
          </cell>
          <cell r="Y99">
            <v>140.47300000000001</v>
          </cell>
          <cell r="AG99">
            <v>166.4</v>
          </cell>
          <cell r="AM99">
            <v>34.36</v>
          </cell>
          <cell r="AO99">
            <v>51</v>
          </cell>
          <cell r="AQ99">
            <v>18.241</v>
          </cell>
          <cell r="AS99">
            <v>50</v>
          </cell>
          <cell r="AU99">
            <v>10</v>
          </cell>
          <cell r="AW99">
            <v>43.4</v>
          </cell>
          <cell r="AY99">
            <v>125</v>
          </cell>
          <cell r="BA99">
            <v>116.6</v>
          </cell>
          <cell r="BC99">
            <v>40.972999999999999</v>
          </cell>
          <cell r="BK99">
            <v>28.503</v>
          </cell>
          <cell r="BM99">
            <v>102.009</v>
          </cell>
          <cell r="BO99">
            <v>11562</v>
          </cell>
          <cell r="BQ99">
            <v>59.400000000000006</v>
          </cell>
          <cell r="CC99">
            <v>78.688999999999993</v>
          </cell>
          <cell r="CE99">
            <v>3430</v>
          </cell>
          <cell r="CG99">
            <v>4526</v>
          </cell>
          <cell r="CI99">
            <v>5596.17</v>
          </cell>
          <cell r="CO99">
            <v>2.9895366218236172</v>
          </cell>
          <cell r="CQ99">
            <v>4.4349995380208815</v>
          </cell>
          <cell r="CU99">
            <v>106.2329184</v>
          </cell>
        </row>
        <row r="100">
          <cell r="U100">
            <v>477.51099999999997</v>
          </cell>
          <cell r="Y100">
            <v>420.12099999999998</v>
          </cell>
          <cell r="AG100">
            <v>614.29999999999995</v>
          </cell>
          <cell r="AM100">
            <v>85.27</v>
          </cell>
          <cell r="AO100">
            <v>82.1</v>
          </cell>
          <cell r="AQ100">
            <v>50.639000000000003</v>
          </cell>
          <cell r="AS100">
            <v>117.7</v>
          </cell>
          <cell r="AU100">
            <v>26.094999999999999</v>
          </cell>
          <cell r="AW100">
            <v>110.80000000000001</v>
          </cell>
          <cell r="AY100">
            <v>63.2</v>
          </cell>
          <cell r="BA100">
            <v>197.1</v>
          </cell>
          <cell r="BC100">
            <v>41.600999999999999</v>
          </cell>
          <cell r="BK100">
            <v>23</v>
          </cell>
          <cell r="BM100">
            <v>193.83199999999999</v>
          </cell>
          <cell r="BO100">
            <v>20992</v>
          </cell>
          <cell r="BQ100">
            <v>151.13999999999999</v>
          </cell>
          <cell r="CC100">
            <v>170.82300000000001</v>
          </cell>
          <cell r="CE100">
            <v>9830</v>
          </cell>
          <cell r="CG100">
            <v>6523</v>
          </cell>
          <cell r="CI100">
            <v>9473.91</v>
          </cell>
          <cell r="CO100">
            <v>10.338814150473343</v>
          </cell>
          <cell r="CQ100">
            <v>15.337706735655548</v>
          </cell>
          <cell r="CU100">
            <v>150.41260799999998</v>
          </cell>
        </row>
        <row r="101">
          <cell r="U101">
            <v>525.70299999999997</v>
          </cell>
          <cell r="Y101">
            <v>454.98</v>
          </cell>
          <cell r="AG101">
            <v>629.5</v>
          </cell>
          <cell r="AM101">
            <v>87.602999999999994</v>
          </cell>
          <cell r="AO101">
            <v>109.5</v>
          </cell>
          <cell r="AQ101">
            <v>60.781000000000006</v>
          </cell>
          <cell r="AS101">
            <v>142.80000000000001</v>
          </cell>
          <cell r="AU101">
            <v>30.25</v>
          </cell>
          <cell r="AW101">
            <v>147.30000000000001</v>
          </cell>
          <cell r="AY101">
            <v>147.30000000000001</v>
          </cell>
          <cell r="BA101">
            <v>231.8</v>
          </cell>
          <cell r="BC101">
            <v>58.225999999999999</v>
          </cell>
          <cell r="BK101">
            <v>34</v>
          </cell>
          <cell r="BM101">
            <v>270.14300000000003</v>
          </cell>
          <cell r="BO101">
            <v>22865</v>
          </cell>
          <cell r="BQ101">
            <v>150.47999999999999</v>
          </cell>
          <cell r="CC101">
            <v>188.517</v>
          </cell>
          <cell r="CE101">
            <v>10498</v>
          </cell>
          <cell r="CG101">
            <v>7370</v>
          </cell>
          <cell r="CI101">
            <v>10387.399999999998</v>
          </cell>
          <cell r="CO101">
            <v>12.331838565022423</v>
          </cell>
          <cell r="CQ101">
            <v>18.294373094336137</v>
          </cell>
          <cell r="CU101">
            <v>190.30534559999998</v>
          </cell>
        </row>
        <row r="102">
          <cell r="U102">
            <v>583.78</v>
          </cell>
          <cell r="Y102">
            <v>482.67599999999999</v>
          </cell>
          <cell r="AG102">
            <v>675.7</v>
          </cell>
          <cell r="AM102">
            <v>120.392</v>
          </cell>
          <cell r="AO102">
            <v>135</v>
          </cell>
          <cell r="AQ102">
            <v>73.769000000000005</v>
          </cell>
          <cell r="AS102">
            <v>162.69999999999999</v>
          </cell>
          <cell r="AU102">
            <v>37.25</v>
          </cell>
          <cell r="AW102">
            <v>177.9</v>
          </cell>
          <cell r="AY102">
            <v>229.5</v>
          </cell>
          <cell r="BA102">
            <v>262.89999999999998</v>
          </cell>
          <cell r="BC102">
            <v>106.57299999999999</v>
          </cell>
          <cell r="BK102">
            <v>53.578000000000003</v>
          </cell>
          <cell r="BM102">
            <v>357.303</v>
          </cell>
          <cell r="BO102">
            <v>24504</v>
          </cell>
          <cell r="BQ102">
            <v>157.08000000000001</v>
          </cell>
          <cell r="CC102">
            <v>217.96899999999999</v>
          </cell>
          <cell r="CE102">
            <v>11741</v>
          </cell>
          <cell r="CG102">
            <v>8205</v>
          </cell>
          <cell r="CI102">
            <v>11340.97</v>
          </cell>
          <cell r="CO102">
            <v>14.38714499252616</v>
          </cell>
          <cell r="CQ102">
            <v>21.343435276725494</v>
          </cell>
          <cell r="CU102">
            <v>243.18417599999998</v>
          </cell>
        </row>
      </sheetData>
      <sheetData sheetId="1" refreshError="1">
        <row r="39">
          <cell r="U39">
            <v>20</v>
          </cell>
        </row>
        <row r="41">
          <cell r="J41">
            <v>0.05</v>
          </cell>
          <cell r="N41">
            <v>0.1</v>
          </cell>
        </row>
      </sheetData>
      <sheetData sheetId="2" refreshError="1">
        <row r="22">
          <cell r="Q22">
            <v>10.25</v>
          </cell>
        </row>
      </sheetData>
      <sheetData sheetId="3"/>
      <sheetData sheetId="4" refreshError="1"/>
      <sheetData sheetId="5" refreshError="1"/>
      <sheetData sheetId="6"/>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mportantDisclosures"/>
      <sheetName val="summary"/>
      <sheetName val="COVER SHEET"/>
      <sheetName val="IS-ANNUAL"/>
      <sheetName val="MW-Cache"/>
      <sheetName val="IS-QTRLY"/>
      <sheetName val="REV-ANNUAL"/>
      <sheetName val="REV-QTRLY"/>
      <sheetName val="M&amp;A"/>
      <sheetName val="CFBS"/>
      <sheetName val="PIPELINE"/>
      <sheetName val="PIPELINE_UNADJ"/>
      <sheetName val="ACT-AGN"/>
      <sheetName val="DEBT"/>
      <sheetName val="Generics Pipeline"/>
      <sheetName val="Namenda"/>
      <sheetName val="AGREEMENTS"/>
      <sheetName val="MGMT PROJECTIONS"/>
      <sheetName val="FOOTNOTES"/>
      <sheetName val="DCF"/>
      <sheetName val="Calendar"/>
      <sheetName val="Var-YOY"/>
      <sheetName val="Var-Seq"/>
      <sheetName val="2015 Guidance"/>
      <sheetName val="FRX_Var-YOY"/>
      <sheetName val="FRX_Var-Seq"/>
      <sheetName val="FRXmerger"/>
      <sheetName val="mwareDates"/>
      <sheetName val="MWA RR"/>
      <sheetName val="mwareSettings"/>
    </sheetNames>
    <sheetDataSet>
      <sheetData sheetId="0" refreshError="1"/>
      <sheetData sheetId="1" refreshError="1"/>
      <sheetData sheetId="2" refreshError="1">
        <row r="7">
          <cell r="J7" t="str">
            <v>Actavis Inc.</v>
          </cell>
        </row>
        <row r="10">
          <cell r="J10">
            <v>42004</v>
          </cell>
        </row>
        <row r="11">
          <cell r="J11">
            <v>42004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s>
    <sheetDataSet>
      <sheetData sheetId="0" refreshError="1">
        <row r="7">
          <cell r="R7">
            <v>1.8821000000000001</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per P&amp;L "/>
      <sheetName val="Purple P&amp;L"/>
      <sheetName val="ProForma P&amp;L"/>
      <sheetName val="Valuation Matrix"/>
      <sheetName val="DEV"/>
      <sheetName val="DEV (2)"/>
      <sheetName val="Contrib. Analysis"/>
      <sheetName val="PPAIDS Output"/>
      <sheetName val="Average Trading Price"/>
      <sheetName val="Accretion Dilution"/>
      <sheetName val="Summary  Balance Sheet"/>
      <sheetName val="CAGRS"/>
      <sheetName val="Useful Backup --&gt;"/>
      <sheetName val="Comps"/>
      <sheetName val="__FDSCACHE__"/>
      <sheetName val="Ppaids"/>
      <sheetName val="Shareholder Profile"/>
      <sheetName val="Exchange Rates"/>
      <sheetName val="Worldwide in US$"/>
      <sheetName val="expenses ctry by qtr 2003"/>
      <sheetName val="expenses ctry by qtr 2004"/>
      <sheetName val="Consolidated P&amp;L"/>
      <sheetName val="US P&amp;L"/>
      <sheetName val="UK P&amp;L"/>
      <sheetName val="AUS P&amp;L"/>
      <sheetName val="SW P&amp;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10">
          <cell r="AC10">
            <v>38002</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RAY-SIRO "/>
      <sheetName val="XRAY_Merger_Model_May0516"/>
    </sheetNames>
    <definedNames>
      <definedName name="_xlnm.Database" refersTo="#REF!"/>
    </definedNames>
    <sheetDataSet>
      <sheetData sheetId="0">
        <row r="2">
          <cell r="A2">
            <v>0</v>
          </cell>
          <cell r="B2">
            <v>0</v>
          </cell>
          <cell r="C2">
            <v>0</v>
          </cell>
          <cell r="D2">
            <v>0</v>
          </cell>
          <cell r="E2" t="str">
            <v>2014-Q1</v>
          </cell>
          <cell r="F2" t="str">
            <v>2014-Q2</v>
          </cell>
          <cell r="G2" t="str">
            <v>2014-Q3</v>
          </cell>
          <cell r="H2" t="str">
            <v>2014-Q4</v>
          </cell>
          <cell r="I2" t="str">
            <v>2014-FY</v>
          </cell>
          <cell r="J2" t="str">
            <v>2015-Q1</v>
          </cell>
          <cell r="K2" t="str">
            <v>2015-Q2</v>
          </cell>
          <cell r="L2" t="str">
            <v>2015-Q3</v>
          </cell>
          <cell r="M2" t="str">
            <v>2015-Q4</v>
          </cell>
          <cell r="N2" t="str">
            <v>2015-FY</v>
          </cell>
          <cell r="O2" t="str">
            <v>2016-Q1</v>
          </cell>
          <cell r="P2" t="str">
            <v>2016-Q2</v>
          </cell>
          <cell r="Q2" t="str">
            <v>2016-Q3</v>
          </cell>
          <cell r="R2" t="str">
            <v>2016-Q4</v>
          </cell>
          <cell r="S2" t="str">
            <v>2016-FY</v>
          </cell>
          <cell r="T2" t="str">
            <v>2017-Q1</v>
          </cell>
          <cell r="U2" t="str">
            <v>2017-Q2</v>
          </cell>
          <cell r="V2" t="str">
            <v>2017-Q3</v>
          </cell>
          <cell r="W2" t="str">
            <v>2017-Q4</v>
          </cell>
          <cell r="X2" t="str">
            <v>2017-FY</v>
          </cell>
          <cell r="Y2" t="str">
            <v>2018-Q1</v>
          </cell>
          <cell r="Z2" t="str">
            <v>2018-Q2</v>
          </cell>
          <cell r="AA2" t="str">
            <v>2018-Q3</v>
          </cell>
          <cell r="AB2" t="str">
            <v>2018-Q4</v>
          </cell>
          <cell r="AC2" t="str">
            <v>2018-FY</v>
          </cell>
        </row>
        <row r="3">
          <cell r="A3">
            <v>0</v>
          </cell>
          <cell r="B3">
            <v>0</v>
          </cell>
          <cell r="C3">
            <v>0</v>
          </cell>
          <cell r="D3">
            <v>42495</v>
          </cell>
          <cell r="E3" t="str">
            <v>1FQ2Q:1</v>
          </cell>
          <cell r="F3" t="str">
            <v>2FQ2Q:1</v>
          </cell>
          <cell r="G3" t="str">
            <v>3FQ2Q:1</v>
          </cell>
          <cell r="H3" t="str">
            <v>4FQ2Q:1</v>
          </cell>
          <cell r="I3">
            <v>0</v>
          </cell>
          <cell r="J3">
            <v>0</v>
          </cell>
          <cell r="K3">
            <v>0</v>
          </cell>
          <cell r="L3">
            <v>0</v>
          </cell>
          <cell r="M3">
            <v>0</v>
          </cell>
          <cell r="N3">
            <v>0</v>
          </cell>
          <cell r="O3">
            <v>0</v>
          </cell>
          <cell r="P3">
            <v>0</v>
          </cell>
          <cell r="Q3">
            <v>0</v>
          </cell>
          <cell r="R3">
            <v>0</v>
          </cell>
          <cell r="S3">
            <v>0</v>
          </cell>
          <cell r="T3">
            <v>0</v>
          </cell>
          <cell r="U3">
            <v>0</v>
          </cell>
          <cell r="V3">
            <v>0</v>
          </cell>
          <cell r="W3">
            <v>0</v>
          </cell>
          <cell r="X3">
            <v>0</v>
          </cell>
          <cell r="Y3">
            <v>0</v>
          </cell>
          <cell r="Z3">
            <v>0</v>
          </cell>
          <cell r="AA3">
            <v>0</v>
          </cell>
          <cell r="AB3">
            <v>0</v>
          </cell>
          <cell r="AC3">
            <v>0</v>
          </cell>
        </row>
        <row r="4">
          <cell r="A4">
            <v>0</v>
          </cell>
          <cell r="B4">
            <v>0</v>
          </cell>
          <cell r="C4">
            <v>0</v>
          </cell>
          <cell r="D4">
            <v>0</v>
          </cell>
          <cell r="E4">
            <v>41729</v>
          </cell>
          <cell r="F4">
            <v>41820</v>
          </cell>
          <cell r="G4">
            <v>41912</v>
          </cell>
          <cell r="H4">
            <v>42004</v>
          </cell>
          <cell r="I4">
            <v>42004</v>
          </cell>
          <cell r="J4">
            <v>42094</v>
          </cell>
          <cell r="K4">
            <v>42185</v>
          </cell>
          <cell r="L4">
            <v>42277</v>
          </cell>
          <cell r="M4">
            <v>42369</v>
          </cell>
          <cell r="N4">
            <v>42369</v>
          </cell>
          <cell r="O4">
            <v>42460</v>
          </cell>
          <cell r="P4">
            <v>42551</v>
          </cell>
          <cell r="Q4">
            <v>42643</v>
          </cell>
          <cell r="R4">
            <v>42735</v>
          </cell>
          <cell r="S4">
            <v>42735</v>
          </cell>
          <cell r="T4">
            <v>42825</v>
          </cell>
          <cell r="U4">
            <v>42916</v>
          </cell>
          <cell r="V4">
            <v>43008</v>
          </cell>
          <cell r="W4">
            <v>43100</v>
          </cell>
          <cell r="X4">
            <v>43100</v>
          </cell>
          <cell r="Y4">
            <v>43190</v>
          </cell>
          <cell r="Z4">
            <v>43281</v>
          </cell>
          <cell r="AA4">
            <v>43373</v>
          </cell>
          <cell r="AB4">
            <v>43465</v>
          </cell>
          <cell r="AC4">
            <v>43465</v>
          </cell>
        </row>
        <row r="5">
          <cell r="A5" t="str">
            <v>Dentsply</v>
          </cell>
          <cell r="B5">
            <v>0</v>
          </cell>
          <cell r="C5">
            <v>42004</v>
          </cell>
          <cell r="D5">
            <v>42004</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row>
        <row r="6">
          <cell r="A6" t="str">
            <v xml:space="preserve">SIRO merger model </v>
          </cell>
          <cell r="B6">
            <v>0</v>
          </cell>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row>
        <row r="7">
          <cell r="A7">
            <v>0</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row>
        <row r="8">
          <cell r="A8" t="str">
            <v>($M)</v>
          </cell>
          <cell r="B8">
            <v>0</v>
          </cell>
          <cell r="C8">
            <v>0</v>
          </cell>
          <cell r="D8">
            <v>0</v>
          </cell>
          <cell r="E8" t="str">
            <v>1Q:14A</v>
          </cell>
          <cell r="F8" t="str">
            <v>2Q:14A</v>
          </cell>
          <cell r="G8" t="str">
            <v>3Q:14A</v>
          </cell>
          <cell r="H8" t="str">
            <v>4Q:14A</v>
          </cell>
          <cell r="I8" t="str">
            <v>2014A</v>
          </cell>
          <cell r="J8" t="str">
            <v>1Q:15E</v>
          </cell>
          <cell r="K8" t="str">
            <v>2Q:15E</v>
          </cell>
          <cell r="L8" t="str">
            <v>3Q:15E</v>
          </cell>
          <cell r="M8" t="str">
            <v>4Q:15E</v>
          </cell>
          <cell r="N8" t="str">
            <v>2015E</v>
          </cell>
          <cell r="O8" t="str">
            <v>1Q:16E</v>
          </cell>
          <cell r="P8" t="str">
            <v>2Q:16E</v>
          </cell>
          <cell r="Q8" t="str">
            <v>3Q:16E</v>
          </cell>
          <cell r="R8" t="str">
            <v>4Q:16E</v>
          </cell>
          <cell r="S8" t="str">
            <v>2016E</v>
          </cell>
          <cell r="T8" t="str">
            <v>1Q:17E</v>
          </cell>
          <cell r="U8" t="str">
            <v>2Q:17E</v>
          </cell>
          <cell r="V8" t="str">
            <v>3Q:17E</v>
          </cell>
          <cell r="W8" t="str">
            <v>4Q:17E</v>
          </cell>
          <cell r="X8" t="str">
            <v>2017E</v>
          </cell>
          <cell r="Y8" t="str">
            <v>1Q:18E</v>
          </cell>
          <cell r="Z8" t="str">
            <v>2Q:18E</v>
          </cell>
          <cell r="AA8" t="str">
            <v>3Q:18E</v>
          </cell>
          <cell r="AB8" t="str">
            <v>4Q:18E</v>
          </cell>
          <cell r="AC8" t="str">
            <v>2018E</v>
          </cell>
        </row>
        <row r="9">
          <cell r="A9" t="str">
            <v>Net sales combined (proforma)</v>
          </cell>
          <cell r="B9">
            <v>0</v>
          </cell>
          <cell r="I9">
            <v>4093.7460000000001</v>
          </cell>
          <cell r="J9">
            <v>0</v>
          </cell>
          <cell r="K9">
            <v>0</v>
          </cell>
          <cell r="L9">
            <v>0</v>
          </cell>
          <cell r="M9">
            <v>0</v>
          </cell>
          <cell r="N9">
            <v>3835.6260000000002</v>
          </cell>
          <cell r="O9">
            <v>0</v>
          </cell>
          <cell r="P9">
            <v>0</v>
          </cell>
          <cell r="Q9">
            <v>0</v>
          </cell>
          <cell r="R9">
            <v>0</v>
          </cell>
          <cell r="S9">
            <v>3955.513725153698</v>
          </cell>
          <cell r="T9">
            <v>0</v>
          </cell>
          <cell r="U9">
            <v>0</v>
          </cell>
          <cell r="V9">
            <v>0</v>
          </cell>
          <cell r="W9">
            <v>0</v>
          </cell>
          <cell r="X9">
            <v>4185.8527780753802</v>
          </cell>
          <cell r="Y9">
            <v>0</v>
          </cell>
          <cell r="Z9">
            <v>0</v>
          </cell>
          <cell r="AA9">
            <v>0</v>
          </cell>
          <cell r="AB9">
            <v>0</v>
          </cell>
          <cell r="AC9">
            <v>4458.348905786781</v>
          </cell>
        </row>
        <row r="10">
          <cell r="A10" t="str">
            <v>XRAY</v>
          </cell>
          <cell r="B10" t="str">
            <v>standalone</v>
          </cell>
          <cell r="I10">
            <v>2922.62</v>
          </cell>
          <cell r="N10">
            <v>2674.326</v>
          </cell>
          <cell r="S10">
            <v>2690.3577532851164</v>
          </cell>
          <cell r="X10">
            <v>2787.8936111898161</v>
          </cell>
          <cell r="AC10">
            <v>2889.4180751548574</v>
          </cell>
        </row>
        <row r="11">
          <cell r="A11" t="str">
            <v>SIRO</v>
          </cell>
          <cell r="B11" t="str">
            <v>standalone</v>
          </cell>
          <cell r="I11">
            <v>1171.126</v>
          </cell>
          <cell r="N11">
            <v>1161.3</v>
          </cell>
          <cell r="S11">
            <v>1244.1559718685814</v>
          </cell>
          <cell r="X11">
            <v>1355.1020240284208</v>
          </cell>
          <cell r="AC11">
            <v>1493.9308306319235</v>
          </cell>
        </row>
        <row r="12">
          <cell r="A12" t="str">
            <v>Revenue synergies</v>
          </cell>
          <cell r="B12">
            <v>0</v>
          </cell>
          <cell r="I12">
            <v>0</v>
          </cell>
          <cell r="N12">
            <v>0</v>
          </cell>
          <cell r="S12">
            <v>21</v>
          </cell>
          <cell r="X12">
            <v>42.857142857142854</v>
          </cell>
          <cell r="AC12">
            <v>75</v>
          </cell>
        </row>
        <row r="13">
          <cell r="A13" t="e">
            <v>#REF!</v>
          </cell>
          <cell r="B13">
            <v>0</v>
          </cell>
          <cell r="I13">
            <v>0</v>
          </cell>
          <cell r="J13">
            <v>0</v>
          </cell>
          <cell r="K13">
            <v>0</v>
          </cell>
          <cell r="L13">
            <v>0</v>
          </cell>
          <cell r="M13">
            <v>0</v>
          </cell>
          <cell r="N13">
            <v>0</v>
          </cell>
          <cell r="O13">
            <v>0</v>
          </cell>
          <cell r="P13">
            <v>0</v>
          </cell>
          <cell r="Q13">
            <v>0</v>
          </cell>
          <cell r="R13">
            <v>0</v>
          </cell>
          <cell r="S13">
            <v>7.8056533464211297E-3</v>
          </cell>
          <cell r="T13">
            <v>0</v>
          </cell>
          <cell r="U13">
            <v>0</v>
          </cell>
          <cell r="V13">
            <v>0</v>
          </cell>
          <cell r="W13">
            <v>0</v>
          </cell>
          <cell r="X13">
            <v>1.5372589070517759E-2</v>
          </cell>
          <cell r="Y13">
            <v>0</v>
          </cell>
          <cell r="Z13">
            <v>0</v>
          </cell>
          <cell r="AA13">
            <v>0</v>
          </cell>
          <cell r="AB13">
            <v>0</v>
          </cell>
          <cell r="AC13">
            <v>2.595678370150031E-2</v>
          </cell>
        </row>
        <row r="14">
          <cell r="A14">
            <v>0</v>
          </cell>
          <cell r="B14">
            <v>0</v>
          </cell>
          <cell r="I14">
            <v>0</v>
          </cell>
          <cell r="N14">
            <v>0</v>
          </cell>
        </row>
        <row r="15">
          <cell r="A15" t="str">
            <v>Total expenses combined (COGS + SG&amp;A + R&amp;D) (proforma)</v>
          </cell>
          <cell r="B15">
            <v>0</v>
          </cell>
          <cell r="I15">
            <v>3306.268</v>
          </cell>
          <cell r="N15">
            <v>3023.2370000000001</v>
          </cell>
          <cell r="S15">
            <v>3055.9829156903766</v>
          </cell>
          <cell r="X15">
            <v>3169.3368698962695</v>
          </cell>
          <cell r="AC15">
            <v>3288.4937143690104</v>
          </cell>
        </row>
        <row r="16">
          <cell r="A16" t="str">
            <v>XRAY</v>
          </cell>
          <cell r="B16" t="str">
            <v>standalone</v>
          </cell>
          <cell r="I16">
            <v>2409.8150000000001</v>
          </cell>
          <cell r="J16">
            <v>0</v>
          </cell>
          <cell r="K16">
            <v>0</v>
          </cell>
          <cell r="L16">
            <v>0</v>
          </cell>
          <cell r="M16">
            <v>0</v>
          </cell>
          <cell r="N16">
            <v>2153.2370000000001</v>
          </cell>
          <cell r="S16">
            <v>2155.3385952564417</v>
          </cell>
          <cell r="X16">
            <v>2216.7514786539732</v>
          </cell>
          <cell r="AC16">
            <v>2280.1415043867382</v>
          </cell>
        </row>
        <row r="17">
          <cell r="A17" t="str">
            <v>SIRO</v>
          </cell>
          <cell r="B17" t="str">
            <v>standalone</v>
          </cell>
          <cell r="I17">
            <v>896.45299999999997</v>
          </cell>
          <cell r="N17">
            <v>870</v>
          </cell>
          <cell r="O17">
            <v>870</v>
          </cell>
          <cell r="S17">
            <v>923.99432043393449</v>
          </cell>
          <cell r="X17">
            <v>999.01396267086784</v>
          </cell>
          <cell r="AC17">
            <v>1089.6022099822719</v>
          </cell>
        </row>
        <row r="18">
          <cell r="A18" t="str">
            <v>Expense related to revenue synergies (@35% incr)</v>
          </cell>
          <cell r="B18">
            <v>0</v>
          </cell>
          <cell r="I18">
            <v>0</v>
          </cell>
          <cell r="N18">
            <v>0</v>
          </cell>
          <cell r="O18">
            <v>0</v>
          </cell>
          <cell r="S18">
            <v>13.65</v>
          </cell>
          <cell r="X18">
            <v>27.857142857142858</v>
          </cell>
          <cell r="AC18">
            <v>48.75</v>
          </cell>
        </row>
        <row r="19">
          <cell r="A19" t="str">
            <v>Pre-tax operating synergies</v>
          </cell>
          <cell r="B19">
            <v>0</v>
          </cell>
          <cell r="I19">
            <v>0</v>
          </cell>
          <cell r="N19">
            <v>0</v>
          </cell>
          <cell r="S19">
            <v>37</v>
          </cell>
          <cell r="T19">
            <v>0</v>
          </cell>
          <cell r="U19">
            <v>0</v>
          </cell>
          <cell r="V19">
            <v>0</v>
          </cell>
          <cell r="W19">
            <v>0</v>
          </cell>
          <cell r="X19">
            <v>74.285714285714292</v>
          </cell>
          <cell r="AC19">
            <v>130</v>
          </cell>
        </row>
        <row r="20">
          <cell r="A20" t="str">
            <v>Cost synergies as a percent of stand-alone SIRO</v>
          </cell>
          <cell r="B20">
            <v>0</v>
          </cell>
          <cell r="I20">
            <v>0</v>
          </cell>
          <cell r="J20">
            <v>0</v>
          </cell>
          <cell r="K20">
            <v>0</v>
          </cell>
          <cell r="L20">
            <v>0</v>
          </cell>
          <cell r="M20">
            <v>0</v>
          </cell>
          <cell r="N20">
            <v>0</v>
          </cell>
          <cell r="O20">
            <v>0</v>
          </cell>
          <cell r="P20">
            <v>0</v>
          </cell>
          <cell r="Q20">
            <v>0</v>
          </cell>
          <cell r="R20">
            <v>0</v>
          </cell>
          <cell r="S20">
            <v>4.0043536179555445E-2</v>
          </cell>
          <cell r="T20">
            <v>0</v>
          </cell>
          <cell r="U20">
            <v>0</v>
          </cell>
          <cell r="V20">
            <v>0</v>
          </cell>
          <cell r="W20">
            <v>0</v>
          </cell>
          <cell r="X20">
            <v>7.4359035070051607E-2</v>
          </cell>
          <cell r="Y20">
            <v>0</v>
          </cell>
          <cell r="Z20">
            <v>0</v>
          </cell>
          <cell r="AA20">
            <v>0</v>
          </cell>
          <cell r="AB20">
            <v>0</v>
          </cell>
          <cell r="AC20">
            <v>0.11930959648302762</v>
          </cell>
        </row>
        <row r="21">
          <cell r="A21">
            <v>0</v>
          </cell>
          <cell r="B21">
            <v>0</v>
          </cell>
          <cell r="I21">
            <v>0</v>
          </cell>
          <cell r="N21">
            <v>0</v>
          </cell>
        </row>
        <row r="22">
          <cell r="A22" t="str">
            <v>Operating income combined (proforma)</v>
          </cell>
          <cell r="B22">
            <v>0</v>
          </cell>
          <cell r="I22">
            <v>787.47800000000007</v>
          </cell>
          <cell r="N22">
            <v>812.38900000000012</v>
          </cell>
          <cell r="S22">
            <v>899.53080946332148</v>
          </cell>
          <cell r="X22">
            <v>1016.5159081791107</v>
          </cell>
          <cell r="AC22">
            <v>1169.8551914177706</v>
          </cell>
        </row>
        <row r="23">
          <cell r="A23" t="str">
            <v>XRAY</v>
          </cell>
          <cell r="B23" t="str">
            <v>standalone</v>
          </cell>
          <cell r="I23">
            <v>512.80499999999984</v>
          </cell>
          <cell r="N23">
            <v>521.08899999999994</v>
          </cell>
          <cell r="S23">
            <v>535.01915802867461</v>
          </cell>
          <cell r="X23">
            <v>571.14213253584285</v>
          </cell>
          <cell r="AC23">
            <v>609.2765707681192</v>
          </cell>
        </row>
        <row r="24">
          <cell r="A24" t="str">
            <v>SIRO</v>
          </cell>
          <cell r="B24" t="str">
            <v>including synergies</v>
          </cell>
          <cell r="I24">
            <v>274.673</v>
          </cell>
          <cell r="N24">
            <v>291.29999999999995</v>
          </cell>
          <cell r="S24">
            <v>364.51165143464698</v>
          </cell>
          <cell r="X24">
            <v>445.37377564326727</v>
          </cell>
          <cell r="AC24">
            <v>560.57862064965161</v>
          </cell>
        </row>
        <row r="25">
          <cell r="A25">
            <v>0</v>
          </cell>
          <cell r="B25">
            <v>0</v>
          </cell>
          <cell r="I25">
            <v>0</v>
          </cell>
          <cell r="N25">
            <v>0</v>
          </cell>
        </row>
        <row r="26">
          <cell r="A26" t="str">
            <v>Depreciation and other add-back (primarily stock comp)</v>
          </cell>
          <cell r="B26">
            <v>0</v>
          </cell>
          <cell r="I26">
            <v>117.0150000000001</v>
          </cell>
          <cell r="N26">
            <v>112.33637979491624</v>
          </cell>
          <cell r="S26">
            <v>202.94395825097831</v>
          </cell>
          <cell r="X26">
            <v>214.52731531979316</v>
          </cell>
          <cell r="AC26">
            <v>230.88391841823125</v>
          </cell>
        </row>
        <row r="27">
          <cell r="A27" t="str">
            <v>XRAY</v>
          </cell>
          <cell r="B27" t="str">
            <v>standalone</v>
          </cell>
          <cell r="I27">
            <v>81.163000000000125</v>
          </cell>
          <cell r="N27">
            <v>80.536379794916229</v>
          </cell>
          <cell r="S27">
            <v>84.840256465017774</v>
          </cell>
          <cell r="X27">
            <v>89.311007991692122</v>
          </cell>
          <cell r="AC27">
            <v>93.983484560949023</v>
          </cell>
        </row>
        <row r="28">
          <cell r="A28" t="str">
            <v>SIRO</v>
          </cell>
          <cell r="B28" t="str">
            <v>including step-up</v>
          </cell>
          <cell r="I28">
            <v>35.851999999999975</v>
          </cell>
          <cell r="N28">
            <v>31.800000000000011</v>
          </cell>
          <cell r="S28">
            <v>118.10370178596052</v>
          </cell>
          <cell r="X28">
            <v>125.21630732810104</v>
          </cell>
          <cell r="AC28">
            <v>136.90043385728222</v>
          </cell>
        </row>
        <row r="29">
          <cell r="A29" t="str">
            <v>Step-up depreciation of SIRO</v>
          </cell>
          <cell r="B29">
            <v>0</v>
          </cell>
          <cell r="I29">
            <v>0</v>
          </cell>
          <cell r="N29">
            <v>0</v>
          </cell>
          <cell r="O29">
            <v>0</v>
          </cell>
          <cell r="P29">
            <v>0</v>
          </cell>
          <cell r="Q29">
            <v>0</v>
          </cell>
          <cell r="R29">
            <v>0</v>
          </cell>
          <cell r="S29">
            <v>79.110274503073967</v>
          </cell>
          <cell r="T29">
            <v>0</v>
          </cell>
          <cell r="U29">
            <v>0</v>
          </cell>
          <cell r="V29">
            <v>0</v>
          </cell>
          <cell r="W29">
            <v>0</v>
          </cell>
          <cell r="X29">
            <v>83.717055561507607</v>
          </cell>
          <cell r="Y29">
            <v>0</v>
          </cell>
          <cell r="Z29">
            <v>0</v>
          </cell>
          <cell r="AA29">
            <v>0</v>
          </cell>
          <cell r="AB29">
            <v>0</v>
          </cell>
          <cell r="AC29">
            <v>89.166978115735617</v>
          </cell>
        </row>
        <row r="30">
          <cell r="A30" t="str">
            <v>Step-up depreciation of SIRO (% of sales)</v>
          </cell>
          <cell r="B30">
            <v>0</v>
          </cell>
          <cell r="I30">
            <v>0</v>
          </cell>
          <cell r="N30">
            <v>0</v>
          </cell>
          <cell r="S30">
            <v>0.02</v>
          </cell>
          <cell r="X30">
            <v>0.02</v>
          </cell>
          <cell r="AC30">
            <v>0.02</v>
          </cell>
        </row>
        <row r="31">
          <cell r="A31">
            <v>0</v>
          </cell>
          <cell r="B31">
            <v>0</v>
          </cell>
          <cell r="I31">
            <v>0</v>
          </cell>
          <cell r="N31">
            <v>0</v>
          </cell>
        </row>
        <row r="32">
          <cell r="A32" t="str">
            <v>EBITDA</v>
          </cell>
          <cell r="B32">
            <v>0</v>
          </cell>
          <cell r="I32">
            <v>904.49300000000017</v>
          </cell>
          <cell r="J32">
            <v>0</v>
          </cell>
          <cell r="K32">
            <v>0</v>
          </cell>
          <cell r="L32">
            <v>0</v>
          </cell>
          <cell r="M32">
            <v>0</v>
          </cell>
          <cell r="N32">
            <v>924.72537979491631</v>
          </cell>
          <cell r="O32">
            <v>0</v>
          </cell>
          <cell r="P32">
            <v>0</v>
          </cell>
          <cell r="Q32">
            <v>0</v>
          </cell>
          <cell r="R32">
            <v>0</v>
          </cell>
          <cell r="S32">
            <v>1102.4747677142998</v>
          </cell>
          <cell r="T32">
            <v>0</v>
          </cell>
          <cell r="U32">
            <v>0</v>
          </cell>
          <cell r="V32">
            <v>0</v>
          </cell>
          <cell r="W32">
            <v>0</v>
          </cell>
          <cell r="X32">
            <v>1231.0432234989039</v>
          </cell>
          <cell r="Y32">
            <v>0</v>
          </cell>
          <cell r="Z32">
            <v>0</v>
          </cell>
          <cell r="AA32">
            <v>0</v>
          </cell>
          <cell r="AB32">
            <v>0</v>
          </cell>
          <cell r="AC32">
            <v>1400.7391098360017</v>
          </cell>
        </row>
        <row r="33">
          <cell r="A33" t="str">
            <v>XRAY</v>
          </cell>
          <cell r="B33" t="str">
            <v>standalone</v>
          </cell>
          <cell r="I33">
            <v>593.96799999999996</v>
          </cell>
          <cell r="N33">
            <v>601.62537979491617</v>
          </cell>
          <cell r="S33">
            <v>619.85941449369238</v>
          </cell>
          <cell r="X33">
            <v>660.45314052753497</v>
          </cell>
          <cell r="AC33">
            <v>703.26005532906822</v>
          </cell>
        </row>
        <row r="34">
          <cell r="A34" t="str">
            <v>SIRO</v>
          </cell>
          <cell r="B34" t="str">
            <v>including synergies</v>
          </cell>
          <cell r="I34">
            <v>310.52499999999998</v>
          </cell>
          <cell r="N34">
            <v>323.09999999999997</v>
          </cell>
          <cell r="S34">
            <v>482.61535322060752</v>
          </cell>
          <cell r="X34">
            <v>570.59008297136825</v>
          </cell>
          <cell r="AC34">
            <v>697.47905450693384</v>
          </cell>
        </row>
        <row r="35">
          <cell r="A35">
            <v>0</v>
          </cell>
          <cell r="B35">
            <v>0</v>
          </cell>
          <cell r="I35">
            <v>0</v>
          </cell>
          <cell r="N35">
            <v>0</v>
          </cell>
        </row>
        <row r="36">
          <cell r="A36" t="str">
            <v>Net interest income/(expense) &amp; other combined (proforma)</v>
          </cell>
          <cell r="B36">
            <v>0</v>
          </cell>
          <cell r="I36">
            <v>-52.524000000000001</v>
          </cell>
          <cell r="N36">
            <v>-53.848999999999997</v>
          </cell>
          <cell r="S36">
            <v>-38.884030695329855</v>
          </cell>
          <cell r="X36">
            <v>-35.231563405822449</v>
          </cell>
          <cell r="AC36">
            <v>-34.322204314777458</v>
          </cell>
        </row>
        <row r="37">
          <cell r="A37" t="str">
            <v>XRAY</v>
          </cell>
          <cell r="B37" t="str">
            <v>standalone interest expense</v>
          </cell>
          <cell r="I37">
            <v>-45.241</v>
          </cell>
          <cell r="N37">
            <v>-38.448999999999998</v>
          </cell>
          <cell r="S37">
            <v>-36.202502858788058</v>
          </cell>
          <cell r="X37">
            <v>-32.404716827250823</v>
          </cell>
          <cell r="AC37">
            <v>-33.504768749692303</v>
          </cell>
        </row>
        <row r="38">
          <cell r="A38" t="str">
            <v>SIRO</v>
          </cell>
          <cell r="B38" t="str">
            <v>standalone interest expense</v>
          </cell>
          <cell r="I38">
            <v>-7.2829999999999995</v>
          </cell>
          <cell r="N38">
            <v>-15.399999999999999</v>
          </cell>
          <cell r="S38">
            <v>-2.6815278365417932</v>
          </cell>
          <cell r="X38">
            <v>-2.8268465785716259</v>
          </cell>
          <cell r="AC38">
            <v>-0.81743556508515747</v>
          </cell>
        </row>
        <row r="39">
          <cell r="A39">
            <v>0</v>
          </cell>
          <cell r="B39">
            <v>0</v>
          </cell>
          <cell r="I39">
            <v>0</v>
          </cell>
          <cell r="N39">
            <v>0</v>
          </cell>
        </row>
        <row r="40">
          <cell r="A40" t="str">
            <v>Pretax income combined (proforma)</v>
          </cell>
          <cell r="B40">
            <v>0</v>
          </cell>
          <cell r="I40">
            <v>734.95400000000006</v>
          </cell>
          <cell r="N40">
            <v>758.54000000000008</v>
          </cell>
          <cell r="S40">
            <v>860.64677876799158</v>
          </cell>
          <cell r="X40">
            <v>981.28434477328824</v>
          </cell>
          <cell r="AC40">
            <v>1135.532987102993</v>
          </cell>
        </row>
        <row r="41">
          <cell r="A41" t="str">
            <v>XRAY</v>
          </cell>
          <cell r="B41" t="str">
            <v>standalone pretax income</v>
          </cell>
          <cell r="I41">
            <v>467.56399999999985</v>
          </cell>
          <cell r="N41">
            <v>482.63999999999993</v>
          </cell>
          <cell r="S41">
            <v>498.81665516988653</v>
          </cell>
          <cell r="X41">
            <v>538.73741570859204</v>
          </cell>
          <cell r="AC41">
            <v>575.77180201842691</v>
          </cell>
        </row>
        <row r="42">
          <cell r="A42" t="str">
            <v>SIRO</v>
          </cell>
          <cell r="B42" t="str">
            <v>standalone pretax income (inc. synergies)</v>
          </cell>
          <cell r="I42">
            <v>267.39</v>
          </cell>
          <cell r="N42">
            <v>275.89999999999998</v>
          </cell>
          <cell r="S42">
            <v>361.83012359810516</v>
          </cell>
          <cell r="X42">
            <v>442.54692906469563</v>
          </cell>
          <cell r="AC42">
            <v>559.76118508456648</v>
          </cell>
        </row>
        <row r="43">
          <cell r="A43">
            <v>0</v>
          </cell>
          <cell r="B43">
            <v>0</v>
          </cell>
          <cell r="I43">
            <v>0</v>
          </cell>
          <cell r="N43">
            <v>0</v>
          </cell>
        </row>
        <row r="44">
          <cell r="A44" t="str">
            <v>Income Taxes combined (proforma)</v>
          </cell>
          <cell r="B44">
            <v>0</v>
          </cell>
          <cell r="I44">
            <v>167.18200000000002</v>
          </cell>
          <cell r="N44">
            <v>176.04000000000002</v>
          </cell>
          <cell r="S44">
            <v>196.89226297831596</v>
          </cell>
          <cell r="X44">
            <v>224.34855575858481</v>
          </cell>
          <cell r="AC44">
            <v>259.73315752864232</v>
          </cell>
        </row>
        <row r="45">
          <cell r="A45">
            <v>0</v>
          </cell>
          <cell r="B45" t="str">
            <v>Pro Forma Tax Rate</v>
          </cell>
          <cell r="I45">
            <v>0.22747273979051749</v>
          </cell>
          <cell r="N45">
            <v>0.23207741187017164</v>
          </cell>
          <cell r="S45">
            <v>0.22877243932774086</v>
          </cell>
          <cell r="X45">
            <v>0.22862746863694983</v>
          </cell>
          <cell r="AC45">
            <v>0.22873237543832312</v>
          </cell>
        </row>
        <row r="46">
          <cell r="A46">
            <v>0</v>
          </cell>
          <cell r="B46">
            <v>0</v>
          </cell>
          <cell r="I46">
            <v>0</v>
          </cell>
          <cell r="N46">
            <v>0</v>
          </cell>
          <cell r="S46">
            <v>0</v>
          </cell>
          <cell r="X46">
            <v>0</v>
          </cell>
          <cell r="AC46">
            <v>0</v>
          </cell>
        </row>
        <row r="47">
          <cell r="A47" t="str">
            <v>XRAY</v>
          </cell>
          <cell r="B47" t="str">
            <v>Stand-alone taxes</v>
          </cell>
          <cell r="I47">
            <v>105.02300000000001</v>
          </cell>
          <cell r="N47">
            <v>110.44</v>
          </cell>
          <cell r="S47">
            <v>114.7278306890739</v>
          </cell>
          <cell r="X47">
            <v>122.56276207370483</v>
          </cell>
          <cell r="AC47">
            <v>130.98808495919204</v>
          </cell>
        </row>
        <row r="48">
          <cell r="A48">
            <v>0</v>
          </cell>
          <cell r="B48" t="str">
            <v>XRAY tax rate</v>
          </cell>
          <cell r="I48">
            <v>0.22461737858346675</v>
          </cell>
          <cell r="N48">
            <v>0.22882479695010777</v>
          </cell>
          <cell r="S48">
            <v>0.22999999999999998</v>
          </cell>
          <cell r="X48">
            <v>0.22750000000000026</v>
          </cell>
          <cell r="AC48">
            <v>0.22749999999999984</v>
          </cell>
        </row>
        <row r="49">
          <cell r="A49" t="str">
            <v>SIRO</v>
          </cell>
          <cell r="B49" t="str">
            <v>Taxes on operating profit (inc. synergies)</v>
          </cell>
          <cell r="I49">
            <v>62.158999999999999</v>
          </cell>
          <cell r="N49">
            <v>65.600000000000009</v>
          </cell>
          <cell r="S49">
            <v>82.164432289242072</v>
          </cell>
          <cell r="X49">
            <v>101.78579368487998</v>
          </cell>
          <cell r="AC49">
            <v>128.74507256945031</v>
          </cell>
        </row>
        <row r="50">
          <cell r="A50">
            <v>0</v>
          </cell>
          <cell r="B50" t="str">
            <v>Tax Rate</v>
          </cell>
          <cell r="I50">
            <v>0.23246568682448859</v>
          </cell>
          <cell r="N50">
            <v>0.2377673069952882</v>
          </cell>
          <cell r="S50">
            <v>0.22708013216860962</v>
          </cell>
          <cell r="X50">
            <v>0.22999999999999995</v>
          </cell>
          <cell r="AC50">
            <v>0.23000000000000004</v>
          </cell>
        </row>
        <row r="51">
          <cell r="A51">
            <v>0</v>
          </cell>
          <cell r="B51">
            <v>0</v>
          </cell>
          <cell r="I51">
            <v>0</v>
          </cell>
          <cell r="N51">
            <v>0</v>
          </cell>
        </row>
        <row r="52">
          <cell r="A52" t="str">
            <v>Net income combined (proforma)</v>
          </cell>
          <cell r="B52">
            <v>0</v>
          </cell>
          <cell r="I52">
            <v>567.77200000000005</v>
          </cell>
          <cell r="N52">
            <v>582.5</v>
          </cell>
          <cell r="S52">
            <v>663.75451578967568</v>
          </cell>
          <cell r="X52">
            <v>756.93578901470346</v>
          </cell>
          <cell r="AC52">
            <v>875.79982957435072</v>
          </cell>
        </row>
        <row r="53">
          <cell r="A53" t="str">
            <v>DILUTED EPS combined (proforma)</v>
          </cell>
          <cell r="B53">
            <v>0</v>
          </cell>
          <cell r="C53">
            <v>0</v>
          </cell>
          <cell r="D53">
            <v>0</v>
          </cell>
          <cell r="E53">
            <v>0</v>
          </cell>
          <cell r="F53">
            <v>0</v>
          </cell>
          <cell r="G53">
            <v>0</v>
          </cell>
          <cell r="H53">
            <v>0</v>
          </cell>
          <cell r="I53">
            <v>2.3032835830276883</v>
          </cell>
          <cell r="J53">
            <v>0</v>
          </cell>
          <cell r="K53">
            <v>0</v>
          </cell>
          <cell r="L53">
            <v>0</v>
          </cell>
          <cell r="M53">
            <v>0</v>
          </cell>
          <cell r="N53">
            <v>2.3787916908210724</v>
          </cell>
          <cell r="O53">
            <v>0</v>
          </cell>
          <cell r="P53">
            <v>0</v>
          </cell>
          <cell r="Q53">
            <v>0</v>
          </cell>
          <cell r="R53">
            <v>0</v>
          </cell>
          <cell r="S53">
            <v>2.8317131274959744</v>
          </cell>
          <cell r="T53">
            <v>0</v>
          </cell>
          <cell r="U53">
            <v>0</v>
          </cell>
          <cell r="V53">
            <v>0</v>
          </cell>
          <cell r="W53">
            <v>0</v>
          </cell>
          <cell r="X53">
            <v>3.3841834561497373</v>
          </cell>
          <cell r="Y53">
            <v>0</v>
          </cell>
          <cell r="Z53">
            <v>0</v>
          </cell>
          <cell r="AA53">
            <v>0</v>
          </cell>
          <cell r="AB53">
            <v>0</v>
          </cell>
          <cell r="AC53">
            <v>4.090406756716698</v>
          </cell>
        </row>
        <row r="54">
          <cell r="A54" t="str">
            <v>Diluted shares outstanding combined (proforma)</v>
          </cell>
          <cell r="B54">
            <v>0</v>
          </cell>
          <cell r="I54">
            <v>246.50546905459998</v>
          </cell>
          <cell r="N54">
            <v>244.87221905460001</v>
          </cell>
          <cell r="S54">
            <v>234.40033855993744</v>
          </cell>
          <cell r="X54">
            <v>223.66866300915217</v>
          </cell>
          <cell r="AC54">
            <v>214.11069403702552</v>
          </cell>
        </row>
        <row r="55">
          <cell r="A55">
            <v>0</v>
          </cell>
          <cell r="B55">
            <v>0</v>
          </cell>
          <cell r="C55">
            <v>0</v>
          </cell>
          <cell r="D55">
            <v>0</v>
          </cell>
          <cell r="I55">
            <v>0</v>
          </cell>
          <cell r="N55">
            <v>0</v>
          </cell>
        </row>
        <row r="56">
          <cell r="A56" t="str">
            <v>XRAY standalone EPS</v>
          </cell>
          <cell r="B56">
            <v>0</v>
          </cell>
          <cell r="I56">
            <v>2.5027604485360508</v>
          </cell>
          <cell r="N56">
            <v>2.616186799353398</v>
          </cell>
          <cell r="S56">
            <v>2.7754422343031635</v>
          </cell>
          <cell r="X56">
            <v>3.1775785403723127</v>
          </cell>
          <cell r="AC56">
            <v>3.570180433038848</v>
          </cell>
        </row>
        <row r="57">
          <cell r="A57" t="str">
            <v>Accretion/(dilution)</v>
          </cell>
          <cell r="B57">
            <v>0</v>
          </cell>
          <cell r="I57">
            <v>0</v>
          </cell>
          <cell r="N57">
            <v>0</v>
          </cell>
          <cell r="S57">
            <v>5.6270893192810867E-2</v>
          </cell>
          <cell r="X57">
            <v>0.20660491577742457</v>
          </cell>
          <cell r="AC57">
            <v>0.52022632367784993</v>
          </cell>
        </row>
        <row r="58">
          <cell r="A58" t="str">
            <v>XRAY proforma EPS</v>
          </cell>
          <cell r="B58">
            <v>0</v>
          </cell>
          <cell r="I58">
            <v>0</v>
          </cell>
          <cell r="N58">
            <v>0</v>
          </cell>
          <cell r="S58">
            <v>2.8317131274959744</v>
          </cell>
          <cell r="X58">
            <v>3.3841834561497373</v>
          </cell>
          <cell r="AC58">
            <v>4.090406756716698</v>
          </cell>
        </row>
        <row r="59">
          <cell r="A59" t="str">
            <v>% accretion/(dilution)</v>
          </cell>
          <cell r="B59">
            <v>0</v>
          </cell>
          <cell r="C59">
            <v>0</v>
          </cell>
          <cell r="D59">
            <v>0</v>
          </cell>
          <cell r="I59">
            <v>0</v>
          </cell>
          <cell r="J59">
            <v>0</v>
          </cell>
          <cell r="K59">
            <v>0</v>
          </cell>
          <cell r="L59">
            <v>0</v>
          </cell>
          <cell r="M59">
            <v>0</v>
          </cell>
          <cell r="N59">
            <v>0</v>
          </cell>
          <cell r="O59">
            <v>0</v>
          </cell>
          <cell r="P59">
            <v>0</v>
          </cell>
          <cell r="Q59">
            <v>0</v>
          </cell>
          <cell r="R59">
            <v>0</v>
          </cell>
          <cell r="S59">
            <v>2.0274568318277005E-2</v>
          </cell>
          <cell r="T59">
            <v>0</v>
          </cell>
          <cell r="U59">
            <v>0</v>
          </cell>
          <cell r="V59">
            <v>0</v>
          </cell>
          <cell r="W59">
            <v>0</v>
          </cell>
          <cell r="X59">
            <v>6.5019609476975174E-2</v>
          </cell>
          <cell r="Y59">
            <v>0</v>
          </cell>
          <cell r="Z59">
            <v>0</v>
          </cell>
          <cell r="AA59">
            <v>0</v>
          </cell>
          <cell r="AB59">
            <v>0</v>
          </cell>
          <cell r="AC59">
            <v>0.14571429467923175</v>
          </cell>
        </row>
        <row r="60">
          <cell r="A60">
            <v>0</v>
          </cell>
          <cell r="B60">
            <v>0</v>
          </cell>
          <cell r="C60">
            <v>0</v>
          </cell>
          <cell r="D60">
            <v>0</v>
          </cell>
          <cell r="I60">
            <v>0</v>
          </cell>
          <cell r="N60">
            <v>0</v>
          </cell>
          <cell r="S60">
            <v>0</v>
          </cell>
          <cell r="X60">
            <v>0</v>
          </cell>
          <cell r="AC60">
            <v>0</v>
          </cell>
        </row>
        <row r="61">
          <cell r="A61" t="str">
            <v>After tax EBITDA accretion</v>
          </cell>
          <cell r="B61">
            <v>0</v>
          </cell>
          <cell r="C61">
            <v>0</v>
          </cell>
          <cell r="D61">
            <v>0</v>
          </cell>
          <cell r="E61">
            <v>0</v>
          </cell>
          <cell r="F61">
            <v>0</v>
          </cell>
          <cell r="G61">
            <v>0</v>
          </cell>
          <cell r="H61">
            <v>0</v>
          </cell>
          <cell r="I61">
            <v>545.70384858446471</v>
          </cell>
          <cell r="J61">
            <v>0</v>
          </cell>
          <cell r="K61">
            <v>0</v>
          </cell>
          <cell r="L61">
            <v>0</v>
          </cell>
          <cell r="M61">
            <v>0</v>
          </cell>
          <cell r="N61">
            <v>222.03838347227253</v>
          </cell>
          <cell r="O61">
            <v>0</v>
          </cell>
          <cell r="P61">
            <v>0</v>
          </cell>
          <cell r="Q61">
            <v>0</v>
          </cell>
          <cell r="R61">
            <v>0</v>
          </cell>
          <cell r="S61">
            <v>281.73829744986921</v>
          </cell>
          <cell r="T61">
            <v>0</v>
          </cell>
          <cell r="U61">
            <v>0</v>
          </cell>
          <cell r="V61">
            <v>0</v>
          </cell>
          <cell r="W61">
            <v>0</v>
          </cell>
          <cell r="X61">
            <v>342.93780724531575</v>
          </cell>
          <cell r="Y61">
            <v>0</v>
          </cell>
          <cell r="Z61">
            <v>0</v>
          </cell>
          <cell r="AA61">
            <v>0</v>
          </cell>
          <cell r="AB61">
            <v>0</v>
          </cell>
          <cell r="AC61">
            <v>431.64553790023177</v>
          </cell>
        </row>
        <row r="62">
          <cell r="A62" t="str">
            <v>Cash on Cash Return</v>
          </cell>
          <cell r="B62">
            <v>0</v>
          </cell>
          <cell r="C62">
            <v>0</v>
          </cell>
          <cell r="D62">
            <v>0</v>
          </cell>
          <cell r="E62">
            <v>0</v>
          </cell>
          <cell r="F62">
            <v>0</v>
          </cell>
          <cell r="G62">
            <v>0</v>
          </cell>
          <cell r="H62">
            <v>0</v>
          </cell>
          <cell r="I62">
            <v>0</v>
          </cell>
          <cell r="J62">
            <v>0</v>
          </cell>
          <cell r="K62">
            <v>0</v>
          </cell>
          <cell r="L62">
            <v>0</v>
          </cell>
          <cell r="M62">
            <v>0</v>
          </cell>
          <cell r="N62">
            <v>3.6132078820615754E-2</v>
          </cell>
          <cell r="O62">
            <v>0</v>
          </cell>
          <cell r="P62">
            <v>0</v>
          </cell>
          <cell r="Q62">
            <v>0</v>
          </cell>
          <cell r="R62">
            <v>0</v>
          </cell>
          <cell r="S62">
            <v>4.5846984701705777E-2</v>
          </cell>
          <cell r="T62">
            <v>0</v>
          </cell>
          <cell r="U62">
            <v>0</v>
          </cell>
          <cell r="V62">
            <v>0</v>
          </cell>
          <cell r="W62">
            <v>0</v>
          </cell>
          <cell r="X62">
            <v>5.5805918274955547E-2</v>
          </cell>
          <cell r="Y62">
            <v>0</v>
          </cell>
          <cell r="Z62">
            <v>0</v>
          </cell>
          <cell r="AA62">
            <v>0</v>
          </cell>
          <cell r="AB62">
            <v>0</v>
          </cell>
          <cell r="AC62">
            <v>7.0241236465882803E-2</v>
          </cell>
        </row>
        <row r="63">
          <cell r="A63">
            <v>0</v>
          </cell>
          <cell r="B63">
            <v>0</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row>
        <row r="64">
          <cell r="A64" t="str">
            <v>XRAY</v>
          </cell>
          <cell r="B64" t="str">
            <v>Stand-alone FCF</v>
          </cell>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row>
        <row r="65">
          <cell r="A65" t="str">
            <v>SIRO</v>
          </cell>
          <cell r="B65" t="str">
            <v>Stand-alone FCF</v>
          </cell>
          <cell r="C65">
            <v>0</v>
          </cell>
          <cell r="D65">
            <v>0</v>
          </cell>
          <cell r="E65">
            <v>0</v>
          </cell>
          <cell r="F65">
            <v>0</v>
          </cell>
          <cell r="G65">
            <v>0</v>
          </cell>
          <cell r="H65">
            <v>0</v>
          </cell>
          <cell r="I65">
            <v>0</v>
          </cell>
          <cell r="J65">
            <v>0</v>
          </cell>
          <cell r="K65">
            <v>0</v>
          </cell>
          <cell r="L65">
            <v>0</v>
          </cell>
          <cell r="M65">
            <v>0</v>
          </cell>
          <cell r="N65">
            <v>185.89999999999992</v>
          </cell>
          <cell r="O65">
            <v>0</v>
          </cell>
          <cell r="P65">
            <v>0</v>
          </cell>
          <cell r="Q65">
            <v>0</v>
          </cell>
          <cell r="R65">
            <v>0</v>
          </cell>
          <cell r="S65">
            <v>211.30578419029615</v>
          </cell>
          <cell r="X65">
            <v>242.31588582879306</v>
          </cell>
          <cell r="AC65">
            <v>260.48519095302208</v>
          </cell>
        </row>
        <row r="66">
          <cell r="A66" t="str">
            <v>XRAY</v>
          </cell>
          <cell r="B66" t="str">
            <v>Pro forma FCF</v>
          </cell>
          <cell r="C66">
            <v>0</v>
          </cell>
          <cell r="D66">
            <v>0</v>
          </cell>
          <cell r="E66">
            <v>0</v>
          </cell>
          <cell r="F66">
            <v>0</v>
          </cell>
          <cell r="G66">
            <v>0</v>
          </cell>
          <cell r="H66">
            <v>0</v>
          </cell>
          <cell r="I66">
            <v>0</v>
          </cell>
          <cell r="J66">
            <v>0</v>
          </cell>
          <cell r="K66">
            <v>0</v>
          </cell>
          <cell r="L66">
            <v>0</v>
          </cell>
          <cell r="M66">
            <v>0</v>
          </cell>
          <cell r="N66">
            <v>185.89999999999992</v>
          </cell>
          <cell r="O66">
            <v>0</v>
          </cell>
          <cell r="P66">
            <v>0</v>
          </cell>
          <cell r="Q66">
            <v>0</v>
          </cell>
          <cell r="R66">
            <v>0</v>
          </cell>
          <cell r="S66">
            <v>211.30578419029615</v>
          </cell>
          <cell r="T66">
            <v>0</v>
          </cell>
          <cell r="U66">
            <v>0</v>
          </cell>
          <cell r="V66">
            <v>0</v>
          </cell>
          <cell r="W66">
            <v>0</v>
          </cell>
          <cell r="X66">
            <v>242.31588582879306</v>
          </cell>
          <cell r="Y66">
            <v>0</v>
          </cell>
          <cell r="Z66">
            <v>0</v>
          </cell>
          <cell r="AA66">
            <v>0</v>
          </cell>
          <cell r="AB66">
            <v>0</v>
          </cell>
          <cell r="AC66">
            <v>260.48519095302208</v>
          </cell>
        </row>
        <row r="67">
          <cell r="A67" t="str">
            <v>XRAY</v>
          </cell>
          <cell r="B67" t="str">
            <v xml:space="preserve">Pro forma FCF yield </v>
          </cell>
          <cell r="C67">
            <v>0</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1.4332509888197691E-2</v>
          </cell>
          <cell r="T67">
            <v>0</v>
          </cell>
          <cell r="U67">
            <v>0</v>
          </cell>
          <cell r="V67">
            <v>0</v>
          </cell>
          <cell r="W67">
            <v>0</v>
          </cell>
          <cell r="X67">
            <v>1.6435872037373459E-2</v>
          </cell>
          <cell r="Y67">
            <v>0</v>
          </cell>
          <cell r="Z67">
            <v>0</v>
          </cell>
          <cell r="AA67">
            <v>0</v>
          </cell>
          <cell r="AB67">
            <v>0</v>
          </cell>
          <cell r="AC67">
            <v>1.7668264924073491E-2</v>
          </cell>
        </row>
        <row r="68">
          <cell r="A68">
            <v>0</v>
          </cell>
          <cell r="B68">
            <v>0</v>
          </cell>
          <cell r="C68">
            <v>0</v>
          </cell>
          <cell r="D68">
            <v>0</v>
          </cell>
          <cell r="I68">
            <v>0</v>
          </cell>
          <cell r="N68">
            <v>0</v>
          </cell>
          <cell r="S68">
            <v>0</v>
          </cell>
          <cell r="X68">
            <v>0</v>
          </cell>
          <cell r="AC68">
            <v>0</v>
          </cell>
        </row>
        <row r="69">
          <cell r="A69" t="str">
            <v>SIRO FCF used for share repurchase</v>
          </cell>
          <cell r="B69">
            <v>0</v>
          </cell>
          <cell r="C69">
            <v>0</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211.30578419029615</v>
          </cell>
          <cell r="T69">
            <v>0</v>
          </cell>
          <cell r="U69">
            <v>0</v>
          </cell>
          <cell r="V69">
            <v>0</v>
          </cell>
          <cell r="W69">
            <v>0</v>
          </cell>
          <cell r="X69">
            <v>242.31588582879306</v>
          </cell>
          <cell r="Y69">
            <v>0</v>
          </cell>
          <cell r="Z69">
            <v>0</v>
          </cell>
          <cell r="AA69">
            <v>0</v>
          </cell>
          <cell r="AB69">
            <v>0</v>
          </cell>
          <cell r="AC69">
            <v>260.48519095302208</v>
          </cell>
        </row>
        <row r="70">
          <cell r="A70" t="str">
            <v>XRAY/SIRO share price</v>
          </cell>
          <cell r="B70">
            <v>0</v>
          </cell>
          <cell r="C70">
            <v>0</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64.182823343058729</v>
          </cell>
          <cell r="T70">
            <v>0</v>
          </cell>
          <cell r="U70">
            <v>0</v>
          </cell>
          <cell r="V70">
            <v>0</v>
          </cell>
          <cell r="W70">
            <v>0</v>
          </cell>
          <cell r="X70">
            <v>73.482329985014346</v>
          </cell>
          <cell r="Y70">
            <v>0</v>
          </cell>
          <cell r="Z70">
            <v>0</v>
          </cell>
          <cell r="AA70">
            <v>0</v>
          </cell>
          <cell r="AB70">
            <v>0</v>
          </cell>
          <cell r="AC70">
            <v>82.561350837881548</v>
          </cell>
        </row>
        <row r="71">
          <cell r="A71" t="str">
            <v>Incremental shares repurchased</v>
          </cell>
          <cell r="B71">
            <v>0</v>
          </cell>
          <cell r="C71">
            <v>0</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3.2922481932722354</v>
          </cell>
          <cell r="T71">
            <v>0</v>
          </cell>
          <cell r="U71">
            <v>0</v>
          </cell>
          <cell r="V71">
            <v>0</v>
          </cell>
          <cell r="W71">
            <v>0</v>
          </cell>
          <cell r="X71">
            <v>3.2976075456264091</v>
          </cell>
          <cell r="Y71">
            <v>0</v>
          </cell>
          <cell r="Z71">
            <v>0</v>
          </cell>
          <cell r="AA71">
            <v>0</v>
          </cell>
          <cell r="AB71">
            <v>0</v>
          </cell>
          <cell r="AC71">
            <v>3.1550500120148701</v>
          </cell>
        </row>
        <row r="72">
          <cell r="A72">
            <v>0</v>
          </cell>
          <cell r="B72">
            <v>0</v>
          </cell>
          <cell r="C72">
            <v>0</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row>
        <row r="73">
          <cell r="A73" t="str">
            <v xml:space="preserve">Proforma Organic growth </v>
          </cell>
          <cell r="B73">
            <v>0</v>
          </cell>
          <cell r="C73">
            <v>0</v>
          </cell>
          <cell r="D73">
            <v>0</v>
          </cell>
          <cell r="E73">
            <v>0</v>
          </cell>
          <cell r="F73">
            <v>0</v>
          </cell>
          <cell r="G73">
            <v>0</v>
          </cell>
          <cell r="H73">
            <v>0</v>
          </cell>
          <cell r="I73">
            <v>0</v>
          </cell>
          <cell r="J73">
            <v>0</v>
          </cell>
          <cell r="K73">
            <v>0</v>
          </cell>
          <cell r="L73">
            <v>0</v>
          </cell>
          <cell r="M73">
            <v>0</v>
          </cell>
          <cell r="N73">
            <v>4.9150606109302247E-2</v>
          </cell>
          <cell r="O73">
            <v>0</v>
          </cell>
          <cell r="P73">
            <v>0</v>
          </cell>
          <cell r="Q73">
            <v>0</v>
          </cell>
          <cell r="R73">
            <v>0</v>
          </cell>
          <cell r="S73">
            <v>5.5171850070640183E-2</v>
          </cell>
          <cell r="T73">
            <v>0</v>
          </cell>
          <cell r="U73">
            <v>0</v>
          </cell>
          <cell r="V73">
            <v>0</v>
          </cell>
          <cell r="W73">
            <v>0</v>
          </cell>
          <cell r="X73">
            <v>5.4242887520997894E-2</v>
          </cell>
          <cell r="Y73">
            <v>0</v>
          </cell>
          <cell r="Z73">
            <v>0</v>
          </cell>
          <cell r="AA73">
            <v>0</v>
          </cell>
          <cell r="AB73">
            <v>0</v>
          </cell>
          <cell r="AC73">
            <v>5.8714330903783821E-2</v>
          </cell>
        </row>
        <row r="74">
          <cell r="A74" t="str">
            <v xml:space="preserve">Proforma EPS growth </v>
          </cell>
          <cell r="B74">
            <v>0</v>
          </cell>
          <cell r="C74">
            <v>0</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8.2381857517148438E-2</v>
          </cell>
          <cell r="T74">
            <v>0</v>
          </cell>
          <cell r="U74">
            <v>0</v>
          </cell>
          <cell r="V74">
            <v>0</v>
          </cell>
          <cell r="W74">
            <v>0</v>
          </cell>
          <cell r="X74">
            <v>0.19510109385349383</v>
          </cell>
          <cell r="Y74" t="e">
            <v>#DIV/0!</v>
          </cell>
          <cell r="Z74" t="e">
            <v>#DIV/0!</v>
          </cell>
          <cell r="AA74" t="e">
            <v>#DIV/0!</v>
          </cell>
          <cell r="AB74" t="e">
            <v>#DIV/0!</v>
          </cell>
          <cell r="AC74">
            <v>0.20868351545292607</v>
          </cell>
        </row>
        <row r="75">
          <cell r="A75" t="str">
            <v>XRAY standalone EPS growth</v>
          </cell>
          <cell r="B75">
            <v>0</v>
          </cell>
          <cell r="C75">
            <v>0</v>
          </cell>
          <cell r="D75">
            <v>0</v>
          </cell>
          <cell r="E75">
            <v>0</v>
          </cell>
          <cell r="F75">
            <v>0</v>
          </cell>
          <cell r="G75">
            <v>0</v>
          </cell>
          <cell r="H75">
            <v>0</v>
          </cell>
          <cell r="I75">
            <v>6.3937117506392083E-2</v>
          </cell>
          <cell r="J75">
            <v>0</v>
          </cell>
          <cell r="K75">
            <v>0</v>
          </cell>
          <cell r="L75">
            <v>0</v>
          </cell>
          <cell r="M75">
            <v>0</v>
          </cell>
          <cell r="N75">
            <v>4.5320498365592377E-2</v>
          </cell>
          <cell r="O75">
            <v>0</v>
          </cell>
          <cell r="P75">
            <v>0</v>
          </cell>
          <cell r="Q75">
            <v>0</v>
          </cell>
          <cell r="R75">
            <v>0</v>
          </cell>
          <cell r="S75">
            <v>6.0873113108408816E-2</v>
          </cell>
          <cell r="T75">
            <v>0</v>
          </cell>
          <cell r="U75">
            <v>0</v>
          </cell>
          <cell r="V75">
            <v>0</v>
          </cell>
          <cell r="W75">
            <v>0</v>
          </cell>
          <cell r="X75">
            <v>0.14489089381826559</v>
          </cell>
          <cell r="Y75">
            <v>0</v>
          </cell>
          <cell r="Z75">
            <v>0</v>
          </cell>
          <cell r="AA75">
            <v>0</v>
          </cell>
          <cell r="AB75">
            <v>0</v>
          </cell>
          <cell r="AC75">
            <v>0.12355379660278509</v>
          </cell>
        </row>
        <row r="76">
          <cell r="A76" t="str">
            <v>Proforma P/E</v>
          </cell>
          <cell r="B76">
            <v>0</v>
          </cell>
          <cell r="C76">
            <v>0</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20.637683751417747</v>
          </cell>
          <cell r="T76">
            <v>0</v>
          </cell>
          <cell r="U76">
            <v>0</v>
          </cell>
          <cell r="V76">
            <v>0</v>
          </cell>
          <cell r="W76">
            <v>0</v>
          </cell>
          <cell r="X76">
            <v>17.268567368534008</v>
          </cell>
          <cell r="Y76">
            <v>0</v>
          </cell>
          <cell r="Z76">
            <v>0</v>
          </cell>
          <cell r="AA76">
            <v>0</v>
          </cell>
          <cell r="AB76">
            <v>0</v>
          </cell>
          <cell r="AC76">
            <v>14.287087684870935</v>
          </cell>
        </row>
        <row r="77">
          <cell r="A77" t="str">
            <v>XRAY standalone P/E</v>
          </cell>
          <cell r="B77">
            <v>0</v>
          </cell>
          <cell r="C77">
            <v>0</v>
          </cell>
          <cell r="D77">
            <v>0</v>
          </cell>
          <cell r="E77">
            <v>0</v>
          </cell>
          <cell r="F77">
            <v>0</v>
          </cell>
          <cell r="G77">
            <v>0</v>
          </cell>
          <cell r="H77">
            <v>0</v>
          </cell>
          <cell r="I77">
            <v>0</v>
          </cell>
          <cell r="J77">
            <v>0</v>
          </cell>
          <cell r="K77">
            <v>0</v>
          </cell>
          <cell r="L77">
            <v>0</v>
          </cell>
          <cell r="M77">
            <v>0</v>
          </cell>
          <cell r="N77">
            <v>22.337854473711012</v>
          </cell>
          <cell r="O77">
            <v>0</v>
          </cell>
          <cell r="P77">
            <v>0</v>
          </cell>
          <cell r="Q77">
            <v>0</v>
          </cell>
          <cell r="R77">
            <v>0</v>
          </cell>
          <cell r="S77">
            <v>21.056103880566859</v>
          </cell>
          <cell r="T77">
            <v>0</v>
          </cell>
          <cell r="U77">
            <v>0</v>
          </cell>
          <cell r="V77">
            <v>0</v>
          </cell>
          <cell r="W77">
            <v>0</v>
          </cell>
          <cell r="X77">
            <v>18.391362875062928</v>
          </cell>
          <cell r="Y77">
            <v>0</v>
          </cell>
          <cell r="Z77">
            <v>0</v>
          </cell>
          <cell r="AA77">
            <v>0</v>
          </cell>
          <cell r="AB77">
            <v>0</v>
          </cell>
          <cell r="AC77">
            <v>16.368920589892241</v>
          </cell>
        </row>
      </sheetData>
      <sheetData sheetId="1"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__FDSCACHE__"/>
      <sheetName val="Cap"/>
      <sheetName val="Sonoma Cases"/>
      <sheetName val="Sonoma Financials"/>
      <sheetName val="Cabernet Cases"/>
      <sheetName val="Internal Cabernet Summary"/>
      <sheetName val="Cabernet Financials"/>
      <sheetName val="Trading Output"/>
      <sheetName val="Cap Tables"/>
      <sheetName val="Sonoma P&amp;L"/>
      <sheetName val="DEV"/>
      <sheetName val="Valuation Matrix"/>
      <sheetName val="Valuation Matrix - Pro Forma"/>
      <sheetName val="Ed's Val Matrix"/>
      <sheetName val="Post Money Ownership"/>
      <sheetName val="Pro Forma Impact"/>
      <sheetName val="Sonoma Caps Table"/>
      <sheetName val="Sonoma Comp Val"/>
      <sheetName val="Relative Contribution - Sonoma"/>
      <sheetName val="Cash Requirments"/>
      <sheetName val="MiniMerger Assumptions"/>
      <sheetName val="Merger Output"/>
      <sheetName val="Stock Price Analysis"/>
      <sheetName val="EPS"/>
      <sheetName val="sonoma index"/>
      <sheetName val="nasdaq index"/>
      <sheetName val="comps index"/>
      <sheetName val="Sonoma"/>
      <sheetName val="Report"/>
      <sheetName val="Comparable Benchmarking"/>
      <sheetName val="Allgon MM"/>
      <sheetName val="Relative Contribution - Allgon"/>
      <sheetName val="Allgon ValMatrix"/>
    </sheetNames>
    <sheetDataSet>
      <sheetData sheetId="0" refreshError="1">
        <row r="9">
          <cell r="C9">
            <v>37229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Novuspharma"/>
      <sheetName val="Evotec"/>
      <sheetName val="TELK"/>
      <sheetName val="vrtx"/>
      <sheetName val="TLRK"/>
      <sheetName val="MEDX"/>
      <sheetName val="SGEN"/>
      <sheetName val="KERX"/>
      <sheetName val="dddp"/>
      <sheetName val="Alexion"/>
      <sheetName val="GPC"/>
    </sheetNames>
    <sheetDataSet>
      <sheetData sheetId="0" refreshError="1"/>
      <sheetData sheetId="1" refreshError="1"/>
      <sheetData sheetId="2" refreshError="1">
        <row r="3">
          <cell r="L3">
            <v>37351</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ODEL (3Q03)"/>
      <sheetName val="ImportantDisclosures"/>
      <sheetName val="OtherDisclosures"/>
      <sheetName val="MODEL"/>
      <sheetName val="Bal Sheet &amp; Cash Flow"/>
      <sheetName val="ROIC"/>
      <sheetName val="RI"/>
      <sheetName val="DCF"/>
      <sheetName val="DDM"/>
      <sheetName val="Operating Expense Analysis"/>
      <sheetName val="Comp Analysis"/>
      <sheetName val="Op Lease Analysis"/>
      <sheetName val="Option Analysis (2001)"/>
      <sheetName val="Option Analysis (2002)"/>
      <sheetName val="Fuel Surcharge History"/>
      <sheetName val="Currency"/>
      <sheetName val="Pension"/>
      <sheetName val="OPEB"/>
      <sheetName val="Taxes"/>
      <sheetName val="Geog package rev breakdown"/>
      <sheetName val="REVENUE BY GEOGRAPHY"/>
      <sheetName val="Debt Schedule 12-31-02"/>
      <sheetName val="Capex &amp; Depr Schedule"/>
      <sheetName val="Report IS"/>
      <sheetName val="Report SCF &amp; BS"/>
      <sheetName val="Air Fleet"/>
      <sheetName val="Data"/>
      <sheetName val="Air Volumes vs GDP"/>
      <sheetName val="Ground Volumes vs GDP"/>
      <sheetName val="Real Air Yields"/>
      <sheetName val="Real Ground Yields"/>
      <sheetName val="Fuel Surcharge"/>
      <sheetName val="90-91 Recession"/>
      <sheetName val="mStartup"/>
      <sheetName val="MainCode"/>
      <sheetName val="Leverage"/>
      <sheetName val="Qtrly Trends"/>
      <sheetName val="Cust"/>
      <sheetName val="ERModelPubAnalystListing"/>
      <sheetName val="NY UPLOAD"/>
      <sheetName val="IndexInformation"/>
      <sheetName val="NY UPLOAD shadow"/>
      <sheetName val="DETAILED MODEL"/>
      <sheetName val="Key Assumptions"/>
      <sheetName val="CF &amp; BS"/>
      <sheetName val="Op Leases"/>
      <sheetName val="Return Analysis"/>
      <sheetName val="Capex-Depr Schedule"/>
      <sheetName val="UPS Int'l Operating Margin"/>
      <sheetName val="UPS Definition of Mkt"/>
      <sheetName val="Report Model"/>
      <sheetName val="Shipment Data"/>
      <sheetName val="RI Valuation"/>
      <sheetName val="DCF-old"/>
      <sheetName val="MWare_Cached"/>
      <sheetName val="Sensitivity - Air Surcharge Cap"/>
      <sheetName val="Model_Template"/>
      <sheetName val="Bal Sheet _ Cash Flow"/>
      <sheetName val="SQLSheet"/>
      <sheetName val="Analysis"/>
      <sheetName val="MACRS"/>
      <sheetName val="SEARS"/>
    </sheetNames>
    <sheetDataSet>
      <sheetData sheetId="0" refreshError="1"/>
      <sheetData sheetId="1" refreshError="1"/>
      <sheetData sheetId="2" refreshError="1"/>
      <sheetData sheetId="3" refreshError="1"/>
      <sheetData sheetId="4" refreshError="1"/>
      <sheetData sheetId="5" refreshError="1">
        <row r="10">
          <cell r="A10" t="str">
            <v xml:space="preserve">  Deferred Taxes, Credits and Other</v>
          </cell>
          <cell r="B10" t="str">
            <v>Comp+Calc</v>
          </cell>
          <cell r="AK10">
            <v>28</v>
          </cell>
          <cell r="AP10">
            <v>479</v>
          </cell>
          <cell r="AU10">
            <v>406</v>
          </cell>
          <cell r="AZ10">
            <v>23</v>
          </cell>
          <cell r="BE10">
            <v>562</v>
          </cell>
          <cell r="BJ10">
            <v>-81</v>
          </cell>
          <cell r="BK10">
            <v>38</v>
          </cell>
          <cell r="BL10">
            <v>73</v>
          </cell>
          <cell r="BM10">
            <v>67</v>
          </cell>
          <cell r="BO10">
            <v>638</v>
          </cell>
          <cell r="BP10">
            <v>-24</v>
          </cell>
          <cell r="BQ10">
            <v>93</v>
          </cell>
          <cell r="BR10">
            <v>11</v>
          </cell>
          <cell r="BS10">
            <v>106.66666666666667</v>
          </cell>
          <cell r="BT10">
            <v>162</v>
          </cell>
          <cell r="BU10">
            <v>-148</v>
          </cell>
          <cell r="BY10">
            <v>166.31429186984445</v>
          </cell>
          <cell r="CD10">
            <v>177.26979658412776</v>
          </cell>
          <cell r="CI10">
            <v>188.13037837219659</v>
          </cell>
          <cell r="CN10">
            <v>199.22936668042567</v>
          </cell>
          <cell r="CS10">
            <v>211.37509957879183</v>
          </cell>
        </row>
        <row r="38">
          <cell r="A38" t="str">
            <v xml:space="preserve">    % of Revenue</v>
          </cell>
          <cell r="B38" t="str">
            <v>Calc+Input</v>
          </cell>
          <cell r="AK38">
            <v>9.9595583011920577E-2</v>
          </cell>
          <cell r="AP38">
            <v>0.10430364063966699</v>
          </cell>
          <cell r="AU38">
            <v>8.8344504164593052E-2</v>
          </cell>
          <cell r="AZ38">
            <v>6.688080552952376E-2</v>
          </cell>
          <cell r="BE38">
            <v>5.4927061625483775E-2</v>
          </cell>
          <cell r="BJ38">
            <v>7.2784595565801066E-2</v>
          </cell>
          <cell r="BO38">
            <v>7.823218997361478E-2</v>
          </cell>
          <cell r="BT38">
            <v>5.3018674852903555E-2</v>
          </cell>
          <cell r="BY38">
            <v>6.0096502001369775E-2</v>
          </cell>
          <cell r="CD38">
            <v>6.7500000000000004E-2</v>
          </cell>
          <cell r="CI38">
            <v>6.7500000000000004E-2</v>
          </cell>
          <cell r="CN38">
            <v>6.7500000000000004E-2</v>
          </cell>
          <cell r="CS38">
            <v>6.7500000000000004E-2</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sheetData sheetId="59" refreshError="1"/>
      <sheetData sheetId="60" refreshError="1"/>
      <sheetData sheetId="61" refreshError="1"/>
      <sheetData sheetId="62"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P"/>
      <sheetName val="Market_Share"/>
      <sheetName val="Assumptions"/>
      <sheetName val="Summary"/>
      <sheetName val="Consol_Income"/>
      <sheetName val="Rate Case"/>
      <sheetName val="Balance Sheet"/>
      <sheetName val="Sheet9"/>
      <sheetName val="Leases"/>
      <sheetName val="Graph"/>
      <sheetName val="Income"/>
      <sheetName val="Financial Summary"/>
      <sheetName val="Exclusion List"/>
      <sheetName val="CFOld"/>
      <sheetName val="PLOld"/>
      <sheetName val="Headline"/>
      <sheetName val="MTT old"/>
      <sheetName val="c1"/>
      <sheetName val="BizJet Deliveries"/>
      <sheetName val="Cash flow"/>
      <sheetName val="Profit &amp; Loss"/>
      <sheetName val="Inputs, sensitivity &amp; val"/>
      <sheetName val="DOMNETREV1002B"/>
      <sheetName val="Monthly figures"/>
      <sheetName val="Consolidated"/>
    </sheetNames>
    <definedNames>
      <definedName name="Download_series"/>
      <definedName name="Update_This"/>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__FDSCACHE__"/>
      <sheetName val="EPS to March"/>
      <sheetName val=" Shares"/>
      <sheetName val="MM output - 2004 FC"/>
      <sheetName val="SBS"/>
      <sheetName val="SBS - IBES"/>
      <sheetName val="Ownership Analysis"/>
      <sheetName val="PP Analysis"/>
    </sheetNames>
    <sheetDataSet>
      <sheetData sheetId="0" refreshError="1">
        <row r="3">
          <cell r="B3" t="str">
            <v>Epsilon</v>
          </cell>
        </row>
      </sheetData>
      <sheetData sheetId="1"/>
      <sheetData sheetId="2"/>
      <sheetData sheetId="3"/>
      <sheetData sheetId="4"/>
      <sheetData sheetId="5"/>
      <sheetData sheetId="6"/>
      <sheetData sheetId="7"/>
      <sheetData sheetId="8"/>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
      <sheetName val="Trans Sum"/>
      <sheetName val="IRR"/>
      <sheetName val="Larry"/>
      <sheetName val="Case"/>
      <sheetName val="LBO Sum"/>
      <sheetName val="Recap Sum"/>
      <sheetName val="Macro"/>
    </sheetNames>
    <sheetDataSet>
      <sheetData sheetId="0"/>
      <sheetData sheetId="1"/>
      <sheetData sheetId="2" refreshError="1">
        <row r="13">
          <cell r="K13">
            <v>2273.0066931726842</v>
          </cell>
        </row>
      </sheetData>
      <sheetData sheetId="3"/>
      <sheetData sheetId="4"/>
      <sheetData sheetId="5"/>
      <sheetData sheetId="6"/>
      <sheetData sheetId="7"/>
      <sheetData sheetId="8"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
      <sheetName val="TOC"/>
      <sheetName val="__FDSCACHE__"/>
      <sheetName val="P&amp;L"/>
      <sheetName val="Bal Sheet"/>
      <sheetName val="Cash Flow"/>
      <sheetName val="Industry Model"/>
      <sheetName val="Revenue per Procedure"/>
      <sheetName val="P&amp;L Variance"/>
      <sheetName val="Model Changes Chart"/>
      <sheetName val="Operations Charts"/>
      <sheetName val="Guidance Chart"/>
      <sheetName val="Desk Preview"/>
      <sheetName val="Procedure Penetration"/>
      <sheetName val="DCF Summary"/>
      <sheetName val="Sum of Parts &amp; DCF"/>
      <sheetName val="Buyback Analysis"/>
      <sheetName val="Da Vinci Profitability"/>
      <sheetName val="Guidance"/>
      <sheetName val="MW Valuation"/>
      <sheetName val="MW-Cache"/>
      <sheetName val="mwareValPrintout"/>
      <sheetName val="mwareTaxoPres"/>
      <sheetName val="MWA RR"/>
      <sheetName val="mwareDates"/>
      <sheetName val="mwareSettings"/>
      <sheetName val="NY UPLOAD shadow"/>
      <sheetName val="__APW_ACTIVE_FIELD_RESTORE__"/>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Inputs"/>
      <sheetName val="Hist Inputs"/>
      <sheetName val="Cases"/>
      <sheetName val="Financials"/>
      <sheetName val="DCF Matrix"/>
      <sheetName val="Performance"/>
      <sheetName val="Sensitive"/>
      <sheetName val="Calcs for Sensitivy"/>
      <sheetName val="HistGraph"/>
      <sheetName val="ProjGraph"/>
      <sheetName val="MainPrint Code"/>
      <sheetName val="AdditionalPrint Code"/>
      <sheetName val="InitialPrintDialog"/>
      <sheetName val="DCF Code"/>
      <sheetName val="DCFprintDialog"/>
    </sheetNames>
    <sheetDataSet>
      <sheetData sheetId="0" refreshError="1">
        <row r="11">
          <cell r="H11">
            <v>12</v>
          </cell>
        </row>
        <row r="20">
          <cell r="O20" t="str">
            <v>On</v>
          </cell>
        </row>
      </sheetData>
      <sheetData sheetId="1" refreshError="1">
        <row r="39">
          <cell r="G39">
            <v>0</v>
          </cell>
        </row>
      </sheetData>
      <sheetData sheetId="2"/>
      <sheetData sheetId="3"/>
      <sheetData sheetId="4"/>
      <sheetData sheetId="5"/>
      <sheetData sheetId="6"/>
      <sheetData sheetId="7"/>
      <sheetData sheetId="8"/>
      <sheetData sheetId="9"/>
      <sheetData sheetId="10" refreshError="1"/>
      <sheetData sheetId="11" refreshError="1"/>
      <sheetData sheetId="12"/>
      <sheetData sheetId="13" refreshError="1"/>
      <sheetData sheetId="14"/>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Fee"/>
      <sheetName val="Syn"/>
      <sheetName val="Bill"/>
      <sheetName val="west_val"/>
      <sheetName val="pickup_west"/>
      <sheetName val="pickup_south"/>
      <sheetName val="South_val"/>
      <sheetName val="contri2"/>
      <sheetName val="timber"/>
      <sheetName val="TAB1"/>
      <sheetName val="wood_cases"/>
      <sheetName val="old_wood"/>
      <sheetName val="Paper_Cases"/>
      <sheetName val="old_Paper"/>
      <sheetName val="TAB2"/>
      <sheetName val="old_South_wood"/>
      <sheetName val="old_South_Paper "/>
      <sheetName val="chippin_west"/>
      <sheetName val="Paper"/>
      <sheetName val="Wood "/>
      <sheetName val="WEST"/>
      <sheetName val="chippin_newco"/>
      <sheetName val="chippin_south"/>
      <sheetName val="South_Paper "/>
      <sheetName val="South_Wood "/>
      <sheetName val="SOUTH"/>
      <sheetName val="NewCo"/>
      <sheetName val="Mini"/>
      <sheetName val="Sens"/>
      <sheetName val="lob"/>
      <sheetName val="op_contri"/>
      <sheetName val="TAB3"/>
      <sheetName val="Calcs"/>
      <sheetName val="transinputs"/>
      <sheetName val="PFBS"/>
      <sheetName val="Module1"/>
      <sheetName val="TAB4"/>
      <sheetName val="comps"/>
      <sheetName val="replace"/>
      <sheetName val="valuemat"/>
      <sheetName val="FAST"/>
      <sheetName val="DCF Inputs"/>
      <sheetName val="DCF Matrix"/>
      <sheetName val="Main_value"/>
      <sheetName val="Sheet5"/>
      <sheetName val="Sheet6"/>
      <sheetName val="Sheet7"/>
      <sheetName val="Sheet8"/>
      <sheetName val="Sheet9"/>
      <sheetName val="Sheet10"/>
      <sheetName val="Sheet11"/>
      <sheetName val="Sheet12"/>
      <sheetName val="Sheet13"/>
      <sheetName val="Sheet14"/>
      <sheetName val="Sheet15"/>
      <sheetName val="Sheet16"/>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row r="15">
          <cell r="O15">
            <v>0</v>
          </cell>
        </row>
        <row r="46">
          <cell r="O46">
            <v>299.81604188264572</v>
          </cell>
        </row>
      </sheetData>
      <sheetData sheetId="34" refreshError="1">
        <row r="35">
          <cell r="T35">
            <v>1</v>
          </cell>
        </row>
      </sheetData>
      <sheetData sheetId="35"/>
      <sheetData sheetId="36" refreshError="1"/>
      <sheetData sheetId="37"/>
      <sheetData sheetId="38"/>
      <sheetData sheetId="39"/>
      <sheetData sheetId="40"/>
      <sheetData sheetId="41"/>
      <sheetData sheetId="42"/>
      <sheetData sheetId="43"/>
      <sheetData sheetId="44" refreshError="1">
        <row r="16">
          <cell r="Q16">
            <v>3698.75</v>
          </cell>
        </row>
      </sheetData>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TRLY"/>
      <sheetName val="graphs"/>
      <sheetName val="D"/>
      <sheetName val="modelbook"/>
      <sheetName val="top tab"/>
      <sheetName val="earnings"/>
      <sheetName val="Sheet9"/>
      <sheetName val="PGR "/>
      <sheetName val="sensitivity"/>
      <sheetName val="E"/>
      <sheetName val="PGR-AMBEST"/>
      <sheetName val="Misc "/>
      <sheetName val="Mkt Share"/>
      <sheetName val="F"/>
      <sheetName val="Post charge mix"/>
      <sheetName val="Valuation"/>
      <sheetName val="pgr"/>
      <sheetName val="crstudy"/>
      <sheetName val="notes"/>
      <sheetName val="Misc"/>
      <sheetName val="bus mix"/>
      <sheetName val="NY UPLOAD"/>
      <sheetName val="mStartup"/>
      <sheetName val="NY UPLOAD Shadow"/>
      <sheetName val="PGR.N"/>
      <sheetName val="RESIDUAL INCOME"/>
      <sheetName val="seg data_qtrly"/>
      <sheetName val="seg data_monthly"/>
      <sheetName val="SegGraphs"/>
      <sheetName val="MonthlyAnysMay01"/>
      <sheetName val="bus mixOLD"/>
      <sheetName val="MonthlyAnys"/>
      <sheetName val="Val"/>
    </sheetNames>
    <sheetDataSet>
      <sheetData sheetId="0" refreshError="1">
        <row r="99">
          <cell r="HM99" t="str">
            <v>qtr_lc</v>
          </cell>
        </row>
        <row r="100">
          <cell r="IU100">
            <v>0.72498259383505259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60">
          <cell r="Y60">
            <v>100</v>
          </cell>
          <cell r="Z60">
            <v>100</v>
          </cell>
          <cell r="AA60">
            <v>100</v>
          </cell>
          <cell r="AB60">
            <v>100</v>
          </cell>
          <cell r="AC60">
            <v>100</v>
          </cell>
          <cell r="AD60">
            <v>100</v>
          </cell>
          <cell r="AE60">
            <v>100</v>
          </cell>
          <cell r="AF60">
            <v>100</v>
          </cell>
          <cell r="AG60">
            <v>100</v>
          </cell>
          <cell r="AH60">
            <v>100</v>
          </cell>
          <cell r="AI60">
            <v>100</v>
          </cell>
          <cell r="AJ60">
            <v>96</v>
          </cell>
          <cell r="AK60">
            <v>80</v>
          </cell>
          <cell r="AL60">
            <v>72</v>
          </cell>
          <cell r="AM60">
            <v>64</v>
          </cell>
          <cell r="AN60">
            <v>56.000000000000007</v>
          </cell>
          <cell r="AO60">
            <v>48</v>
          </cell>
          <cell r="AP60">
            <v>28.000000000000004</v>
          </cell>
          <cell r="AQ60">
            <v>4</v>
          </cell>
          <cell r="AR60">
            <v>4</v>
          </cell>
          <cell r="AS60">
            <v>0</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str">
            <v/>
          </cell>
          <cell r="BL60" t="str">
            <v/>
          </cell>
          <cell r="BM60" t="str">
            <v/>
          </cell>
          <cell r="BN60" t="str">
            <v/>
          </cell>
          <cell r="BO60" t="str">
            <v/>
          </cell>
          <cell r="BP60" t="str">
            <v/>
          </cell>
          <cell r="BQ60" t="str">
            <v/>
          </cell>
          <cell r="BR60" t="str">
            <v/>
          </cell>
          <cell r="BS60" t="str">
            <v/>
          </cell>
          <cell r="BT60" t="str">
            <v/>
          </cell>
          <cell r="BU60" t="str">
            <v/>
          </cell>
          <cell r="BV60" t="str">
            <v/>
          </cell>
          <cell r="BW60" t="str">
            <v/>
          </cell>
        </row>
      </sheetData>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c Sales"/>
      <sheetName val="Contents"/>
      <sheetName val="Summary (£)"/>
      <sheetName val="Summary ($)"/>
      <sheetName val="Ann P&amp;L (£)"/>
      <sheetName val="Ann P&amp;L ($)"/>
      <sheetName val="Balance Sheet"/>
      <sheetName val="RImodel"/>
      <sheetName val="Cash flow"/>
      <sheetName val="Quart P&amp;L"/>
      <sheetName val="Driver of revgr"/>
      <sheetName val="Ann Sales ($)"/>
      <sheetName val="Ann Sales (£)"/>
      <sheetName val="Quart Sales"/>
      <sheetName val="PPI Summary"/>
      <sheetName val="Chart2"/>
      <sheetName val="Royalty Payments"/>
      <sheetName val="Chart5"/>
      <sheetName val="Margin Drivers"/>
      <sheetName val="Pipeline"/>
      <sheetName val="Residual income(1)"/>
      <sheetName val="Residual income(2)"/>
      <sheetName val="DCF"/>
      <sheetName val="US PPI Market Model"/>
      <sheetName val="US PPI Vol and Value model"/>
      <sheetName val="Global PPI"/>
      <sheetName val="Switching Model"/>
      <sheetName val="Report Summary"/>
      <sheetName val="AZNfeed"/>
      <sheetName val="GE Upload1"/>
      <sheetName val="GE3"/>
      <sheetName val="Sheet2"/>
      <sheetName val="Gross margin computatation II"/>
      <sheetName val="GM comp1"/>
      <sheetName val="Chart3"/>
      <sheetName val="Chart4"/>
      <sheetName val="Chart6"/>
      <sheetName val="Pauls GM Comp"/>
      <sheetName val="Chart1"/>
      <sheetName val="Summary"/>
      <sheetName val="CHART RP"/>
      <sheetName val="CHART-GM"/>
      <sheetName val="xbrlPreview"/>
      <sheetName val="Pipeline (2)"/>
      <sheetName val="xbrldates"/>
      <sheetName val="xbrlSettings"/>
      <sheetName val="RI Valuation"/>
      <sheetName val="Convergence Valuation"/>
      <sheetName val=""/>
      <sheetName val="Quart P&amp;L IFRS"/>
      <sheetName val="mwarePreview"/>
      <sheetName val="mwareValPrintout"/>
      <sheetName val="GVAT Analysis"/>
      <sheetName val="Profit Map"/>
      <sheetName val="GVAT Adjusted"/>
      <sheetName val="GVAT Stock Adj"/>
      <sheetName val="GVAT Pension"/>
      <sheetName val="mwareTaxoPres"/>
      <sheetName val="IFRS adjustments"/>
      <sheetName val="IFRS-OptionsAdj"/>
      <sheetName val="Model_Template"/>
      <sheetName val="mwareDates"/>
      <sheetName val="mwareSettings"/>
      <sheetName val="IFRS Quart P&amp;L"/>
      <sheetName val="IFRS Ann P&amp;L ($)"/>
      <sheetName val="IFRS Ann P&amp;L(£)"/>
      <sheetName val="IFRS Margin Drivers"/>
      <sheetName val="IFRS Balance Sheet"/>
      <sheetName val="IFRS Cash Flow"/>
      <sheetName val="DCF NEW"/>
      <sheetName val="CHART - Drivers RevGr"/>
      <sheetName val="MWare_Cached"/>
      <sheetName val="ModelWare Summary"/>
      <sheetName val="QPreview"/>
      <sheetName val="RI GW"/>
      <sheetName val="Simple RI Valuation"/>
      <sheetName val="Drivers Chart"/>
      <sheetName val="Nexium Value"/>
      <sheetName val="DCF 2020"/>
      <sheetName val="Pipeline for report"/>
      <sheetName val="Primary Care"/>
      <sheetName val="Quart P&amp;L PF"/>
      <sheetName val="Toprol P&amp;L"/>
      <sheetName val="IFRS Quart P&amp;L (ex US Toprol)"/>
      <sheetName val="Medi BS"/>
      <sheetName val="MW-Cache"/>
      <sheetName val="MW Valuation 2020"/>
      <sheetName val="MW Valuation"/>
      <sheetName val="PPI"/>
      <sheetName val="MWA RR_AZN.L"/>
      <sheetName val="Quart P&amp;L ($)"/>
      <sheetName val="cons"/>
      <sheetName val="Gross margin"/>
      <sheetName val="Ann P&amp;L(£)"/>
      <sheetName val="Sheet1"/>
      <sheetName val="Crestor value"/>
      <sheetName val="Crestor value (2)"/>
      <sheetName val="Seroquel Value"/>
      <sheetName val="Other product DCF"/>
      <sheetName val="Nexium Value Bear"/>
      <sheetName val="EBIT"/>
      <sheetName val="Drivers"/>
      <sheetName val="Chart Data"/>
      <sheetName val="#REF"/>
      <sheetName val="FX"/>
      <sheetName val="Page 3"/>
      <sheetName val="Tables"/>
      <sheetName val="EM growth "/>
      <sheetName val="Brilinta"/>
      <sheetName val="Pipeline- China"/>
      <sheetName val="Buyback flex"/>
      <sheetName val="Changes to model"/>
      <sheetName val="Gross Margins"/>
      <sheetName val="AFOSHEET"/>
      <sheetName val="Merger - Onyx"/>
      <sheetName val="Merger - Amylin"/>
      <sheetName val="__FDSCACHE__"/>
      <sheetName val="Ph III"/>
      <sheetName val="DCF flex"/>
      <sheetName val="R&amp;D"/>
      <sheetName val="Strategy"/>
      <sheetName val="Sales Data"/>
      <sheetName val="Sales by geog"/>
      <sheetName val="Sales by thera"/>
      <sheetName val="sales by business"/>
      <sheetName val="gross profit margin"/>
      <sheetName val="EBIT-reported"/>
      <sheetName val="Pre R&amp;D margin"/>
      <sheetName val="Charts"/>
      <sheetName val="pre r&amp;D cashflow"/>
      <sheetName val="SOTP Analysis"/>
      <sheetName val="Scenarios"/>
      <sheetName val="RI New"/>
      <sheetName val="MW IV (Ext.)"/>
      <sheetName val="DCF 2013"/>
      <sheetName val="RI Old"/>
      <sheetName val="Other Margin Drivers"/>
      <sheetName val="P&amp;L Ex US Toprol"/>
      <sheetName val="Team Contacts"/>
      <sheetName val="Residual Income"/>
      <sheetName val="Quast P&amp;L ($)"/>
      <sheetName val="flex"/>
      <sheetName val="LT Guidance - EPS"/>
      <sheetName val="LT Guidance - PE"/>
      <sheetName val="IMS monthly"/>
      <sheetName val="Model Account (S)"/>
      <sheetName val="P&amp;L_BS_CFS"/>
      <sheetName val="Sales"/>
      <sheetName val="BMS royalties"/>
      <sheetName val="Output"/>
      <sheetName val="Guidance &amp; LT targets"/>
      <sheetName val="Consensus"/>
      <sheetName val="Bull bear"/>
      <sheetName val="Patent expiries"/>
      <sheetName val="Valuation"/>
      <sheetName val="Bull bear_old"/>
      <sheetName val="Patent expiries_old"/>
      <sheetName val="Snapshot"/>
      <sheetName val="Shares"/>
      <sheetName val="Newsflow"/>
      <sheetName val="Bull bear_waterfall"/>
      <sheetName val="R&amp;D sortie"/>
      <sheetName val="Lien R&amp;D - CA Nx Pdts"/>
      <sheetName val="LiensData"/>
      <sheetName val="Old_Grille"/>
      <sheetName val="Old_MOP"/>
      <sheetName val="Old_CA"/>
      <sheetName val="Modeles (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4">
          <cell r="C4">
            <v>37256</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refreshError="1"/>
      <sheetData sheetId="102"/>
      <sheetData sheetId="103" refreshError="1"/>
      <sheetData sheetId="104"/>
      <sheetData sheetId="105"/>
      <sheetData sheetId="106"/>
      <sheetData sheetId="107"/>
      <sheetData sheetId="108"/>
      <sheetData sheetId="109" refreshError="1"/>
      <sheetData sheetId="110"/>
      <sheetData sheetId="111"/>
      <sheetData sheetId="112"/>
      <sheetData sheetId="113"/>
      <sheetData sheetId="114" refreshError="1"/>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amp;L"/>
      <sheetName val="Revenue Build"/>
      <sheetName val="Org Rev"/>
      <sheetName val="Bal Sheet"/>
      <sheetName val="MW-Cache"/>
      <sheetName val="Cash Flow"/>
      <sheetName val="Q Variance"/>
      <sheetName val="Earnings Charts"/>
      <sheetName val="Guidance"/>
      <sheetName val="BBB"/>
      <sheetName val="Debt"/>
      <sheetName val="FX"/>
      <sheetName val="DCF"/>
      <sheetName val="Quarterly Guidance"/>
      <sheetName val="Links"/>
      <sheetName val="Residual Income"/>
      <sheetName val="mwareDates"/>
      <sheetName val="MWA RR"/>
      <sheetName val="mwareSettings"/>
      <sheetName val="Page 7"/>
      <sheetName val="Page 8"/>
      <sheetName val="Data"/>
      <sheetName val="Page 3"/>
      <sheetName val="Page 4"/>
      <sheetName val="Page 5"/>
      <sheetName val="Page 6"/>
      <sheetName val="Page1"/>
      <sheetName val="ToDo"/>
      <sheetName val="IS"/>
      <sheetName val="RevBuild"/>
      <sheetName val="OrgRev"/>
      <sheetName val="BS"/>
      <sheetName val="CFS"/>
      <sheetName val="TMOLIFE"/>
      <sheetName val="Consensus"/>
      <sheetName val="EPS Charts"/>
      <sheetName val="CommTrkr"/>
      <sheetName val="LinksQ"/>
      <sheetName val="LinksA"/>
      <sheetName val="GeoRev"/>
      <sheetName val="Timeline"/>
      <sheetName val="TMO"/>
      <sheetName val="Sheet1"/>
    </sheetNames>
    <sheetDataSet>
      <sheetData sheetId="0" refreshError="1"/>
      <sheetData sheetId="1" refreshError="1">
        <row r="7">
          <cell r="I7" t="str">
            <v>2004A</v>
          </cell>
          <cell r="O7" t="str">
            <v>2005A</v>
          </cell>
          <cell r="U7" t="str">
            <v>2006A</v>
          </cell>
          <cell r="AA7" t="str">
            <v>2007A</v>
          </cell>
          <cell r="AG7" t="str">
            <v>2008A</v>
          </cell>
          <cell r="AM7" t="str">
            <v>2009A</v>
          </cell>
          <cell r="AS7" t="str">
            <v>2010A</v>
          </cell>
          <cell r="AY7" t="str">
            <v>2011A</v>
          </cell>
          <cell r="BE7" t="str">
            <v>2012E</v>
          </cell>
          <cell r="BK7" t="str">
            <v>2013E</v>
          </cell>
          <cell r="BQ7" t="str">
            <v>2014E</v>
          </cell>
          <cell r="BW7" t="str">
            <v>2015E</v>
          </cell>
        </row>
        <row r="8">
          <cell r="I8">
            <v>38080</v>
          </cell>
          <cell r="J8">
            <v>38171</v>
          </cell>
          <cell r="K8">
            <v>38262</v>
          </cell>
          <cell r="L8">
            <v>38352</v>
          </cell>
          <cell r="O8">
            <v>38444</v>
          </cell>
          <cell r="P8">
            <v>38535</v>
          </cell>
          <cell r="Q8">
            <v>38626</v>
          </cell>
          <cell r="R8">
            <v>38717</v>
          </cell>
          <cell r="U8">
            <v>38808</v>
          </cell>
          <cell r="V8">
            <v>38899</v>
          </cell>
          <cell r="W8">
            <v>38990</v>
          </cell>
          <cell r="X8">
            <v>39082</v>
          </cell>
          <cell r="AA8">
            <v>39172</v>
          </cell>
          <cell r="AB8">
            <v>39263</v>
          </cell>
          <cell r="AC8">
            <v>39354</v>
          </cell>
          <cell r="AD8">
            <v>39447</v>
          </cell>
          <cell r="AG8">
            <v>39536</v>
          </cell>
          <cell r="AH8">
            <v>39627</v>
          </cell>
          <cell r="AI8">
            <v>39718</v>
          </cell>
          <cell r="AJ8">
            <v>39813</v>
          </cell>
          <cell r="AM8">
            <v>39901</v>
          </cell>
          <cell r="AN8">
            <v>39992</v>
          </cell>
          <cell r="AO8">
            <v>40083</v>
          </cell>
          <cell r="AP8">
            <v>40178</v>
          </cell>
          <cell r="AS8">
            <v>40266</v>
          </cell>
          <cell r="AT8">
            <v>40357</v>
          </cell>
          <cell r="AU8">
            <v>40448</v>
          </cell>
          <cell r="AV8">
            <v>40543</v>
          </cell>
          <cell r="AY8">
            <v>40631</v>
          </cell>
          <cell r="AZ8">
            <v>40722</v>
          </cell>
          <cell r="BA8">
            <v>40813</v>
          </cell>
          <cell r="BB8">
            <v>40908</v>
          </cell>
          <cell r="BE8">
            <v>40997</v>
          </cell>
          <cell r="BF8">
            <v>41088</v>
          </cell>
          <cell r="BG8">
            <v>41179</v>
          </cell>
          <cell r="BH8">
            <v>41274</v>
          </cell>
          <cell r="BK8">
            <v>41362</v>
          </cell>
          <cell r="BL8">
            <v>41453</v>
          </cell>
          <cell r="BM8">
            <v>41544</v>
          </cell>
          <cell r="BN8">
            <v>41639</v>
          </cell>
          <cell r="BQ8">
            <v>41727</v>
          </cell>
          <cell r="BR8">
            <v>41818</v>
          </cell>
          <cell r="BS8">
            <v>41909</v>
          </cell>
          <cell r="BT8">
            <v>42004</v>
          </cell>
          <cell r="BW8">
            <v>42092</v>
          </cell>
          <cell r="BX8">
            <v>42183</v>
          </cell>
          <cell r="BY8">
            <v>42274</v>
          </cell>
          <cell r="BZ8">
            <v>42369</v>
          </cell>
        </row>
        <row r="9">
          <cell r="C9" t="str">
            <v>Revenue</v>
          </cell>
          <cell r="I9">
            <v>525.03200000000004</v>
          </cell>
          <cell r="J9">
            <v>525.30899999999997</v>
          </cell>
          <cell r="K9">
            <v>542.31499999999994</v>
          </cell>
          <cell r="L9">
            <v>613.33900000000006</v>
          </cell>
          <cell r="M9">
            <v>2205.9950000000003</v>
          </cell>
          <cell r="O9">
            <v>559.20799999999997</v>
          </cell>
          <cell r="P9">
            <v>653.62099999999998</v>
          </cell>
          <cell r="Q9">
            <v>679.41100000000006</v>
          </cell>
          <cell r="R9">
            <v>740.78700000000003</v>
          </cell>
          <cell r="S9">
            <v>2633.027</v>
          </cell>
          <cell r="U9">
            <v>684.28700000000003</v>
          </cell>
          <cell r="V9">
            <v>713.46799999999996</v>
          </cell>
          <cell r="W9">
            <v>724.96199999999999</v>
          </cell>
          <cell r="X9">
            <v>1668.8999999999999</v>
          </cell>
          <cell r="Y9">
            <v>3766.8</v>
          </cell>
          <cell r="AA9">
            <v>2338.2000000000003</v>
          </cell>
          <cell r="AB9">
            <v>2385.9</v>
          </cell>
          <cell r="AC9">
            <v>2401.1999999999998</v>
          </cell>
          <cell r="AD9">
            <v>2621.1</v>
          </cell>
          <cell r="AE9">
            <v>9592.5</v>
          </cell>
          <cell r="AG9">
            <v>2554</v>
          </cell>
          <cell r="AH9">
            <v>2709.6000000000004</v>
          </cell>
          <cell r="AI9">
            <v>2588.1000000000004</v>
          </cell>
          <cell r="AJ9">
            <v>2646.2999999999997</v>
          </cell>
          <cell r="AK9">
            <v>10313.200000000001</v>
          </cell>
          <cell r="AM9">
            <v>2255.1000000000004</v>
          </cell>
          <cell r="AN9">
            <v>2484.1</v>
          </cell>
          <cell r="AO9">
            <v>2531.1</v>
          </cell>
          <cell r="AP9">
            <v>2839.4</v>
          </cell>
          <cell r="AQ9">
            <v>9911.6</v>
          </cell>
          <cell r="AS9">
            <v>2626.8999999999996</v>
          </cell>
          <cell r="AT9">
            <v>2595.6999999999998</v>
          </cell>
          <cell r="AU9">
            <v>2628.7</v>
          </cell>
          <cell r="AV9">
            <v>2718.9</v>
          </cell>
          <cell r="AW9">
            <v>10570.199999999999</v>
          </cell>
          <cell r="AY9">
            <v>2682.6</v>
          </cell>
          <cell r="AZ9">
            <v>2854</v>
          </cell>
          <cell r="BA9">
            <v>2932.9</v>
          </cell>
          <cell r="BB9">
            <v>3089.3</v>
          </cell>
          <cell r="BC9">
            <v>11558.8</v>
          </cell>
          <cell r="BE9">
            <v>3056.8</v>
          </cell>
          <cell r="BF9">
            <v>3108.1</v>
          </cell>
          <cell r="BG9">
            <v>2962.2028414147771</v>
          </cell>
          <cell r="BH9">
            <v>3054.5401695015048</v>
          </cell>
          <cell r="BI9">
            <v>12181.643010916281</v>
          </cell>
          <cell r="BK9">
            <v>3147.7721003300003</v>
          </cell>
          <cell r="BL9">
            <v>3237.5855535400001</v>
          </cell>
          <cell r="BM9">
            <v>3048.3352334999154</v>
          </cell>
          <cell r="BN9">
            <v>3146.8347564726155</v>
          </cell>
          <cell r="BO9">
            <v>12580.52764384253</v>
          </cell>
          <cell r="BQ9">
            <v>3254.9437618932002</v>
          </cell>
          <cell r="BR9">
            <v>3357.2608898460999</v>
          </cell>
          <cell r="BS9">
            <v>3156.4157261293858</v>
          </cell>
          <cell r="BT9">
            <v>3271.6279401215888</v>
          </cell>
          <cell r="BU9">
            <v>13040.248317990276</v>
          </cell>
          <cell r="BW9">
            <v>3392.315677989594</v>
          </cell>
          <cell r="BX9">
            <v>3492.4774550567508</v>
          </cell>
          <cell r="BY9">
            <v>3278.3323214926254</v>
          </cell>
          <cell r="BZ9">
            <v>3414.0525106607424</v>
          </cell>
          <cell r="CA9">
            <v>13577.177965199713</v>
          </cell>
        </row>
        <row r="10">
          <cell r="C10" t="str">
            <v>COGS</v>
          </cell>
          <cell r="I10">
            <v>284.17200000000003</v>
          </cell>
          <cell r="J10">
            <v>286.42399999999998</v>
          </cell>
          <cell r="K10">
            <v>291.36</v>
          </cell>
          <cell r="L10">
            <v>329.28000000000003</v>
          </cell>
          <cell r="M10">
            <v>1188.155</v>
          </cell>
          <cell r="O10">
            <v>305.30599999999998</v>
          </cell>
          <cell r="P10">
            <v>359.84199999999998</v>
          </cell>
          <cell r="Q10">
            <v>377.173</v>
          </cell>
          <cell r="R10">
            <v>403.29299999999995</v>
          </cell>
          <cell r="S10">
            <v>1445.6139999999998</v>
          </cell>
          <cell r="U10">
            <v>371.66300000000001</v>
          </cell>
          <cell r="V10">
            <v>387.71</v>
          </cell>
          <cell r="W10">
            <v>386.09300000000002</v>
          </cell>
          <cell r="X10">
            <v>950.351</v>
          </cell>
          <cell r="Y10">
            <v>2121.9</v>
          </cell>
          <cell r="AA10">
            <v>1391.6999999999998</v>
          </cell>
          <cell r="AB10">
            <v>1407.8999999999999</v>
          </cell>
          <cell r="AC10">
            <v>1421.8999999999999</v>
          </cell>
          <cell r="AD10">
            <v>1549.6</v>
          </cell>
          <cell r="AE10">
            <v>5715.3</v>
          </cell>
          <cell r="AG10">
            <v>1503.3000000000002</v>
          </cell>
          <cell r="AH10">
            <v>1590.6</v>
          </cell>
          <cell r="AI10">
            <v>1523.2</v>
          </cell>
          <cell r="AJ10">
            <v>1548.3</v>
          </cell>
          <cell r="AK10">
            <v>6100.3000000000011</v>
          </cell>
          <cell r="AM10">
            <v>1338.4</v>
          </cell>
          <cell r="AN10">
            <v>1464.6999999999998</v>
          </cell>
          <cell r="AO10">
            <v>1488.3</v>
          </cell>
          <cell r="AP10">
            <v>1662.2</v>
          </cell>
          <cell r="AQ10">
            <v>5888.3</v>
          </cell>
          <cell r="AS10">
            <v>1522.9999999999995</v>
          </cell>
          <cell r="AT10">
            <v>1511.6999999999998</v>
          </cell>
          <cell r="AU10">
            <v>1532.4999999999998</v>
          </cell>
          <cell r="AV10">
            <v>1560.6000000000001</v>
          </cell>
          <cell r="AW10">
            <v>6127.7999999999993</v>
          </cell>
          <cell r="AY10">
            <v>1526</v>
          </cell>
          <cell r="AZ10">
            <v>1632.8</v>
          </cell>
          <cell r="BA10">
            <v>1637.3000000000002</v>
          </cell>
          <cell r="BB10">
            <v>1701.3000000000002</v>
          </cell>
          <cell r="BC10">
            <v>6497.4000000000005</v>
          </cell>
          <cell r="BE10">
            <v>1683.0000000000002</v>
          </cell>
          <cell r="BF10">
            <v>1720.4</v>
          </cell>
          <cell r="BG10">
            <v>1628.4796727412936</v>
          </cell>
          <cell r="BH10">
            <v>1657.7211869380708</v>
          </cell>
          <cell r="BI10">
            <v>6689.6008596793645</v>
          </cell>
          <cell r="BK10">
            <v>1723.6437174779262</v>
          </cell>
          <cell r="BL10">
            <v>1783.9790666847343</v>
          </cell>
          <cell r="BM10">
            <v>1672.7828718842304</v>
          </cell>
          <cell r="BN10">
            <v>1703.0898790540698</v>
          </cell>
          <cell r="BO10">
            <v>6883.4955351009603</v>
          </cell>
          <cell r="BQ10">
            <v>1769.3085470514166</v>
          </cell>
          <cell r="BR10">
            <v>1836.4936997442107</v>
          </cell>
          <cell r="BS10">
            <v>1719.4666953080291</v>
          </cell>
          <cell r="BT10">
            <v>1757.5423467745836</v>
          </cell>
          <cell r="BU10">
            <v>7082.8112888782398</v>
          </cell>
          <cell r="BW10">
            <v>1830.411328790638</v>
          </cell>
          <cell r="BX10">
            <v>1896.4901506740405</v>
          </cell>
          <cell r="BY10">
            <v>1772.76778779707</v>
          </cell>
          <cell r="BZ10">
            <v>1820.3976528716528</v>
          </cell>
          <cell r="CA10">
            <v>7320.0669201334013</v>
          </cell>
        </row>
        <row r="11">
          <cell r="C11" t="str">
            <v>Gross profit</v>
          </cell>
          <cell r="I11">
            <v>240.86</v>
          </cell>
          <cell r="J11">
            <v>238.88499999999999</v>
          </cell>
          <cell r="K11">
            <v>250.95499999999993</v>
          </cell>
          <cell r="L11">
            <v>284.05900000000003</v>
          </cell>
          <cell r="M11">
            <v>1017.8400000000004</v>
          </cell>
          <cell r="O11">
            <v>253.90199999999999</v>
          </cell>
          <cell r="P11">
            <v>293.779</v>
          </cell>
          <cell r="Q11">
            <v>302.23800000000006</v>
          </cell>
          <cell r="R11">
            <v>337.49400000000009</v>
          </cell>
          <cell r="S11">
            <v>1187.4130000000002</v>
          </cell>
          <cell r="U11">
            <v>312.62400000000002</v>
          </cell>
          <cell r="V11">
            <v>325.75799999999998</v>
          </cell>
          <cell r="W11">
            <v>338.86899999999997</v>
          </cell>
          <cell r="X11">
            <v>718.54899999999986</v>
          </cell>
          <cell r="Y11">
            <v>1644.9</v>
          </cell>
          <cell r="AA11">
            <v>946.50000000000045</v>
          </cell>
          <cell r="AB11">
            <v>978.00000000000023</v>
          </cell>
          <cell r="AC11">
            <v>979.3</v>
          </cell>
          <cell r="AD11">
            <v>1071.5</v>
          </cell>
          <cell r="AE11">
            <v>3877.2</v>
          </cell>
          <cell r="AG11">
            <v>1050.6999999999998</v>
          </cell>
          <cell r="AH11">
            <v>1119.0000000000005</v>
          </cell>
          <cell r="AI11">
            <v>1064.9000000000003</v>
          </cell>
          <cell r="AJ11">
            <v>1097.9999999999998</v>
          </cell>
          <cell r="AK11">
            <v>4212.8999999999996</v>
          </cell>
          <cell r="AM11">
            <v>916.70000000000027</v>
          </cell>
          <cell r="AN11">
            <v>1019.4000000000001</v>
          </cell>
          <cell r="AO11">
            <v>1042.8</v>
          </cell>
          <cell r="AP11">
            <v>1177.2</v>
          </cell>
          <cell r="AQ11">
            <v>4023.3</v>
          </cell>
          <cell r="AS11">
            <v>1103.9000000000001</v>
          </cell>
          <cell r="AT11">
            <v>1084</v>
          </cell>
          <cell r="AU11">
            <v>1096.2</v>
          </cell>
          <cell r="AV11">
            <v>1158.3</v>
          </cell>
          <cell r="AW11">
            <v>4442.3999999999996</v>
          </cell>
          <cell r="AY11">
            <v>1156.5999999999999</v>
          </cell>
          <cell r="AZ11">
            <v>1221.2</v>
          </cell>
          <cell r="BA11">
            <v>1295.5999999999999</v>
          </cell>
          <cell r="BB11">
            <v>1388</v>
          </cell>
          <cell r="BC11">
            <v>5061.3999999999987</v>
          </cell>
          <cell r="BE11">
            <v>1373.8</v>
          </cell>
          <cell r="BF11">
            <v>1387.7</v>
          </cell>
          <cell r="BG11">
            <v>1333.7231686734835</v>
          </cell>
          <cell r="BH11">
            <v>1396.818982563434</v>
          </cell>
          <cell r="BI11">
            <v>5492.0421512369167</v>
          </cell>
          <cell r="BK11">
            <v>1424.1283828520741</v>
          </cell>
          <cell r="BL11">
            <v>1453.6064868552658</v>
          </cell>
          <cell r="BM11">
            <v>1375.552361615685</v>
          </cell>
          <cell r="BN11">
            <v>1443.7448774185457</v>
          </cell>
          <cell r="BO11">
            <v>5697.0321087415696</v>
          </cell>
          <cell r="BQ11">
            <v>1485.6352148417836</v>
          </cell>
          <cell r="BR11">
            <v>1520.7671901018891</v>
          </cell>
          <cell r="BS11">
            <v>1436.9490308213567</v>
          </cell>
          <cell r="BT11">
            <v>1514.0855933470052</v>
          </cell>
          <cell r="BU11">
            <v>5957.4370291120358</v>
          </cell>
          <cell r="BW11">
            <v>1561.904349198956</v>
          </cell>
          <cell r="BX11">
            <v>1595.9873043827104</v>
          </cell>
          <cell r="BY11">
            <v>1505.5645336955554</v>
          </cell>
          <cell r="BZ11">
            <v>1593.6548577890896</v>
          </cell>
          <cell r="CA11">
            <v>6257.1110450663118</v>
          </cell>
        </row>
        <row r="12">
          <cell r="C12" t="str">
            <v>SG&amp;A</v>
          </cell>
          <cell r="I12">
            <v>146.75299999999999</v>
          </cell>
          <cell r="J12">
            <v>140.864</v>
          </cell>
          <cell r="K12">
            <v>147.346</v>
          </cell>
          <cell r="L12">
            <v>168.66399999999999</v>
          </cell>
          <cell r="M12">
            <v>603.62699999999995</v>
          </cell>
          <cell r="O12">
            <v>156.08699999999999</v>
          </cell>
          <cell r="P12">
            <v>173.48400000000001</v>
          </cell>
          <cell r="Q12">
            <v>168.75399999999999</v>
          </cell>
          <cell r="R12">
            <v>185.821</v>
          </cell>
          <cell r="S12">
            <v>684.14600000000007</v>
          </cell>
          <cell r="U12">
            <v>176.887</v>
          </cell>
          <cell r="V12">
            <v>181.26400000000001</v>
          </cell>
          <cell r="W12">
            <v>191.53299999999999</v>
          </cell>
          <cell r="X12">
            <v>403.06299999999999</v>
          </cell>
          <cell r="Y12">
            <v>913.8</v>
          </cell>
          <cell r="AA12">
            <v>511.2</v>
          </cell>
          <cell r="AB12">
            <v>514.70000000000005</v>
          </cell>
          <cell r="AC12">
            <v>515.79999999999995</v>
          </cell>
          <cell r="AD12">
            <v>558</v>
          </cell>
          <cell r="AE12">
            <v>2041.6</v>
          </cell>
          <cell r="AG12">
            <v>541.6</v>
          </cell>
          <cell r="AH12">
            <v>578</v>
          </cell>
          <cell r="AI12">
            <v>548.70000000000005</v>
          </cell>
          <cell r="AJ12">
            <v>545.4</v>
          </cell>
          <cell r="AK12">
            <v>2148.8000000000002</v>
          </cell>
          <cell r="AM12">
            <v>509.5</v>
          </cell>
          <cell r="AN12">
            <v>542.70000000000005</v>
          </cell>
          <cell r="AO12">
            <v>544.79999999999995</v>
          </cell>
          <cell r="AP12">
            <v>598.1</v>
          </cell>
          <cell r="AQ12">
            <v>2130.1</v>
          </cell>
          <cell r="AS12">
            <v>582.9</v>
          </cell>
          <cell r="AT12">
            <v>567</v>
          </cell>
          <cell r="AU12">
            <v>573.6</v>
          </cell>
          <cell r="AV12">
            <v>594</v>
          </cell>
          <cell r="AW12">
            <v>2317.5</v>
          </cell>
          <cell r="AY12">
            <v>603.6</v>
          </cell>
          <cell r="AZ12">
            <v>627.6</v>
          </cell>
          <cell r="BA12">
            <v>662</v>
          </cell>
          <cell r="BB12">
            <v>699.80000000000007</v>
          </cell>
          <cell r="BC12">
            <v>2593</v>
          </cell>
          <cell r="BE12">
            <v>709</v>
          </cell>
          <cell r="BF12">
            <v>703.4</v>
          </cell>
          <cell r="BG12">
            <v>671.57629845210124</v>
          </cell>
          <cell r="BH12">
            <v>694.98061100015991</v>
          </cell>
          <cell r="BI12">
            <v>2778.9569094522612</v>
          </cell>
          <cell r="BK12">
            <v>730.10024179991171</v>
          </cell>
          <cell r="BL12">
            <v>732.70412096137068</v>
          </cell>
          <cell r="BM12">
            <v>691.10381771737048</v>
          </cell>
          <cell r="BN12">
            <v>715.97982688398895</v>
          </cell>
          <cell r="BO12">
            <v>2869.8880073626419</v>
          </cell>
          <cell r="BQ12">
            <v>752.51663279042214</v>
          </cell>
          <cell r="BR12">
            <v>757.27012740547241</v>
          </cell>
          <cell r="BS12">
            <v>713.23999236879695</v>
          </cell>
          <cell r="BT12">
            <v>741.91952628295803</v>
          </cell>
          <cell r="BU12">
            <v>2964.9462788476494</v>
          </cell>
          <cell r="BW12">
            <v>781.73167032449101</v>
          </cell>
          <cell r="BX12">
            <v>785.15047396152818</v>
          </cell>
          <cell r="BY12">
            <v>738.33014640637771</v>
          </cell>
          <cell r="BZ12">
            <v>771.65714911138298</v>
          </cell>
          <cell r="CA12">
            <v>3076.8694398037796</v>
          </cell>
        </row>
        <row r="13">
          <cell r="C13" t="str">
            <v>R&amp;D</v>
          </cell>
          <cell r="I13">
            <v>34.268999999999998</v>
          </cell>
          <cell r="J13">
            <v>32.591999999999999</v>
          </cell>
          <cell r="K13">
            <v>32.874000000000002</v>
          </cell>
          <cell r="L13">
            <v>34.945</v>
          </cell>
          <cell r="M13">
            <v>134.67999999999998</v>
          </cell>
          <cell r="O13">
            <v>36.328000000000003</v>
          </cell>
          <cell r="P13">
            <v>39.432000000000002</v>
          </cell>
          <cell r="Q13">
            <v>38.783999999999999</v>
          </cell>
          <cell r="R13">
            <v>38.231000000000002</v>
          </cell>
          <cell r="S13">
            <v>152.77500000000001</v>
          </cell>
          <cell r="U13">
            <v>38.737000000000002</v>
          </cell>
          <cell r="V13">
            <v>40.619999999999997</v>
          </cell>
          <cell r="W13">
            <v>38.658000000000001</v>
          </cell>
          <cell r="X13">
            <v>52.168999999999997</v>
          </cell>
          <cell r="Y13">
            <v>167.9</v>
          </cell>
          <cell r="AA13">
            <v>59.8</v>
          </cell>
          <cell r="AB13">
            <v>58.7</v>
          </cell>
          <cell r="AC13">
            <v>58.8</v>
          </cell>
          <cell r="AD13">
            <v>61.4</v>
          </cell>
          <cell r="AE13">
            <v>237</v>
          </cell>
          <cell r="AG13">
            <v>62</v>
          </cell>
          <cell r="AH13">
            <v>64.400000000000006</v>
          </cell>
          <cell r="AI13">
            <v>61.8</v>
          </cell>
          <cell r="AJ13">
            <v>60.9</v>
          </cell>
          <cell r="AK13">
            <v>247.2</v>
          </cell>
          <cell r="AM13">
            <v>58.2</v>
          </cell>
          <cell r="AN13">
            <v>58.1</v>
          </cell>
          <cell r="AO13">
            <v>60.5</v>
          </cell>
          <cell r="AP13">
            <v>69.3</v>
          </cell>
          <cell r="AQ13">
            <v>243.8</v>
          </cell>
          <cell r="AS13">
            <v>66.099999999999994</v>
          </cell>
          <cell r="AT13">
            <v>69.599999999999994</v>
          </cell>
          <cell r="AU13">
            <v>71.5</v>
          </cell>
          <cell r="AV13">
            <v>77.599999999999994</v>
          </cell>
          <cell r="AW13">
            <v>284.79999999999995</v>
          </cell>
          <cell r="AY13">
            <v>74.8</v>
          </cell>
          <cell r="AZ13">
            <v>83.3</v>
          </cell>
          <cell r="BA13">
            <v>86.8</v>
          </cell>
          <cell r="BB13">
            <v>95.7</v>
          </cell>
          <cell r="BC13">
            <v>340.59999999999997</v>
          </cell>
          <cell r="BE13">
            <v>91.8</v>
          </cell>
          <cell r="BF13">
            <v>94.2</v>
          </cell>
          <cell r="BG13">
            <v>87.667225829316592</v>
          </cell>
          <cell r="BH13">
            <v>94.623213744632764</v>
          </cell>
          <cell r="BI13">
            <v>368.29043957394936</v>
          </cell>
          <cell r="BK13">
            <v>94.532020024304501</v>
          </cell>
          <cell r="BL13">
            <v>98.12443587512243</v>
          </cell>
          <cell r="BM13">
            <v>90.216338186706892</v>
          </cell>
          <cell r="BN13">
            <v>97.482305439558885</v>
          </cell>
          <cell r="BO13">
            <v>380.35509952569271</v>
          </cell>
          <cell r="BQ13">
            <v>95.309327817743849</v>
          </cell>
          <cell r="BR13">
            <v>99.233598949423964</v>
          </cell>
          <cell r="BS13">
            <v>91.047698955183279</v>
          </cell>
          <cell r="BT13">
            <v>98.894414178963785</v>
          </cell>
          <cell r="BU13">
            <v>384.48503990131485</v>
          </cell>
          <cell r="BW13">
            <v>96.787533823844157</v>
          </cell>
          <cell r="BX13">
            <v>100.61095926747952</v>
          </cell>
          <cell r="BY13">
            <v>92.105668180640762</v>
          </cell>
          <cell r="BZ13">
            <v>100.63906925143452</v>
          </cell>
          <cell r="CA13">
            <v>390.14323052339898</v>
          </cell>
        </row>
        <row r="14">
          <cell r="C14" t="str">
            <v>One-time items, total</v>
          </cell>
          <cell r="I14">
            <v>6.9640000000000004</v>
          </cell>
          <cell r="J14">
            <v>6.4589999999999996</v>
          </cell>
          <cell r="K14">
            <v>11.114000000000001</v>
          </cell>
          <cell r="L14">
            <v>14.402999999999999</v>
          </cell>
          <cell r="M14">
            <v>32.420999999999992</v>
          </cell>
          <cell r="O14">
            <v>1.8109999999999999</v>
          </cell>
          <cell r="P14">
            <v>27.649000000000001</v>
          </cell>
          <cell r="Q14">
            <v>32.590000000000003</v>
          </cell>
          <cell r="R14">
            <v>24.954999999999998</v>
          </cell>
          <cell r="S14">
            <v>87.004999999999995</v>
          </cell>
          <cell r="U14">
            <v>29.155000000000001</v>
          </cell>
          <cell r="V14">
            <v>31.701000000000001</v>
          </cell>
          <cell r="W14">
            <v>33.567</v>
          </cell>
          <cell r="X14">
            <v>236.48699999999999</v>
          </cell>
          <cell r="Y14">
            <v>331.8</v>
          </cell>
          <cell r="AA14">
            <v>183.10000000000002</v>
          </cell>
          <cell r="AB14">
            <v>161.69999999999999</v>
          </cell>
          <cell r="AC14">
            <v>151.20000000000002</v>
          </cell>
          <cell r="AD14">
            <v>172.49999999999997</v>
          </cell>
          <cell r="AE14">
            <v>658.69999999999993</v>
          </cell>
          <cell r="AG14">
            <v>147.6</v>
          </cell>
          <cell r="AH14">
            <v>147.09999999999997</v>
          </cell>
          <cell r="AI14">
            <v>168.1</v>
          </cell>
          <cell r="AJ14">
            <v>173.7</v>
          </cell>
          <cell r="AK14">
            <v>619.4</v>
          </cell>
          <cell r="AM14">
            <v>160</v>
          </cell>
          <cell r="AN14">
            <v>160.5</v>
          </cell>
          <cell r="AO14">
            <v>164.6</v>
          </cell>
          <cell r="AP14">
            <v>185.50000000000003</v>
          </cell>
          <cell r="AQ14">
            <v>667.69999999999993</v>
          </cell>
          <cell r="AS14">
            <v>172.59999999999997</v>
          </cell>
          <cell r="AT14">
            <v>165.60000000000002</v>
          </cell>
          <cell r="AU14">
            <v>149.9</v>
          </cell>
          <cell r="AV14">
            <v>174.3</v>
          </cell>
          <cell r="AW14">
            <v>662.40000000000009</v>
          </cell>
          <cell r="AY14">
            <v>157.50000000000003</v>
          </cell>
          <cell r="AZ14">
            <v>223.4</v>
          </cell>
          <cell r="BA14">
            <v>237.4</v>
          </cell>
          <cell r="BB14">
            <v>232.5</v>
          </cell>
          <cell r="BC14">
            <v>850.80000000000007</v>
          </cell>
          <cell r="BE14">
            <v>219.3</v>
          </cell>
          <cell r="BF14">
            <v>224.3</v>
          </cell>
          <cell r="BG14">
            <v>209.50000000000003</v>
          </cell>
          <cell r="BH14">
            <v>209.50000000000003</v>
          </cell>
          <cell r="BI14">
            <v>862.6</v>
          </cell>
          <cell r="BK14">
            <v>186.82499999999999</v>
          </cell>
          <cell r="BL14">
            <v>186.82499999999999</v>
          </cell>
          <cell r="BM14">
            <v>186.82499999999999</v>
          </cell>
          <cell r="BN14">
            <v>186.82499999999999</v>
          </cell>
          <cell r="BO14">
            <v>747.3</v>
          </cell>
          <cell r="BQ14">
            <v>177.7</v>
          </cell>
          <cell r="BR14">
            <v>177.7</v>
          </cell>
          <cell r="BS14">
            <v>177.7</v>
          </cell>
          <cell r="BT14">
            <v>177.7</v>
          </cell>
          <cell r="BU14">
            <v>710.8</v>
          </cell>
          <cell r="BW14">
            <v>172.82499999999999</v>
          </cell>
          <cell r="BX14">
            <v>172.82499999999999</v>
          </cell>
          <cell r="BY14">
            <v>172.82499999999999</v>
          </cell>
          <cell r="BZ14">
            <v>172.82499999999999</v>
          </cell>
          <cell r="CA14">
            <v>691.3</v>
          </cell>
        </row>
        <row r="15">
          <cell r="C15" t="str">
            <v>Cost of Revenues Charges</v>
          </cell>
          <cell r="I15">
            <v>3.1579999999999999</v>
          </cell>
          <cell r="J15">
            <v>0.81499999999999995</v>
          </cell>
          <cell r="K15">
            <v>5.0350000000000001</v>
          </cell>
          <cell r="L15">
            <v>6.8209999999999997</v>
          </cell>
          <cell r="M15">
            <v>15.828999999999999</v>
          </cell>
          <cell r="O15">
            <v>-0.27100000000000002</v>
          </cell>
          <cell r="P15">
            <v>2.2160000000000002</v>
          </cell>
          <cell r="Q15">
            <v>10.481999999999999</v>
          </cell>
          <cell r="R15">
            <v>4.4729999999999999</v>
          </cell>
          <cell r="S15">
            <v>16.899999999999999</v>
          </cell>
          <cell r="U15">
            <v>3.5939999999999999</v>
          </cell>
          <cell r="V15">
            <v>4.78</v>
          </cell>
          <cell r="W15">
            <v>5.1779999999999999</v>
          </cell>
          <cell r="X15">
            <v>32.159999999999997</v>
          </cell>
          <cell r="Y15">
            <v>77.7</v>
          </cell>
          <cell r="AA15">
            <v>7.4</v>
          </cell>
          <cell r="AB15">
            <v>8.3000000000000007</v>
          </cell>
          <cell r="AC15">
            <v>8.8000000000000007</v>
          </cell>
          <cell r="AD15">
            <v>17.7</v>
          </cell>
          <cell r="AE15">
            <v>49.2</v>
          </cell>
          <cell r="AG15">
            <v>4.9000000000000004</v>
          </cell>
          <cell r="AH15">
            <v>-5.4</v>
          </cell>
          <cell r="AI15">
            <v>15.4</v>
          </cell>
          <cell r="AJ15">
            <v>20.5</v>
          </cell>
          <cell r="AK15">
            <v>1.5</v>
          </cell>
          <cell r="AM15">
            <v>13.6</v>
          </cell>
          <cell r="AN15">
            <v>10.3</v>
          </cell>
          <cell r="AO15">
            <v>13.1</v>
          </cell>
          <cell r="AP15">
            <v>23.8</v>
          </cell>
          <cell r="AQ15">
            <v>6.7</v>
          </cell>
          <cell r="AS15">
            <v>5.0999999999999996</v>
          </cell>
          <cell r="AT15">
            <v>3.7</v>
          </cell>
          <cell r="AU15">
            <v>2.5</v>
          </cell>
          <cell r="AV15">
            <v>4.7</v>
          </cell>
          <cell r="AW15">
            <v>16</v>
          </cell>
          <cell r="AY15">
            <v>2.9</v>
          </cell>
          <cell r="AZ15">
            <v>15.4</v>
          </cell>
          <cell r="BA15">
            <v>24.3</v>
          </cell>
          <cell r="BB15">
            <v>30.2</v>
          </cell>
          <cell r="BC15">
            <v>72.8</v>
          </cell>
          <cell r="BE15">
            <v>26.8</v>
          </cell>
          <cell r="BF15">
            <v>12.8</v>
          </cell>
          <cell r="BG15">
            <v>12.8</v>
          </cell>
          <cell r="BH15">
            <v>12.8</v>
          </cell>
          <cell r="BI15">
            <v>65.2</v>
          </cell>
          <cell r="BK15">
            <v>6.25</v>
          </cell>
          <cell r="BL15">
            <v>6.25</v>
          </cell>
          <cell r="BM15">
            <v>6.25</v>
          </cell>
          <cell r="BN15">
            <v>6.25</v>
          </cell>
          <cell r="BO15">
            <v>25</v>
          </cell>
          <cell r="BQ15">
            <v>6.25</v>
          </cell>
          <cell r="BR15">
            <v>6.25</v>
          </cell>
          <cell r="BS15">
            <v>6.25</v>
          </cell>
          <cell r="BT15">
            <v>6.25</v>
          </cell>
          <cell r="BU15">
            <v>25</v>
          </cell>
          <cell r="BW15">
            <v>6.25</v>
          </cell>
          <cell r="BX15">
            <v>6.25</v>
          </cell>
          <cell r="BY15">
            <v>6.25</v>
          </cell>
          <cell r="BZ15">
            <v>6.25</v>
          </cell>
          <cell r="CA15">
            <v>25</v>
          </cell>
        </row>
        <row r="16">
          <cell r="C16" t="str">
            <v>SG&amp;A Costs</v>
          </cell>
          <cell r="I16">
            <v>3.806</v>
          </cell>
          <cell r="J16">
            <v>5.6440000000000001</v>
          </cell>
          <cell r="K16">
            <v>6.0789999999999997</v>
          </cell>
          <cell r="L16">
            <v>7.3019999999999996</v>
          </cell>
          <cell r="M16">
            <v>22.831</v>
          </cell>
          <cell r="O16">
            <v>7.4139999999999997</v>
          </cell>
          <cell r="P16">
            <v>19.109000000000002</v>
          </cell>
          <cell r="Q16">
            <v>25.568999999999999</v>
          </cell>
          <cell r="R16">
            <v>25.547999999999998</v>
          </cell>
          <cell r="S16">
            <v>77.64</v>
          </cell>
          <cell r="U16">
            <v>25.561</v>
          </cell>
          <cell r="V16">
            <v>25.655000000000001</v>
          </cell>
          <cell r="W16">
            <v>26.405000000000001</v>
          </cell>
          <cell r="X16">
            <v>93.204999999999998</v>
          </cell>
          <cell r="Y16">
            <v>0</v>
          </cell>
          <cell r="AA16">
            <v>139.30000000000001</v>
          </cell>
          <cell r="AB16">
            <v>142.1</v>
          </cell>
          <cell r="AC16">
            <v>141.5</v>
          </cell>
          <cell r="AD16">
            <v>148.19999999999999</v>
          </cell>
          <cell r="AE16">
            <v>0</v>
          </cell>
          <cell r="AG16">
            <v>151.19999999999999</v>
          </cell>
          <cell r="AH16">
            <v>151.6</v>
          </cell>
          <cell r="AI16">
            <v>152</v>
          </cell>
          <cell r="AJ16">
            <v>148</v>
          </cell>
          <cell r="AK16">
            <v>0</v>
          </cell>
          <cell r="AM16">
            <v>145.30000000000001</v>
          </cell>
          <cell r="AN16">
            <v>147.1</v>
          </cell>
          <cell r="AO16">
            <v>148.19999999999999</v>
          </cell>
          <cell r="AP16">
            <v>156.4</v>
          </cell>
          <cell r="AQ16">
            <v>1.5</v>
          </cell>
          <cell r="AS16">
            <v>1.1000000000000001</v>
          </cell>
          <cell r="AT16">
            <v>-0.2</v>
          </cell>
          <cell r="AU16">
            <v>0.5</v>
          </cell>
          <cell r="AV16">
            <v>1.6</v>
          </cell>
          <cell r="AW16">
            <v>3</v>
          </cell>
          <cell r="AY16">
            <v>3.1</v>
          </cell>
          <cell r="AZ16">
            <v>38</v>
          </cell>
          <cell r="BA16">
            <v>20.6</v>
          </cell>
          <cell r="BB16">
            <v>-0.2</v>
          </cell>
          <cell r="BC16">
            <v>61.5</v>
          </cell>
          <cell r="BE16">
            <v>-7.7</v>
          </cell>
          <cell r="BF16">
            <v>1.8</v>
          </cell>
          <cell r="BG16">
            <v>1.8</v>
          </cell>
          <cell r="BH16">
            <v>1.8</v>
          </cell>
          <cell r="BI16">
            <v>-2.3000000000000007</v>
          </cell>
          <cell r="BK16">
            <v>0</v>
          </cell>
          <cell r="BL16">
            <v>0</v>
          </cell>
          <cell r="BM16">
            <v>0</v>
          </cell>
          <cell r="BN16">
            <v>0</v>
          </cell>
          <cell r="BO16">
            <v>0</v>
          </cell>
          <cell r="BQ16">
            <v>0</v>
          </cell>
          <cell r="BR16">
            <v>0</v>
          </cell>
          <cell r="BS16">
            <v>0</v>
          </cell>
          <cell r="BT16">
            <v>0</v>
          </cell>
          <cell r="BU16">
            <v>0</v>
          </cell>
          <cell r="BW16">
            <v>0</v>
          </cell>
          <cell r="BX16">
            <v>0</v>
          </cell>
          <cell r="BY16">
            <v>0</v>
          </cell>
          <cell r="BZ16">
            <v>0</v>
          </cell>
          <cell r="CA16">
            <v>0</v>
          </cell>
        </row>
        <row r="17">
          <cell r="C17" t="str">
            <v>Restructuring &amp; other costs</v>
          </cell>
          <cell r="L17">
            <v>0.28000000000000003</v>
          </cell>
          <cell r="M17">
            <v>3.3610000000000002</v>
          </cell>
          <cell r="O17">
            <v>-5.3319999999999999</v>
          </cell>
          <cell r="P17">
            <v>6.3239999999999998</v>
          </cell>
          <cell r="Q17">
            <v>-3.4609999999999994</v>
          </cell>
          <cell r="R17">
            <v>-5.0659999999999998</v>
          </cell>
          <cell r="S17">
            <v>-7.5349999999999993</v>
          </cell>
          <cell r="U17">
            <v>0</v>
          </cell>
          <cell r="V17">
            <v>1.266</v>
          </cell>
          <cell r="W17">
            <v>1.984</v>
          </cell>
          <cell r="X17">
            <v>111.122</v>
          </cell>
          <cell r="Y17">
            <v>45.7</v>
          </cell>
          <cell r="AA17">
            <v>36.4</v>
          </cell>
          <cell r="AB17">
            <v>11.2</v>
          </cell>
          <cell r="AC17">
            <v>0.4</v>
          </cell>
          <cell r="AD17">
            <v>1.2</v>
          </cell>
          <cell r="AE17">
            <v>42.2</v>
          </cell>
          <cell r="AG17">
            <v>0.6</v>
          </cell>
          <cell r="AH17">
            <v>0.2</v>
          </cell>
          <cell r="AI17">
            <v>0.7</v>
          </cell>
          <cell r="AJ17">
            <v>0.7</v>
          </cell>
          <cell r="AK17">
            <v>35.4</v>
          </cell>
          <cell r="AM17">
            <v>0</v>
          </cell>
          <cell r="AN17">
            <v>0.9</v>
          </cell>
          <cell r="AO17">
            <v>1</v>
          </cell>
          <cell r="AP17">
            <v>4.8</v>
          </cell>
          <cell r="AQ17">
            <v>59.2</v>
          </cell>
          <cell r="AS17">
            <v>17.399999999999999</v>
          </cell>
          <cell r="AT17">
            <v>8.1999999999999993</v>
          </cell>
          <cell r="AU17">
            <v>10.3</v>
          </cell>
          <cell r="AV17">
            <v>24.5</v>
          </cell>
          <cell r="AW17">
            <v>60.4</v>
          </cell>
          <cell r="AY17">
            <v>15.3</v>
          </cell>
          <cell r="AZ17">
            <v>39.9</v>
          </cell>
          <cell r="BA17">
            <v>12.3</v>
          </cell>
          <cell r="BB17">
            <v>32.9</v>
          </cell>
          <cell r="BC17">
            <v>100.4</v>
          </cell>
          <cell r="BE17">
            <v>15.1</v>
          </cell>
          <cell r="BF17">
            <v>24.3</v>
          </cell>
          <cell r="BG17">
            <v>12.8</v>
          </cell>
          <cell r="BH17">
            <v>12.8</v>
          </cell>
          <cell r="BI17">
            <v>65</v>
          </cell>
          <cell r="BK17">
            <v>0</v>
          </cell>
          <cell r="BL17">
            <v>0</v>
          </cell>
          <cell r="BM17">
            <v>0</v>
          </cell>
          <cell r="BN17">
            <v>0</v>
          </cell>
          <cell r="BO17">
            <v>0</v>
          </cell>
          <cell r="BQ17">
            <v>0</v>
          </cell>
          <cell r="BR17">
            <v>0</v>
          </cell>
          <cell r="BS17">
            <v>0</v>
          </cell>
          <cell r="BT17">
            <v>0</v>
          </cell>
          <cell r="BU17">
            <v>0</v>
          </cell>
          <cell r="BW17">
            <v>0</v>
          </cell>
          <cell r="BX17">
            <v>0</v>
          </cell>
          <cell r="BY17">
            <v>0</v>
          </cell>
          <cell r="BZ17">
            <v>0</v>
          </cell>
          <cell r="CA17">
            <v>0</v>
          </cell>
        </row>
        <row r="18">
          <cell r="C18" t="str">
            <v>Stock-based Compensation Acceleration Charges</v>
          </cell>
          <cell r="I18">
            <v>0</v>
          </cell>
          <cell r="J18">
            <v>0</v>
          </cell>
          <cell r="K18">
            <v>0</v>
          </cell>
          <cell r="L18">
            <v>0</v>
          </cell>
          <cell r="M18">
            <v>-9.6</v>
          </cell>
          <cell r="O18">
            <v>0</v>
          </cell>
          <cell r="P18">
            <v>0</v>
          </cell>
          <cell r="Q18">
            <v>0</v>
          </cell>
          <cell r="R18">
            <v>0</v>
          </cell>
          <cell r="S18">
            <v>0</v>
          </cell>
          <cell r="U18">
            <v>0</v>
          </cell>
          <cell r="V18">
            <v>0</v>
          </cell>
          <cell r="W18">
            <v>0</v>
          </cell>
          <cell r="X18">
            <v>0</v>
          </cell>
          <cell r="Y18">
            <v>36.700000000000003</v>
          </cell>
          <cell r="AA18">
            <v>0</v>
          </cell>
          <cell r="AB18">
            <v>0.1</v>
          </cell>
          <cell r="AC18">
            <v>0.5</v>
          </cell>
          <cell r="AD18">
            <v>5.4</v>
          </cell>
          <cell r="AE18">
            <v>0</v>
          </cell>
          <cell r="AG18">
            <v>-9.1000000000000014</v>
          </cell>
          <cell r="AH18">
            <v>0.7</v>
          </cell>
          <cell r="AI18">
            <v>0</v>
          </cell>
          <cell r="AJ18">
            <v>4.5</v>
          </cell>
          <cell r="AK18">
            <v>0</v>
          </cell>
          <cell r="AM18">
            <v>1.1000000000000001</v>
          </cell>
          <cell r="AN18">
            <v>2.2000000000000002</v>
          </cell>
          <cell r="AO18">
            <v>2.2999999999999998</v>
          </cell>
          <cell r="AP18">
            <v>0.5</v>
          </cell>
          <cell r="AQ18">
            <v>0</v>
          </cell>
          <cell r="AS18">
            <v>0</v>
          </cell>
          <cell r="AT18">
            <v>0</v>
          </cell>
          <cell r="AU18">
            <v>0</v>
          </cell>
          <cell r="AV18">
            <v>0</v>
          </cell>
          <cell r="AW18">
            <v>0</v>
          </cell>
          <cell r="AY18">
            <v>0</v>
          </cell>
          <cell r="AZ18">
            <v>0</v>
          </cell>
          <cell r="BA18">
            <v>0</v>
          </cell>
          <cell r="BB18">
            <v>0</v>
          </cell>
          <cell r="BC18">
            <v>0</v>
          </cell>
          <cell r="BE18">
            <v>0</v>
          </cell>
          <cell r="BF18">
            <v>0</v>
          </cell>
          <cell r="BG18">
            <v>0</v>
          </cell>
          <cell r="BH18">
            <v>0</v>
          </cell>
          <cell r="BI18">
            <v>0</v>
          </cell>
          <cell r="BK18">
            <v>0</v>
          </cell>
          <cell r="BL18">
            <v>0</v>
          </cell>
          <cell r="BM18">
            <v>0</v>
          </cell>
          <cell r="BN18">
            <v>0</v>
          </cell>
          <cell r="BO18">
            <v>0</v>
          </cell>
          <cell r="BQ18">
            <v>0</v>
          </cell>
          <cell r="BR18">
            <v>0</v>
          </cell>
          <cell r="BS18">
            <v>0</v>
          </cell>
          <cell r="BT18">
            <v>0</v>
          </cell>
          <cell r="BU18">
            <v>0</v>
          </cell>
          <cell r="BW18">
            <v>0</v>
          </cell>
          <cell r="BX18">
            <v>0</v>
          </cell>
          <cell r="BY18">
            <v>0</v>
          </cell>
          <cell r="BZ18">
            <v>0</v>
          </cell>
          <cell r="CA18">
            <v>0</v>
          </cell>
        </row>
        <row r="19">
          <cell r="C19" t="str">
            <v>Amortization of Acquisition-related Intangible Assets</v>
          </cell>
          <cell r="Y19">
            <v>170.8</v>
          </cell>
          <cell r="AE19">
            <v>561.29999999999995</v>
          </cell>
          <cell r="AK19">
            <v>585.70000000000005</v>
          </cell>
          <cell r="AQ19">
            <v>579.9</v>
          </cell>
          <cell r="AS19">
            <v>146.69999999999999</v>
          </cell>
          <cell r="AT19">
            <v>137.80000000000001</v>
          </cell>
          <cell r="AU19">
            <v>135.1</v>
          </cell>
          <cell r="AV19">
            <v>135.1</v>
          </cell>
          <cell r="AW19">
            <v>554.70000000000005</v>
          </cell>
          <cell r="AY19">
            <v>135.4</v>
          </cell>
          <cell r="AZ19">
            <v>151.19999999999999</v>
          </cell>
          <cell r="BA19">
            <v>174.6</v>
          </cell>
          <cell r="BB19">
            <v>186.7</v>
          </cell>
          <cell r="BC19">
            <v>647.90000000000009</v>
          </cell>
          <cell r="BE19">
            <v>183.9</v>
          </cell>
          <cell r="BF19">
            <v>183.4</v>
          </cell>
          <cell r="BG19">
            <v>182.10000000000002</v>
          </cell>
          <cell r="BH19">
            <v>182.10000000000002</v>
          </cell>
          <cell r="BI19">
            <v>731.50000000000011</v>
          </cell>
          <cell r="BK19">
            <v>180.57499999999999</v>
          </cell>
          <cell r="BL19">
            <v>180.57499999999999</v>
          </cell>
          <cell r="BM19">
            <v>180.57499999999999</v>
          </cell>
          <cell r="BN19">
            <v>180.57499999999999</v>
          </cell>
          <cell r="BO19">
            <v>722.3</v>
          </cell>
          <cell r="BQ19">
            <v>171.45</v>
          </cell>
          <cell r="BR19">
            <v>171.45</v>
          </cell>
          <cell r="BS19">
            <v>171.45</v>
          </cell>
          <cell r="BT19">
            <v>171.45</v>
          </cell>
          <cell r="BU19">
            <v>685.8</v>
          </cell>
          <cell r="BW19">
            <v>166.57499999999999</v>
          </cell>
          <cell r="BX19">
            <v>166.57499999999999</v>
          </cell>
          <cell r="BY19">
            <v>166.57499999999999</v>
          </cell>
          <cell r="BZ19">
            <v>166.57499999999999</v>
          </cell>
          <cell r="CA19">
            <v>666.3</v>
          </cell>
        </row>
        <row r="20">
          <cell r="C20" t="str">
            <v>Gain/loss on extinguishment of debt fac.</v>
          </cell>
          <cell r="Y20">
            <v>0.9</v>
          </cell>
          <cell r="AE20">
            <v>0</v>
          </cell>
          <cell r="AK20">
            <v>0</v>
          </cell>
          <cell r="AQ20">
            <v>15.1</v>
          </cell>
          <cell r="AS20">
            <v>0.7</v>
          </cell>
          <cell r="AT20">
            <v>15.3</v>
          </cell>
          <cell r="AU20">
            <v>0.8</v>
          </cell>
          <cell r="AV20">
            <v>0</v>
          </cell>
          <cell r="AW20">
            <v>16.8</v>
          </cell>
          <cell r="AY20">
            <v>0</v>
          </cell>
          <cell r="AZ20">
            <v>0</v>
          </cell>
          <cell r="BA20">
            <v>0</v>
          </cell>
          <cell r="BB20">
            <v>0</v>
          </cell>
          <cell r="BC20">
            <v>0</v>
          </cell>
          <cell r="BE20">
            <v>0</v>
          </cell>
          <cell r="BF20">
            <v>0</v>
          </cell>
          <cell r="BI20">
            <v>0</v>
          </cell>
          <cell r="BO20">
            <v>0</v>
          </cell>
          <cell r="BU20">
            <v>0</v>
          </cell>
          <cell r="CA20">
            <v>0</v>
          </cell>
        </row>
        <row r="21">
          <cell r="C21" t="str">
            <v>Other Income</v>
          </cell>
          <cell r="Y21">
            <v>0</v>
          </cell>
          <cell r="AE21">
            <v>6</v>
          </cell>
          <cell r="AK21">
            <v>-3.2</v>
          </cell>
          <cell r="AQ21">
            <v>5.3</v>
          </cell>
          <cell r="AS21">
            <v>1.6</v>
          </cell>
          <cell r="AT21">
            <v>0.8</v>
          </cell>
          <cell r="AU21">
            <v>0.7</v>
          </cell>
          <cell r="AV21">
            <v>8.4</v>
          </cell>
          <cell r="AW21">
            <v>11.5</v>
          </cell>
          <cell r="AY21">
            <v>0.8</v>
          </cell>
          <cell r="AZ21">
            <v>-21.1</v>
          </cell>
          <cell r="BA21">
            <v>5.6</v>
          </cell>
          <cell r="BB21">
            <v>-17.100000000000001</v>
          </cell>
          <cell r="BC21">
            <v>-31.800000000000004</v>
          </cell>
          <cell r="BE21">
            <v>1.2</v>
          </cell>
          <cell r="BF21">
            <v>2</v>
          </cell>
          <cell r="BI21">
            <v>3.2</v>
          </cell>
          <cell r="BO21">
            <v>0</v>
          </cell>
          <cell r="BU21">
            <v>0</v>
          </cell>
          <cell r="CA21">
            <v>0</v>
          </cell>
        </row>
        <row r="22">
          <cell r="C22" t="str">
            <v>Total operating expenses</v>
          </cell>
          <cell r="I22">
            <v>465.19400000000002</v>
          </cell>
          <cell r="J22">
            <v>459.88</v>
          </cell>
          <cell r="K22">
            <v>471.58000000000004</v>
          </cell>
          <cell r="L22">
            <v>532.88900000000001</v>
          </cell>
          <cell r="M22">
            <v>1926.462</v>
          </cell>
          <cell r="O22">
            <v>497.721</v>
          </cell>
          <cell r="P22">
            <v>572.75800000000004</v>
          </cell>
          <cell r="Q22">
            <v>584.71100000000001</v>
          </cell>
          <cell r="R22">
            <v>627.34499999999991</v>
          </cell>
          <cell r="S22">
            <v>2282.5349999999999</v>
          </cell>
          <cell r="U22">
            <v>587.28699999999992</v>
          </cell>
          <cell r="V22">
            <v>609.59399999999994</v>
          </cell>
          <cell r="W22">
            <v>616.28399999999999</v>
          </cell>
          <cell r="X22">
            <v>1405.5830000000001</v>
          </cell>
          <cell r="Y22">
            <v>3203.6</v>
          </cell>
          <cell r="AA22">
            <v>1962.6999999999998</v>
          </cell>
          <cell r="AB22">
            <v>1981.3</v>
          </cell>
          <cell r="AC22">
            <v>1996.4999999999998</v>
          </cell>
          <cell r="AD22">
            <v>2169</v>
          </cell>
          <cell r="AE22">
            <v>7993.9</v>
          </cell>
          <cell r="AG22">
            <v>2106.9</v>
          </cell>
          <cell r="AH22">
            <v>2233</v>
          </cell>
          <cell r="AI22">
            <v>2133.7000000000003</v>
          </cell>
          <cell r="AJ22">
            <v>2154.6</v>
          </cell>
          <cell r="AK22">
            <v>8496.3000000000029</v>
          </cell>
          <cell r="AM22">
            <v>1906.1000000000001</v>
          </cell>
          <cell r="AN22">
            <v>2065.5</v>
          </cell>
          <cell r="AO22">
            <v>2093.6</v>
          </cell>
          <cell r="AP22">
            <v>2329.6000000000004</v>
          </cell>
          <cell r="AQ22">
            <v>8262.1999999999989</v>
          </cell>
          <cell r="AS22">
            <v>2171.9999999999995</v>
          </cell>
          <cell r="AT22">
            <v>2148.2999999999997</v>
          </cell>
          <cell r="AU22">
            <v>2177.6</v>
          </cell>
          <cell r="AV22">
            <v>2232.2000000000003</v>
          </cell>
          <cell r="AW22">
            <v>8730.0999999999985</v>
          </cell>
          <cell r="AY22">
            <v>2204.4</v>
          </cell>
          <cell r="AZ22">
            <v>2343.7000000000003</v>
          </cell>
          <cell r="BA22">
            <v>2386.1000000000004</v>
          </cell>
          <cell r="BB22">
            <v>2496.8000000000002</v>
          </cell>
          <cell r="BC22">
            <v>9431.0000000000018</v>
          </cell>
          <cell r="BE22">
            <v>2483.8000000000002</v>
          </cell>
          <cell r="BF22">
            <v>2518</v>
          </cell>
          <cell r="BG22">
            <v>2387.7231970227112</v>
          </cell>
          <cell r="BH22">
            <v>2447.3250116828635</v>
          </cell>
          <cell r="BI22">
            <v>9836.8482087055745</v>
          </cell>
          <cell r="BK22">
            <v>2548.2759793021423</v>
          </cell>
          <cell r="BL22">
            <v>2614.8076235212275</v>
          </cell>
          <cell r="BM22">
            <v>2454.1030277883074</v>
          </cell>
          <cell r="BN22">
            <v>2516.5520113776174</v>
          </cell>
          <cell r="BO22">
            <v>10133.738641989294</v>
          </cell>
          <cell r="BQ22">
            <v>2617.1345076595826</v>
          </cell>
          <cell r="BR22">
            <v>2692.9974260991071</v>
          </cell>
          <cell r="BS22">
            <v>2523.7543866320093</v>
          </cell>
          <cell r="BT22">
            <v>2598.3562872365055</v>
          </cell>
          <cell r="BU22">
            <v>10432.242607627206</v>
          </cell>
          <cell r="BW22">
            <v>2708.9305329389731</v>
          </cell>
          <cell r="BX22">
            <v>2782.251583903048</v>
          </cell>
          <cell r="BY22">
            <v>2603.2036023840888</v>
          </cell>
          <cell r="BZ22">
            <v>2692.6938712344704</v>
          </cell>
          <cell r="CA22">
            <v>10787.07959046058</v>
          </cell>
        </row>
        <row r="24">
          <cell r="C24" t="str">
            <v>EBITA (non-GAAP)</v>
          </cell>
          <cell r="I24">
            <v>59.838000000000022</v>
          </cell>
          <cell r="J24">
            <v>65.428999999999974</v>
          </cell>
          <cell r="K24">
            <v>70.7349999999999</v>
          </cell>
          <cell r="L24">
            <v>80.450000000000045</v>
          </cell>
          <cell r="M24">
            <v>279.53300000000036</v>
          </cell>
          <cell r="O24">
            <v>61.486999999999966</v>
          </cell>
          <cell r="P24">
            <v>80.862999999999943</v>
          </cell>
          <cell r="Q24">
            <v>94.700000000000045</v>
          </cell>
          <cell r="R24">
            <v>113.44200000000012</v>
          </cell>
          <cell r="S24">
            <v>350.49200000000019</v>
          </cell>
          <cell r="U24">
            <v>97.000000000000114</v>
          </cell>
          <cell r="V24">
            <v>103.87400000000002</v>
          </cell>
          <cell r="W24">
            <v>108.678</v>
          </cell>
          <cell r="X24">
            <v>263.31699999999978</v>
          </cell>
          <cell r="Y24">
            <v>563.20000000000027</v>
          </cell>
          <cell r="AA24">
            <v>375.50000000000045</v>
          </cell>
          <cell r="AB24">
            <v>404.60000000000014</v>
          </cell>
          <cell r="AC24">
            <v>404.70000000000005</v>
          </cell>
          <cell r="AD24">
            <v>452.09999999999991</v>
          </cell>
          <cell r="AE24">
            <v>1598.6000000000004</v>
          </cell>
          <cell r="AG24">
            <v>447.09999999999991</v>
          </cell>
          <cell r="AH24">
            <v>476.60000000000036</v>
          </cell>
          <cell r="AI24">
            <v>454.40000000000009</v>
          </cell>
          <cell r="AJ24">
            <v>491.69999999999982</v>
          </cell>
          <cell r="AK24">
            <v>1816.8999999999978</v>
          </cell>
          <cell r="AM24">
            <v>349.00000000000023</v>
          </cell>
          <cell r="AN24">
            <v>418.59999999999991</v>
          </cell>
          <cell r="AO24">
            <v>437.5</v>
          </cell>
          <cell r="AP24">
            <v>509.79999999999973</v>
          </cell>
          <cell r="AQ24">
            <v>1649.4000000000015</v>
          </cell>
          <cell r="AS24">
            <v>454.90000000000009</v>
          </cell>
          <cell r="AT24">
            <v>447.40000000000009</v>
          </cell>
          <cell r="AU24">
            <v>451.09999999999991</v>
          </cell>
          <cell r="AV24">
            <v>486.69999999999982</v>
          </cell>
          <cell r="AW24">
            <v>1840.1000000000004</v>
          </cell>
          <cell r="AY24">
            <v>478.19999999999982</v>
          </cell>
          <cell r="AZ24">
            <v>510.29999999999973</v>
          </cell>
          <cell r="BA24">
            <v>546.79999999999973</v>
          </cell>
          <cell r="BB24">
            <v>592.5</v>
          </cell>
          <cell r="BC24">
            <v>2127.7999999999975</v>
          </cell>
          <cell r="BE24">
            <v>573</v>
          </cell>
          <cell r="BF24">
            <v>590.09999999999991</v>
          </cell>
          <cell r="BG24">
            <v>574.47964439206589</v>
          </cell>
          <cell r="BH24">
            <v>607.21515781864127</v>
          </cell>
          <cell r="BI24">
            <v>2344.7948022107066</v>
          </cell>
          <cell r="BK24">
            <v>599.49612102785795</v>
          </cell>
          <cell r="BL24">
            <v>622.77793001877262</v>
          </cell>
          <cell r="BM24">
            <v>594.232205711608</v>
          </cell>
          <cell r="BN24">
            <v>630.28274509499806</v>
          </cell>
          <cell r="BO24">
            <v>2446.7890018532362</v>
          </cell>
          <cell r="BQ24">
            <v>637.80925423361759</v>
          </cell>
          <cell r="BR24">
            <v>664.26346374699278</v>
          </cell>
          <cell r="BS24">
            <v>632.6613394973765</v>
          </cell>
          <cell r="BT24">
            <v>673.27165288508331</v>
          </cell>
          <cell r="BU24">
            <v>2608.0057103630697</v>
          </cell>
          <cell r="BW24">
            <v>683.38514505062085</v>
          </cell>
          <cell r="BX24">
            <v>710.22587115370288</v>
          </cell>
          <cell r="BY24">
            <v>675.12871910853664</v>
          </cell>
          <cell r="BZ24">
            <v>721.35863942627202</v>
          </cell>
          <cell r="CA24">
            <v>2790.0983747391329</v>
          </cell>
        </row>
        <row r="25">
          <cell r="C25" t="str">
            <v>Depreciation</v>
          </cell>
          <cell r="I25">
            <v>10.878</v>
          </cell>
          <cell r="J25">
            <v>10.782</v>
          </cell>
          <cell r="K25">
            <v>10.204000000000001</v>
          </cell>
          <cell r="L25">
            <v>11.477</v>
          </cell>
          <cell r="M25">
            <v>43.341000000000001</v>
          </cell>
          <cell r="O25">
            <v>10.151999999999999</v>
          </cell>
          <cell r="P25">
            <v>10.76</v>
          </cell>
          <cell r="Q25">
            <v>12.34</v>
          </cell>
          <cell r="R25">
            <v>12.419999999999996</v>
          </cell>
          <cell r="S25">
            <v>45.67199999999999</v>
          </cell>
          <cell r="U25">
            <v>11.8</v>
          </cell>
          <cell r="V25">
            <v>13.4</v>
          </cell>
          <cell r="W25">
            <v>13.4</v>
          </cell>
          <cell r="X25">
            <v>30.400000000000002</v>
          </cell>
          <cell r="Y25">
            <v>69</v>
          </cell>
          <cell r="AA25">
            <v>46</v>
          </cell>
          <cell r="AB25">
            <v>45</v>
          </cell>
          <cell r="AC25">
            <v>46.1</v>
          </cell>
          <cell r="AD25">
            <v>41.900000000000006</v>
          </cell>
          <cell r="AE25">
            <v>179</v>
          </cell>
          <cell r="AG25">
            <v>47.6</v>
          </cell>
          <cell r="AH25">
            <v>48.2</v>
          </cell>
          <cell r="AI25">
            <v>47.7</v>
          </cell>
          <cell r="AJ25">
            <v>39.199999999999996</v>
          </cell>
          <cell r="AK25">
            <v>182.7</v>
          </cell>
          <cell r="AM25">
            <v>45</v>
          </cell>
          <cell r="AN25">
            <v>47.2</v>
          </cell>
          <cell r="AO25">
            <v>47.3</v>
          </cell>
          <cell r="AP25">
            <v>43.499999999999986</v>
          </cell>
          <cell r="AQ25">
            <v>183</v>
          </cell>
          <cell r="AS25">
            <v>46.9</v>
          </cell>
          <cell r="AT25">
            <v>47.5</v>
          </cell>
          <cell r="AU25">
            <v>47.3</v>
          </cell>
          <cell r="AV25">
            <v>49.6</v>
          </cell>
          <cell r="AW25">
            <v>191.29999999999998</v>
          </cell>
          <cell r="AY25">
            <v>48.9</v>
          </cell>
          <cell r="AZ25">
            <v>51.4</v>
          </cell>
          <cell r="BA25">
            <v>55.1</v>
          </cell>
          <cell r="BB25">
            <v>60.2</v>
          </cell>
          <cell r="BC25">
            <v>215.60000000000002</v>
          </cell>
          <cell r="BE25">
            <v>59.9</v>
          </cell>
          <cell r="BF25">
            <v>58.2</v>
          </cell>
          <cell r="BG25">
            <v>54.116208453016007</v>
          </cell>
          <cell r="BH25">
            <v>56.258710538153785</v>
          </cell>
          <cell r="BI25">
            <v>228.4749189911698</v>
          </cell>
          <cell r="BK25">
            <v>59.991179738172313</v>
          </cell>
          <cell r="BL25">
            <v>61.768032329741438</v>
          </cell>
          <cell r="BM25">
            <v>63.59558276791681</v>
          </cell>
          <cell r="BN25">
            <v>65.316305293873484</v>
          </cell>
          <cell r="BO25">
            <v>250.67110012970403</v>
          </cell>
          <cell r="BQ25">
            <v>67.092628774119092</v>
          </cell>
          <cell r="BR25">
            <v>68.965311194370472</v>
          </cell>
          <cell r="BS25">
            <v>70.896860219031808</v>
          </cell>
          <cell r="BT25">
            <v>72.712856031472342</v>
          </cell>
          <cell r="BU25">
            <v>279.66765621899367</v>
          </cell>
          <cell r="BW25">
            <v>74.595137440078133</v>
          </cell>
          <cell r="BX25">
            <v>76.583679558328157</v>
          </cell>
          <cell r="BY25">
            <v>78.630935526126194</v>
          </cell>
          <cell r="BZ25">
            <v>80.552661720774424</v>
          </cell>
          <cell r="CA25">
            <v>310.36241424530692</v>
          </cell>
        </row>
        <row r="26">
          <cell r="C26" t="str">
            <v>Stock based compensation</v>
          </cell>
          <cell r="M26">
            <v>17.8</v>
          </cell>
          <cell r="S26">
            <v>2.8</v>
          </cell>
        </row>
        <row r="27">
          <cell r="C27" t="str">
            <v>EBITDA (non-GAAP)</v>
          </cell>
          <cell r="I27">
            <v>70.716000000000022</v>
          </cell>
          <cell r="J27">
            <v>76.21099999999997</v>
          </cell>
          <cell r="K27">
            <v>80.938999999999908</v>
          </cell>
          <cell r="L27">
            <v>91.927000000000049</v>
          </cell>
          <cell r="M27">
            <v>340.67400000000038</v>
          </cell>
          <cell r="O27">
            <v>71.638999999999967</v>
          </cell>
          <cell r="P27">
            <v>91.622999999999948</v>
          </cell>
          <cell r="Q27">
            <v>107.04000000000005</v>
          </cell>
          <cell r="R27">
            <v>125.86200000000012</v>
          </cell>
          <cell r="S27">
            <v>398.96400000000017</v>
          </cell>
          <cell r="U27">
            <v>108.80000000000011</v>
          </cell>
          <cell r="V27">
            <v>117.27400000000003</v>
          </cell>
          <cell r="W27">
            <v>122.078</v>
          </cell>
          <cell r="X27">
            <v>293.71699999999976</v>
          </cell>
          <cell r="Y27">
            <v>632.20000000000027</v>
          </cell>
          <cell r="AA27">
            <v>421.50000000000045</v>
          </cell>
          <cell r="AB27">
            <v>449.60000000000014</v>
          </cell>
          <cell r="AC27">
            <v>450.80000000000007</v>
          </cell>
          <cell r="AD27">
            <v>493.99999999999989</v>
          </cell>
          <cell r="AE27">
            <v>1777.6000000000004</v>
          </cell>
          <cell r="AG27">
            <v>494.69999999999993</v>
          </cell>
          <cell r="AH27">
            <v>524.80000000000041</v>
          </cell>
          <cell r="AI27">
            <v>502.10000000000008</v>
          </cell>
          <cell r="AJ27">
            <v>530.89999999999986</v>
          </cell>
          <cell r="AK27">
            <v>1999.5999999999979</v>
          </cell>
          <cell r="AM27">
            <v>394.00000000000023</v>
          </cell>
          <cell r="AN27">
            <v>465.7999999999999</v>
          </cell>
          <cell r="AO27">
            <v>484.8</v>
          </cell>
          <cell r="AP27">
            <v>553.29999999999973</v>
          </cell>
          <cell r="AQ27">
            <v>1832.4000000000015</v>
          </cell>
          <cell r="AS27">
            <v>501.80000000000007</v>
          </cell>
          <cell r="AT27">
            <v>494.90000000000009</v>
          </cell>
          <cell r="AU27">
            <v>498.39999999999992</v>
          </cell>
          <cell r="AV27">
            <v>536.29999999999984</v>
          </cell>
          <cell r="AW27">
            <v>2031.4000000000003</v>
          </cell>
          <cell r="AY27">
            <v>527.0999999999998</v>
          </cell>
          <cell r="AZ27">
            <v>561.6999999999997</v>
          </cell>
          <cell r="BA27">
            <v>601.89999999999975</v>
          </cell>
          <cell r="BB27">
            <v>652.70000000000005</v>
          </cell>
          <cell r="BC27">
            <v>2343.3999999999974</v>
          </cell>
          <cell r="BE27">
            <v>632.9</v>
          </cell>
          <cell r="BF27">
            <v>648.29999999999995</v>
          </cell>
          <cell r="BG27">
            <v>628.59585284508194</v>
          </cell>
          <cell r="BH27">
            <v>663.47386835679504</v>
          </cell>
          <cell r="BI27">
            <v>2573.2697212018766</v>
          </cell>
          <cell r="BK27">
            <v>659.48730076603022</v>
          </cell>
          <cell r="BL27">
            <v>684.54596234851408</v>
          </cell>
          <cell r="BM27">
            <v>657.82778847952477</v>
          </cell>
          <cell r="BN27">
            <v>695.59905038887155</v>
          </cell>
          <cell r="BO27">
            <v>2697.4601019829402</v>
          </cell>
          <cell r="BQ27">
            <v>704.90188300773673</v>
          </cell>
          <cell r="BR27">
            <v>733.22877494136321</v>
          </cell>
          <cell r="BS27">
            <v>703.55819971640835</v>
          </cell>
          <cell r="BT27">
            <v>745.98450891655568</v>
          </cell>
          <cell r="BU27">
            <v>2887.6733665820634</v>
          </cell>
          <cell r="BW27">
            <v>757.98028249069898</v>
          </cell>
          <cell r="BX27">
            <v>786.80955071203107</v>
          </cell>
          <cell r="BY27">
            <v>753.75965463466287</v>
          </cell>
          <cell r="BZ27">
            <v>801.9113011470464</v>
          </cell>
          <cell r="CA27">
            <v>3100.4607889844397</v>
          </cell>
        </row>
        <row r="28">
          <cell r="C28" t="str">
            <v>Other expense, net</v>
          </cell>
          <cell r="I28">
            <v>2.6019999999999999</v>
          </cell>
          <cell r="J28">
            <v>10.667</v>
          </cell>
          <cell r="K28">
            <v>2.4710000000000001</v>
          </cell>
          <cell r="L28">
            <v>5.9670000000000005</v>
          </cell>
          <cell r="M28">
            <v>12.1</v>
          </cell>
          <cell r="O28">
            <v>3.3039999999999998</v>
          </cell>
          <cell r="P28">
            <v>25.504000000000001</v>
          </cell>
          <cell r="Q28">
            <v>-2.7509999999999999</v>
          </cell>
          <cell r="R28">
            <v>-3.6460000000000004</v>
          </cell>
          <cell r="S28">
            <v>22.410999999999998</v>
          </cell>
          <cell r="U28">
            <v>-3.7789999999999999</v>
          </cell>
          <cell r="V28">
            <v>-3.383</v>
          </cell>
          <cell r="W28">
            <v>-5.7430000000000003</v>
          </cell>
          <cell r="X28">
            <v>-19.683999999999997</v>
          </cell>
          <cell r="Y28">
            <v>-35.400000000000091</v>
          </cell>
          <cell r="AA28">
            <v>-26.7</v>
          </cell>
          <cell r="AB28">
            <v>-20.599999999999998</v>
          </cell>
          <cell r="AC28">
            <v>-18.2</v>
          </cell>
          <cell r="AD28">
            <v>-21.6</v>
          </cell>
          <cell r="AE28">
            <v>-107.69999999999982</v>
          </cell>
          <cell r="AG28">
            <v>-21.9</v>
          </cell>
          <cell r="AH28">
            <v>-22</v>
          </cell>
          <cell r="AI28">
            <v>-22.1</v>
          </cell>
          <cell r="AJ28">
            <v>-17.700000000000003</v>
          </cell>
          <cell r="AK28">
            <v>-104.60000000000014</v>
          </cell>
          <cell r="AM28">
            <v>-21.8</v>
          </cell>
          <cell r="AN28">
            <v>-26.000000000000004</v>
          </cell>
          <cell r="AO28">
            <v>-26</v>
          </cell>
          <cell r="AP28">
            <v>-27.599999999999994</v>
          </cell>
          <cell r="AQ28">
            <v>-101.30000000000018</v>
          </cell>
          <cell r="AS28">
            <v>-22.600000000000023</v>
          </cell>
          <cell r="AT28">
            <v>-20.699999999999932</v>
          </cell>
          <cell r="AU28">
            <v>-13.899999999999977</v>
          </cell>
          <cell r="AV28">
            <v>-14.800000000000011</v>
          </cell>
          <cell r="AW28">
            <v>-71.999999999999943</v>
          </cell>
          <cell r="AY28">
            <v>-21.699999999999989</v>
          </cell>
          <cell r="AZ28">
            <v>-31.300000000000011</v>
          </cell>
          <cell r="BA28">
            <v>-44.699999999999932</v>
          </cell>
          <cell r="BB28">
            <v>-52.699999999999932</v>
          </cell>
          <cell r="BC28">
            <v>-150.39999999999986</v>
          </cell>
          <cell r="BE28">
            <v>-48.7</v>
          </cell>
          <cell r="BF28">
            <v>-45</v>
          </cell>
          <cell r="BG28">
            <v>-65</v>
          </cell>
          <cell r="BH28">
            <v>-66</v>
          </cell>
          <cell r="BI28">
            <v>-224.7</v>
          </cell>
          <cell r="BK28">
            <v>-46.71619510034666</v>
          </cell>
          <cell r="BL28">
            <v>-46.946405401611656</v>
          </cell>
          <cell r="BM28">
            <v>-45.505220811841525</v>
          </cell>
          <cell r="BN28">
            <v>-44.045260390704875</v>
          </cell>
          <cell r="BO28">
            <v>-183.2130817045047</v>
          </cell>
          <cell r="BQ28">
            <v>-40.843911119621026</v>
          </cell>
          <cell r="BR28">
            <v>-41.956400744679591</v>
          </cell>
          <cell r="BS28">
            <v>-40.55455161471258</v>
          </cell>
          <cell r="BT28">
            <v>-35.291556059203501</v>
          </cell>
          <cell r="BU28">
            <v>-158.64641953821672</v>
          </cell>
          <cell r="BW28">
            <v>-36.076674331650167</v>
          </cell>
          <cell r="BX28">
            <v>-28.29914366690463</v>
          </cell>
          <cell r="BY28">
            <v>-30.617511906393428</v>
          </cell>
          <cell r="BZ28">
            <v>-28.695245313754775</v>
          </cell>
          <cell r="CA28">
            <v>-123.68857521870299</v>
          </cell>
        </row>
        <row r="29">
          <cell r="C29" t="str">
            <v>Pretax Income</v>
          </cell>
          <cell r="I29">
            <v>62.440000000000019</v>
          </cell>
          <cell r="J29">
            <v>76.095999999999975</v>
          </cell>
          <cell r="K29">
            <v>73.205999999999904</v>
          </cell>
          <cell r="L29">
            <v>86.417000000000044</v>
          </cell>
          <cell r="M29">
            <v>291.63300000000038</v>
          </cell>
          <cell r="O29">
            <v>64.790999999999968</v>
          </cell>
          <cell r="P29">
            <v>106.36699999999995</v>
          </cell>
          <cell r="Q29">
            <v>91.949000000000041</v>
          </cell>
          <cell r="R29">
            <v>109.79600000000012</v>
          </cell>
          <cell r="S29">
            <v>372.90300000000019</v>
          </cell>
          <cell r="U29">
            <v>93.221000000000117</v>
          </cell>
          <cell r="V29">
            <v>100.49100000000003</v>
          </cell>
          <cell r="W29">
            <v>102.935</v>
          </cell>
          <cell r="X29">
            <v>243.63299999999978</v>
          </cell>
          <cell r="Y29">
            <v>527.80000000000018</v>
          </cell>
          <cell r="AA29">
            <v>348.80000000000047</v>
          </cell>
          <cell r="AB29">
            <v>384.00000000000011</v>
          </cell>
          <cell r="AC29">
            <v>386.50000000000006</v>
          </cell>
          <cell r="AD29">
            <v>430.49999999999989</v>
          </cell>
          <cell r="AE29">
            <v>1490.9000000000005</v>
          </cell>
          <cell r="AG29">
            <v>425.19999999999993</v>
          </cell>
          <cell r="AH29">
            <v>454.60000000000036</v>
          </cell>
          <cell r="AI29">
            <v>432.30000000000007</v>
          </cell>
          <cell r="AJ29">
            <v>473.99999999999983</v>
          </cell>
          <cell r="AK29">
            <v>1712.2999999999977</v>
          </cell>
          <cell r="AM29">
            <v>327.20000000000022</v>
          </cell>
          <cell r="AN29">
            <v>392.59999999999991</v>
          </cell>
          <cell r="AO29">
            <v>411.5</v>
          </cell>
          <cell r="AP29">
            <v>482.1999999999997</v>
          </cell>
          <cell r="AQ29">
            <v>1548.1000000000013</v>
          </cell>
          <cell r="AS29">
            <v>432.30000000000007</v>
          </cell>
          <cell r="AT29">
            <v>426.70000000000016</v>
          </cell>
          <cell r="AU29">
            <v>437.19999999999993</v>
          </cell>
          <cell r="AV29">
            <v>471.89999999999981</v>
          </cell>
          <cell r="AW29">
            <v>1768.1000000000004</v>
          </cell>
          <cell r="AY29">
            <v>456.49999999999983</v>
          </cell>
          <cell r="AZ29">
            <v>478.99999999999972</v>
          </cell>
          <cell r="BA29">
            <v>502.0999999999998</v>
          </cell>
          <cell r="BB29">
            <v>539.80000000000007</v>
          </cell>
          <cell r="BC29">
            <v>1977.3999999999976</v>
          </cell>
          <cell r="BE29">
            <v>524.29999999999995</v>
          </cell>
          <cell r="BF29">
            <v>545.09999999999991</v>
          </cell>
          <cell r="BG29">
            <v>509.47964439206589</v>
          </cell>
          <cell r="BH29">
            <v>541.21515781864127</v>
          </cell>
          <cell r="BI29">
            <v>2120.0948022107068</v>
          </cell>
          <cell r="BK29">
            <v>552.77992592751127</v>
          </cell>
          <cell r="BL29">
            <v>575.83152461716099</v>
          </cell>
          <cell r="BM29">
            <v>548.72698489976642</v>
          </cell>
          <cell r="BN29">
            <v>586.23748470429314</v>
          </cell>
          <cell r="BO29">
            <v>2263.5759201487317</v>
          </cell>
          <cell r="BQ29">
            <v>596.9653431139966</v>
          </cell>
          <cell r="BR29">
            <v>622.30706300231316</v>
          </cell>
          <cell r="BS29">
            <v>592.10678788266387</v>
          </cell>
          <cell r="BT29">
            <v>637.98009682587985</v>
          </cell>
          <cell r="BU29">
            <v>2449.3592908248529</v>
          </cell>
          <cell r="BW29">
            <v>647.30847071897074</v>
          </cell>
          <cell r="BX29">
            <v>681.9267274867982</v>
          </cell>
          <cell r="BY29">
            <v>644.51120720214317</v>
          </cell>
          <cell r="BZ29">
            <v>692.66339411251727</v>
          </cell>
          <cell r="CA29">
            <v>2666.4097995204297</v>
          </cell>
        </row>
        <row r="30">
          <cell r="C30" t="str">
            <v>Provision for income taxes</v>
          </cell>
          <cell r="I30">
            <v>15.811</v>
          </cell>
          <cell r="J30">
            <v>19.058</v>
          </cell>
          <cell r="K30">
            <v>19.451000000000001</v>
          </cell>
          <cell r="L30">
            <v>-13.468</v>
          </cell>
          <cell r="M30">
            <v>77</v>
          </cell>
          <cell r="O30">
            <v>17.785</v>
          </cell>
          <cell r="P30">
            <v>50.914999999999999</v>
          </cell>
          <cell r="Q30">
            <v>30.009999999999998</v>
          </cell>
          <cell r="R30">
            <v>32.704999999999998</v>
          </cell>
          <cell r="S30">
            <v>131.41500000000002</v>
          </cell>
          <cell r="U30">
            <v>28.413999999999998</v>
          </cell>
          <cell r="V30">
            <v>30.719000000000001</v>
          </cell>
          <cell r="W30">
            <v>31.494</v>
          </cell>
          <cell r="X30">
            <v>61.996999999999993</v>
          </cell>
          <cell r="Y30">
            <v>148.30000000000001</v>
          </cell>
          <cell r="AA30">
            <v>87.3</v>
          </cell>
          <cell r="AB30">
            <v>92.9</v>
          </cell>
          <cell r="AC30">
            <v>95.2</v>
          </cell>
          <cell r="AD30">
            <v>97</v>
          </cell>
          <cell r="AE30">
            <v>349.2</v>
          </cell>
          <cell r="AG30">
            <v>103.4</v>
          </cell>
          <cell r="AH30">
            <v>107.6</v>
          </cell>
          <cell r="AI30">
            <v>100.69999999999999</v>
          </cell>
          <cell r="AJ30">
            <v>99.1</v>
          </cell>
          <cell r="AK30">
            <v>382.3</v>
          </cell>
          <cell r="AM30">
            <v>65.400000000000006</v>
          </cell>
          <cell r="AN30">
            <v>78.5</v>
          </cell>
          <cell r="AO30">
            <v>82.3</v>
          </cell>
          <cell r="AP30">
            <v>96.6</v>
          </cell>
          <cell r="AQ30">
            <v>297.10000000000002</v>
          </cell>
          <cell r="AS30">
            <v>90.9</v>
          </cell>
          <cell r="AT30">
            <v>88.4</v>
          </cell>
          <cell r="AU30">
            <v>85.6</v>
          </cell>
          <cell r="AV30">
            <v>87.5</v>
          </cell>
          <cell r="AW30">
            <v>352.4</v>
          </cell>
          <cell r="AY30">
            <v>93.6</v>
          </cell>
          <cell r="AZ30">
            <v>96</v>
          </cell>
          <cell r="BA30">
            <v>92.9</v>
          </cell>
          <cell r="BB30">
            <v>95.2</v>
          </cell>
          <cell r="BC30">
            <v>377.7</v>
          </cell>
          <cell r="BE30">
            <v>91.8</v>
          </cell>
          <cell r="BF30">
            <v>96</v>
          </cell>
          <cell r="BG30">
            <v>87.121019191043274</v>
          </cell>
          <cell r="BH30">
            <v>92.494097991523631</v>
          </cell>
          <cell r="BI30">
            <v>367.41511718256692</v>
          </cell>
          <cell r="BK30">
            <v>96.183707111386951</v>
          </cell>
          <cell r="BL30">
            <v>100.19468528338601</v>
          </cell>
          <cell r="BM30">
            <v>95.478495372559351</v>
          </cell>
          <cell r="BN30">
            <v>102.00532233854699</v>
          </cell>
          <cell r="BO30">
            <v>393.86221010587929</v>
          </cell>
          <cell r="BQ30">
            <v>103.8719697018354</v>
          </cell>
          <cell r="BR30">
            <v>108.28142896240249</v>
          </cell>
          <cell r="BS30">
            <v>103.02658109158351</v>
          </cell>
          <cell r="BT30">
            <v>111.00853684770294</v>
          </cell>
          <cell r="BU30">
            <v>426.18851660352436</v>
          </cell>
          <cell r="BW30">
            <v>112.6316739051009</v>
          </cell>
          <cell r="BX30">
            <v>118.65525058270288</v>
          </cell>
          <cell r="BY30">
            <v>112.14495005317291</v>
          </cell>
          <cell r="BZ30">
            <v>120.523430575578</v>
          </cell>
          <cell r="CA30">
            <v>463.95530511655471</v>
          </cell>
        </row>
        <row r="31">
          <cell r="C31" t="str">
            <v>Adjustment for one-time items</v>
          </cell>
          <cell r="L31">
            <v>37.664999999999999</v>
          </cell>
          <cell r="M31">
            <v>51.991</v>
          </cell>
          <cell r="O31">
            <v>0.38800000000000001</v>
          </cell>
          <cell r="P31">
            <v>28.957000000000001</v>
          </cell>
          <cell r="Q31">
            <v>11.247999999999999</v>
          </cell>
          <cell r="R31">
            <v>3.2250000000000001</v>
          </cell>
          <cell r="S31">
            <v>43.818000000000005</v>
          </cell>
          <cell r="U31">
            <v>7.9669999999999996</v>
          </cell>
          <cell r="V31">
            <v>10.872</v>
          </cell>
          <cell r="W31">
            <v>10.959</v>
          </cell>
          <cell r="X31">
            <v>79.771999999999991</v>
          </cell>
          <cell r="AE31">
            <v>0</v>
          </cell>
          <cell r="AK31">
            <v>0</v>
          </cell>
        </row>
        <row r="32">
          <cell r="C32" t="str">
            <v>Net Income (Non-GAAP) - continuing ops</v>
          </cell>
          <cell r="I32">
            <v>46.629000000000019</v>
          </cell>
          <cell r="J32">
            <v>57.037999999999975</v>
          </cell>
          <cell r="K32">
            <v>53.754999999999903</v>
          </cell>
          <cell r="L32">
            <v>99.885000000000048</v>
          </cell>
          <cell r="M32">
            <v>214.63300000000038</v>
          </cell>
          <cell r="O32">
            <v>47.005999999999972</v>
          </cell>
          <cell r="P32">
            <v>55.451999999999948</v>
          </cell>
          <cell r="Q32">
            <v>61.939000000000043</v>
          </cell>
          <cell r="R32">
            <v>77.091000000000122</v>
          </cell>
          <cell r="S32">
            <v>241.48800000000017</v>
          </cell>
          <cell r="U32">
            <v>64.807000000000116</v>
          </cell>
          <cell r="V32">
            <v>69.77200000000002</v>
          </cell>
          <cell r="W32">
            <v>71.441000000000003</v>
          </cell>
          <cell r="X32">
            <v>181.6359999999998</v>
          </cell>
          <cell r="Y32">
            <v>379.50000000000017</v>
          </cell>
          <cell r="AA32">
            <v>261.50000000000045</v>
          </cell>
          <cell r="AB32">
            <v>291.10000000000014</v>
          </cell>
          <cell r="AC32">
            <v>291.30000000000007</v>
          </cell>
          <cell r="AD32">
            <v>333.49999999999989</v>
          </cell>
          <cell r="AE32">
            <v>1141.7000000000005</v>
          </cell>
          <cell r="AG32">
            <v>321.79999999999995</v>
          </cell>
          <cell r="AH32">
            <v>347.00000000000034</v>
          </cell>
          <cell r="AI32">
            <v>331.60000000000008</v>
          </cell>
          <cell r="AJ32">
            <v>374.89999999999986</v>
          </cell>
          <cell r="AK32">
            <v>1329.9999999999977</v>
          </cell>
          <cell r="AM32">
            <v>261.80000000000018</v>
          </cell>
          <cell r="AN32">
            <v>314.09999999999991</v>
          </cell>
          <cell r="AO32">
            <v>329.2</v>
          </cell>
          <cell r="AP32">
            <v>385.59999999999968</v>
          </cell>
          <cell r="AQ32">
            <v>1251.0000000000014</v>
          </cell>
          <cell r="AS32">
            <v>341.40000000000009</v>
          </cell>
          <cell r="AT32">
            <v>338.30000000000018</v>
          </cell>
          <cell r="AU32">
            <v>351.59999999999991</v>
          </cell>
          <cell r="AV32">
            <v>384.39999999999981</v>
          </cell>
          <cell r="AW32">
            <v>1415.7000000000003</v>
          </cell>
          <cell r="AY32">
            <v>362.89999999999986</v>
          </cell>
          <cell r="AZ32">
            <v>382.99999999999972</v>
          </cell>
          <cell r="BA32">
            <v>409.19999999999982</v>
          </cell>
          <cell r="BB32">
            <v>444.60000000000008</v>
          </cell>
          <cell r="BC32">
            <v>1599.6999999999975</v>
          </cell>
          <cell r="BE32">
            <v>432.49999999999994</v>
          </cell>
          <cell r="BF32">
            <v>449.09999999999991</v>
          </cell>
          <cell r="BG32">
            <v>422.35862520102262</v>
          </cell>
          <cell r="BH32">
            <v>448.72105982711764</v>
          </cell>
          <cell r="BI32">
            <v>1752.6796850281398</v>
          </cell>
          <cell r="BK32">
            <v>456.59621881612429</v>
          </cell>
          <cell r="BL32">
            <v>475.63683933377501</v>
          </cell>
          <cell r="BM32">
            <v>453.24848952720708</v>
          </cell>
          <cell r="BN32">
            <v>484.23216236574615</v>
          </cell>
          <cell r="BO32">
            <v>1869.7137100428524</v>
          </cell>
          <cell r="BQ32">
            <v>493.09337341216121</v>
          </cell>
          <cell r="BR32">
            <v>514.02563403991064</v>
          </cell>
          <cell r="BS32">
            <v>489.08020679108034</v>
          </cell>
          <cell r="BT32">
            <v>526.97155997817686</v>
          </cell>
          <cell r="BU32">
            <v>2023.1707742213284</v>
          </cell>
          <cell r="BW32">
            <v>534.67679681386983</v>
          </cell>
          <cell r="BX32">
            <v>563.27147690409538</v>
          </cell>
          <cell r="BY32">
            <v>532.36625714897025</v>
          </cell>
          <cell r="BZ32">
            <v>572.13996353693926</v>
          </cell>
          <cell r="CA32">
            <v>2202.4544944038748</v>
          </cell>
        </row>
        <row r="33">
          <cell r="C33" t="str">
            <v>Income from discontinued operations</v>
          </cell>
          <cell r="S33">
            <v>0</v>
          </cell>
          <cell r="Y33">
            <v>0</v>
          </cell>
          <cell r="AE33">
            <v>0</v>
          </cell>
          <cell r="AK33">
            <v>0</v>
          </cell>
          <cell r="AQ33">
            <v>0</v>
          </cell>
          <cell r="AW33">
            <v>0</v>
          </cell>
          <cell r="BC33">
            <v>0</v>
          </cell>
          <cell r="BG33">
            <v>0</v>
          </cell>
          <cell r="BH33">
            <v>0</v>
          </cell>
          <cell r="BI33">
            <v>0</v>
          </cell>
          <cell r="BK33">
            <v>0</v>
          </cell>
          <cell r="BL33">
            <v>0</v>
          </cell>
          <cell r="BM33">
            <v>0</v>
          </cell>
          <cell r="BN33">
            <v>0</v>
          </cell>
          <cell r="BO33">
            <v>0</v>
          </cell>
        </row>
        <row r="34">
          <cell r="C34" t="str">
            <v>Loss (Gain) on discontinued operations</v>
          </cell>
          <cell r="S34">
            <v>0</v>
          </cell>
          <cell r="AW34">
            <v>0</v>
          </cell>
          <cell r="BC34">
            <v>0</v>
          </cell>
          <cell r="BG34">
            <v>0</v>
          </cell>
          <cell r="BH34">
            <v>0</v>
          </cell>
          <cell r="BI34">
            <v>0</v>
          </cell>
          <cell r="BK34">
            <v>0</v>
          </cell>
          <cell r="BL34">
            <v>0</v>
          </cell>
          <cell r="BM34">
            <v>0</v>
          </cell>
          <cell r="BN34">
            <v>0</v>
          </cell>
          <cell r="BO34">
            <v>0</v>
          </cell>
          <cell r="BQ34">
            <v>0</v>
          </cell>
          <cell r="BR34">
            <v>0</v>
          </cell>
          <cell r="BS34">
            <v>0</v>
          </cell>
          <cell r="BT34">
            <v>0</v>
          </cell>
          <cell r="BU34">
            <v>0</v>
          </cell>
          <cell r="BW34">
            <v>0</v>
          </cell>
          <cell r="BX34">
            <v>0</v>
          </cell>
          <cell r="BY34">
            <v>0</v>
          </cell>
          <cell r="BZ34">
            <v>0</v>
          </cell>
          <cell r="CA34">
            <v>0</v>
          </cell>
        </row>
        <row r="35">
          <cell r="C35" t="str">
            <v>Net Income (Non-GAAP)</v>
          </cell>
          <cell r="I35">
            <v>46.629000000000019</v>
          </cell>
          <cell r="J35">
            <v>57.037999999999975</v>
          </cell>
          <cell r="K35">
            <v>53.754999999999903</v>
          </cell>
          <cell r="L35">
            <v>99.885000000000048</v>
          </cell>
          <cell r="M35">
            <v>214.63300000000038</v>
          </cell>
          <cell r="O35">
            <v>47.005999999999972</v>
          </cell>
          <cell r="P35">
            <v>55.451999999999948</v>
          </cell>
          <cell r="Q35">
            <v>61.939000000000043</v>
          </cell>
          <cell r="R35">
            <v>77.091000000000122</v>
          </cell>
          <cell r="S35">
            <v>241.48800000000017</v>
          </cell>
          <cell r="U35">
            <v>64.807000000000116</v>
          </cell>
          <cell r="V35">
            <v>69.77200000000002</v>
          </cell>
          <cell r="W35">
            <v>71.441000000000003</v>
          </cell>
          <cell r="X35">
            <v>181.6359999999998</v>
          </cell>
          <cell r="Y35">
            <v>379.50000000000017</v>
          </cell>
          <cell r="AA35">
            <v>261.50000000000045</v>
          </cell>
          <cell r="AB35">
            <v>291.10000000000014</v>
          </cell>
          <cell r="AC35">
            <v>291.30000000000007</v>
          </cell>
          <cell r="AD35">
            <v>333.49999999999989</v>
          </cell>
          <cell r="AE35">
            <v>1141.7000000000005</v>
          </cell>
          <cell r="AG35">
            <v>321.79999999999995</v>
          </cell>
          <cell r="AH35">
            <v>347.00000000000034</v>
          </cell>
          <cell r="AI35">
            <v>331.60000000000008</v>
          </cell>
          <cell r="AJ35">
            <v>374.89999999999986</v>
          </cell>
          <cell r="AK35">
            <v>1329.9999999999977</v>
          </cell>
          <cell r="AM35">
            <v>261.80000000000018</v>
          </cell>
          <cell r="AN35">
            <v>314.09999999999991</v>
          </cell>
          <cell r="AO35">
            <v>329.2</v>
          </cell>
          <cell r="AP35">
            <v>385.59999999999968</v>
          </cell>
          <cell r="AQ35">
            <v>1251.0000000000014</v>
          </cell>
          <cell r="AS35">
            <v>341.40000000000009</v>
          </cell>
          <cell r="AT35">
            <v>338.30000000000018</v>
          </cell>
          <cell r="AU35">
            <v>351.59999999999991</v>
          </cell>
          <cell r="AV35">
            <v>384.39999999999981</v>
          </cell>
          <cell r="AW35">
            <v>1415.7000000000003</v>
          </cell>
          <cell r="AY35">
            <v>362.89999999999986</v>
          </cell>
          <cell r="AZ35">
            <v>382.99999999999972</v>
          </cell>
          <cell r="BA35">
            <v>409.19999999999982</v>
          </cell>
          <cell r="BB35">
            <v>444.60000000000008</v>
          </cell>
          <cell r="BC35">
            <v>1599.6999999999975</v>
          </cell>
          <cell r="BE35">
            <v>432.49999999999994</v>
          </cell>
          <cell r="BF35">
            <v>449.09999999999991</v>
          </cell>
          <cell r="BG35">
            <v>422.35862520102262</v>
          </cell>
          <cell r="BH35">
            <v>448.72105982711764</v>
          </cell>
          <cell r="BI35">
            <v>1752.6796850281398</v>
          </cell>
          <cell r="BK35">
            <v>456.59621881612429</v>
          </cell>
          <cell r="BL35">
            <v>475.63683933377501</v>
          </cell>
          <cell r="BM35">
            <v>453.24848952720708</v>
          </cell>
          <cell r="BN35">
            <v>484.23216236574615</v>
          </cell>
          <cell r="BO35">
            <v>1869.7137100428524</v>
          </cell>
          <cell r="BQ35">
            <v>493.09337341216121</v>
          </cell>
          <cell r="BR35">
            <v>514.02563403991064</v>
          </cell>
          <cell r="BS35">
            <v>489.08020679108034</v>
          </cell>
          <cell r="BT35">
            <v>526.97155997817686</v>
          </cell>
          <cell r="BU35">
            <v>2023.1707742213284</v>
          </cell>
          <cell r="BW35">
            <v>534.67679681386983</v>
          </cell>
          <cell r="BX35">
            <v>563.27147690409538</v>
          </cell>
          <cell r="BY35">
            <v>532.36625714897025</v>
          </cell>
          <cell r="BZ35">
            <v>572.13996353693926</v>
          </cell>
          <cell r="CA35">
            <v>2202.4544944038748</v>
          </cell>
        </row>
        <row r="36">
          <cell r="C36" t="str">
            <v>One-time items</v>
          </cell>
          <cell r="I36">
            <v>6.9640000000000004</v>
          </cell>
          <cell r="J36">
            <v>6.4589999999999996</v>
          </cell>
          <cell r="K36">
            <v>11.114000000000001</v>
          </cell>
          <cell r="L36">
            <v>14.402999999999999</v>
          </cell>
          <cell r="M36">
            <v>32.420999999999992</v>
          </cell>
          <cell r="O36">
            <v>1.8109999999999999</v>
          </cell>
          <cell r="P36">
            <v>27.649000000000001</v>
          </cell>
          <cell r="Q36">
            <v>32.590000000000003</v>
          </cell>
          <cell r="R36">
            <v>24.954999999999998</v>
          </cell>
          <cell r="S36">
            <v>87.004999999999995</v>
          </cell>
          <cell r="U36">
            <v>29.155000000000001</v>
          </cell>
          <cell r="V36">
            <v>31.701000000000001</v>
          </cell>
          <cell r="W36">
            <v>33.567</v>
          </cell>
          <cell r="X36">
            <v>236.48699999999999</v>
          </cell>
          <cell r="Y36">
            <v>331.8</v>
          </cell>
          <cell r="AA36">
            <v>183.10000000000002</v>
          </cell>
          <cell r="AB36">
            <v>161.69999999999999</v>
          </cell>
          <cell r="AC36">
            <v>151.20000000000002</v>
          </cell>
          <cell r="AD36">
            <v>172.49999999999997</v>
          </cell>
          <cell r="AE36">
            <v>658.69999999999993</v>
          </cell>
          <cell r="AG36">
            <v>147.6</v>
          </cell>
          <cell r="AH36">
            <v>147.09999999999997</v>
          </cell>
          <cell r="AI36">
            <v>168.1</v>
          </cell>
          <cell r="AJ36">
            <v>173.7</v>
          </cell>
          <cell r="AK36">
            <v>619.4</v>
          </cell>
          <cell r="AM36">
            <v>112.9</v>
          </cell>
          <cell r="AN36">
            <v>107.2</v>
          </cell>
          <cell r="AO36">
            <v>108</v>
          </cell>
          <cell r="AP36">
            <v>201.30000000000004</v>
          </cell>
          <cell r="AQ36">
            <v>667.69999999999993</v>
          </cell>
          <cell r="AS36">
            <v>172.59999999999997</v>
          </cell>
          <cell r="AT36">
            <v>165.60000000000002</v>
          </cell>
          <cell r="AU36">
            <v>149.9</v>
          </cell>
          <cell r="AV36">
            <v>174.3</v>
          </cell>
          <cell r="AW36">
            <v>662.40000000000009</v>
          </cell>
          <cell r="AY36">
            <v>157.50000000000003</v>
          </cell>
          <cell r="AZ36">
            <v>223.4</v>
          </cell>
          <cell r="BA36">
            <v>237.4</v>
          </cell>
          <cell r="BB36">
            <v>232.5</v>
          </cell>
          <cell r="BC36">
            <v>850.80000000000007</v>
          </cell>
          <cell r="BE36">
            <v>219.3</v>
          </cell>
          <cell r="BF36">
            <v>224.3</v>
          </cell>
          <cell r="BG36">
            <v>209.50000000000003</v>
          </cell>
          <cell r="BH36">
            <v>209.50000000000003</v>
          </cell>
          <cell r="BI36">
            <v>862.6</v>
          </cell>
          <cell r="BK36">
            <v>186.82499999999999</v>
          </cell>
          <cell r="BL36">
            <v>186.82499999999999</v>
          </cell>
          <cell r="BM36">
            <v>186.82499999999999</v>
          </cell>
          <cell r="BN36">
            <v>186.82499999999999</v>
          </cell>
          <cell r="BO36">
            <v>747.3</v>
          </cell>
          <cell r="BQ36">
            <v>177.7</v>
          </cell>
          <cell r="BR36">
            <v>177.7</v>
          </cell>
          <cell r="BS36">
            <v>177.7</v>
          </cell>
          <cell r="BT36">
            <v>177.7</v>
          </cell>
          <cell r="BU36">
            <v>710.8</v>
          </cell>
          <cell r="BW36">
            <v>172.82499999999999</v>
          </cell>
          <cell r="BX36">
            <v>172.82499999999999</v>
          </cell>
          <cell r="BY36">
            <v>172.82499999999999</v>
          </cell>
          <cell r="BZ36">
            <v>172.82499999999999</v>
          </cell>
          <cell r="CA36">
            <v>691.3</v>
          </cell>
        </row>
        <row r="37">
          <cell r="C37" t="str">
            <v>Net income (GAAP)</v>
          </cell>
          <cell r="I37">
            <v>39.66500000000002</v>
          </cell>
          <cell r="J37">
            <v>50.578999999999979</v>
          </cell>
          <cell r="K37">
            <v>42.640999999999906</v>
          </cell>
          <cell r="L37">
            <v>85.482000000000056</v>
          </cell>
          <cell r="M37">
            <v>182.21200000000039</v>
          </cell>
          <cell r="O37">
            <v>45.194999999999972</v>
          </cell>
          <cell r="P37">
            <v>27.802999999999948</v>
          </cell>
          <cell r="Q37">
            <v>29.349000000000039</v>
          </cell>
          <cell r="R37">
            <v>52.136000000000124</v>
          </cell>
          <cell r="S37">
            <v>154.48300000000017</v>
          </cell>
          <cell r="U37">
            <v>35.652000000000115</v>
          </cell>
          <cell r="V37">
            <v>38.071000000000019</v>
          </cell>
          <cell r="W37">
            <v>37.874000000000002</v>
          </cell>
          <cell r="X37">
            <v>-54.851000000000198</v>
          </cell>
          <cell r="Y37">
            <v>166.7</v>
          </cell>
          <cell r="AA37">
            <v>78.400000000000432</v>
          </cell>
          <cell r="AB37">
            <v>129.40000000000015</v>
          </cell>
          <cell r="AC37">
            <v>140.10000000000005</v>
          </cell>
          <cell r="AD37">
            <v>160.99999999999991</v>
          </cell>
          <cell r="AE37">
            <v>748.4</v>
          </cell>
          <cell r="AG37">
            <v>174.19999999999996</v>
          </cell>
          <cell r="AH37">
            <v>199.90000000000038</v>
          </cell>
          <cell r="AI37">
            <v>163.50000000000009</v>
          </cell>
          <cell r="AJ37">
            <v>201.19999999999987</v>
          </cell>
          <cell r="AK37">
            <v>980.9</v>
          </cell>
          <cell r="AM37">
            <v>148.90000000000018</v>
          </cell>
          <cell r="AN37">
            <v>206.89999999999992</v>
          </cell>
          <cell r="AO37">
            <v>221.2</v>
          </cell>
          <cell r="AP37">
            <v>184.29999999999964</v>
          </cell>
          <cell r="AQ37">
            <v>850.3</v>
          </cell>
          <cell r="AS37">
            <v>232.3</v>
          </cell>
          <cell r="AT37">
            <v>237.3</v>
          </cell>
          <cell r="AU37">
            <v>268.5</v>
          </cell>
          <cell r="AV37">
            <v>297.5</v>
          </cell>
          <cell r="AW37">
            <v>1035.5999999999999</v>
          </cell>
          <cell r="AY37">
            <v>252.2</v>
          </cell>
          <cell r="AZ37">
            <v>523.4</v>
          </cell>
          <cell r="BA37">
            <v>265.39999999999998</v>
          </cell>
          <cell r="BB37">
            <v>288.89999999999998</v>
          </cell>
          <cell r="BC37">
            <v>1329.9</v>
          </cell>
          <cell r="BE37">
            <v>277.3</v>
          </cell>
          <cell r="BF37">
            <v>233.8</v>
          </cell>
          <cell r="BG37">
            <v>212.85862520102259</v>
          </cell>
          <cell r="BH37">
            <v>239.22105982711761</v>
          </cell>
          <cell r="BI37">
            <v>890.07968502813981</v>
          </cell>
          <cell r="BK37">
            <v>269.7712188161243</v>
          </cell>
          <cell r="BL37">
            <v>288.81183933377503</v>
          </cell>
          <cell r="BM37">
            <v>266.4234895272071</v>
          </cell>
          <cell r="BN37">
            <v>297.40716236574616</v>
          </cell>
          <cell r="BO37">
            <v>1122.4137100428525</v>
          </cell>
          <cell r="BQ37">
            <v>315.39337341216122</v>
          </cell>
          <cell r="BR37">
            <v>336.32563403991065</v>
          </cell>
          <cell r="BS37">
            <v>311.38020679108035</v>
          </cell>
          <cell r="BT37">
            <v>349.27155997817687</v>
          </cell>
          <cell r="BU37">
            <v>1312.3707742213285</v>
          </cell>
          <cell r="BW37">
            <v>361.85179681386984</v>
          </cell>
          <cell r="BX37">
            <v>390.44647690409539</v>
          </cell>
          <cell r="BY37">
            <v>359.54125714897026</v>
          </cell>
          <cell r="BZ37">
            <v>399.31496353693927</v>
          </cell>
          <cell r="CA37">
            <v>1511.1544944038749</v>
          </cell>
        </row>
        <row r="39">
          <cell r="C39" t="str">
            <v>Diluted EPS (GAAP)</v>
          </cell>
          <cell r="I39">
            <v>0.23332901950634144</v>
          </cell>
          <cell r="J39">
            <v>0.29661449322957278</v>
          </cell>
          <cell r="K39">
            <v>0.25754061726158067</v>
          </cell>
          <cell r="L39">
            <v>0.51972008244313828</v>
          </cell>
          <cell r="M39">
            <v>1.0869178780847191</v>
          </cell>
          <cell r="O39">
            <v>0.27435804042979406</v>
          </cell>
          <cell r="P39">
            <v>0.1688530165555269</v>
          </cell>
          <cell r="Q39">
            <v>0.17719081112083823</v>
          </cell>
          <cell r="R39">
            <v>0.31348309201981889</v>
          </cell>
          <cell r="S39">
            <v>0.93436921625316127</v>
          </cell>
          <cell r="U39">
            <v>0.21350804278305516</v>
          </cell>
          <cell r="V39">
            <v>0.2300042894340969</v>
          </cell>
          <cell r="W39">
            <v>0.23355800716571803</v>
          </cell>
          <cell r="X39">
            <v>-0.17229183222819441</v>
          </cell>
          <cell r="Y39">
            <v>0.8184728386818021</v>
          </cell>
          <cell r="AA39">
            <v>0.17773747449558019</v>
          </cell>
          <cell r="AB39">
            <v>0.28980963045912689</v>
          </cell>
          <cell r="AC39">
            <v>0.31370353784146898</v>
          </cell>
          <cell r="AD39">
            <v>0.36532788745178107</v>
          </cell>
          <cell r="AE39">
            <v>1.6867252648185711</v>
          </cell>
          <cell r="AG39">
            <v>0.39935809261806504</v>
          </cell>
          <cell r="AH39">
            <v>0.45722781335773188</v>
          </cell>
          <cell r="AI39">
            <v>0.37286202964652243</v>
          </cell>
          <cell r="AJ39">
            <v>0.47075339260645738</v>
          </cell>
          <cell r="AK39">
            <v>2.2559797608095673</v>
          </cell>
          <cell r="AM39">
            <v>0.3501058076651779</v>
          </cell>
          <cell r="AN39">
            <v>0.4883172055699786</v>
          </cell>
          <cell r="AO39">
            <v>0.52641599238457881</v>
          </cell>
          <cell r="AP39">
            <v>0.43652297489341463</v>
          </cell>
          <cell r="AQ39">
            <v>2.0108785621378735</v>
          </cell>
          <cell r="AS39">
            <v>0.55547584887613588</v>
          </cell>
          <cell r="AT39">
            <v>0.57056984852127923</v>
          </cell>
          <cell r="AU39">
            <v>0.66378244746600745</v>
          </cell>
          <cell r="AV39">
            <v>0.74598796389167499</v>
          </cell>
          <cell r="AW39">
            <v>2.5298644192011728</v>
          </cell>
          <cell r="AY39">
            <v>0.63912823112012163</v>
          </cell>
          <cell r="AZ39">
            <v>1.3563099248509978</v>
          </cell>
          <cell r="BA39">
            <v>0.69349359811863076</v>
          </cell>
          <cell r="BB39">
            <v>0.76855546687948917</v>
          </cell>
          <cell r="BC39">
            <v>3.4563056331622382</v>
          </cell>
          <cell r="BE39">
            <v>0.74925695757903266</v>
          </cell>
          <cell r="BF39">
            <v>0.6332611050920911</v>
          </cell>
          <cell r="BG39">
            <v>0.58809622730925837</v>
          </cell>
          <cell r="BH39">
            <v>0.67445021684142725</v>
          </cell>
          <cell r="BI39">
            <v>2.4453818618312431</v>
          </cell>
          <cell r="BK39">
            <v>0.76391600156204775</v>
          </cell>
          <cell r="BL39">
            <v>0.82641113928189824</v>
          </cell>
          <cell r="BM39">
            <v>0.77042902117396117</v>
          </cell>
          <cell r="BN39">
            <v>0.86923917126965355</v>
          </cell>
          <cell r="BO39">
            <v>3.2446732338564988</v>
          </cell>
          <cell r="BQ39">
            <v>0.93159067877915591</v>
          </cell>
          <cell r="BR39">
            <v>1.0050894922438118</v>
          </cell>
          <cell r="BS39">
            <v>0.94160314060598282</v>
          </cell>
          <cell r="BT39">
            <v>1.0688915047519578</v>
          </cell>
          <cell r="BU39">
            <v>3.9451161936926327</v>
          </cell>
          <cell r="BW39">
            <v>1.1206801688714516</v>
          </cell>
          <cell r="BX39">
            <v>1.225165941178423</v>
          </cell>
          <cell r="BY39">
            <v>1.1432466321827019</v>
          </cell>
          <cell r="BZ39">
            <v>1.286891512890914</v>
          </cell>
          <cell r="CA39">
            <v>4.7732219344284141</v>
          </cell>
        </row>
        <row r="40">
          <cell r="C40" t="str">
            <v>Diluted EPS (non-GAAP)</v>
          </cell>
          <cell r="I40">
            <v>0.27429468928680684</v>
          </cell>
          <cell r="J40">
            <v>0.33449252584725625</v>
          </cell>
          <cell r="K40">
            <v>0.32466630428217613</v>
          </cell>
          <cell r="L40">
            <v>0.60728855706268992</v>
          </cell>
          <cell r="M40">
            <v>1.2803132885153417</v>
          </cell>
          <cell r="O40">
            <v>0.28535178777393294</v>
          </cell>
          <cell r="P40">
            <v>0.33677076121415267</v>
          </cell>
          <cell r="Q40">
            <v>0.37394874271742112</v>
          </cell>
          <cell r="R40">
            <v>0.46353239694069048</v>
          </cell>
          <cell r="S40">
            <v>1.4606070136813973</v>
          </cell>
          <cell r="U40">
            <v>0.38810770023116331</v>
          </cell>
          <cell r="V40">
            <v>0.42152450112673179</v>
          </cell>
          <cell r="W40">
            <v>0.44055599065126633</v>
          </cell>
          <cell r="X40">
            <v>0.57053470745474411</v>
          </cell>
          <cell r="Y40">
            <v>1.8632899956793285</v>
          </cell>
          <cell r="AA40">
            <v>0.5928360915892098</v>
          </cell>
          <cell r="AB40">
            <v>0.65195968645016833</v>
          </cell>
          <cell r="AC40">
            <v>0.6522615315718765</v>
          </cell>
          <cell r="AD40">
            <v>0.7567506240072609</v>
          </cell>
          <cell r="AE40">
            <v>2.5731350011268885</v>
          </cell>
          <cell r="AG40">
            <v>0.7377349839523154</v>
          </cell>
          <cell r="AH40">
            <v>0.79368709972552687</v>
          </cell>
          <cell r="AI40">
            <v>0.7562143671607755</v>
          </cell>
          <cell r="AJ40">
            <v>0.87716424894712186</v>
          </cell>
          <cell r="AK40">
            <v>3.0588776448941988</v>
          </cell>
          <cell r="AM40">
            <v>0.61556548318833804</v>
          </cell>
          <cell r="AN40">
            <v>0.74132641019589307</v>
          </cell>
          <cell r="AO40">
            <v>0.78343645882912893</v>
          </cell>
          <cell r="AP40">
            <v>0.91331122690667854</v>
          </cell>
          <cell r="AQ40">
            <v>2.9584959205392014</v>
          </cell>
          <cell r="AS40">
            <v>0.81635581061692997</v>
          </cell>
          <cell r="AT40">
            <v>0.81341668670353495</v>
          </cell>
          <cell r="AU40">
            <v>0.86922126081582174</v>
          </cell>
          <cell r="AV40">
            <v>0.96389167502507467</v>
          </cell>
          <cell r="AW40">
            <v>3.4584096738732146</v>
          </cell>
          <cell r="AY40">
            <v>0.91966548403446491</v>
          </cell>
          <cell r="AZ40">
            <v>0.99248509976677823</v>
          </cell>
          <cell r="BA40">
            <v>1.069244839299712</v>
          </cell>
          <cell r="BB40">
            <v>1.1827613727055071</v>
          </cell>
          <cell r="BC40">
            <v>4.1574946397245078</v>
          </cell>
          <cell r="BE40">
            <v>1.1686030802485812</v>
          </cell>
          <cell r="BF40">
            <v>1.2164138678223184</v>
          </cell>
          <cell r="BG40">
            <v>1.1669130805372372</v>
          </cell>
          <cell r="BH40">
            <v>1.2651060751943373</v>
          </cell>
          <cell r="BI40">
            <v>4.8152667491028165</v>
          </cell>
          <cell r="BK40">
            <v>1.2929517067723444</v>
          </cell>
          <cell r="BL40">
            <v>1.360995391272724</v>
          </cell>
          <cell r="BM40">
            <v>1.3106794402952326</v>
          </cell>
          <cell r="BN40">
            <v>1.4152771579834427</v>
          </cell>
          <cell r="BO40">
            <v>5.4049678613770302</v>
          </cell>
          <cell r="BQ40">
            <v>1.4564706463830435</v>
          </cell>
          <cell r="BR40">
            <v>1.5361355520589581</v>
          </cell>
          <cell r="BS40">
            <v>1.4789618886459568</v>
          </cell>
          <cell r="BT40">
            <v>1.612714827802626</v>
          </cell>
          <cell r="BU40">
            <v>6.0818512121484787</v>
          </cell>
          <cell r="BW40">
            <v>1.6559312078066957</v>
          </cell>
          <cell r="BX40">
            <v>1.7674664005475826</v>
          </cell>
          <cell r="BY40">
            <v>1.6927846762272845</v>
          </cell>
          <cell r="BZ40">
            <v>1.8438629415230847</v>
          </cell>
          <cell r="CA40">
            <v>6.9568029881790103</v>
          </cell>
        </row>
        <row r="42">
          <cell r="C42" t="str">
            <v>Average basic shares</v>
          </cell>
          <cell r="I42">
            <v>165.20599999999999</v>
          </cell>
          <cell r="J42">
            <v>165.571</v>
          </cell>
          <cell r="K42">
            <v>161.51400000000001</v>
          </cell>
          <cell r="L42">
            <v>160.239</v>
          </cell>
          <cell r="M42">
            <v>163.13300000000001</v>
          </cell>
          <cell r="O42">
            <v>160.95699999999999</v>
          </cell>
          <cell r="P42">
            <v>161.255</v>
          </cell>
          <cell r="Q42">
            <v>161.76400000000001</v>
          </cell>
          <cell r="R42">
            <v>162.34100000000001</v>
          </cell>
          <cell r="S42">
            <v>161.58699999999999</v>
          </cell>
          <cell r="U42">
            <v>163.04400000000001</v>
          </cell>
          <cell r="V42">
            <v>161.28899999999999</v>
          </cell>
          <cell r="W42">
            <v>157.70500000000001</v>
          </cell>
          <cell r="X42">
            <v>302.19</v>
          </cell>
          <cell r="Y42">
            <v>196.05699999999999</v>
          </cell>
          <cell r="AA42">
            <v>420.1</v>
          </cell>
          <cell r="AB42">
            <v>424</v>
          </cell>
          <cell r="AC42">
            <v>424.3</v>
          </cell>
          <cell r="AD42">
            <v>417.5</v>
          </cell>
          <cell r="AE42">
            <v>421.5</v>
          </cell>
          <cell r="AG42">
            <v>417.5</v>
          </cell>
          <cell r="AH42">
            <v>418</v>
          </cell>
          <cell r="AI42">
            <v>419</v>
          </cell>
          <cell r="AJ42">
            <v>418.4</v>
          </cell>
          <cell r="AK42">
            <v>418.2</v>
          </cell>
          <cell r="AM42">
            <v>417.7</v>
          </cell>
          <cell r="AN42">
            <v>415.3</v>
          </cell>
          <cell r="AO42">
            <v>407.9</v>
          </cell>
          <cell r="AP42">
            <v>408.7</v>
          </cell>
          <cell r="AQ42">
            <v>412.40000000000003</v>
          </cell>
          <cell r="AS42">
            <v>409.6</v>
          </cell>
          <cell r="AT42">
            <v>409.3</v>
          </cell>
          <cell r="AU42">
            <v>400.7</v>
          </cell>
          <cell r="AV42">
            <v>393.5</v>
          </cell>
          <cell r="AW42">
            <v>403.27500000000003</v>
          </cell>
          <cell r="AY42">
            <v>388.6</v>
          </cell>
          <cell r="AZ42">
            <v>381.9</v>
          </cell>
          <cell r="BA42">
            <v>379.5</v>
          </cell>
          <cell r="BB42">
            <v>373.4</v>
          </cell>
          <cell r="BC42">
            <v>380.85</v>
          </cell>
          <cell r="BE42">
            <v>367.3</v>
          </cell>
          <cell r="BF42">
            <v>367</v>
          </cell>
          <cell r="BG42">
            <v>359.78846153846155</v>
          </cell>
          <cell r="BH42">
            <v>352.57692307692309</v>
          </cell>
          <cell r="BI42">
            <v>361.66634615384618</v>
          </cell>
          <cell r="BK42">
            <v>348.95505535128734</v>
          </cell>
          <cell r="BL42">
            <v>345.33318762565159</v>
          </cell>
          <cell r="BM42">
            <v>341.71131990001584</v>
          </cell>
          <cell r="BN42">
            <v>338.08945217438009</v>
          </cell>
          <cell r="BO42">
            <v>343.52225376283371</v>
          </cell>
          <cell r="BQ42">
            <v>334.20887961119894</v>
          </cell>
          <cell r="BR42">
            <v>330.32830704801779</v>
          </cell>
          <cell r="BS42">
            <v>326.44773448483664</v>
          </cell>
          <cell r="BT42">
            <v>322.5671619216555</v>
          </cell>
          <cell r="BU42">
            <v>328.38802076642725</v>
          </cell>
          <cell r="BW42">
            <v>318.42788452092896</v>
          </cell>
          <cell r="BX42">
            <v>314.28860712020241</v>
          </cell>
          <cell r="BY42">
            <v>310.14932971947587</v>
          </cell>
          <cell r="BZ42">
            <v>306.01005231874933</v>
          </cell>
          <cell r="CA42">
            <v>312.21896841983914</v>
          </cell>
        </row>
        <row r="43">
          <cell r="C43" t="str">
            <v>Convert</v>
          </cell>
          <cell r="Y43">
            <v>3.2</v>
          </cell>
          <cell r="AE43">
            <v>13.8</v>
          </cell>
          <cell r="AG43">
            <v>14.6</v>
          </cell>
          <cell r="AH43">
            <v>15.5</v>
          </cell>
          <cell r="AI43">
            <v>15.8</v>
          </cell>
          <cell r="AJ43">
            <v>7.2999999999999972</v>
          </cell>
          <cell r="AK43">
            <v>13.3</v>
          </cell>
          <cell r="AM43">
            <v>6.4</v>
          </cell>
          <cell r="AN43">
            <v>7</v>
          </cell>
          <cell r="AO43">
            <v>10.199999999999999</v>
          </cell>
          <cell r="AP43">
            <v>10.086956521739131</v>
          </cell>
          <cell r="AQ43">
            <v>8.4217391304347835</v>
          </cell>
          <cell r="AS43">
            <v>5</v>
          </cell>
          <cell r="AT43">
            <v>5.05</v>
          </cell>
          <cell r="AU43">
            <v>3</v>
          </cell>
          <cell r="AV43">
            <v>3.05</v>
          </cell>
          <cell r="AW43">
            <v>4.0250000000000004</v>
          </cell>
          <cell r="BA43">
            <v>171.79999999999981</v>
          </cell>
          <cell r="BB43">
            <v>212.10000000000008</v>
          </cell>
          <cell r="BI43">
            <v>-0.10317687395983843</v>
          </cell>
        </row>
        <row r="44">
          <cell r="C44" t="str">
            <v>Stock Options</v>
          </cell>
          <cell r="Y44">
            <v>4.4000000000000004</v>
          </cell>
          <cell r="AE44">
            <v>8.4</v>
          </cell>
          <cell r="AG44">
            <v>4</v>
          </cell>
          <cell r="AH44">
            <v>3.6</v>
          </cell>
          <cell r="AI44">
            <v>3.5</v>
          </cell>
          <cell r="AJ44">
            <v>2.0999999999999996</v>
          </cell>
          <cell r="AK44">
            <v>3.3</v>
          </cell>
          <cell r="AM44">
            <v>1.2</v>
          </cell>
          <cell r="AN44">
            <v>1.4</v>
          </cell>
          <cell r="AO44">
            <v>2.1</v>
          </cell>
          <cell r="AP44">
            <v>2.2000000000000002</v>
          </cell>
          <cell r="AQ44">
            <v>1.7249999999999999</v>
          </cell>
          <cell r="AS44">
            <v>2.95</v>
          </cell>
          <cell r="AT44">
            <v>3.7</v>
          </cell>
          <cell r="AU44">
            <v>4.45</v>
          </cell>
          <cell r="AV44">
            <v>5.2</v>
          </cell>
          <cell r="AW44">
            <v>4.0750000000000002</v>
          </cell>
        </row>
        <row r="45">
          <cell r="C45" t="str">
            <v>Average Share Price in the quarter</v>
          </cell>
          <cell r="AS45">
            <v>48.734999999999999</v>
          </cell>
          <cell r="AT45">
            <v>52.466718749999998</v>
          </cell>
          <cell r="AU45">
            <v>46.530769230769231</v>
          </cell>
          <cell r="AV45">
            <v>50</v>
          </cell>
        </row>
        <row r="46">
          <cell r="C46" t="str">
            <v>Average diluted shares</v>
          </cell>
          <cell r="I46">
            <v>169.99600000000001</v>
          </cell>
          <cell r="J46">
            <v>170.52099999999999</v>
          </cell>
          <cell r="K46">
            <v>165.57</v>
          </cell>
          <cell r="L46">
            <v>164.477</v>
          </cell>
          <cell r="M46">
            <v>167.64099999999999</v>
          </cell>
          <cell r="O46">
            <v>164.73</v>
          </cell>
          <cell r="P46">
            <v>164.65799999999999</v>
          </cell>
          <cell r="Q46">
            <v>165.63499999999999</v>
          </cell>
          <cell r="R46">
            <v>166.31200000000001</v>
          </cell>
          <cell r="S46">
            <v>165.334</v>
          </cell>
          <cell r="U46">
            <v>166.982</v>
          </cell>
          <cell r="V46">
            <v>165.523</v>
          </cell>
          <cell r="W46">
            <v>162.161</v>
          </cell>
          <cell r="X46">
            <v>318.36099999999999</v>
          </cell>
          <cell r="Y46">
            <v>203.672</v>
          </cell>
          <cell r="AA46">
            <v>441.1</v>
          </cell>
          <cell r="AB46">
            <v>446.5</v>
          </cell>
          <cell r="AC46">
            <v>446.6</v>
          </cell>
          <cell r="AD46">
            <v>440.7</v>
          </cell>
          <cell r="AE46">
            <v>443.7</v>
          </cell>
          <cell r="AG46">
            <v>436.2</v>
          </cell>
          <cell r="AH46">
            <v>437.2</v>
          </cell>
          <cell r="AI46">
            <v>438.5</v>
          </cell>
          <cell r="AJ46">
            <v>427.4</v>
          </cell>
          <cell r="AK46">
            <v>434.8</v>
          </cell>
          <cell r="AM46">
            <v>425.3</v>
          </cell>
          <cell r="AN46">
            <v>423.7</v>
          </cell>
          <cell r="AO46">
            <v>420.2</v>
          </cell>
          <cell r="AP46">
            <v>422.2</v>
          </cell>
          <cell r="AQ46">
            <v>422.85</v>
          </cell>
          <cell r="AS46">
            <v>418.2</v>
          </cell>
          <cell r="AT46">
            <v>415.9</v>
          </cell>
          <cell r="AU46">
            <v>404.5</v>
          </cell>
          <cell r="AV46">
            <v>398.8</v>
          </cell>
          <cell r="AW46">
            <v>409.34999999999997</v>
          </cell>
          <cell r="AY46">
            <v>394.6</v>
          </cell>
          <cell r="AZ46">
            <v>385.9</v>
          </cell>
          <cell r="BA46">
            <v>382.7</v>
          </cell>
          <cell r="BB46">
            <v>375.9</v>
          </cell>
          <cell r="BC46">
            <v>384.77499999999998</v>
          </cell>
          <cell r="BE46">
            <v>370.1</v>
          </cell>
          <cell r="BF46">
            <v>369.2</v>
          </cell>
          <cell r="BG46">
            <v>361.94523160762941</v>
          </cell>
          <cell r="BH46">
            <v>354.69046321525889</v>
          </cell>
          <cell r="BI46">
            <v>363.98392370572208</v>
          </cell>
          <cell r="BK46">
            <v>353.14251601550279</v>
          </cell>
          <cell r="BL46">
            <v>349.4771858771594</v>
          </cell>
          <cell r="BM46">
            <v>345.81185573881601</v>
          </cell>
          <cell r="BN46">
            <v>342.14652560047267</v>
          </cell>
          <cell r="BO46">
            <v>345.92503748329472</v>
          </cell>
          <cell r="BQ46">
            <v>338.55359504614449</v>
          </cell>
          <cell r="BR46">
            <v>334.62257503964202</v>
          </cell>
          <cell r="BS46">
            <v>330.69155503313948</v>
          </cell>
          <cell r="BT46">
            <v>326.760535026637</v>
          </cell>
          <cell r="BU46">
            <v>332.65706503639075</v>
          </cell>
          <cell r="BW46">
            <v>322.88587490422191</v>
          </cell>
          <cell r="BX46">
            <v>318.68864761988516</v>
          </cell>
          <cell r="BY46">
            <v>314.49142033554847</v>
          </cell>
          <cell r="BZ46">
            <v>310.29419305121178</v>
          </cell>
          <cell r="CA46">
            <v>316.59003397771681</v>
          </cell>
        </row>
        <row r="47">
          <cell r="C47" t="str">
            <v>Dilution ratio</v>
          </cell>
          <cell r="I47">
            <v>1.0289941043303514</v>
          </cell>
          <cell r="J47">
            <v>1.0298965398529936</v>
          </cell>
          <cell r="K47">
            <v>1.0251123741595154</v>
          </cell>
          <cell r="L47">
            <v>1.0264479933099933</v>
          </cell>
          <cell r="M47">
            <v>1.0276338938167016</v>
          </cell>
          <cell r="O47">
            <v>1.0234410432600012</v>
          </cell>
          <cell r="P47">
            <v>1.0211032216055316</v>
          </cell>
          <cell r="Q47">
            <v>1.0239299226032985</v>
          </cell>
          <cell r="R47">
            <v>1.0244608570847784</v>
          </cell>
          <cell r="S47">
            <v>1.0231887466194682</v>
          </cell>
          <cell r="U47">
            <v>1.0241529893771006</v>
          </cell>
          <cell r="V47">
            <v>1.0262510152583251</v>
          </cell>
          <cell r="W47">
            <v>1.0282552867696013</v>
          </cell>
          <cell r="X47">
            <v>1.0535126906912868</v>
          </cell>
          <cell r="Y47">
            <v>1.0388407452934607</v>
          </cell>
          <cell r="AA47">
            <v>1.0499880980718876</v>
          </cell>
          <cell r="AB47">
            <v>1.0530660377358489</v>
          </cell>
          <cell r="AC47">
            <v>1.0525571529578128</v>
          </cell>
          <cell r="AD47">
            <v>1.0555688622754491</v>
          </cell>
          <cell r="AE47">
            <v>1.0526690391459075</v>
          </cell>
          <cell r="AG47">
            <v>1.0447904191616766</v>
          </cell>
          <cell r="AH47">
            <v>1.045933014354067</v>
          </cell>
          <cell r="AI47">
            <v>1.0465393794749402</v>
          </cell>
          <cell r="AJ47">
            <v>1.0215105162523901</v>
          </cell>
          <cell r="AK47">
            <v>1.0396939263510283</v>
          </cell>
          <cell r="AM47">
            <v>1.0181948767057698</v>
          </cell>
          <cell r="AN47">
            <v>1.020226342403082</v>
          </cell>
          <cell r="AO47">
            <v>1.030154449620005</v>
          </cell>
          <cell r="AP47">
            <v>1.0330315634940055</v>
          </cell>
          <cell r="AQ47">
            <v>1.0253394762366634</v>
          </cell>
          <cell r="AS47">
            <v>1.02099609375</v>
          </cell>
          <cell r="AT47">
            <v>1.0161250916198388</v>
          </cell>
          <cell r="AU47">
            <v>1.0094834040429248</v>
          </cell>
          <cell r="AV47">
            <v>1.013468869123253</v>
          </cell>
          <cell r="AW47">
            <v>1.0150641621722147</v>
          </cell>
          <cell r="AY47">
            <v>1.0154400411734432</v>
          </cell>
          <cell r="AZ47">
            <v>1.0104739460591778</v>
          </cell>
          <cell r="BA47">
            <v>1.0084321475625824</v>
          </cell>
          <cell r="BB47">
            <v>1.0066952329941081</v>
          </cell>
          <cell r="BC47">
            <v>1.010305894709203</v>
          </cell>
          <cell r="BE47">
            <v>1.0076231962973048</v>
          </cell>
          <cell r="BF47">
            <v>1.0059945504087193</v>
          </cell>
          <cell r="BG47">
            <v>1.0059945504087193</v>
          </cell>
          <cell r="BH47">
            <v>1.0059945504087193</v>
          </cell>
          <cell r="BI47">
            <v>1.0175000000000001</v>
          </cell>
          <cell r="BK47">
            <v>1.012</v>
          </cell>
          <cell r="BL47">
            <v>1.012</v>
          </cell>
          <cell r="BM47">
            <v>1.012</v>
          </cell>
          <cell r="BN47">
            <v>1.012</v>
          </cell>
          <cell r="BO47">
            <v>1.0069945504087192</v>
          </cell>
          <cell r="BQ47">
            <v>1.0129999999999999</v>
          </cell>
          <cell r="BR47">
            <v>1.0129999999999999</v>
          </cell>
          <cell r="BS47">
            <v>1.0129999999999999</v>
          </cell>
          <cell r="BT47">
            <v>1.0129999999999999</v>
          </cell>
          <cell r="BU47">
            <v>1.0129999999999999</v>
          </cell>
          <cell r="BW47">
            <v>1.0139999999999998</v>
          </cell>
          <cell r="BX47">
            <v>1.0139999999999998</v>
          </cell>
          <cell r="BY47">
            <v>1.0139999999999998</v>
          </cell>
          <cell r="BZ47">
            <v>1.0139999999999998</v>
          </cell>
          <cell r="CA47">
            <v>1.0139999999999998</v>
          </cell>
        </row>
        <row r="49">
          <cell r="C49" t="str">
            <v>Margins</v>
          </cell>
        </row>
        <row r="50">
          <cell r="C50" t="str">
            <v>COGS</v>
          </cell>
          <cell r="I50">
            <v>0.54124700970607509</v>
          </cell>
          <cell r="J50">
            <v>0.54524860605852932</v>
          </cell>
          <cell r="K50">
            <v>0.53725233489761492</v>
          </cell>
          <cell r="L50">
            <v>0.53686460505527933</v>
          </cell>
          <cell r="M50">
            <v>0.53860276201895285</v>
          </cell>
          <cell r="O50">
            <v>0.54596143116693607</v>
          </cell>
          <cell r="P50">
            <v>0.55053616698361896</v>
          </cell>
          <cell r="Q50">
            <v>0.55514703176722191</v>
          </cell>
          <cell r="R50">
            <v>0.54441155149860887</v>
          </cell>
          <cell r="S50">
            <v>0.54903121008633782</v>
          </cell>
          <cell r="U50">
            <v>0.54313906299549752</v>
          </cell>
          <cell r="V50">
            <v>0.54341610275443331</v>
          </cell>
          <cell r="W50">
            <v>0.53256998297841818</v>
          </cell>
          <cell r="X50">
            <v>0.56944754029600342</v>
          </cell>
          <cell r="Y50">
            <v>0.56331634278432619</v>
          </cell>
          <cell r="AA50">
            <v>0.59520143700282258</v>
          </cell>
          <cell r="AB50">
            <v>0.59009178926191364</v>
          </cell>
          <cell r="AC50">
            <v>0.59216225220722973</v>
          </cell>
          <cell r="AD50">
            <v>0.59120216702910988</v>
          </cell>
          <cell r="AE50">
            <v>0.59580922595777952</v>
          </cell>
          <cell r="AG50">
            <v>0.58860610806577929</v>
          </cell>
          <cell r="AH50">
            <v>0.58702391496899897</v>
          </cell>
          <cell r="AI50">
            <v>0.58853985549244614</v>
          </cell>
          <cell r="AJ50">
            <v>0.58508105656955001</v>
          </cell>
          <cell r="AK50">
            <v>0.59150409184346286</v>
          </cell>
          <cell r="AM50">
            <v>0.59349917963726662</v>
          </cell>
          <cell r="AN50">
            <v>0.58963004709955313</v>
          </cell>
          <cell r="AO50">
            <v>0.58800521512385917</v>
          </cell>
          <cell r="AP50">
            <v>0.58540536733112625</v>
          </cell>
          <cell r="AQ50">
            <v>0.5940816820694943</v>
          </cell>
          <cell r="AS50">
            <v>0.57977083254025652</v>
          </cell>
          <cell r="AT50">
            <v>0.58238625418962131</v>
          </cell>
          <cell r="AU50">
            <v>0.58298778864077294</v>
          </cell>
          <cell r="AV50">
            <v>0.57398212512413116</v>
          </cell>
          <cell r="AW50">
            <v>0.57972413010160639</v>
          </cell>
          <cell r="AY50">
            <v>0.56885111459032289</v>
          </cell>
          <cell r="AZ50">
            <v>0.57210932025227745</v>
          </cell>
          <cell r="BA50">
            <v>0.5582529237273689</v>
          </cell>
          <cell r="BB50">
            <v>0.55070727996633539</v>
          </cell>
          <cell r="BC50">
            <v>0.5621171747932312</v>
          </cell>
          <cell r="BE50">
            <v>0.55057576550641196</v>
          </cell>
          <cell r="BF50">
            <v>0.55352144396898428</v>
          </cell>
          <cell r="BG50">
            <v>0.54975292372736895</v>
          </cell>
          <cell r="BH50">
            <v>0.54270727996633539</v>
          </cell>
          <cell r="BI50">
            <v>0.54915423590107204</v>
          </cell>
          <cell r="BK50">
            <v>0.54757576550641196</v>
          </cell>
          <cell r="BL50">
            <v>0.55102144396898434</v>
          </cell>
          <cell r="BM50">
            <v>0.54875292372736895</v>
          </cell>
          <cell r="BN50">
            <v>0.54120727996633544</v>
          </cell>
          <cell r="BO50">
            <v>0.54715475614173059</v>
          </cell>
          <cell r="BQ50">
            <v>0.54357576550641196</v>
          </cell>
          <cell r="BR50">
            <v>0.54702144396898433</v>
          </cell>
          <cell r="BS50">
            <v>0.54475292372736894</v>
          </cell>
          <cell r="BT50">
            <v>0.53720727996633544</v>
          </cell>
          <cell r="BU50">
            <v>0.54315003182161958</v>
          </cell>
          <cell r="BW50">
            <v>0.53957576550641195</v>
          </cell>
          <cell r="BX50">
            <v>0.54302144396898433</v>
          </cell>
          <cell r="BY50">
            <v>0.54075292372736894</v>
          </cell>
          <cell r="BZ50">
            <v>0.53320727996633543</v>
          </cell>
          <cell r="CA50">
            <v>0.53914494889113185</v>
          </cell>
        </row>
        <row r="51">
          <cell r="C51" t="str">
            <v>Gross Margin</v>
          </cell>
          <cell r="I51">
            <v>0.45875299029392491</v>
          </cell>
          <cell r="J51">
            <v>0.45475139394147063</v>
          </cell>
          <cell r="K51">
            <v>0.46274766510238508</v>
          </cell>
          <cell r="L51">
            <v>0.46313539494472061</v>
          </cell>
          <cell r="M51">
            <v>0.4613972379810472</v>
          </cell>
          <cell r="O51">
            <v>0.45403856883306393</v>
          </cell>
          <cell r="P51">
            <v>0.44946383301638104</v>
          </cell>
          <cell r="Q51">
            <v>0.44485296823277815</v>
          </cell>
          <cell r="R51">
            <v>0.45558844850139119</v>
          </cell>
          <cell r="S51">
            <v>0.45096878991366218</v>
          </cell>
          <cell r="U51">
            <v>0.45686093700450253</v>
          </cell>
          <cell r="V51">
            <v>0.45658389724556675</v>
          </cell>
          <cell r="W51">
            <v>0.46743001702158177</v>
          </cell>
          <cell r="X51">
            <v>0.43055245970399658</v>
          </cell>
          <cell r="Y51">
            <v>0.43668365721567376</v>
          </cell>
          <cell r="AA51">
            <v>0.40479856299717748</v>
          </cell>
          <cell r="AB51">
            <v>0.40990821073808631</v>
          </cell>
          <cell r="AC51">
            <v>0.40783774779277027</v>
          </cell>
          <cell r="AD51">
            <v>0.40879783297089012</v>
          </cell>
          <cell r="AE51">
            <v>0.40419077404222048</v>
          </cell>
          <cell r="AG51">
            <v>0.41139389193422077</v>
          </cell>
          <cell r="AH51">
            <v>0.41297608503100097</v>
          </cell>
          <cell r="AI51">
            <v>0.41146014450755386</v>
          </cell>
          <cell r="AJ51">
            <v>0.41491894343044999</v>
          </cell>
          <cell r="AK51">
            <v>0.40849590815653719</v>
          </cell>
          <cell r="AM51">
            <v>0.40650082036273344</v>
          </cell>
          <cell r="AN51">
            <v>0.41036995290044687</v>
          </cell>
          <cell r="AO51">
            <v>0.41199478487614083</v>
          </cell>
          <cell r="AP51">
            <v>0.4145946326688737</v>
          </cell>
          <cell r="AQ51">
            <v>0.4059183179305057</v>
          </cell>
          <cell r="AS51">
            <v>0.42022916745974354</v>
          </cell>
          <cell r="AT51">
            <v>0.41761374581037874</v>
          </cell>
          <cell r="AU51">
            <v>0.41701221135922706</v>
          </cell>
          <cell r="AV51">
            <v>0.4260178748758689</v>
          </cell>
          <cell r="AW51">
            <v>0.42027586989839361</v>
          </cell>
          <cell r="AY51">
            <v>0.43114888540967716</v>
          </cell>
          <cell r="AZ51">
            <v>0.42789067974772249</v>
          </cell>
          <cell r="BA51">
            <v>0.44174707627263116</v>
          </cell>
          <cell r="BB51">
            <v>0.44929272003366455</v>
          </cell>
          <cell r="BC51">
            <v>0.4378828252067688</v>
          </cell>
          <cell r="BE51">
            <v>0.44942423449358804</v>
          </cell>
          <cell r="BF51">
            <v>0.44647855603101577</v>
          </cell>
          <cell r="BG51">
            <v>0.45024707627263105</v>
          </cell>
          <cell r="BH51">
            <v>0.45729272003366461</v>
          </cell>
          <cell r="BI51">
            <v>0.45084576409892801</v>
          </cell>
          <cell r="BK51">
            <v>0.45242423449358798</v>
          </cell>
          <cell r="BL51">
            <v>0.44897855603101566</v>
          </cell>
          <cell r="BM51">
            <v>0.45124707627263105</v>
          </cell>
          <cell r="BN51">
            <v>0.45879272003366456</v>
          </cell>
          <cell r="BO51">
            <v>0.45284524385826941</v>
          </cell>
          <cell r="BQ51">
            <v>0.45642423449358804</v>
          </cell>
          <cell r="BR51">
            <v>0.45297855603101567</v>
          </cell>
          <cell r="BS51">
            <v>0.45524707627263106</v>
          </cell>
          <cell r="BT51">
            <v>0.46279272003366456</v>
          </cell>
          <cell r="BU51">
            <v>0.45684996817838042</v>
          </cell>
          <cell r="BW51">
            <v>0.46042423449358805</v>
          </cell>
          <cell r="BX51">
            <v>0.45697855603101567</v>
          </cell>
          <cell r="BY51">
            <v>0.45924707627263106</v>
          </cell>
          <cell r="BZ51">
            <v>0.46679272003366462</v>
          </cell>
          <cell r="CA51">
            <v>0.4608550511088681</v>
          </cell>
        </row>
        <row r="52">
          <cell r="C52" t="str">
            <v>Incremental Gross Margin</v>
          </cell>
          <cell r="AG52">
            <v>0.48285449490268534</v>
          </cell>
          <cell r="AH52">
            <v>0.43558850787766484</v>
          </cell>
          <cell r="AI52">
            <v>0.4579989299090429</v>
          </cell>
          <cell r="AJ52">
            <v>1.0515873015873001</v>
          </cell>
          <cell r="AK52">
            <v>0.46579714166782221</v>
          </cell>
          <cell r="AM52">
            <v>0.44831047172967448</v>
          </cell>
          <cell r="AN52">
            <v>0.44168514412416926</v>
          </cell>
          <cell r="AO52">
            <v>0.38771929824561735</v>
          </cell>
          <cell r="AP52">
            <v>0.41015018125323732</v>
          </cell>
          <cell r="AQ52">
            <v>0.47211155378485875</v>
          </cell>
        </row>
        <row r="53">
          <cell r="C53" t="str">
            <v>SG&amp;A</v>
          </cell>
          <cell r="I53">
            <v>0.27951248685794383</v>
          </cell>
          <cell r="J53">
            <v>0.26815455284413559</v>
          </cell>
          <cell r="K53">
            <v>0.27169818279044472</v>
          </cell>
          <cell r="L53">
            <v>0.27499311147668742</v>
          </cell>
          <cell r="M53">
            <v>0.27363026661438483</v>
          </cell>
          <cell r="O53">
            <v>0.27912154332556044</v>
          </cell>
          <cell r="P53">
            <v>0.26541986870066908</v>
          </cell>
          <cell r="Q53">
            <v>0.24838279038755626</v>
          </cell>
          <cell r="R53">
            <v>0.25084268487432959</v>
          </cell>
          <cell r="S53">
            <v>0.25983250456603751</v>
          </cell>
          <cell r="U53">
            <v>0.25849826169428908</v>
          </cell>
          <cell r="V53">
            <v>0.25406044840132985</v>
          </cell>
          <cell r="W53">
            <v>0.26419729585826568</v>
          </cell>
          <cell r="X53">
            <v>0.24151417101084549</v>
          </cell>
          <cell r="Y53">
            <v>0.24259318254221088</v>
          </cell>
          <cell r="AA53">
            <v>0.21862971516551191</v>
          </cell>
          <cell r="AB53">
            <v>0.21572572194978834</v>
          </cell>
          <cell r="AC53">
            <v>0.21480926203564885</v>
          </cell>
          <cell r="AD53">
            <v>0.21288771889664646</v>
          </cell>
          <cell r="AE53">
            <v>0.21283294240291895</v>
          </cell>
          <cell r="AG53">
            <v>0.2120595144870791</v>
          </cell>
          <cell r="AH53">
            <v>0.21331561854148212</v>
          </cell>
          <cell r="AI53">
            <v>0.21200880955140836</v>
          </cell>
          <cell r="AJ53">
            <v>0.20609908173676456</v>
          </cell>
          <cell r="AK53">
            <v>0.20835434200830005</v>
          </cell>
          <cell r="AM53">
            <v>0.22593233116048064</v>
          </cell>
          <cell r="AN53">
            <v>0.21846946580250395</v>
          </cell>
          <cell r="AO53">
            <v>0.21524238473391014</v>
          </cell>
          <cell r="AP53">
            <v>0.21064309361132633</v>
          </cell>
          <cell r="AQ53">
            <v>0.21490980265547438</v>
          </cell>
          <cell r="AS53">
            <v>0.2218965320339564</v>
          </cell>
          <cell r="AT53">
            <v>0.21843818623107447</v>
          </cell>
          <cell r="AU53">
            <v>0.21820671814965575</v>
          </cell>
          <cell r="AV53">
            <v>0.21847070506454816</v>
          </cell>
          <cell r="AW53">
            <v>0.219248453198615</v>
          </cell>
          <cell r="AY53">
            <v>0.22500559159024827</v>
          </cell>
          <cell r="AZ53">
            <v>0.21990189208128944</v>
          </cell>
          <cell r="BA53">
            <v>0.22571516246718265</v>
          </cell>
          <cell r="BB53">
            <v>0.22652380798239083</v>
          </cell>
          <cell r="BC53">
            <v>0.22433124545800603</v>
          </cell>
          <cell r="BE53">
            <v>0.23194190002617115</v>
          </cell>
          <cell r="BF53">
            <v>0.22631189472668189</v>
          </cell>
          <cell r="BG53">
            <v>0.22671516246718265</v>
          </cell>
          <cell r="BH53">
            <v>0.22752380798239083</v>
          </cell>
          <cell r="BI53">
            <v>0.2281266087802743</v>
          </cell>
          <cell r="BK53">
            <v>0.23194190002617115</v>
          </cell>
          <cell r="BL53">
            <v>0.22631189472668189</v>
          </cell>
          <cell r="BM53">
            <v>0.22671516246718265</v>
          </cell>
          <cell r="BN53">
            <v>0.22752380798239083</v>
          </cell>
          <cell r="BO53">
            <v>0.22812143406141577</v>
          </cell>
          <cell r="BQ53">
            <v>0.23119190002617115</v>
          </cell>
          <cell r="BR53">
            <v>0.22556189472668189</v>
          </cell>
          <cell r="BS53">
            <v>0.22596516246718265</v>
          </cell>
          <cell r="BT53">
            <v>0.22677380798239083</v>
          </cell>
          <cell r="BU53">
            <v>0.22736885115578828</v>
          </cell>
          <cell r="BW53">
            <v>0.23044190002617115</v>
          </cell>
          <cell r="BX53">
            <v>0.22481189472668189</v>
          </cell>
          <cell r="BY53">
            <v>0.22521516246718265</v>
          </cell>
          <cell r="BZ53">
            <v>0.22602380798239083</v>
          </cell>
          <cell r="CA53">
            <v>0.22662069007935556</v>
          </cell>
        </row>
        <row r="54">
          <cell r="C54" t="str">
            <v>R&amp;D</v>
          </cell>
          <cell r="I54">
            <v>6.5270307333648234E-2</v>
          </cell>
          <cell r="J54">
            <v>6.2043482978589748E-2</v>
          </cell>
          <cell r="K54">
            <v>6.0617906567216481E-2</v>
          </cell>
          <cell r="L54">
            <v>5.697501707864655E-2</v>
          </cell>
          <cell r="M54">
            <v>6.1051815620615624E-2</v>
          </cell>
          <cell r="O54">
            <v>6.4963305245990768E-2</v>
          </cell>
          <cell r="P54">
            <v>6.0328539015729307E-2</v>
          </cell>
          <cell r="Q54">
            <v>5.7084739575897353E-2</v>
          </cell>
          <cell r="R54">
            <v>5.1608627041241271E-2</v>
          </cell>
          <cell r="S54">
            <v>5.8022572499256561E-2</v>
          </cell>
          <cell r="U54">
            <v>5.6609288208017979E-2</v>
          </cell>
          <cell r="V54">
            <v>5.6933177101145392E-2</v>
          </cell>
          <cell r="W54">
            <v>5.3324174232580471E-2</v>
          </cell>
          <cell r="X54">
            <v>3.1259512253580202E-2</v>
          </cell>
          <cell r="Y54">
            <v>4.4573643410852709E-2</v>
          </cell>
          <cell r="AA54">
            <v>2.5575228808485156E-2</v>
          </cell>
          <cell r="AB54">
            <v>2.4602875225281866E-2</v>
          </cell>
          <cell r="AC54">
            <v>2.4487756121939031E-2</v>
          </cell>
          <cell r="AD54">
            <v>2.3425279462820952E-2</v>
          </cell>
          <cell r="AE54">
            <v>2.4706802189210321E-2</v>
          </cell>
          <cell r="AG54">
            <v>2.4275646045418951E-2</v>
          </cell>
          <cell r="AH54">
            <v>2.3767345733687627E-2</v>
          </cell>
          <cell r="AI54">
            <v>2.3878520922684589E-2</v>
          </cell>
          <cell r="AJ54">
            <v>2.301326380228999E-2</v>
          </cell>
          <cell r="AK54">
            <v>2.3969282085094828E-2</v>
          </cell>
          <cell r="AM54">
            <v>2.5808168152188369E-2</v>
          </cell>
          <cell r="AN54">
            <v>2.3388752465681738E-2</v>
          </cell>
          <cell r="AO54">
            <v>2.3902651021295091E-2</v>
          </cell>
          <cell r="AP54">
            <v>2.4406564767204337E-2</v>
          </cell>
          <cell r="AQ54">
            <v>2.4597441381815247E-2</v>
          </cell>
          <cell r="AS54">
            <v>2.5162739350565306E-2</v>
          </cell>
          <cell r="AT54">
            <v>2.6813576299264168E-2</v>
          </cell>
          <cell r="AU54">
            <v>2.7199756533647812E-2</v>
          </cell>
          <cell r="AV54">
            <v>2.8540954062304606E-2</v>
          </cell>
          <cell r="AW54">
            <v>2.6943671832131841E-2</v>
          </cell>
          <cell r="AY54">
            <v>2.7883396704689482E-2</v>
          </cell>
          <cell r="AZ54">
            <v>2.9187105816398037E-2</v>
          </cell>
          <cell r="BA54">
            <v>2.9595281121074703E-2</v>
          </cell>
          <cell r="BB54">
            <v>3.097789143171592E-2</v>
          </cell>
          <cell r="BC54">
            <v>2.9466726649825241E-2</v>
          </cell>
          <cell r="BE54">
            <v>3.0031405391258831E-2</v>
          </cell>
          <cell r="BF54">
            <v>3.0307905151056917E-2</v>
          </cell>
          <cell r="BG54">
            <v>2.9595281121074703E-2</v>
          </cell>
          <cell r="BH54">
            <v>3.097789143171592E-2</v>
          </cell>
          <cell r="BI54">
            <v>3.0233232023292336E-2</v>
          </cell>
          <cell r="BK54">
            <v>3.0031405391258831E-2</v>
          </cell>
          <cell r="BL54">
            <v>3.0307905151056917E-2</v>
          </cell>
          <cell r="BM54">
            <v>2.9595281121074703E-2</v>
          </cell>
          <cell r="BN54">
            <v>3.097789143171592E-2</v>
          </cell>
          <cell r="BO54">
            <v>3.0233636481205573E-2</v>
          </cell>
          <cell r="BQ54">
            <v>2.9281405391258831E-2</v>
          </cell>
          <cell r="BR54">
            <v>2.9557905151056916E-2</v>
          </cell>
          <cell r="BS54">
            <v>2.8845281121074703E-2</v>
          </cell>
          <cell r="BT54">
            <v>3.022789143171592E-2</v>
          </cell>
          <cell r="BU54">
            <v>2.9484487605261379E-2</v>
          </cell>
          <cell r="BW54">
            <v>2.853140539125883E-2</v>
          </cell>
          <cell r="BX54">
            <v>2.8807905151056915E-2</v>
          </cell>
          <cell r="BY54">
            <v>2.8095281121074702E-2</v>
          </cell>
          <cell r="BZ54">
            <v>2.9477891431715919E-2</v>
          </cell>
          <cell r="CA54">
            <v>2.8735222556807678E-2</v>
          </cell>
        </row>
        <row r="55">
          <cell r="C55" t="str">
            <v>EBIT</v>
          </cell>
          <cell r="I55">
            <v>0.11397019610233285</v>
          </cell>
          <cell r="J55">
            <v>0.12455335811874531</v>
          </cell>
          <cell r="K55">
            <v>0.13043157574472383</v>
          </cell>
          <cell r="L55">
            <v>0.13116726638938669</v>
          </cell>
          <cell r="M55">
            <v>0.12671515574604672</v>
          </cell>
          <cell r="O55">
            <v>0.10995372026151265</v>
          </cell>
          <cell r="P55">
            <v>0.12371542529998263</v>
          </cell>
          <cell r="Q55">
            <v>0.13938543826932451</v>
          </cell>
          <cell r="R55">
            <v>0.15313713658582037</v>
          </cell>
          <cell r="S55">
            <v>0.13311371284836812</v>
          </cell>
          <cell r="U55">
            <v>0.14175338710219559</v>
          </cell>
          <cell r="V55">
            <v>0.14559027174309153</v>
          </cell>
          <cell r="W55">
            <v>0.14990854693073569</v>
          </cell>
          <cell r="X55">
            <v>0.15777877643957086</v>
          </cell>
          <cell r="Y55">
            <v>0.14951683126261023</v>
          </cell>
          <cell r="AA55">
            <v>0.1605936190231804</v>
          </cell>
          <cell r="AB55">
            <v>0.1695796135630161</v>
          </cell>
          <cell r="AC55">
            <v>0.16854072963518243</v>
          </cell>
          <cell r="AD55">
            <v>0.17248483461142267</v>
          </cell>
          <cell r="AE55">
            <v>0.16665102945009125</v>
          </cell>
          <cell r="AG55">
            <v>0.17505873140172276</v>
          </cell>
          <cell r="AH55">
            <v>0.17589312075583122</v>
          </cell>
          <cell r="AI55">
            <v>0.17557281403346084</v>
          </cell>
          <cell r="AJ55">
            <v>0.18580659789139548</v>
          </cell>
          <cell r="AK55">
            <v>0.17617228406314214</v>
          </cell>
          <cell r="AM55">
            <v>0.15476032105006438</v>
          </cell>
          <cell r="AN55">
            <v>0.16851173463226116</v>
          </cell>
          <cell r="AO55">
            <v>0.17284974912093556</v>
          </cell>
          <cell r="AP55">
            <v>0.17954497429034294</v>
          </cell>
          <cell r="AQ55">
            <v>0.16641107389321616</v>
          </cell>
          <cell r="AS55">
            <v>0.17316989607522179</v>
          </cell>
          <cell r="AT55">
            <v>0.17236198328004013</v>
          </cell>
          <cell r="AU55">
            <v>0.17160573667592344</v>
          </cell>
          <cell r="AV55">
            <v>0.17900621574901607</v>
          </cell>
          <cell r="AW55">
            <v>0.17408374486764683</v>
          </cell>
          <cell r="AY55">
            <v>0.17825989711473936</v>
          </cell>
          <cell r="AZ55">
            <v>0.17880168185003495</v>
          </cell>
          <cell r="BA55">
            <v>0.18643663268437372</v>
          </cell>
          <cell r="BB55">
            <v>0.19179102061955783</v>
          </cell>
          <cell r="BC55">
            <v>0.18408485309893741</v>
          </cell>
          <cell r="BE55">
            <v>0.18745092907615807</v>
          </cell>
          <cell r="BF55">
            <v>0.18985875615327691</v>
          </cell>
          <cell r="BG55">
            <v>0.19393663268437375</v>
          </cell>
          <cell r="BH55">
            <v>0.19879102061955781</v>
          </cell>
          <cell r="BI55">
            <v>0.19248592329536141</v>
          </cell>
          <cell r="BK55">
            <v>0.19045092907615804</v>
          </cell>
          <cell r="BL55">
            <v>0.19235875615327683</v>
          </cell>
          <cell r="BM55">
            <v>0.19493663268437386</v>
          </cell>
          <cell r="BN55">
            <v>0.20029102061955789</v>
          </cell>
          <cell r="BO55">
            <v>0.19449017331564813</v>
          </cell>
          <cell r="BQ55">
            <v>0.19595092907615808</v>
          </cell>
          <cell r="BR55">
            <v>0.19785875615327686</v>
          </cell>
          <cell r="BS55">
            <v>0.20043663268437373</v>
          </cell>
          <cell r="BT55">
            <v>0.20579102061955781</v>
          </cell>
          <cell r="BU55">
            <v>0.1999966294173306</v>
          </cell>
          <cell r="BW55">
            <v>0.20145092907615808</v>
          </cell>
          <cell r="BX55">
            <v>0.20335875615327689</v>
          </cell>
          <cell r="BY55">
            <v>0.20593663268437362</v>
          </cell>
          <cell r="BZ55">
            <v>0.21129102061955782</v>
          </cell>
          <cell r="CA55">
            <v>0.20549913847270485</v>
          </cell>
        </row>
        <row r="56">
          <cell r="C56" t="str">
            <v>Incremental EBIT</v>
          </cell>
          <cell r="O56">
            <v>4.8250234082395461E-2</v>
          </cell>
          <cell r="P56">
            <v>0.12028493048194999</v>
          </cell>
          <cell r="Q56">
            <v>0.17480451654315315</v>
          </cell>
          <cell r="R56">
            <v>0.25886636118260059</v>
          </cell>
          <cell r="S56">
            <v>0.16616787500702496</v>
          </cell>
          <cell r="U56">
            <v>0.28392455967828434</v>
          </cell>
          <cell r="V56">
            <v>0.38449713435928434</v>
          </cell>
          <cell r="W56">
            <v>0.3068648328247453</v>
          </cell>
          <cell r="X56">
            <v>0.16148356934985253</v>
          </cell>
          <cell r="Y56">
            <v>0.18761074747766973</v>
          </cell>
          <cell r="AA56">
            <v>0.16838854280726998</v>
          </cell>
          <cell r="AB56">
            <v>0.17981358883350718</v>
          </cell>
          <cell r="AC56">
            <v>0.17659902710712921</v>
          </cell>
          <cell r="AD56">
            <v>0.1982598193656796</v>
          </cell>
          <cell r="AE56">
            <v>0.17772971488404829</v>
          </cell>
          <cell r="AG56">
            <v>0.33178869323447424</v>
          </cell>
          <cell r="AH56">
            <v>0.22242817423540368</v>
          </cell>
          <cell r="AI56">
            <v>0.26591760299625417</v>
          </cell>
          <cell r="AJ56">
            <v>1.5714285714285792</v>
          </cell>
          <cell r="AK56">
            <v>0.30289995837379941</v>
          </cell>
          <cell r="AM56">
            <v>0.32820341251254531</v>
          </cell>
          <cell r="AN56">
            <v>0.25720620842572212</v>
          </cell>
          <cell r="AO56">
            <v>0.29649122807017469</v>
          </cell>
          <cell r="AP56">
            <v>9.3733816675297121E-2</v>
          </cell>
          <cell r="AQ56">
            <v>0.41708167330676349</v>
          </cell>
          <cell r="AS56">
            <v>0.28483055406132346</v>
          </cell>
          <cell r="AT56">
            <v>0.25806451612903408</v>
          </cell>
          <cell r="AU56">
            <v>0.13934426229508118</v>
          </cell>
          <cell r="AV56">
            <v>0.19170124481327724</v>
          </cell>
          <cell r="AW56">
            <v>0.28955359854236157</v>
          </cell>
          <cell r="AY56">
            <v>0.41831238779173452</v>
          </cell>
          <cell r="AZ56">
            <v>0.24351529229577851</v>
          </cell>
          <cell r="BA56">
            <v>0.31459566074950601</v>
          </cell>
          <cell r="BB56">
            <v>0.28563714902807819</v>
          </cell>
          <cell r="BC56">
            <v>0.29101760064737708</v>
          </cell>
          <cell r="BE56">
            <v>0.25334045964724777</v>
          </cell>
          <cell r="BF56">
            <v>0.31404958677686035</v>
          </cell>
          <cell r="BG56">
            <v>0.94460615611521126</v>
          </cell>
          <cell r="BH56">
            <v>-0.42333801999633563</v>
          </cell>
          <cell r="BI56">
            <v>0.34839405501473319</v>
          </cell>
          <cell r="BK56">
            <v>0.291255461089099</v>
          </cell>
          <cell r="BL56">
            <v>0.25236738095789174</v>
          </cell>
          <cell r="BM56">
            <v>0.22932790836712785</v>
          </cell>
          <cell r="BN56">
            <v>0.2499343464593132</v>
          </cell>
          <cell r="BO56">
            <v>0.25569849330692979</v>
          </cell>
          <cell r="BQ56">
            <v>0.35749313435031621</v>
          </cell>
          <cell r="BR56">
            <v>0.34665065508661258</v>
          </cell>
          <cell r="BS56">
            <v>0.35556031297446161</v>
          </cell>
          <cell r="BT56">
            <v>0.34448121710723667</v>
          </cell>
          <cell r="BU56">
            <v>0.35068405137251119</v>
          </cell>
          <cell r="BW56">
            <v>0.3317700743507333</v>
          </cell>
          <cell r="BX56">
            <v>0.33991698676198628</v>
          </cell>
          <cell r="BY56">
            <v>0.34833141037635096</v>
          </cell>
          <cell r="BZ56">
            <v>0.33763125533153165</v>
          </cell>
          <cell r="CA56">
            <v>0.3391369154645229</v>
          </cell>
        </row>
        <row r="57">
          <cell r="C57" t="str">
            <v>EBITDA</v>
          </cell>
          <cell r="I57">
            <v>0.13468893324597361</v>
          </cell>
          <cell r="J57">
            <v>0.14507842051059466</v>
          </cell>
          <cell r="K57">
            <v>0.14924720872555602</v>
          </cell>
          <cell r="L57">
            <v>0.14987959350375574</v>
          </cell>
          <cell r="M57">
            <v>0.15443099372392063</v>
          </cell>
          <cell r="O57">
            <v>0.12810796698187432</v>
          </cell>
          <cell r="P57">
            <v>0.14017756467432954</v>
          </cell>
          <cell r="Q57">
            <v>0.15754822927506332</v>
          </cell>
          <cell r="R57">
            <v>0.16990308955205763</v>
          </cell>
          <cell r="S57">
            <v>0.15152294298539293</v>
          </cell>
          <cell r="U57">
            <v>0.15899761357442141</v>
          </cell>
          <cell r="V57">
            <v>0.1643717728055078</v>
          </cell>
          <cell r="W57">
            <v>0.16839227435369028</v>
          </cell>
          <cell r="X57">
            <v>0.17599436754748624</v>
          </cell>
          <cell r="Y57">
            <v>0.16783476691090587</v>
          </cell>
          <cell r="AA57">
            <v>0.18026687195278437</v>
          </cell>
          <cell r="AB57">
            <v>0.18844042080556608</v>
          </cell>
          <cell r="AC57">
            <v>0.1877394636015326</v>
          </cell>
          <cell r="AD57">
            <v>0.18847048948914574</v>
          </cell>
          <cell r="AE57">
            <v>0.18531144123012774</v>
          </cell>
          <cell r="AG57">
            <v>0.19369616288175409</v>
          </cell>
          <cell r="AH57">
            <v>0.19368172423974031</v>
          </cell>
          <cell r="AI57">
            <v>0.19400332290096983</v>
          </cell>
          <cell r="AJ57">
            <v>0.20061973321240975</v>
          </cell>
          <cell r="AK57">
            <v>0.19388744521583967</v>
          </cell>
          <cell r="AM57">
            <v>0.17471509023990076</v>
          </cell>
          <cell r="AN57">
            <v>0.18751258000885629</v>
          </cell>
          <cell r="AO57">
            <v>0.19153727628303902</v>
          </cell>
          <cell r="AP57">
            <v>0.19486511234767898</v>
          </cell>
          <cell r="AQ57">
            <v>0.18487428871221612</v>
          </cell>
          <cell r="AS57">
            <v>0.19102364003197692</v>
          </cell>
          <cell r="AT57">
            <v>0.19066147859922183</v>
          </cell>
          <cell r="AU57">
            <v>0.18959942176741354</v>
          </cell>
          <cell r="AV57">
            <v>0.19724888741770563</v>
          </cell>
          <cell r="AW57">
            <v>0.19218179410039551</v>
          </cell>
          <cell r="AY57">
            <v>0.1964884813240885</v>
          </cell>
          <cell r="AZ57">
            <v>0.19681149264190601</v>
          </cell>
          <cell r="BA57">
            <v>0.2052234989259776</v>
          </cell>
          <cell r="BB57">
            <v>0.2112776357103551</v>
          </cell>
          <cell r="BC57">
            <v>0.20273730837111098</v>
          </cell>
          <cell r="BE57">
            <v>0.20704658466370057</v>
          </cell>
          <cell r="BF57">
            <v>0.20858402239310189</v>
          </cell>
          <cell r="BG57">
            <v>0.21220553976136838</v>
          </cell>
          <cell r="BH57">
            <v>0.21720908272261247</v>
          </cell>
          <cell r="BI57">
            <v>0.21124159679411914</v>
          </cell>
          <cell r="BK57">
            <v>0.20950922739828975</v>
          </cell>
          <cell r="BL57">
            <v>0.21143718089550606</v>
          </cell>
          <cell r="BM57">
            <v>0.21579903064803224</v>
          </cell>
          <cell r="BN57">
            <v>0.22104721226881008</v>
          </cell>
          <cell r="BO57">
            <v>0.21441549816896568</v>
          </cell>
          <cell r="BQ57">
            <v>0.21656345994676687</v>
          </cell>
          <cell r="BR57">
            <v>0.21840089257256834</v>
          </cell>
          <cell r="BS57">
            <v>0.2228978248626203</v>
          </cell>
          <cell r="BT57">
            <v>0.22801630337245238</v>
          </cell>
          <cell r="BU57">
            <v>0.22144312716792675</v>
          </cell>
          <cell r="BW57">
            <v>0.22344037360930538</v>
          </cell>
          <cell r="BX57">
            <v>0.22528693766449692</v>
          </cell>
          <cell r="BY57">
            <v>0.22992167380135395</v>
          </cell>
          <cell r="BZ57">
            <v>0.23488546196726412</v>
          </cell>
          <cell r="CA57">
            <v>0.22835826391400132</v>
          </cell>
        </row>
        <row r="58">
          <cell r="C58" t="str">
            <v>Other Expense</v>
          </cell>
          <cell r="AE58">
            <v>1.1227521501172772E-2</v>
          </cell>
          <cell r="AK58">
            <v>1.014234185315907E-2</v>
          </cell>
          <cell r="AQ58">
            <v>1.0220347875216935E-2</v>
          </cell>
          <cell r="AS58">
            <v>8.6032966614640934E-3</v>
          </cell>
          <cell r="AT58">
            <v>7.9747274338328525E-3</v>
          </cell>
          <cell r="AU58">
            <v>5.2877848366112441E-3</v>
          </cell>
          <cell r="AV58">
            <v>5.4433778366251096E-3</v>
          </cell>
          <cell r="AW58">
            <v>6.8116024294715286E-3</v>
          </cell>
          <cell r="AY58">
            <v>8.0891672258256875E-3</v>
          </cell>
          <cell r="AZ58">
            <v>1.0967063770147166E-2</v>
          </cell>
          <cell r="BA58">
            <v>1.5240887858433609E-2</v>
          </cell>
          <cell r="BB58">
            <v>1.7058880652574993E-2</v>
          </cell>
          <cell r="BC58">
            <v>1.3011731321590466E-2</v>
          </cell>
          <cell r="BE58">
            <v>1.5931693274012039E-2</v>
          </cell>
          <cell r="BF58">
            <v>1.4478298639039929E-2</v>
          </cell>
          <cell r="BG58">
            <v>2.1943129312831041E-2</v>
          </cell>
          <cell r="BH58">
            <v>2.1607180242377063E-2</v>
          </cell>
          <cell r="BI58">
            <v>1.8445787632968769E-2</v>
          </cell>
          <cell r="BK58">
            <v>1.4841034741825533E-2</v>
          </cell>
          <cell r="BL58">
            <v>1.4500437015565536E-2</v>
          </cell>
          <cell r="BM58">
            <v>1.4927892546645916E-2</v>
          </cell>
          <cell r="BN58">
            <v>1.3996686765998662E-2</v>
          </cell>
          <cell r="BO58">
            <v>1.4563227146850025E-2</v>
          </cell>
          <cell r="BQ58">
            <v>1.2548269373436007E-2</v>
          </cell>
          <cell r="BR58">
            <v>1.2497211900205621E-2</v>
          </cell>
          <cell r="BS58">
            <v>1.2848292219239246E-2</v>
          </cell>
          <cell r="BT58">
            <v>1.0787154500793235E-2</v>
          </cell>
          <cell r="BU58">
            <v>1.2165904794876394E-2</v>
          </cell>
          <cell r="BW58">
            <v>1.0634822273683703E-2</v>
          </cell>
          <cell r="BX58">
            <v>8.1028851384367159E-3</v>
          </cell>
          <cell r="BY58">
            <v>9.3393557772243393E-3</v>
          </cell>
          <cell r="BZ58">
            <v>8.4050392383101368E-3</v>
          </cell>
          <cell r="CA58">
            <v>9.1100356447956152E-3</v>
          </cell>
        </row>
        <row r="59">
          <cell r="C59" t="str">
            <v>income tax rate</v>
          </cell>
          <cell r="I59">
            <v>0.25321909032671358</v>
          </cell>
          <cell r="J59">
            <v>0.25044680403700598</v>
          </cell>
          <cell r="K59">
            <v>0.26570226484168002</v>
          </cell>
          <cell r="L59">
            <v>0.28000277723133166</v>
          </cell>
          <cell r="M59">
            <v>0.44230591188239954</v>
          </cell>
          <cell r="O59">
            <v>0.28048648732077003</v>
          </cell>
          <cell r="P59">
            <v>0.7509095866199107</v>
          </cell>
          <cell r="Q59">
            <v>0.44870526052485593</v>
          </cell>
          <cell r="R59">
            <v>0.32724325112025904</v>
          </cell>
          <cell r="S59">
            <v>0.46991576898013676</v>
          </cell>
          <cell r="U59">
            <v>0.39026614174917618</v>
          </cell>
          <cell r="V59">
            <v>0.41387785970882957</v>
          </cell>
          <cell r="W59">
            <v>0.41242531694758833</v>
          </cell>
          <cell r="X59">
            <v>0.58189572020210767</v>
          </cell>
          <cell r="Y59">
            <v>0.28097764304660849</v>
          </cell>
          <cell r="AA59">
            <v>0.25028669724770608</v>
          </cell>
          <cell r="AB59">
            <v>0.24192708333333326</v>
          </cell>
          <cell r="AC59">
            <v>0.24631306597671407</v>
          </cell>
          <cell r="AD59">
            <v>0.22531939605110343</v>
          </cell>
          <cell r="AE59">
            <v>0.23422094037158753</v>
          </cell>
          <cell r="AG59">
            <v>0.24317968015051747</v>
          </cell>
          <cell r="AH59">
            <v>0.23669159700835879</v>
          </cell>
          <cell r="AI59">
            <v>0.23294008790191989</v>
          </cell>
          <cell r="AJ59">
            <v>0.20907172995780596</v>
          </cell>
          <cell r="AK59">
            <v>0.22326695088477516</v>
          </cell>
          <cell r="AM59">
            <v>0.19987775061124682</v>
          </cell>
          <cell r="AN59">
            <v>0.19994905756495165</v>
          </cell>
          <cell r="AO59">
            <v>0.19999999999999998</v>
          </cell>
          <cell r="AP59">
            <v>0.20033181252592297</v>
          </cell>
          <cell r="AQ59">
            <v>0.19191266714036548</v>
          </cell>
          <cell r="AS59">
            <v>0.21027064538514917</v>
          </cell>
          <cell r="AT59">
            <v>0.20717131474103578</v>
          </cell>
          <cell r="AU59">
            <v>0.1957913998170174</v>
          </cell>
          <cell r="AV59">
            <v>0.18542063996609459</v>
          </cell>
          <cell r="AW59">
            <v>0.19930999377863237</v>
          </cell>
          <cell r="AY59">
            <v>0.20503833515881714</v>
          </cell>
          <cell r="AZ59">
            <v>0.20041753653444688</v>
          </cell>
          <cell r="BA59">
            <v>0.1850229038040232</v>
          </cell>
          <cell r="BB59">
            <v>0.17636161541311596</v>
          </cell>
          <cell r="BC59">
            <v>0.19171009772760078</v>
          </cell>
          <cell r="BE59">
            <v>0.17509059698645815</v>
          </cell>
          <cell r="BF59">
            <v>0.17611447440836547</v>
          </cell>
          <cell r="BG59">
            <v>0.17100000000000001</v>
          </cell>
          <cell r="BH59">
            <v>0.17100000000000001</v>
          </cell>
          <cell r="BI59">
            <v>0.17330126784870592</v>
          </cell>
          <cell r="BK59">
            <v>0.17399999999999999</v>
          </cell>
          <cell r="BL59">
            <v>0.17399999999999999</v>
          </cell>
          <cell r="BM59">
            <v>0.17399999999999999</v>
          </cell>
          <cell r="BN59">
            <v>0.17399999999999999</v>
          </cell>
          <cell r="BO59">
            <v>0.17399999999999999</v>
          </cell>
          <cell r="BQ59">
            <v>0.17399999999999999</v>
          </cell>
          <cell r="BR59">
            <v>0.17399999999999999</v>
          </cell>
          <cell r="BS59">
            <v>0.17399999999999999</v>
          </cell>
          <cell r="BT59">
            <v>0.17399999999999999</v>
          </cell>
          <cell r="BU59">
            <v>0.17399999999999999</v>
          </cell>
          <cell r="BW59">
            <v>0.17399999999999999</v>
          </cell>
          <cell r="BX59">
            <v>0.17399999999999999</v>
          </cell>
          <cell r="BY59">
            <v>0.17399999999999999</v>
          </cell>
          <cell r="BZ59">
            <v>0.17399999999999999</v>
          </cell>
          <cell r="CA59">
            <v>0.17399999999999999</v>
          </cell>
        </row>
        <row r="60">
          <cell r="C60" t="str">
            <v>Net Income (non-GAAP)</v>
          </cell>
          <cell r="AE60">
            <v>0.11902006776127189</v>
          </cell>
          <cell r="AG60">
            <v>0.12599843382928738</v>
          </cell>
          <cell r="AH60">
            <v>0.1280631827576027</v>
          </cell>
          <cell r="AI60">
            <v>0.12812487925505198</v>
          </cell>
          <cell r="AJ60">
            <v>0.14166950081245508</v>
          </cell>
          <cell r="AK60">
            <v>0.12896094325718474</v>
          </cell>
          <cell r="AM60">
            <v>0.11609241275331478</v>
          </cell>
          <cell r="AN60">
            <v>0.12644418501670621</v>
          </cell>
          <cell r="AO60">
            <v>0.13006202836711311</v>
          </cell>
          <cell r="AP60">
            <v>0.13580333873353514</v>
          </cell>
          <cell r="AQ60">
            <v>0.12621574720529494</v>
          </cell>
          <cell r="AS60">
            <v>0.12996307434618756</v>
          </cell>
          <cell r="AT60">
            <v>0.1303309319258775</v>
          </cell>
          <cell r="AU60">
            <v>0.13375432723399397</v>
          </cell>
          <cell r="AV60">
            <v>0.14138070543234388</v>
          </cell>
          <cell r="AW60">
            <v>0.13393313276948407</v>
          </cell>
          <cell r="AY60">
            <v>0.13527920673973007</v>
          </cell>
          <cell r="AZ60">
            <v>0.13419761737911692</v>
          </cell>
          <cell r="BA60">
            <v>0.13952061099935212</v>
          </cell>
          <cell r="BB60">
            <v>0.14391609749781506</v>
          </cell>
          <cell r="BC60">
            <v>0.13839671938263468</v>
          </cell>
          <cell r="BE60">
            <v>0.14148783041088717</v>
          </cell>
          <cell r="BF60">
            <v>0.14449342041761845</v>
          </cell>
          <cell r="BG60">
            <v>0.1425826142950089</v>
          </cell>
          <cell r="BH60">
            <v>0.14690298209446959</v>
          </cell>
          <cell r="BI60">
            <v>0.14387875949553922</v>
          </cell>
          <cell r="BK60">
            <v>0.14505377272015865</v>
          </cell>
          <cell r="BL60">
            <v>0.14691097160774955</v>
          </cell>
          <cell r="BM60">
            <v>0.14868721935376328</v>
          </cell>
          <cell r="BN60">
            <v>0.15387911976303992</v>
          </cell>
          <cell r="BO60">
            <v>0.14861965753542727</v>
          </cell>
          <cell r="BQ60">
            <v>0.15149059691444844</v>
          </cell>
          <cell r="BR60">
            <v>0.15310863555303683</v>
          </cell>
          <cell r="BS60">
            <v>0.15494796922420107</v>
          </cell>
          <cell r="BT60">
            <v>0.16107319341409956</v>
          </cell>
          <cell r="BU60">
            <v>0.15514817853814716</v>
          </cell>
          <cell r="BW60">
            <v>0.15761410421884386</v>
          </cell>
          <cell r="BX60">
            <v>0.16128134945825801</v>
          </cell>
          <cell r="BY60">
            <v>0.1623893507253053</v>
          </cell>
          <cell r="BZ60">
            <v>0.16758382062091057</v>
          </cell>
          <cell r="CA60">
            <v>0.16221739893585302</v>
          </cell>
        </row>
        <row r="62">
          <cell r="C62" t="str">
            <v>Growth</v>
          </cell>
          <cell r="AQ62">
            <v>-9.2237061769615547E-3</v>
          </cell>
          <cell r="AS62">
            <v>0.14320944160648219</v>
          </cell>
          <cell r="AT62">
            <v>5.9587217043941321E-2</v>
          </cell>
          <cell r="AU62">
            <v>6.5752519411861998E-2</v>
          </cell>
          <cell r="AV62">
            <v>6.2930776146239431E-3</v>
          </cell>
          <cell r="AW62">
            <v>9.6212982855217177E-2</v>
          </cell>
          <cell r="AY62">
            <v>4.5300462249614704E-2</v>
          </cell>
          <cell r="AZ62">
            <v>0.11671379202010668</v>
          </cell>
          <cell r="BA62">
            <v>0.16075027127577113</v>
          </cell>
          <cell r="BB62">
            <v>0.18448481238832648</v>
          </cell>
          <cell r="BC62">
            <v>0.12731045613495739</v>
          </cell>
          <cell r="BE62">
            <v>0.18042452830188682</v>
          </cell>
          <cell r="BF62">
            <v>0.12195808130538754</v>
          </cell>
          <cell r="BG62">
            <v>1.3947014264714008E-2</v>
          </cell>
          <cell r="BH62">
            <v>-7.4119110687711487E-3</v>
          </cell>
          <cell r="BI62">
            <v>7.2827702831405272E-2</v>
          </cell>
          <cell r="BK62">
            <v>2.9760566713556758E-2</v>
          </cell>
          <cell r="BL62">
            <v>4.1660678079855851E-2</v>
          </cell>
          <cell r="BM62">
            <v>2.9077141808425466E-2</v>
          </cell>
          <cell r="BN62">
            <v>3.0215542061826417E-2</v>
          </cell>
          <cell r="BO62">
            <v>3.2725663552943152E-2</v>
          </cell>
          <cell r="BQ62">
            <v>2.812611130765319E-2</v>
          </cell>
          <cell r="BR62">
            <v>3.0903089821762153E-2</v>
          </cell>
          <cell r="BS62">
            <v>2.939580560714794E-2</v>
          </cell>
          <cell r="BT62">
            <v>3.3623947632629214E-2</v>
          </cell>
          <cell r="BU62">
            <v>3.0517167054494143E-2</v>
          </cell>
          <cell r="BW62">
            <v>3.6202292647599554E-2</v>
          </cell>
          <cell r="BX62">
            <v>3.4159462444636635E-2</v>
          </cell>
          <cell r="BY62">
            <v>3.2510908155257923E-2</v>
          </cell>
          <cell r="BZ62">
            <v>3.7442621233896523E-2</v>
          </cell>
          <cell r="CA62">
            <v>3.5104870167074198E-2</v>
          </cell>
        </row>
        <row r="63">
          <cell r="C63" t="str">
            <v>Revenues</v>
          </cell>
          <cell r="O63">
            <v>6.509317527312608E-2</v>
          </cell>
          <cell r="P63">
            <v>0.2442600450401573</v>
          </cell>
          <cell r="Q63">
            <v>0.25279772825756264</v>
          </cell>
          <cell r="R63">
            <v>0.20779373234051635</v>
          </cell>
          <cell r="S63">
            <v>0.1935779546191172</v>
          </cell>
          <cell r="U63">
            <v>0.22367169282270649</v>
          </cell>
          <cell r="V63">
            <v>9.1562235607484999E-2</v>
          </cell>
          <cell r="W63">
            <v>6.7044837366483589E-2</v>
          </cell>
          <cell r="X63">
            <v>1.2528743079994653</v>
          </cell>
          <cell r="Y63">
            <v>0.43059679980493937</v>
          </cell>
          <cell r="AA63">
            <v>2.4169873167252924</v>
          </cell>
          <cell r="AB63">
            <v>2.3440883122999212</v>
          </cell>
          <cell r="AC63">
            <v>2.3121736035819804</v>
          </cell>
          <cell r="AD63">
            <v>0.57055545568937638</v>
          </cell>
          <cell r="AE63">
            <v>1.5465912711054473</v>
          </cell>
          <cell r="AG63">
            <v>9.229321700453319E-2</v>
          </cell>
          <cell r="AH63">
            <v>0.13567207343140963</v>
          </cell>
          <cell r="AI63">
            <v>7.7836081959020698E-2</v>
          </cell>
          <cell r="AJ63">
            <v>9.6142840792032835E-3</v>
          </cell>
          <cell r="AK63">
            <v>7.513161323951012E-2</v>
          </cell>
          <cell r="AM63">
            <v>-0.11703210649960827</v>
          </cell>
          <cell r="AN63">
            <v>-8.3222615884263496E-2</v>
          </cell>
          <cell r="AO63">
            <v>-2.2023878520922913E-2</v>
          </cell>
          <cell r="AP63">
            <v>7.2969806900200496E-2</v>
          </cell>
          <cell r="AQ63">
            <v>-3.8940387076756067E-2</v>
          </cell>
          <cell r="AS63">
            <v>0.16487073743958103</v>
          </cell>
          <cell r="AT63">
            <v>4.4925727627712186E-2</v>
          </cell>
          <cell r="AU63">
            <v>3.8560309746750399E-2</v>
          </cell>
          <cell r="AV63">
            <v>-4.2438543354229807E-2</v>
          </cell>
          <cell r="AW63">
            <v>6.6447394971548279E-2</v>
          </cell>
          <cell r="AY63">
            <v>2.1203700178918261E-2</v>
          </cell>
          <cell r="AZ63">
            <v>9.9510729283045052E-2</v>
          </cell>
          <cell r="BA63">
            <v>0.11572260052497452</v>
          </cell>
          <cell r="BB63">
            <v>0.13623156423553651</v>
          </cell>
          <cell r="BC63">
            <v>9.3527085580216163E-2</v>
          </cell>
          <cell r="BE63">
            <v>0.13949153806009096</v>
          </cell>
          <cell r="BF63">
            <v>8.9032936229852755E-2</v>
          </cell>
          <cell r="BG63">
            <v>9.9910809829100167E-3</v>
          </cell>
          <cell r="BH63">
            <v>-1.125168500906204E-2</v>
          </cell>
          <cell r="BI63">
            <v>5.3884746765778591E-2</v>
          </cell>
          <cell r="BK63">
            <v>2.9760566713556758E-2</v>
          </cell>
          <cell r="BL63">
            <v>4.1660678079855851E-2</v>
          </cell>
          <cell r="BM63">
            <v>2.9077141808425466E-2</v>
          </cell>
          <cell r="BN63">
            <v>3.0215542061826195E-2</v>
          </cell>
          <cell r="BO63">
            <v>3.2744731771305213E-2</v>
          </cell>
          <cell r="BQ63">
            <v>3.4046829995082684E-2</v>
          </cell>
          <cell r="BR63">
            <v>3.6964378030179379E-2</v>
          </cell>
          <cell r="BS63">
            <v>3.5455579636291867E-2</v>
          </cell>
          <cell r="BT63">
            <v>3.9656732337880252E-2</v>
          </cell>
          <cell r="BU63">
            <v>3.6542241085790517E-2</v>
          </cell>
          <cell r="BW63">
            <v>4.2204082818467104E-2</v>
          </cell>
          <cell r="BX63">
            <v>4.0275858697668587E-2</v>
          </cell>
          <cell r="BY63">
            <v>3.8625012020435667E-2</v>
          </cell>
          <cell r="BZ63">
            <v>4.353324190459773E-2</v>
          </cell>
          <cell r="CA63">
            <v>4.1174802359299489E-2</v>
          </cell>
        </row>
        <row r="64">
          <cell r="C64" t="str">
            <v>COGS</v>
          </cell>
          <cell r="AG64">
            <v>8.0189696055184667E-2</v>
          </cell>
          <cell r="AH64">
            <v>0.12976773918602169</v>
          </cell>
          <cell r="AI64">
            <v>7.1242703424994946E-2</v>
          </cell>
          <cell r="AJ64">
            <v>-8.3892617449665696E-4</v>
          </cell>
          <cell r="AK64">
            <v>6.7363043059857075E-2</v>
          </cell>
          <cell r="AM64">
            <v>-0.10969201090933289</v>
          </cell>
          <cell r="AN64">
            <v>-7.9152521061234826E-2</v>
          </cell>
          <cell r="AO64">
            <v>-2.2912289915966499E-2</v>
          </cell>
          <cell r="AP64">
            <v>7.3564554672867155E-2</v>
          </cell>
          <cell r="AQ64">
            <v>-3.4752389226759495E-2</v>
          </cell>
          <cell r="AS64">
            <v>0.13792588164973063</v>
          </cell>
          <cell r="AT64">
            <v>3.2088482283061381E-2</v>
          </cell>
          <cell r="AU64">
            <v>2.9698313512060537E-2</v>
          </cell>
          <cell r="AV64">
            <v>-6.1123811815665952E-2</v>
          </cell>
          <cell r="AW64">
            <v>4.0673878708625377E-2</v>
          </cell>
          <cell r="AY64">
            <v>1.9697964543667901E-3</v>
          </cell>
          <cell r="AZ64">
            <v>8.0108487133690565E-2</v>
          </cell>
          <cell r="BA64">
            <v>6.8384991843393417E-2</v>
          </cell>
          <cell r="BB64">
            <v>9.015763168012314E-2</v>
          </cell>
          <cell r="BC64">
            <v>6.0315284441398331E-2</v>
          </cell>
          <cell r="BE64">
            <v>0.10288335517693326</v>
          </cell>
          <cell r="BF64">
            <v>5.3650171484566522E-2</v>
          </cell>
          <cell r="BG64">
            <v>-5.3871173631628855E-3</v>
          </cell>
          <cell r="BH64">
            <v>-2.5615007971509618E-2</v>
          </cell>
          <cell r="BI64">
            <v>2.9581195505796742E-2</v>
          </cell>
          <cell r="BK64">
            <v>2.4149564752184105E-2</v>
          </cell>
          <cell r="BL64">
            <v>3.6955979240138381E-2</v>
          </cell>
          <cell r="BM64">
            <v>2.7205251551196463E-2</v>
          </cell>
          <cell r="BN64">
            <v>2.7368107781621687E-2</v>
          </cell>
          <cell r="BO64">
            <v>2.8984490926845741E-2</v>
          </cell>
          <cell r="BQ64">
            <v>2.6493195264452929E-2</v>
          </cell>
          <cell r="BR64">
            <v>2.9436798917751528E-2</v>
          </cell>
          <cell r="BS64">
            <v>2.7907879862025364E-2</v>
          </cell>
          <cell r="BT64">
            <v>3.1972750463855615E-2</v>
          </cell>
          <cell r="BU64">
            <v>2.8955601519738083E-2</v>
          </cell>
          <cell r="BW64">
            <v>3.4534836697109883E-2</v>
          </cell>
          <cell r="BX64">
            <v>3.266902082930434E-2</v>
          </cell>
          <cell r="BY64">
            <v>3.0998618719679571E-2</v>
          </cell>
          <cell r="BZ64">
            <v>3.5763181588438053E-2</v>
          </cell>
          <cell r="CA64">
            <v>3.349738141798464E-2</v>
          </cell>
        </row>
        <row r="65">
          <cell r="C65" t="str">
            <v>SGA</v>
          </cell>
          <cell r="AG65">
            <v>5.946791862284817E-2</v>
          </cell>
          <cell r="AH65">
            <v>0.12298426267728768</v>
          </cell>
          <cell r="AI65">
            <v>6.3784412563009152E-2</v>
          </cell>
          <cell r="AJ65">
            <v>-2.2580645161290325E-2</v>
          </cell>
          <cell r="AK65">
            <v>5.2507836990595802E-2</v>
          </cell>
          <cell r="AM65">
            <v>-5.9268833087149253E-2</v>
          </cell>
          <cell r="AN65">
            <v>-6.1072664359861473E-2</v>
          </cell>
          <cell r="AO65">
            <v>-7.1077091306727125E-3</v>
          </cell>
          <cell r="AP65">
            <v>9.6626329299596803E-2</v>
          </cell>
          <cell r="AQ65">
            <v>-8.7025316455697777E-3</v>
          </cell>
          <cell r="AS65">
            <v>0.14406280667320903</v>
          </cell>
          <cell r="AT65">
            <v>4.4776119402984982E-2</v>
          </cell>
          <cell r="AU65">
            <v>5.2863436123348206E-2</v>
          </cell>
          <cell r="AV65">
            <v>-6.8550409630496745E-3</v>
          </cell>
          <cell r="AW65">
            <v>8.7977090277451708E-2</v>
          </cell>
          <cell r="AY65">
            <v>3.5512094698919361E-2</v>
          </cell>
          <cell r="AZ65">
            <v>0.10687830687830702</v>
          </cell>
          <cell r="BA65">
            <v>0.15411436541143653</v>
          </cell>
          <cell r="BB65">
            <v>0.17811447811447834</v>
          </cell>
          <cell r="BC65">
            <v>0.1188781014023732</v>
          </cell>
          <cell r="BE65">
            <v>0.17461895294897278</v>
          </cell>
          <cell r="BF65">
            <v>0.12077756532823436</v>
          </cell>
          <cell r="BG65">
            <v>1.4465707631572844E-2</v>
          </cell>
          <cell r="BH65">
            <v>-6.8868090880824795E-3</v>
          </cell>
          <cell r="BI65">
            <v>7.171496700819957E-2</v>
          </cell>
          <cell r="BK65">
            <v>2.9760566713556758E-2</v>
          </cell>
          <cell r="BL65">
            <v>4.1660678079856073E-2</v>
          </cell>
          <cell r="BM65">
            <v>2.9077141808425466E-2</v>
          </cell>
          <cell r="BN65">
            <v>3.0215542061826195E-2</v>
          </cell>
          <cell r="BO65">
            <v>3.2721305465763129E-2</v>
          </cell>
          <cell r="BQ65">
            <v>3.070316883507318E-2</v>
          </cell>
          <cell r="BR65">
            <v>3.3527867172179926E-2</v>
          </cell>
          <cell r="BS65">
            <v>3.2030172723599648E-2</v>
          </cell>
          <cell r="BT65">
            <v>3.6229651206600488E-2</v>
          </cell>
          <cell r="BU65">
            <v>3.3122641455393786E-2</v>
          </cell>
          <cell r="BW65">
            <v>3.8823112023100403E-2</v>
          </cell>
          <cell r="BX65">
            <v>3.6816910567406547E-2</v>
          </cell>
          <cell r="BY65">
            <v>3.5177716204964682E-2</v>
          </cell>
          <cell r="BZ65">
            <v>4.0082005898148365E-2</v>
          </cell>
          <cell r="CA65">
            <v>3.7748798942701223E-2</v>
          </cell>
        </row>
        <row r="66">
          <cell r="C66" t="str">
            <v>R&amp;D</v>
          </cell>
          <cell r="AG66">
            <v>3.6789297658862852E-2</v>
          </cell>
          <cell r="AH66">
            <v>9.7103918228279351E-2</v>
          </cell>
          <cell r="AI66">
            <v>5.1020408163265252E-2</v>
          </cell>
          <cell r="AJ66">
            <v>-8.1433224755700362E-3</v>
          </cell>
          <cell r="AK66">
            <v>4.3037974683544311E-2</v>
          </cell>
          <cell r="AM66">
            <v>-6.1290322580645151E-2</v>
          </cell>
          <cell r="AN66">
            <v>-9.782608695652184E-2</v>
          </cell>
          <cell r="AO66">
            <v>-2.1035598705501535E-2</v>
          </cell>
          <cell r="AP66">
            <v>0.13793103448275867</v>
          </cell>
          <cell r="AQ66">
            <v>-1.3754045307443286E-2</v>
          </cell>
          <cell r="AS66">
            <v>0.13573883161512001</v>
          </cell>
          <cell r="AT66">
            <v>0.19793459552495674</v>
          </cell>
          <cell r="AU66">
            <v>0.18181818181818188</v>
          </cell>
          <cell r="AV66">
            <v>0.11976911976911975</v>
          </cell>
          <cell r="AW66">
            <v>0.16817063166529911</v>
          </cell>
          <cell r="AY66">
            <v>0.1316187594553706</v>
          </cell>
          <cell r="AZ66">
            <v>0.19683908045977017</v>
          </cell>
          <cell r="BA66">
            <v>0.21398601398601391</v>
          </cell>
          <cell r="BB66">
            <v>0.23324742268041243</v>
          </cell>
          <cell r="BC66">
            <v>0.1959269662921348</v>
          </cell>
          <cell r="BE66">
            <v>0.22727272727272729</v>
          </cell>
          <cell r="BF66">
            <v>0.13085234093637466</v>
          </cell>
          <cell r="BG66">
            <v>9.9910809829100167E-3</v>
          </cell>
          <cell r="BH66">
            <v>-1.125168500906204E-2</v>
          </cell>
          <cell r="BI66">
            <v>8.1299000510714592E-2</v>
          </cell>
          <cell r="BK66">
            <v>2.9760566713556758E-2</v>
          </cell>
          <cell r="BL66">
            <v>4.1660678079855851E-2</v>
          </cell>
          <cell r="BM66">
            <v>2.9077141808425466E-2</v>
          </cell>
          <cell r="BN66">
            <v>3.0215542061826195E-2</v>
          </cell>
          <cell r="BO66">
            <v>3.2758547752964162E-2</v>
          </cell>
          <cell r="BQ66">
            <v>8.2226931492577204E-3</v>
          </cell>
          <cell r="BR66">
            <v>1.130363771683851E-2</v>
          </cell>
          <cell r="BS66">
            <v>9.2151907867934479E-3</v>
          </cell>
          <cell r="BT66">
            <v>1.4485795478856867E-2</v>
          </cell>
          <cell r="BU66">
            <v>1.0858117534830569E-2</v>
          </cell>
          <cell r="BW66">
            <v>1.5509562809287836E-2</v>
          </cell>
          <cell r="BX66">
            <v>1.3879979489180405E-2</v>
          </cell>
          <cell r="BY66">
            <v>1.1619944683920691E-2</v>
          </cell>
          <cell r="BZ66">
            <v>1.7641593683072276E-2</v>
          </cell>
          <cell r="CA66">
            <v>1.4716282910608003E-2</v>
          </cell>
        </row>
        <row r="67">
          <cell r="C67" t="str">
            <v>EBIT</v>
          </cell>
          <cell r="U67">
            <v>0.57756924227885831</v>
          </cell>
          <cell r="V67">
            <v>0.28456772565944988</v>
          </cell>
          <cell r="W67">
            <v>0.14760295670538492</v>
          </cell>
          <cell r="X67">
            <v>1.3211597115706661</v>
          </cell>
          <cell r="Y67">
            <v>0.60688403729614371</v>
          </cell>
          <cell r="AA67">
            <v>2.8711340206185567</v>
          </cell>
          <cell r="AB67">
            <v>2.8951036833086246</v>
          </cell>
          <cell r="AC67">
            <v>2.7238447523877882</v>
          </cell>
          <cell r="AD67">
            <v>0.71694193690494834</v>
          </cell>
          <cell r="AE67">
            <v>1.8384232954545445</v>
          </cell>
          <cell r="AG67">
            <v>0.19067909454061094</v>
          </cell>
          <cell r="AH67">
            <v>0.17795353435491901</v>
          </cell>
          <cell r="AI67">
            <v>0.12280701754385981</v>
          </cell>
          <cell r="AJ67">
            <v>8.7591240875912302E-2</v>
          </cell>
          <cell r="AK67">
            <v>0.13655698736394184</v>
          </cell>
          <cell r="AM67">
            <v>-0.21941400134198097</v>
          </cell>
          <cell r="AN67">
            <v>-0.12169534200587584</v>
          </cell>
          <cell r="AO67">
            <v>-3.7191901408450856E-2</v>
          </cell>
          <cell r="AP67">
            <v>3.6811063656701171E-2</v>
          </cell>
          <cell r="AQ67">
            <v>-9.2189993945729798E-2</v>
          </cell>
          <cell r="AS67">
            <v>0.30343839541547224</v>
          </cell>
          <cell r="AT67">
            <v>6.8800764452938923E-2</v>
          </cell>
          <cell r="AU67">
            <v>3.1085714285714161E-2</v>
          </cell>
          <cell r="AV67">
            <v>-4.5311887014515384E-2</v>
          </cell>
          <cell r="AW67">
            <v>0.11561780041227032</v>
          </cell>
          <cell r="AY67">
            <v>5.1220048362276893E-2</v>
          </cell>
          <cell r="AZ67">
            <v>0.1405900759946348</v>
          </cell>
          <cell r="BA67">
            <v>0.21214808246508499</v>
          </cell>
          <cell r="BB67">
            <v>0.21738237107047498</v>
          </cell>
          <cell r="BC67">
            <v>0.15635019835878317</v>
          </cell>
          <cell r="BE67">
            <v>0.19824341279799285</v>
          </cell>
          <cell r="BF67">
            <v>0.15637860082304567</v>
          </cell>
          <cell r="BG67">
            <v>5.0621149217385142E-2</v>
          </cell>
          <cell r="BH67">
            <v>2.4835709398550732E-2</v>
          </cell>
          <cell r="BI67">
            <v>0.10198082630449723</v>
          </cell>
          <cell r="BK67">
            <v>4.6241048914237304E-2</v>
          </cell>
          <cell r="BL67">
            <v>5.5376936144336142E-2</v>
          </cell>
          <cell r="BM67">
            <v>3.4383396369848773E-2</v>
          </cell>
          <cell r="BN67">
            <v>3.7989149281491441E-2</v>
          </cell>
          <cell r="BO67">
            <v>4.3498134483396234E-2</v>
          </cell>
          <cell r="BQ67">
            <v>6.3908892588112831E-2</v>
          </cell>
          <cell r="BR67">
            <v>6.6613686401779892E-2</v>
          </cell>
          <cell r="BS67">
            <v>6.4670230620955005E-2</v>
          </cell>
          <cell r="BT67">
            <v>6.8205750712096336E-2</v>
          </cell>
          <cell r="BU67">
            <v>6.5889093169752444E-2</v>
          </cell>
          <cell r="BW67">
            <v>7.1456929347578413E-2</v>
          </cell>
          <cell r="BX67">
            <v>6.9193038478203128E-2</v>
          </cell>
          <cell r="BY67">
            <v>6.7124979763895087E-2</v>
          </cell>
          <cell r="BZ67">
            <v>7.1422859309652864E-2</v>
          </cell>
          <cell r="CA67">
            <v>6.9820654016403028E-2</v>
          </cell>
        </row>
        <row r="68">
          <cell r="C68" t="str">
            <v>EBITDA</v>
          </cell>
          <cell r="U68">
            <v>0.51872583369393999</v>
          </cell>
          <cell r="V68">
            <v>0.27996245484212579</v>
          </cell>
          <cell r="W68">
            <v>0.14048953662182306</v>
          </cell>
          <cell r="X68">
            <v>1.3336431965168156</v>
          </cell>
          <cell r="Y68">
            <v>0.58460412468292877</v>
          </cell>
          <cell r="AA68">
            <v>2.8740808823529416</v>
          </cell>
          <cell r="AB68">
            <v>2.8337568429489917</v>
          </cell>
          <cell r="AC68">
            <v>2.6927210471993321</v>
          </cell>
          <cell r="AD68">
            <v>0.68189107201830423</v>
          </cell>
          <cell r="AE68">
            <v>1.8117684277127486</v>
          </cell>
          <cell r="AG68">
            <v>0.17366548042704477</v>
          </cell>
          <cell r="AH68">
            <v>0.16725978647686879</v>
          </cell>
          <cell r="AI68">
            <v>0.11379769299023956</v>
          </cell>
          <cell r="AJ68">
            <v>7.4696356275303577E-2</v>
          </cell>
          <cell r="AK68">
            <v>0.12488748874887357</v>
          </cell>
          <cell r="AM68">
            <v>-0.203557711744491</v>
          </cell>
          <cell r="AN68">
            <v>-0.11242378048780577</v>
          </cell>
          <cell r="AO68">
            <v>-3.4455287791276823E-2</v>
          </cell>
          <cell r="AP68">
            <v>4.2192503296289097E-2</v>
          </cell>
          <cell r="AQ68">
            <v>-8.3616723344667188E-2</v>
          </cell>
          <cell r="AS68">
            <v>0.27360406091370493</v>
          </cell>
          <cell r="AT68">
            <v>6.2473164448261453E-2</v>
          </cell>
          <cell r="AU68">
            <v>2.8052805280527782E-2</v>
          </cell>
          <cell r="AV68">
            <v>-3.0724742454364518E-2</v>
          </cell>
          <cell r="AW68">
            <v>0.10860074219602645</v>
          </cell>
          <cell r="AY68">
            <v>5.0418493423674215E-2</v>
          </cell>
          <cell r="AZ68">
            <v>0.1349767629824199</v>
          </cell>
          <cell r="BA68">
            <v>0.20766452648475098</v>
          </cell>
          <cell r="BB68">
            <v>0.21704269998135417</v>
          </cell>
          <cell r="BC68">
            <v>0.15358865806832589</v>
          </cell>
          <cell r="BE68">
            <v>0.20072092582052781</v>
          </cell>
          <cell r="BF68">
            <v>0.15417482641979752</v>
          </cell>
          <cell r="BG68">
            <v>4.4352638054630633E-2</v>
          </cell>
          <cell r="BH68">
            <v>1.6506616143396657E-2</v>
          </cell>
          <cell r="BI68">
            <v>9.8092396177297703E-2</v>
          </cell>
          <cell r="BK68">
            <v>4.2008691366772322E-2</v>
          </cell>
          <cell r="BL68">
            <v>5.5909243172164391E-2</v>
          </cell>
          <cell r="BM68">
            <v>4.6503545166797444E-2</v>
          </cell>
          <cell r="BN68">
            <v>4.8419664382020056E-2</v>
          </cell>
          <cell r="BO68">
            <v>4.8261703682993318E-2</v>
          </cell>
          <cell r="BQ68">
            <v>6.8863467407113133E-2</v>
          </cell>
          <cell r="BR68">
            <v>7.1116937752185416E-2</v>
          </cell>
          <cell r="BS68">
            <v>6.9517299265485555E-2</v>
          </cell>
          <cell r="BT68">
            <v>7.2434628108702048E-2</v>
          </cell>
          <cell r="BU68">
            <v>7.0515691579384088E-2</v>
          </cell>
          <cell r="BW68">
            <v>7.5298989494087865E-2</v>
          </cell>
          <cell r="BX68">
            <v>7.3075113255003821E-2</v>
          </cell>
          <cell r="BY68">
            <v>7.1353663333736828E-2</v>
          </cell>
          <cell r="BZ68">
            <v>7.4970447190273459E-2</v>
          </cell>
          <cell r="CA68">
            <v>7.3688189552490124E-2</v>
          </cell>
        </row>
        <row r="69">
          <cell r="C69" t="str">
            <v>Adj EPS</v>
          </cell>
          <cell r="AA69">
            <v>0.5275040697108222</v>
          </cell>
          <cell r="AB69">
            <v>0.54667091641763421</v>
          </cell>
          <cell r="AC69">
            <v>0.48054173683496959</v>
          </cell>
          <cell r="AD69">
            <v>0.32638841094042959</v>
          </cell>
          <cell r="AE69">
            <v>0.38096324624378219</v>
          </cell>
          <cell r="AG69">
            <v>0.24441644903007953</v>
          </cell>
          <cell r="AH69">
            <v>0.21738677439865195</v>
          </cell>
          <cell r="AI69">
            <v>0.15937293640234218</v>
          </cell>
          <cell r="AJ69">
            <v>0.15911929388604729</v>
          </cell>
          <cell r="AK69">
            <v>0.18877464398664756</v>
          </cell>
          <cell r="AM69">
            <v>-0.16560079624999047</v>
          </cell>
          <cell r="AN69">
            <v>-6.5971450900160988E-2</v>
          </cell>
          <cell r="AO69">
            <v>3.5997850411860544E-2</v>
          </cell>
          <cell r="AP69">
            <v>4.1208904721031114E-2</v>
          </cell>
          <cell r="AQ69">
            <v>-3.2816521616205185E-2</v>
          </cell>
          <cell r="AS69">
            <v>0.32618841197624171</v>
          </cell>
          <cell r="AT69">
            <v>9.724498617092614E-2</v>
          </cell>
          <cell r="AU69">
            <v>0.10949809779710917</v>
          </cell>
          <cell r="AV69">
            <v>5.5381393142082125E-2</v>
          </cell>
          <cell r="AW69">
            <v>0.16897564396265974</v>
          </cell>
          <cell r="AY69">
            <v>0.12654981084713857</v>
          </cell>
          <cell r="AZ69">
            <v>0.22014352052321273</v>
          </cell>
          <cell r="BA69">
            <v>0.2301181385003801</v>
          </cell>
          <cell r="BB69">
            <v>0.22706877064244657</v>
          </cell>
          <cell r="BC69">
            <v>0.20214058823990033</v>
          </cell>
          <cell r="BE69">
            <v>0.27068276513113898</v>
          </cell>
          <cell r="BF69">
            <v>0.22562431225230561</v>
          </cell>
          <cell r="BG69">
            <v>9.1343196289347173E-2</v>
          </cell>
          <cell r="BH69">
            <v>6.96207234942674E-2</v>
          </cell>
          <cell r="BI69">
            <v>0.15821357966246108</v>
          </cell>
          <cell r="BK69">
            <v>0.10640792295131751</v>
          </cell>
          <cell r="BL69">
            <v>0.11885882533486924</v>
          </cell>
          <cell r="BM69">
            <v>0.12320228657631183</v>
          </cell>
          <cell r="BN69">
            <v>0.11870236475311935</v>
          </cell>
          <cell r="BO69">
            <v>0.12246488990128901</v>
          </cell>
          <cell r="BQ69">
            <v>0.12646948741720521</v>
          </cell>
          <cell r="BR69">
            <v>0.12868534449808333</v>
          </cell>
          <cell r="BS69">
            <v>0.1283932921941755</v>
          </cell>
          <cell r="BT69">
            <v>0.13950459717763142</v>
          </cell>
          <cell r="BU69">
            <v>0.12523355700379657</v>
          </cell>
          <cell r="BW69">
            <v>0.13694787596233859</v>
          </cell>
          <cell r="BX69">
            <v>0.15059273133712736</v>
          </cell>
          <cell r="BY69">
            <v>0.14457626611128571</v>
          </cell>
          <cell r="BZ69">
            <v>0.14332857225316475</v>
          </cell>
          <cell r="CA69">
            <v>0.14386273940454486</v>
          </cell>
        </row>
        <row r="70">
          <cell r="C70" t="str">
            <v>Net Income</v>
          </cell>
          <cell r="U70">
            <v>0.37869633663787927</v>
          </cell>
          <cell r="V70">
            <v>0.25824136189858038</v>
          </cell>
          <cell r="W70">
            <v>0.15340899917660855</v>
          </cell>
          <cell r="X70">
            <v>1.3561245800417625</v>
          </cell>
          <cell r="Y70">
            <v>0.57150665871596074</v>
          </cell>
          <cell r="AA70">
            <v>3.0350579412717762</v>
          </cell>
          <cell r="AB70">
            <v>3.172160752164193</v>
          </cell>
          <cell r="AC70">
            <v>3.0774905166501041</v>
          </cell>
          <cell r="AD70">
            <v>0.83608976194146667</v>
          </cell>
          <cell r="AE70">
            <v>2.0084321475625821</v>
          </cell>
          <cell r="AG70">
            <v>0.2305927342256191</v>
          </cell>
          <cell r="AH70">
            <v>0.19203023016145715</v>
          </cell>
          <cell r="AI70">
            <v>0.13834534843803636</v>
          </cell>
          <cell r="AJ70">
            <v>0.12413793103448278</v>
          </cell>
          <cell r="AK70">
            <v>0.16492949110974608</v>
          </cell>
          <cell r="AM70">
            <v>-0.18645121193287684</v>
          </cell>
          <cell r="AN70">
            <v>-9.4812680115274883E-2</v>
          </cell>
          <cell r="AO70">
            <v>-7.2376357056697094E-3</v>
          </cell>
          <cell r="AP70">
            <v>2.8540944251800093E-2</v>
          </cell>
          <cell r="AQ70">
            <v>-5.9398496240598897E-2</v>
          </cell>
          <cell r="AS70">
            <v>0.30404889228418575</v>
          </cell>
          <cell r="AT70">
            <v>7.7045526902261408E-2</v>
          </cell>
          <cell r="AU70">
            <v>6.8043742405831997E-2</v>
          </cell>
          <cell r="AV70">
            <v>-3.1120331950204028E-3</v>
          </cell>
          <cell r="AW70">
            <v>0.13165467625899185</v>
          </cell>
          <cell r="AY70">
            <v>6.2975981253660773E-2</v>
          </cell>
          <cell r="AZ70">
            <v>0.13213124445758062</v>
          </cell>
          <cell r="BA70">
            <v>0.1638225255972694</v>
          </cell>
          <cell r="BB70">
            <v>0.15660770031217552</v>
          </cell>
          <cell r="BC70">
            <v>0.12997103906194618</v>
          </cell>
          <cell r="BE70">
            <v>0.19178837145219108</v>
          </cell>
          <cell r="BF70">
            <v>0.17258485639686749</v>
          </cell>
          <cell r="BG70">
            <v>3.2156953081678319E-2</v>
          </cell>
          <cell r="BH70">
            <v>9.2691404118703247E-3</v>
          </cell>
          <cell r="BI70">
            <v>9.5630233811428766E-2</v>
          </cell>
          <cell r="BK70">
            <v>5.5713800730923246E-2</v>
          </cell>
          <cell r="BL70">
            <v>5.9088931938933609E-2</v>
          </cell>
          <cell r="BM70">
            <v>7.3136577503258859E-2</v>
          </cell>
          <cell r="BN70">
            <v>7.9138479821540209E-2</v>
          </cell>
          <cell r="BO70">
            <v>6.6774337612541812E-2</v>
          </cell>
          <cell r="BQ70">
            <v>7.9933107397752501E-2</v>
          </cell>
          <cell r="BR70">
            <v>8.0710305702785368E-2</v>
          </cell>
          <cell r="BS70">
            <v>7.9055348427636396E-2</v>
          </cell>
          <cell r="BT70">
            <v>8.8262203410084838E-2</v>
          </cell>
          <cell r="BU70">
            <v>8.2075166563847279E-2</v>
          </cell>
          <cell r="BW70">
            <v>8.4331742513502395E-2</v>
          </cell>
          <cell r="BX70">
            <v>9.5804254891228124E-2</v>
          </cell>
          <cell r="BY70">
            <v>8.8505013608903393E-2</v>
          </cell>
          <cell r="BZ70">
            <v>8.5713171239512276E-2</v>
          </cell>
          <cell r="CA70">
            <v>8.8615218481271629E-2</v>
          </cell>
        </row>
      </sheetData>
      <sheetData sheetId="2" refreshError="1"/>
      <sheetData sheetId="3" refreshError="1"/>
      <sheetData sheetId="4" refreshError="1"/>
      <sheetData sheetId="5" refreshError="1"/>
      <sheetData sheetId="6" refreshError="1"/>
      <sheetData sheetId="7" refreshError="1">
        <row r="7">
          <cell r="E7" t="str">
            <v>Current Quarter</v>
          </cell>
          <cell r="P7" t="str">
            <v>Y/Y</v>
          </cell>
        </row>
        <row r="8">
          <cell r="D8" t="str">
            <v>($ in millions, except EPS)</v>
          </cell>
          <cell r="E8" t="str">
            <v>2Q12E</v>
          </cell>
          <cell r="F8" t="str">
            <v>2Q12A</v>
          </cell>
          <cell r="G8" t="str">
            <v>Co. Guid
(midpt)</v>
          </cell>
          <cell r="H8" t="str">
            <v>A v E ($)</v>
          </cell>
          <cell r="I8" t="str">
            <v>A v E (%)</v>
          </cell>
          <cell r="J8" t="str">
            <v>EPS Impact</v>
          </cell>
          <cell r="K8" t="str">
            <v>Cons Est</v>
          </cell>
          <cell r="M8" t="str">
            <v>Variance</v>
          </cell>
          <cell r="O8" t="str">
            <v>2Q11A</v>
          </cell>
          <cell r="P8" t="str">
            <v>% Change</v>
          </cell>
          <cell r="Q8" t="str">
            <v>Comments</v>
          </cell>
        </row>
        <row r="9">
          <cell r="D9" t="str">
            <v>Analytical Technologies</v>
          </cell>
          <cell r="E9">
            <v>990.70749999999998</v>
          </cell>
          <cell r="F9">
            <v>999.5</v>
          </cell>
          <cell r="H9">
            <v>8.7925000000000182</v>
          </cell>
          <cell r="I9">
            <v>8.8749706649036142E-3</v>
          </cell>
          <cell r="O9">
            <v>929.2</v>
          </cell>
          <cell r="P9">
            <v>7.5656478691347395E-2</v>
          </cell>
        </row>
        <row r="10">
          <cell r="D10" t="str">
            <v>Specialty Diagnostics</v>
          </cell>
          <cell r="E10">
            <v>731.92075</v>
          </cell>
          <cell r="F10">
            <v>731.9</v>
          </cell>
          <cell r="H10">
            <v>-2.0750000000020918E-2</v>
          </cell>
          <cell r="I10">
            <v>-2.8350063855930863E-5</v>
          </cell>
          <cell r="O10">
            <v>570.6</v>
          </cell>
          <cell r="P10">
            <v>0.28268489309498768</v>
          </cell>
        </row>
        <row r="11">
          <cell r="D11" t="str">
            <v>Lab Products &amp; Services</v>
          </cell>
          <cell r="E11">
            <v>1500.2015000000001</v>
          </cell>
          <cell r="F11">
            <v>1519.7</v>
          </cell>
          <cell r="O11">
            <v>1483.9</v>
          </cell>
          <cell r="P11">
            <v>2.4125614933620865E-2</v>
          </cell>
        </row>
        <row r="12">
          <cell r="D12" t="str">
            <v>Eliminations</v>
          </cell>
          <cell r="E12">
            <v>-148.2501685</v>
          </cell>
          <cell r="F12">
            <v>-143</v>
          </cell>
          <cell r="O12">
            <v>-129.69999999999999</v>
          </cell>
        </row>
        <row r="13">
          <cell r="D13" t="str">
            <v>Total Revenues</v>
          </cell>
          <cell r="E13">
            <v>3074.5795814999997</v>
          </cell>
          <cell r="F13">
            <v>3108.1</v>
          </cell>
          <cell r="H13">
            <v>33.520418500000233</v>
          </cell>
          <cell r="I13">
            <v>1.0902439703202038E-2</v>
          </cell>
          <cell r="J13">
            <v>1.4433365526662112E-2</v>
          </cell>
          <cell r="K13">
            <v>3054.82</v>
          </cell>
          <cell r="M13">
            <v>1.7441289503145718E-2</v>
          </cell>
          <cell r="O13">
            <v>2854</v>
          </cell>
          <cell r="P13">
            <v>8.9032936229852755E-2</v>
          </cell>
          <cell r="Q13" t="str">
            <v>pro forma 1% reported and organic 4%</v>
          </cell>
        </row>
        <row r="15">
          <cell r="D15" t="str">
            <v>Reported Growth (% y/y)</v>
          </cell>
          <cell r="E15">
            <v>6.1151232656864618E-2</v>
          </cell>
          <cell r="F15">
            <v>8.9032936229852755E-2</v>
          </cell>
          <cell r="O15">
            <v>0.09</v>
          </cell>
          <cell r="Q15" t="str">
            <v>changed historicals so y/y comps changed</v>
          </cell>
        </row>
        <row r="16">
          <cell r="D16" t="str">
            <v>FX Impact (% y/y)</v>
          </cell>
          <cell r="E16">
            <v>-3.15E-2</v>
          </cell>
          <cell r="F16">
            <v>-0.03</v>
          </cell>
          <cell r="O16">
            <v>0.04</v>
          </cell>
        </row>
        <row r="17">
          <cell r="D17" t="str">
            <v>CC growth (% y/y)</v>
          </cell>
          <cell r="E17">
            <v>2.1154958504485011E-2</v>
          </cell>
          <cell r="F17">
            <v>0.04</v>
          </cell>
          <cell r="O17">
            <v>0.04</v>
          </cell>
          <cell r="Q17" t="str">
            <v>acquisitions added 1%</v>
          </cell>
        </row>
        <row r="19">
          <cell r="D19" t="str">
            <v>COGS</v>
          </cell>
          <cell r="E19">
            <v>1743.3440309921866</v>
          </cell>
          <cell r="F19">
            <v>1720.4</v>
          </cell>
          <cell r="H19">
            <v>-22.944030992186526</v>
          </cell>
          <cell r="I19">
            <v>-1.3160931281663513E-2</v>
          </cell>
          <cell r="K19">
            <v>1707.2625275</v>
          </cell>
          <cell r="O19">
            <v>1632.8</v>
          </cell>
          <cell r="P19">
            <v>5.3650171484566522E-2</v>
          </cell>
        </row>
        <row r="20">
          <cell r="D20" t="str">
            <v>Gross Profit</v>
          </cell>
          <cell r="E20">
            <v>1331.2355505078131</v>
          </cell>
          <cell r="F20">
            <v>1387.7</v>
          </cell>
          <cell r="H20">
            <v>56.464449492186986</v>
          </cell>
          <cell r="I20">
            <v>4.2415070323691406E-2</v>
          </cell>
          <cell r="K20">
            <v>1347.5574725000001</v>
          </cell>
          <cell r="M20">
            <v>2.9789102371661436E-2</v>
          </cell>
          <cell r="O20">
            <v>1221.2</v>
          </cell>
          <cell r="P20">
            <v>0.13634130363576813</v>
          </cell>
        </row>
        <row r="21">
          <cell r="D21" t="str">
            <v>SG&amp;A</v>
          </cell>
          <cell r="E21">
            <v>672.89631767382321</v>
          </cell>
          <cell r="F21">
            <v>703.4</v>
          </cell>
          <cell r="H21">
            <v>30.503682326176772</v>
          </cell>
          <cell r="I21">
            <v>4.5331920423679506E-2</v>
          </cell>
          <cell r="O21">
            <v>627.6</v>
          </cell>
          <cell r="P21">
            <v>0.12077756532823436</v>
          </cell>
          <cell r="Q21" t="str">
            <v>primarily due to acquisitions</v>
          </cell>
        </row>
        <row r="22">
          <cell r="D22" t="str">
            <v>R&amp;D</v>
          </cell>
          <cell r="E22">
            <v>86.087962994191813</v>
          </cell>
          <cell r="F22">
            <v>94.2</v>
          </cell>
          <cell r="H22">
            <v>8.1120370058081903</v>
          </cell>
          <cell r="I22">
            <v>9.4229631224466148E-2</v>
          </cell>
          <cell r="O22">
            <v>83.3</v>
          </cell>
          <cell r="P22">
            <v>0.13085234093637466</v>
          </cell>
          <cell r="Q22" t="str">
            <v>primarily due to acquisitions</v>
          </cell>
        </row>
        <row r="23">
          <cell r="D23" t="str">
            <v>Total Operating Expenses</v>
          </cell>
          <cell r="E23">
            <v>2502.3283116602015</v>
          </cell>
          <cell r="F23">
            <v>2518</v>
          </cell>
          <cell r="H23">
            <v>15.671688339798493</v>
          </cell>
          <cell r="I23">
            <v>6.2628425961424039E-3</v>
          </cell>
          <cell r="K23">
            <v>2476.9120000000003</v>
          </cell>
          <cell r="M23">
            <v>1.6588397165502755E-2</v>
          </cell>
          <cell r="O23">
            <v>2343.7000000000003</v>
          </cell>
          <cell r="P23">
            <v>7.4369586551179534E-2</v>
          </cell>
        </row>
        <row r="24">
          <cell r="D24" t="str">
            <v>Operating Income (Loss)</v>
          </cell>
          <cell r="E24">
            <v>572.25126983979817</v>
          </cell>
          <cell r="F24">
            <v>590.09999999999991</v>
          </cell>
          <cell r="H24">
            <v>17.84873016020174</v>
          </cell>
          <cell r="I24">
            <v>3.1190372308301795E-2</v>
          </cell>
          <cell r="K24">
            <v>577.90800000000002</v>
          </cell>
          <cell r="M24">
            <v>2.1096783571087352E-2</v>
          </cell>
          <cell r="O24">
            <v>510.29999999999973</v>
          </cell>
          <cell r="P24">
            <v>0.15637860082304567</v>
          </cell>
        </row>
        <row r="25">
          <cell r="D25" t="str">
            <v>Other (Income) expense, net</v>
          </cell>
          <cell r="E25">
            <v>-51.947374999999994</v>
          </cell>
          <cell r="F25">
            <v>-45</v>
          </cell>
          <cell r="O25">
            <v>-31.300000000000011</v>
          </cell>
          <cell r="Q25" t="str">
            <v>due to debt issued last year higher y/y</v>
          </cell>
        </row>
        <row r="26">
          <cell r="D26" t="str">
            <v>Income Taxes</v>
          </cell>
          <cell r="E26">
            <v>89.75242185986518</v>
          </cell>
          <cell r="F26">
            <v>96</v>
          </cell>
          <cell r="H26">
            <v>6.24757814013482</v>
          </cell>
          <cell r="I26">
            <v>6.9609020131952137E-2</v>
          </cell>
          <cell r="O26">
            <v>96</v>
          </cell>
          <cell r="P26">
            <v>0</v>
          </cell>
        </row>
        <row r="27">
          <cell r="D27" t="str">
            <v>Net Income (Loss)</v>
          </cell>
          <cell r="E27">
            <v>430.55147297993301</v>
          </cell>
          <cell r="F27">
            <v>449.09999999999991</v>
          </cell>
          <cell r="H27">
            <v>18.548527020066899</v>
          </cell>
          <cell r="I27">
            <v>4.3080858350544871E-2</v>
          </cell>
          <cell r="K27">
            <v>427.66899999999998</v>
          </cell>
          <cell r="M27">
            <v>5.0111184116688134E-2</v>
          </cell>
          <cell r="O27">
            <v>382.99999999999972</v>
          </cell>
          <cell r="P27">
            <v>0.17258485639686749</v>
          </cell>
        </row>
        <row r="28">
          <cell r="D28" t="str">
            <v>Diluted Shares Outstanding</v>
          </cell>
          <cell r="E28">
            <v>369.7435227272727</v>
          </cell>
          <cell r="F28">
            <v>369.2</v>
          </cell>
          <cell r="H28">
            <v>-0.54352272727271611</v>
          </cell>
          <cell r="I28">
            <v>-1.4699993207821782E-3</v>
          </cell>
          <cell r="J28">
            <v>1.7881275594888724E-3</v>
          </cell>
          <cell r="K28">
            <v>368.88051269223803</v>
          </cell>
          <cell r="O28">
            <v>385.9</v>
          </cell>
          <cell r="P28">
            <v>-4.3275459963721175E-2</v>
          </cell>
        </row>
        <row r="29">
          <cell r="D29" t="str">
            <v>EPS, Diluted</v>
          </cell>
          <cell r="E29">
            <v>1.1644598120452079</v>
          </cell>
          <cell r="F29">
            <v>1.2164138678223184</v>
          </cell>
          <cell r="H29">
            <v>5.1954055777110542E-2</v>
          </cell>
          <cell r="I29">
            <v>4.4616443813428441E-2</v>
          </cell>
          <cell r="J29">
            <v>5.1954055777110542E-2</v>
          </cell>
          <cell r="K29">
            <v>1.15937</v>
          </cell>
          <cell r="M29">
            <v>4.9202470153892452E-2</v>
          </cell>
          <cell r="O29">
            <v>0.99248509976677823</v>
          </cell>
          <cell r="P29">
            <v>0.22562431225230561</v>
          </cell>
          <cell r="Q29" t="str">
            <v>LPS would have been a $0.02 drag on Q</v>
          </cell>
        </row>
        <row r="31">
          <cell r="D31" t="str">
            <v>Margin Analysis</v>
          </cell>
        </row>
        <row r="32">
          <cell r="D32" t="str">
            <v>Gross Margin</v>
          </cell>
          <cell r="E32">
            <v>0.43298132808725059</v>
          </cell>
          <cell r="F32">
            <v>0.44647855603101577</v>
          </cell>
          <cell r="I32">
            <v>130</v>
          </cell>
          <cell r="J32">
            <v>9.514086872908889E-2</v>
          </cell>
          <cell r="K32">
            <v>0.44112499999999999</v>
          </cell>
          <cell r="O32">
            <v>0.42789067974772249</v>
          </cell>
          <cell r="P32">
            <v>190</v>
          </cell>
        </row>
        <row r="33">
          <cell r="D33" t="str">
            <v>SG&amp;A</v>
          </cell>
          <cell r="E33">
            <v>0.2188579933733692</v>
          </cell>
          <cell r="F33">
            <v>0.22631189472668189</v>
          </cell>
          <cell r="I33">
            <v>70</v>
          </cell>
          <cell r="J33">
            <v>-5.2541948104439351E-2</v>
          </cell>
          <cell r="O33">
            <v>0.21990189208128944</v>
          </cell>
          <cell r="P33">
            <v>60</v>
          </cell>
        </row>
        <row r="34">
          <cell r="D34" t="str">
            <v>R&amp;D</v>
          </cell>
          <cell r="E34">
            <v>2.7999913715745145E-2</v>
          </cell>
          <cell r="F34">
            <v>3.0307905151056917E-2</v>
          </cell>
          <cell r="I34">
            <v>20</v>
          </cell>
          <cell r="J34">
            <v>-1.62688450613514E-2</v>
          </cell>
          <cell r="O34">
            <v>2.9187105816398037E-2</v>
          </cell>
          <cell r="P34">
            <v>10</v>
          </cell>
        </row>
        <row r="35">
          <cell r="D35" t="str">
            <v>Operating Income</v>
          </cell>
          <cell r="E35">
            <v>0.18612342099813631</v>
          </cell>
          <cell r="F35">
            <v>0.18985875615327691</v>
          </cell>
          <cell r="I35">
            <v>40</v>
          </cell>
          <cell r="K35">
            <v>0.18917906783378399</v>
          </cell>
          <cell r="O35">
            <v>0.17880168185003495</v>
          </cell>
          <cell r="P35">
            <v>110.00000000000001</v>
          </cell>
          <cell r="Q35" t="str">
            <v>driven by good pull through on organic growth, productivity &amp; cost actions, and solid accretion</v>
          </cell>
        </row>
        <row r="36">
          <cell r="D36" t="str">
            <v>Effective Tax Rate</v>
          </cell>
          <cell r="E36">
            <v>0.15684093088162371</v>
          </cell>
          <cell r="F36">
            <v>0.16268429079816982</v>
          </cell>
          <cell r="I36">
            <v>60</v>
          </cell>
          <cell r="J36">
            <v>-4.1189371704560829E-2</v>
          </cell>
          <cell r="K36">
            <v>0.17368866459027288</v>
          </cell>
          <cell r="O36">
            <v>0.1881246325690771</v>
          </cell>
          <cell r="P36">
            <v>-250</v>
          </cell>
        </row>
        <row r="37">
          <cell r="D37" t="str">
            <v>Net Income</v>
          </cell>
          <cell r="E37">
            <v>0.14003588509160633</v>
          </cell>
          <cell r="F37">
            <v>0.14449342041761845</v>
          </cell>
          <cell r="I37">
            <v>40</v>
          </cell>
          <cell r="K37">
            <v>0.13999810136112764</v>
          </cell>
          <cell r="O37">
            <v>0.13419761737911692</v>
          </cell>
          <cell r="P37">
            <v>100</v>
          </cell>
        </row>
      </sheetData>
      <sheetData sheetId="8" refreshError="1">
        <row r="1">
          <cell r="B1">
            <v>2011</v>
          </cell>
          <cell r="C1" t="str">
            <v>2012 Guidance</v>
          </cell>
          <cell r="E1">
            <v>2012</v>
          </cell>
        </row>
        <row r="2">
          <cell r="A2" t="str">
            <v>($mm, except EPS)</v>
          </cell>
          <cell r="B2" t="str">
            <v>Actual</v>
          </cell>
          <cell r="C2" t="str">
            <v>Previous</v>
          </cell>
          <cell r="D2" t="str">
            <v>Current</v>
          </cell>
          <cell r="E2" t="str">
            <v>MSe</v>
          </cell>
          <cell r="F2" t="str">
            <v>Commentary</v>
          </cell>
        </row>
        <row r="3">
          <cell r="A3" t="str">
            <v>Total Revenues</v>
          </cell>
          <cell r="B3">
            <v>11558.8</v>
          </cell>
          <cell r="C3" t="str">
            <v>$12,270-$12,430</v>
          </cell>
          <cell r="D3" t="str">
            <v>$12,140-$12,260</v>
          </cell>
          <cell r="E3">
            <v>12181.643010916281</v>
          </cell>
          <cell r="F3" t="str">
            <v>Lab Workstations discontinued ops (-$110m), Doe &amp; Ingalls update (+$75m), and unfavorable FX (-$40m)</v>
          </cell>
        </row>
        <row r="4">
          <cell r="A4" t="str">
            <v>Organic Growth</v>
          </cell>
          <cell r="B4">
            <v>0.03</v>
          </cell>
          <cell r="C4">
            <v>0.03</v>
          </cell>
          <cell r="D4">
            <v>0.03</v>
          </cell>
          <cell r="E4">
            <v>3.2080330999612876E-2</v>
          </cell>
          <cell r="F4" t="str">
            <v>same organic growth</v>
          </cell>
        </row>
        <row r="5">
          <cell r="A5" t="str">
            <v>Currency Growth</v>
          </cell>
          <cell r="B5">
            <v>0.02</v>
          </cell>
          <cell r="C5">
            <v>-2.5000000000000001E-2</v>
          </cell>
          <cell r="D5">
            <v>-3.1577672422742849E-2</v>
          </cell>
          <cell r="E5">
            <v>-2.9963117427830893E-2</v>
          </cell>
          <cell r="F5" t="str">
            <v>$40mm increased FX headwind to $365mm or ~3% headwind on reported; Euro at 1.21 for 2H</v>
          </cell>
        </row>
        <row r="6">
          <cell r="A6" t="str">
            <v>Total Growth</v>
          </cell>
          <cell r="B6">
            <v>9.3527085580216163E-2</v>
          </cell>
          <cell r="C6" t="str">
            <v>4-5%</v>
          </cell>
          <cell r="D6" t="str">
            <v>5-6%</v>
          </cell>
          <cell r="E6">
            <v>5.3884746765778591E-2</v>
          </cell>
          <cell r="F6" t="str">
            <v>Acquisitions contribute 1% to growth</v>
          </cell>
        </row>
        <row r="8">
          <cell r="A8" t="str">
            <v>Gross Margins</v>
          </cell>
          <cell r="B8">
            <v>0.4378828252067688</v>
          </cell>
          <cell r="C8" t="str">
            <v>up slightly</v>
          </cell>
          <cell r="D8" t="str">
            <v>up slightly</v>
          </cell>
          <cell r="E8">
            <v>0.45084576409892801</v>
          </cell>
          <cell r="F8" t="str">
            <v>improving gross margins due to acquisitions &amp; mix</v>
          </cell>
        </row>
        <row r="9">
          <cell r="A9" t="str">
            <v>EBIT Margin</v>
          </cell>
          <cell r="B9">
            <v>0.18408485309893741</v>
          </cell>
          <cell r="C9" t="str">
            <v>18.8%-19.0%</v>
          </cell>
          <cell r="D9" t="str">
            <v>18.8%-19.0%</v>
          </cell>
          <cell r="E9">
            <v>0.19248592329536141</v>
          </cell>
          <cell r="F9" t="str">
            <v>still +70-90 bps</v>
          </cell>
        </row>
        <row r="11">
          <cell r="A11" t="str">
            <v>Net Interest Expense</v>
          </cell>
          <cell r="B11">
            <v>-150.39999999999986</v>
          </cell>
          <cell r="C11" t="str">
            <v>(205-210)</v>
          </cell>
          <cell r="D11" t="str">
            <v>(220-225)</v>
          </cell>
          <cell r="E11">
            <v>-224.7</v>
          </cell>
          <cell r="F11" t="str">
            <v>up $70-75mm y/y and +15mm vs. previous guidance</v>
          </cell>
        </row>
        <row r="12">
          <cell r="A12" t="str">
            <v>Tax Rate</v>
          </cell>
          <cell r="B12">
            <v>0.19171009772760078</v>
          </cell>
          <cell r="C12" t="str">
            <v>17-18%</v>
          </cell>
          <cell r="D12" t="str">
            <v>17-18%</v>
          </cell>
          <cell r="E12">
            <v>0.17330126784870592</v>
          </cell>
        </row>
        <row r="13">
          <cell r="A13" t="str">
            <v>Adjusted EPS, Diluted</v>
          </cell>
          <cell r="B13">
            <v>4.1574946397245078</v>
          </cell>
          <cell r="C13" t="str">
            <v>$4.71-$4.83</v>
          </cell>
          <cell r="D13" t="str">
            <v>$4.74-$4.84</v>
          </cell>
          <cell r="E13">
            <v>4.8152667491028165</v>
          </cell>
          <cell r="F13" t="str">
            <v>+$0.02 from buyback, -$0.02 from FX and debt issuance, +0.02 higher from workstation divestiture</v>
          </cell>
        </row>
        <row r="14">
          <cell r="A14" t="str">
            <v>Diluted Share Count</v>
          </cell>
          <cell r="B14">
            <v>384.77499999999998</v>
          </cell>
          <cell r="C14" t="str">
            <v>367-372</v>
          </cell>
          <cell r="D14" t="str">
            <v>364-368</v>
          </cell>
          <cell r="E14">
            <v>363.98392370572208</v>
          </cell>
          <cell r="F14" t="str">
            <v>use $750mm repurchase through EOY</v>
          </cell>
        </row>
        <row r="15">
          <cell r="A15" t="str">
            <v>FCF</v>
          </cell>
          <cell r="B15">
            <v>1424.5</v>
          </cell>
          <cell r="C15" t="str">
            <v>&gt;$1,500</v>
          </cell>
          <cell r="E15">
            <v>1575.3018869243094</v>
          </cell>
          <cell r="F15" t="str">
            <v xml:space="preserve">Capex 300-310; </v>
          </cell>
        </row>
        <row r="17">
          <cell r="H17" t="str">
            <v>Analysis</v>
          </cell>
          <cell r="I17" t="str">
            <v>Commentary</v>
          </cell>
        </row>
        <row r="18">
          <cell r="H18" t="str">
            <v>Product Lines</v>
          </cell>
        </row>
        <row r="19">
          <cell r="H19" t="str">
            <v>MS</v>
          </cell>
          <cell r="I19" t="str">
            <v xml:space="preserve">Instrumentation broadly would be softer in 2H; good strength in biopharma; believe have gained share in mass spec vs. peers; pricing was up slightly in the quarter overall as well </v>
          </cell>
        </row>
        <row r="20">
          <cell r="H20" t="str">
            <v>Phadia</v>
          </cell>
          <cell r="I20" t="str">
            <v>Integration for both businesses has gone well; '12 accretion will be better for both; Phadia will be more accretive than the $0.30 that was discussed</v>
          </cell>
        </row>
        <row r="21">
          <cell r="H21" t="str">
            <v>Dionex</v>
          </cell>
          <cell r="I21" t="str">
            <v>Integration going well; both businesses have more European exposure than company average and growing slightly less than company avg for organic growth</v>
          </cell>
        </row>
        <row r="22">
          <cell r="H22" t="str">
            <v>New Products</v>
          </cell>
          <cell r="I22" t="str">
            <v xml:space="preserve">Launched 13 products in Q1 and continued in Q2 with ASMS- Qexactive2 strong follow through; intro of 8 software packages going well; launched new spectrometer as well as '50 </v>
          </cell>
        </row>
        <row r="23">
          <cell r="H23" t="str">
            <v>Revenue Mix</v>
          </cell>
        </row>
        <row r="24">
          <cell r="H24" t="str">
            <v>Analytical Technologies</v>
          </cell>
          <cell r="I24" t="str">
            <v>5% organic- strong growth in instruments sold to industrial and applied markets, as well as bioprocess; margin expansion +40 bps y/y driven by organic growth pull thorugh and productivity actions; Q4 strongest Q for instrumentation</v>
          </cell>
        </row>
        <row r="25">
          <cell r="H25" t="str">
            <v>Specialty Diagnostics</v>
          </cell>
          <cell r="I25" t="str">
            <v>3% organic- strong growth in clinical diagnostics, offset by weak demand in S. Europe</v>
          </cell>
        </row>
        <row r="26">
          <cell r="H26" t="str">
            <v>Lab Products &amp; Services</v>
          </cell>
          <cell r="I26" t="str">
            <v>Organic 4%, solid growth in lab consumables and clinical trials logistics business; channel business also performing well, good trajectory; would have had 3.5% organic growth without divestiture vs. 4%, and $0.02 lower on the year (all in Q3- nothing in Q</v>
          </cell>
        </row>
        <row r="28">
          <cell r="H28" t="str">
            <v>End Market</v>
          </cell>
        </row>
        <row r="29">
          <cell r="H29" t="str">
            <v>Industrial/Applied</v>
          </cell>
          <cell r="I29" t="str">
            <v>Strong sales &amp; bookings in applied, particularly in mining industry; consistent pacing through the quarter; for comps, industrial gets harder for Q3/Q4</v>
          </cell>
        </row>
        <row r="30">
          <cell r="H30" t="str">
            <v>Academic/Govt</v>
          </cell>
          <cell r="I30" t="str">
            <v>Markets are consistent with 1H trends- down low single digits; outlook has not changed; lab consumables spend is steady while capital equipment side is constrained; for comps, Q3/Q4 academic comps are easier</v>
          </cell>
        </row>
        <row r="31">
          <cell r="H31" t="str">
            <v>Diagnostics</v>
          </cell>
          <cell r="I31" t="str">
            <v xml:space="preserve">Trends continuing from last several quarters- clinical Dx product sales robust, driven by strength in Biomarker business in applied markets- high single digit growth there; softness in Europe; pricing here was flat, and traditionally haven't gotten a lot </v>
          </cell>
        </row>
        <row r="32">
          <cell r="H32" t="str">
            <v>Pharma</v>
          </cell>
          <cell r="I32" t="str">
            <v>Strength on quarter, continue to gain share; BioProcess production had another great quarter; sera media &amp; disposable products grew in the US, and vaccines/biosimilars grew in LatAm and ROW</v>
          </cell>
        </row>
        <row r="34">
          <cell r="H34" t="str">
            <v>Geography</v>
          </cell>
        </row>
        <row r="35">
          <cell r="H35" t="str">
            <v>US</v>
          </cell>
          <cell r="I35" t="str">
            <v>N America low single digits; US was slightly stronger than 1Q- low single digit org. growth- implies slowdown in 2H to 2% in US and W Europe</v>
          </cell>
        </row>
        <row r="36">
          <cell r="H36" t="str">
            <v>Europe</v>
          </cell>
          <cell r="I36" t="str">
            <v>Europe weakened but still up y/y low single digits; expect slowdown in 2H in W Europe; 3Q is seasonally weakest quarter in Europe &amp; around the world</v>
          </cell>
        </row>
        <row r="37">
          <cell r="H37" t="str">
            <v>Asia</v>
          </cell>
          <cell r="I37" t="str">
            <v>Low double digits overall; Good growth- slightly stronger than Q1- India, S. Korea strong, China was +20%- driven by biopharma, HC, and environmental monitoring strength- due to regulations relating to particulate matter- TMO is 70% share for this applica</v>
          </cell>
        </row>
        <row r="38">
          <cell r="H38" t="str">
            <v>EM</v>
          </cell>
          <cell r="I38" t="str">
            <v>Low single digit growth; going to continue to expand in emerging markets and make commercial investments there</v>
          </cell>
        </row>
        <row r="50">
          <cell r="S50">
            <v>2010</v>
          </cell>
          <cell r="T50">
            <v>2011</v>
          </cell>
          <cell r="U50" t="str">
            <v>2012E</v>
          </cell>
          <cell r="V50" t="str">
            <v>2013E</v>
          </cell>
          <cell r="W50" t="str">
            <v>2014E</v>
          </cell>
          <cell r="X50" t="str">
            <v>2015E</v>
          </cell>
          <cell r="Y50" t="str">
            <v>Comments</v>
          </cell>
        </row>
        <row r="51">
          <cell r="Q51" t="str">
            <v>Total Revs ($MM)</v>
          </cell>
        </row>
        <row r="52">
          <cell r="R52" t="str">
            <v>Current</v>
          </cell>
          <cell r="S52">
            <v>10570.199999999999</v>
          </cell>
          <cell r="T52">
            <v>11558.8</v>
          </cell>
          <cell r="U52">
            <v>12181.643010916281</v>
          </cell>
          <cell r="V52">
            <v>12580.52764384253</v>
          </cell>
          <cell r="W52">
            <v>13040.248317990276</v>
          </cell>
          <cell r="X52">
            <v>13577.177965199713</v>
          </cell>
          <cell r="Y52" t="str">
            <v>Sustainable 4% growth rate</v>
          </cell>
        </row>
        <row r="53">
          <cell r="R53" t="str">
            <v>% Y/Y</v>
          </cell>
          <cell r="T53">
            <v>9.3527085580216163E-2</v>
          </cell>
          <cell r="U53">
            <v>5.3884746765778591E-2</v>
          </cell>
          <cell r="V53">
            <v>3.2744731771305213E-2</v>
          </cell>
          <cell r="W53">
            <v>3.6542241085790517E-2</v>
          </cell>
          <cell r="X53">
            <v>4.1174802359299489E-2</v>
          </cell>
        </row>
        <row r="54">
          <cell r="R54" t="str">
            <v>Prior</v>
          </cell>
          <cell r="S54">
            <v>10570.2</v>
          </cell>
          <cell r="T54">
            <v>11725.9</v>
          </cell>
          <cell r="U54">
            <v>12329.063963099999</v>
          </cell>
          <cell r="V54">
            <v>12740.925074374001</v>
          </cell>
          <cell r="W54">
            <v>13208.993797358809</v>
          </cell>
          <cell r="X54">
            <v>13754.818656943684</v>
          </cell>
        </row>
        <row r="55">
          <cell r="R55" t="str">
            <v>% Y/Y</v>
          </cell>
          <cell r="T55">
            <v>0.10933567955194778</v>
          </cell>
          <cell r="U55">
            <v>5.1438607109049128E-2</v>
          </cell>
          <cell r="V55">
            <v>3.3405708049424776E-2</v>
          </cell>
          <cell r="W55">
            <v>3.673742057601781E-2</v>
          </cell>
          <cell r="X55">
            <v>4.132221333119368E-2</v>
          </cell>
        </row>
        <row r="56">
          <cell r="Q56" t="str">
            <v xml:space="preserve">COGS </v>
          </cell>
        </row>
        <row r="57">
          <cell r="R57" t="str">
            <v>Current</v>
          </cell>
          <cell r="S57">
            <v>6127.7999999999993</v>
          </cell>
          <cell r="T57">
            <v>6497.4000000000005</v>
          </cell>
          <cell r="U57">
            <v>6689.6008596793645</v>
          </cell>
          <cell r="V57">
            <v>6883.4955351009603</v>
          </cell>
          <cell r="W57">
            <v>7082.8112888782398</v>
          </cell>
          <cell r="X57">
            <v>7320.0669201334013</v>
          </cell>
        </row>
        <row r="58">
          <cell r="R58" t="str">
            <v>% sales</v>
          </cell>
          <cell r="S58">
            <v>0.57972413010160639</v>
          </cell>
          <cell r="T58">
            <v>0.5621171747932312</v>
          </cell>
          <cell r="U58">
            <v>0.54915423590107204</v>
          </cell>
          <cell r="V58">
            <v>0.54715475614173059</v>
          </cell>
          <cell r="W58">
            <v>0.54315003182161958</v>
          </cell>
          <cell r="X58">
            <v>0.53914494889113185</v>
          </cell>
        </row>
        <row r="59">
          <cell r="R59" t="str">
            <v>Prior</v>
          </cell>
          <cell r="S59">
            <v>6127.8</v>
          </cell>
          <cell r="T59">
            <v>6664.5</v>
          </cell>
          <cell r="U59">
            <v>6859.1139928342564</v>
          </cell>
          <cell r="V59">
            <v>7024.7183908234101</v>
          </cell>
          <cell r="W59">
            <v>7229.8853901584498</v>
          </cell>
          <cell r="X59">
            <v>7473.5418878996743</v>
          </cell>
        </row>
        <row r="60">
          <cell r="R60" t="str">
            <v>% sales</v>
          </cell>
          <cell r="S60">
            <v>0.57972413010160639</v>
          </cell>
          <cell r="T60">
            <v>0.56835722631098684</v>
          </cell>
          <cell r="U60">
            <v>0.55633696226762153</v>
          </cell>
          <cell r="V60">
            <v>0.55135073393943135</v>
          </cell>
          <cell r="W60">
            <v>0.54734565713885752</v>
          </cell>
          <cell r="X60">
            <v>0.54333990685707034</v>
          </cell>
        </row>
        <row r="61">
          <cell r="Q61" t="str">
            <v>SG&amp;A</v>
          </cell>
        </row>
        <row r="62">
          <cell r="R62" t="str">
            <v>Current</v>
          </cell>
          <cell r="S62">
            <v>2317.5</v>
          </cell>
          <cell r="T62">
            <v>2593</v>
          </cell>
          <cell r="U62">
            <v>2778.9569094522612</v>
          </cell>
          <cell r="V62">
            <v>2869.8880073626419</v>
          </cell>
          <cell r="W62">
            <v>2964.9462788476494</v>
          </cell>
          <cell r="X62">
            <v>3076.8694398037796</v>
          </cell>
        </row>
        <row r="63">
          <cell r="R63" t="str">
            <v>% sales</v>
          </cell>
          <cell r="S63">
            <v>0.219248453198615</v>
          </cell>
          <cell r="T63">
            <v>0.22433124545800603</v>
          </cell>
          <cell r="U63">
            <v>0.2281266087802743</v>
          </cell>
          <cell r="V63">
            <v>0.22812143406141577</v>
          </cell>
          <cell r="W63">
            <v>0.22736885115578828</v>
          </cell>
          <cell r="X63">
            <v>0.22662069007935556</v>
          </cell>
        </row>
        <row r="64">
          <cell r="R64" t="str">
            <v>Prior</v>
          </cell>
          <cell r="S64">
            <v>2317.5</v>
          </cell>
          <cell r="T64">
            <v>2593</v>
          </cell>
          <cell r="U64">
            <v>2763.4525179782313</v>
          </cell>
          <cell r="V64">
            <v>2855.7332098784591</v>
          </cell>
          <cell r="W64">
            <v>2950.6941543773014</v>
          </cell>
          <cell r="X64">
            <v>3062.3363005746405</v>
          </cell>
        </row>
        <row r="65">
          <cell r="R65" t="str">
            <v>% sales</v>
          </cell>
          <cell r="S65">
            <v>0.21924845319861497</v>
          </cell>
          <cell r="T65">
            <v>0.22113441185751201</v>
          </cell>
          <cell r="U65">
            <v>0.22414130758418041</v>
          </cell>
          <cell r="V65">
            <v>0.22413860792747575</v>
          </cell>
          <cell r="W65">
            <v>0.22338523279247086</v>
          </cell>
          <cell r="X65">
            <v>0.22263734455188308</v>
          </cell>
        </row>
        <row r="66">
          <cell r="Q66" t="str">
            <v>R&amp;D</v>
          </cell>
        </row>
        <row r="67">
          <cell r="R67" t="str">
            <v>Current</v>
          </cell>
          <cell r="S67">
            <v>284.79999999999995</v>
          </cell>
          <cell r="T67">
            <v>340.59999999999997</v>
          </cell>
          <cell r="U67">
            <v>368.29043957394936</v>
          </cell>
          <cell r="V67">
            <v>380.35509952569271</v>
          </cell>
          <cell r="W67">
            <v>384.48503990131485</v>
          </cell>
          <cell r="X67">
            <v>390.14323052339898</v>
          </cell>
        </row>
        <row r="68">
          <cell r="R68" t="str">
            <v>% sales</v>
          </cell>
          <cell r="S68">
            <v>2.6943671832131841E-2</v>
          </cell>
          <cell r="T68">
            <v>2.9466726649825241E-2</v>
          </cell>
          <cell r="U68">
            <v>3.0233232023292336E-2</v>
          </cell>
          <cell r="V68">
            <v>3.0233636481205573E-2</v>
          </cell>
          <cell r="W68">
            <v>2.9484487605261379E-2</v>
          </cell>
          <cell r="X68">
            <v>2.8735222556807678E-2</v>
          </cell>
        </row>
        <row r="69">
          <cell r="R69" t="str">
            <v>Prior</v>
          </cell>
          <cell r="S69">
            <v>284.8</v>
          </cell>
          <cell r="T69">
            <v>340.6</v>
          </cell>
          <cell r="U69">
            <v>358.64519153634689</v>
          </cell>
          <cell r="V69">
            <v>370.60942505382383</v>
          </cell>
          <cell r="W69">
            <v>374.32176024261116</v>
          </cell>
          <cell r="X69">
            <v>379.48788802854426</v>
          </cell>
        </row>
        <row r="70">
          <cell r="R70" t="str">
            <v>% sales</v>
          </cell>
          <cell r="S70">
            <v>2.6943671832131841E-2</v>
          </cell>
          <cell r="T70">
            <v>2.9046810905772696E-2</v>
          </cell>
          <cell r="U70">
            <v>2.9089409594251932E-2</v>
          </cell>
          <cell r="V70">
            <v>2.9088109606674926E-2</v>
          </cell>
          <cell r="W70">
            <v>2.8338400788518674E-2</v>
          </cell>
          <cell r="X70">
            <v>2.7589450467743668E-2</v>
          </cell>
        </row>
        <row r="71">
          <cell r="Q71" t="str">
            <v>Int Exp/Other</v>
          </cell>
        </row>
        <row r="72">
          <cell r="R72" t="str">
            <v>Current</v>
          </cell>
          <cell r="S72">
            <v>-71.999999999999943</v>
          </cell>
          <cell r="T72">
            <v>-150.39999999999986</v>
          </cell>
          <cell r="U72">
            <v>-224.7</v>
          </cell>
          <cell r="V72">
            <v>-183.2130817045047</v>
          </cell>
          <cell r="W72">
            <v>-158.64641953821672</v>
          </cell>
          <cell r="X72">
            <v>-123.68857521870299</v>
          </cell>
        </row>
        <row r="73">
          <cell r="R73" t="str">
            <v>% sales</v>
          </cell>
          <cell r="S73">
            <v>-6.8116024294715286E-3</v>
          </cell>
          <cell r="T73">
            <v>-1.3011731321590466E-2</v>
          </cell>
          <cell r="U73">
            <v>-1.8445787632968769E-2</v>
          </cell>
          <cell r="V73">
            <v>-1.4563227146850025E-2</v>
          </cell>
          <cell r="W73">
            <v>-1.2165904794876394E-2</v>
          </cell>
          <cell r="X73">
            <v>-9.1100356447956152E-3</v>
          </cell>
        </row>
        <row r="74">
          <cell r="R74" t="str">
            <v>Prior</v>
          </cell>
          <cell r="S74">
            <v>-71.999999999999943</v>
          </cell>
          <cell r="T74">
            <v>-150.4</v>
          </cell>
          <cell r="U74">
            <v>-202.25387499999999</v>
          </cell>
          <cell r="V74">
            <v>-188.32484134598826</v>
          </cell>
          <cell r="W74">
            <v>-162.42762130718484</v>
          </cell>
          <cell r="X74">
            <v>-126.05908932965031</v>
          </cell>
        </row>
        <row r="75">
          <cell r="R75" t="str">
            <v>% sales</v>
          </cell>
          <cell r="S75">
            <v>-6.8116024294715277E-3</v>
          </cell>
          <cell r="T75">
            <v>-1.2826307575537913E-2</v>
          </cell>
          <cell r="U75">
            <v>-1.6404641553108272E-2</v>
          </cell>
          <cell r="V75">
            <v>-1.4781096368329536E-2</v>
          </cell>
          <cell r="W75">
            <v>-1.2296744460555571E-2</v>
          </cell>
          <cell r="X75">
            <v>-9.1647220129662255E-3</v>
          </cell>
        </row>
        <row r="76">
          <cell r="Q76" t="str">
            <v>EPS- Diluted Adj.</v>
          </cell>
        </row>
        <row r="77">
          <cell r="R77" t="str">
            <v>Current</v>
          </cell>
          <cell r="S77">
            <v>3.4584096738732146</v>
          </cell>
          <cell r="T77">
            <v>4.1574946397245078</v>
          </cell>
          <cell r="U77">
            <v>4.8152667491028165</v>
          </cell>
          <cell r="V77">
            <v>5.4049678613770302</v>
          </cell>
          <cell r="W77">
            <v>6.0818512121484787</v>
          </cell>
          <cell r="X77">
            <v>6.9568029881790103</v>
          </cell>
        </row>
        <row r="78">
          <cell r="R78" t="str">
            <v>% Y/Y</v>
          </cell>
          <cell r="T78">
            <v>0.20214058823990033</v>
          </cell>
          <cell r="U78">
            <v>0.15821357966246108</v>
          </cell>
          <cell r="V78">
            <v>0.12246488990128901</v>
          </cell>
          <cell r="W78">
            <v>0.12523355700379657</v>
          </cell>
          <cell r="X78">
            <v>0.14386273940454486</v>
          </cell>
        </row>
        <row r="79">
          <cell r="R79" t="str">
            <v>Prior</v>
          </cell>
          <cell r="S79">
            <v>3.4584096738732146</v>
          </cell>
          <cell r="T79">
            <v>4.1574946397245132</v>
          </cell>
          <cell r="U79">
            <v>4.8164473532256684</v>
          </cell>
          <cell r="V79">
            <v>5.3260367232475581</v>
          </cell>
          <cell r="W79">
            <v>6.0189766752123948</v>
          </cell>
          <cell r="X79">
            <v>6.8780970827631673</v>
          </cell>
        </row>
        <row r="80">
          <cell r="R80" t="str">
            <v>% Y/Y</v>
          </cell>
          <cell r="T80">
            <v>0.20214058823990189</v>
          </cell>
          <cell r="U80">
            <v>0.1584975497514578</v>
          </cell>
          <cell r="V80">
            <v>0.10580191843695919</v>
          </cell>
          <cell r="W80">
            <v>0.13010423847440467</v>
          </cell>
          <cell r="X80">
            <v>0.1427352943713569</v>
          </cell>
        </row>
        <row r="81">
          <cell r="Q81" t="str">
            <v>Diluted Shs</v>
          </cell>
        </row>
        <row r="82">
          <cell r="R82" t="str">
            <v>Current</v>
          </cell>
          <cell r="S82">
            <v>409.34999999999997</v>
          </cell>
          <cell r="T82">
            <v>384.77499999999998</v>
          </cell>
          <cell r="U82">
            <v>363.98392370572208</v>
          </cell>
          <cell r="V82">
            <v>345.92503748329472</v>
          </cell>
          <cell r="W82">
            <v>332.65706503639075</v>
          </cell>
          <cell r="X82">
            <v>316.59003397771681</v>
          </cell>
        </row>
        <row r="83">
          <cell r="R83" t="str">
            <v>% Y/Y</v>
          </cell>
          <cell r="T83">
            <v>-6.0034200561866369E-2</v>
          </cell>
          <cell r="U83">
            <v>-5.4034374099871108E-2</v>
          </cell>
          <cell r="V83">
            <v>-4.9614516043922308E-2</v>
          </cell>
          <cell r="W83">
            <v>-3.83550509770334E-2</v>
          </cell>
          <cell r="X83">
            <v>-4.8299082591004905E-2</v>
          </cell>
        </row>
        <row r="84">
          <cell r="R84" t="str">
            <v>Prior</v>
          </cell>
          <cell r="S84">
            <v>409.35</v>
          </cell>
          <cell r="T84">
            <v>384.77499999999998</v>
          </cell>
          <cell r="U84">
            <v>368.45196022727276</v>
          </cell>
          <cell r="V84">
            <v>356.93921840774613</v>
          </cell>
          <cell r="W84">
            <v>341.93772375751701</v>
          </cell>
          <cell r="X84">
            <v>325.8551015911857</v>
          </cell>
        </row>
        <row r="85">
          <cell r="R85" t="str">
            <v>% Y/Y</v>
          </cell>
          <cell r="T85">
            <v>-6.003420056186648E-2</v>
          </cell>
          <cell r="U85">
            <v>-4.2422298155356253E-2</v>
          </cell>
          <cell r="V85">
            <v>-3.1246249341230881E-2</v>
          </cell>
          <cell r="W85">
            <v>-4.2028148986117619E-2</v>
          </cell>
          <cell r="X85">
            <v>-4.7033775593991467E-2</v>
          </cell>
        </row>
        <row r="86">
          <cell r="Q86" t="str">
            <v>FCF</v>
          </cell>
        </row>
        <row r="87">
          <cell r="R87" t="str">
            <v>Current</v>
          </cell>
          <cell r="S87">
            <v>1239.9999999999998</v>
          </cell>
          <cell r="T87">
            <v>1424.5</v>
          </cell>
          <cell r="U87">
            <v>1575.3018869243094</v>
          </cell>
          <cell r="V87">
            <v>1644.5873070170619</v>
          </cell>
          <cell r="W87">
            <v>1817.1464779661073</v>
          </cell>
          <cell r="X87">
            <v>1945.6685496018629</v>
          </cell>
        </row>
        <row r="88">
          <cell r="R88" t="str">
            <v>% Y/Y</v>
          </cell>
          <cell r="T88">
            <v>0.14879032258064528</v>
          </cell>
          <cell r="U88">
            <v>0.10586303048389567</v>
          </cell>
          <cell r="V88">
            <v>4.3982312639787802E-2</v>
          </cell>
          <cell r="W88">
            <v>0.10492551548511697</v>
          </cell>
          <cell r="X88">
            <v>7.0727414214624806E-2</v>
          </cell>
        </row>
        <row r="89">
          <cell r="R89" t="str">
            <v>Prior</v>
          </cell>
          <cell r="S89">
            <v>1240</v>
          </cell>
          <cell r="T89">
            <v>1424.5</v>
          </cell>
          <cell r="U89">
            <v>1559.7019119336819</v>
          </cell>
          <cell r="V89">
            <v>1721.9872961077901</v>
          </cell>
          <cell r="W89">
            <v>1885.5349283103346</v>
          </cell>
          <cell r="X89">
            <v>2018.5558878479412</v>
          </cell>
        </row>
        <row r="90">
          <cell r="R90" t="str">
            <v>% Y/Y</v>
          </cell>
          <cell r="T90">
            <v>0.14879032258064506</v>
          </cell>
          <cell r="U90">
            <v>9.4911837089281859E-2</v>
          </cell>
          <cell r="V90">
            <v>0.10404897431516935</v>
          </cell>
          <cell r="W90">
            <v>9.4976096845900804E-2</v>
          </cell>
          <cell r="X90">
            <v>7.0548128035373692E-2</v>
          </cell>
        </row>
      </sheetData>
      <sheetData sheetId="9" refreshError="1"/>
      <sheetData sheetId="10" refreshError="1"/>
      <sheetData sheetId="11" refreshError="1"/>
      <sheetData sheetId="12" refreshError="1"/>
      <sheetData sheetId="13" refreshError="1">
        <row r="56">
          <cell r="I56" t="str">
            <v>WACC</v>
          </cell>
        </row>
        <row r="57">
          <cell r="I57">
            <v>6.6970283544374828E-2</v>
          </cell>
          <cell r="J57">
            <v>7.1970283544374833E-2</v>
          </cell>
          <cell r="K57">
            <v>7.6970283544374837E-2</v>
          </cell>
          <cell r="L57">
            <v>8.1970283544374842E-2</v>
          </cell>
          <cell r="M57">
            <v>8.6970283544374846E-2</v>
          </cell>
          <cell r="N57">
            <v>9.1970283544374851E-2</v>
          </cell>
          <cell r="O57">
            <v>9.6970283544374855E-2</v>
          </cell>
          <cell r="P57">
            <v>0.10197028354437486</v>
          </cell>
          <cell r="Q57">
            <v>0.10697028354437486</v>
          </cell>
        </row>
        <row r="58">
          <cell r="H58">
            <v>-0.01</v>
          </cell>
          <cell r="I58">
            <v>88.727278757774656</v>
          </cell>
          <cell r="J58">
            <v>82.898128065702551</v>
          </cell>
          <cell r="K58">
            <v>77.813241525523949</v>
          </cell>
          <cell r="L58">
            <v>73.348205516203663</v>
          </cell>
          <cell r="M58">
            <v>69.404403174040226</v>
          </cell>
          <cell r="N58">
            <v>65.902683076269682</v>
          </cell>
          <cell r="O58">
            <v>62.778803913861061</v>
          </cell>
          <cell r="P58">
            <v>59.980099988796148</v>
          </cell>
          <cell r="Q58">
            <v>57.463002220525951</v>
          </cell>
        </row>
        <row r="59">
          <cell r="G59" t="str">
            <v>Terminal</v>
          </cell>
          <cell r="H59">
            <v>-5.0000000000000001E-3</v>
          </cell>
          <cell r="I59">
            <v>93.402620670254962</v>
          </cell>
          <cell r="J59">
            <v>86.880230319843903</v>
          </cell>
          <cell r="K59">
            <v>81.232471234710047</v>
          </cell>
          <cell r="L59">
            <v>76.30527620721665</v>
          </cell>
          <cell r="M59">
            <v>71.978226479935216</v>
          </cell>
          <cell r="N59">
            <v>68.155869684606813</v>
          </cell>
          <cell r="O59">
            <v>64.761592452841526</v>
          </cell>
          <cell r="P59">
            <v>61.733211804253223</v>
          </cell>
          <cell r="Q59">
            <v>59.019748031981258</v>
          </cell>
        </row>
        <row r="60">
          <cell r="G60" t="str">
            <v>Value</v>
          </cell>
          <cell r="H60">
            <v>0</v>
          </cell>
          <cell r="I60">
            <v>98.776084445902015</v>
          </cell>
          <cell r="J60">
            <v>91.415630693435631</v>
          </cell>
          <cell r="K60">
            <v>85.095928190014405</v>
          </cell>
          <cell r="L60">
            <v>79.623096009145186</v>
          </cell>
          <cell r="M60">
            <v>74.847992629868642</v>
          </cell>
          <cell r="N60">
            <v>70.654047014022908</v>
          </cell>
          <cell r="O60">
            <v>66.948854823031624</v>
          </cell>
          <cell r="P60">
            <v>63.65824741500839</v>
          </cell>
          <cell r="Q60">
            <v>60.722024523535175</v>
          </cell>
        </row>
        <row r="61">
          <cell r="G61" t="str">
            <v>Growth</v>
          </cell>
          <cell r="H61">
            <v>5.0000000000000001E-3</v>
          </cell>
          <cell r="I61">
            <v>105.01665152789414</v>
          </cell>
          <cell r="J61">
            <v>96.628256865330357</v>
          </cell>
          <cell r="K61">
            <v>89.496197947080518</v>
          </cell>
          <cell r="L61">
            <v>83.371967854686844</v>
          </cell>
          <cell r="M61">
            <v>78.067857135675098</v>
          </cell>
          <cell r="N61">
            <v>73.439469276720331</v>
          </cell>
          <cell r="O61">
            <v>69.373939920943855</v>
          </cell>
          <cell r="P61">
            <v>65.781801122276519</v>
          </cell>
          <cell r="Q61">
            <v>62.591239502693981</v>
          </cell>
        </row>
        <row r="62">
          <cell r="H62">
            <v>0.01</v>
          </cell>
          <cell r="I62">
            <v>112.3526260212135</v>
          </cell>
          <cell r="J62">
            <v>102.68203235489152</v>
          </cell>
          <cell r="K62">
            <v>94.553515804316376</v>
          </cell>
          <cell r="L62">
            <v>87.641731332290817</v>
          </cell>
          <cell r="M62">
            <v>81.706047306600126</v>
          </cell>
          <cell r="N62">
            <v>76.564700326487426</v>
          </cell>
          <cell r="O62">
            <v>72.077865675581677</v>
          </cell>
          <cell r="P62">
            <v>68.136250465116277</v>
          </cell>
          <cell r="Q62">
            <v>64.653216110553529</v>
          </cell>
        </row>
        <row r="63">
          <cell r="H63">
            <v>1.4999999999999999E-2</v>
          </cell>
          <cell r="I63">
            <v>121.1001715110727</v>
          </cell>
          <cell r="J63">
            <v>109.79842770746349</v>
          </cell>
          <cell r="K63">
            <v>100.42692123901418</v>
          </cell>
          <cell r="L63">
            <v>92.549055717752509</v>
          </cell>
          <cell r="M63">
            <v>85.849750307508884</v>
          </cell>
          <cell r="N63">
            <v>80.095962237238084</v>
          </cell>
          <cell r="O63">
            <v>75.111658015733241</v>
          </cell>
          <cell r="P63">
            <v>70.761418638214693</v>
          </cell>
          <cell r="Q63">
            <v>66.939393028382199</v>
          </cell>
        </row>
        <row r="64">
          <cell r="H64">
            <v>0.02</v>
          </cell>
          <cell r="I64">
            <v>131.71007439581444</v>
          </cell>
          <cell r="J64">
            <v>118.28414315360314</v>
          </cell>
          <cell r="K64">
            <v>107.33128616158658</v>
          </cell>
          <cell r="L64">
            <v>98.248263584261665</v>
          </cell>
          <cell r="M64">
            <v>90.612190871050714</v>
          </cell>
          <cell r="N64">
            <v>84.117879698702737</v>
          </cell>
          <cell r="O64">
            <v>78.539601475050517</v>
          </cell>
          <cell r="P64">
            <v>73.706845331789921</v>
          </cell>
          <cell r="Q64">
            <v>69.488438689953938</v>
          </cell>
        </row>
        <row r="65">
          <cell r="H65">
            <v>2.5000000000000001E-2</v>
          </cell>
          <cell r="I65">
            <v>144.84793325052806</v>
          </cell>
          <cell r="J65">
            <v>128.57647222985267</v>
          </cell>
          <cell r="K65">
            <v>115.56417277996172</v>
          </cell>
          <cell r="L65">
            <v>104.94785402075921</v>
          </cell>
          <cell r="M65">
            <v>96.14313535149509</v>
          </cell>
          <cell r="N65">
            <v>88.7403497110312</v>
          </cell>
          <cell r="O65">
            <v>82.443844775149103</v>
          </cell>
          <cell r="P65">
            <v>77.034942655891911</v>
          </cell>
          <cell r="Q65">
            <v>72.348456273465118</v>
          </cell>
        </row>
        <row r="66">
          <cell r="H66">
            <v>3.0000000000000002E-2</v>
          </cell>
          <cell r="I66">
            <v>161.53941885493768</v>
          </cell>
          <cell r="J66">
            <v>141.32109092796475</v>
          </cell>
          <cell r="K66">
            <v>125.54984562765509</v>
          </cell>
          <cell r="L66">
            <v>112.93656392699705</v>
          </cell>
          <cell r="M66">
            <v>102.64492711166848</v>
          </cell>
          <cell r="N66">
            <v>94.10873691914243</v>
          </cell>
          <cell r="O66">
            <v>86.931069525148757</v>
          </cell>
          <cell r="P66">
            <v>80.825466576111182</v>
          </cell>
          <cell r="Q66">
            <v>75.580048112885379</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Valuation Matrix"/>
      <sheetName val="Overview"/>
      <sheetName val="AD Sensitivities"/>
      <sheetName val="Inputs"/>
      <sheetName val="Funds Output"/>
      <sheetName val="Assumptions"/>
      <sheetName val="PF Credit Stats"/>
      <sheetName val="Module1"/>
      <sheetName val="Module2"/>
      <sheetName val="Pro Forma Balance Sheet"/>
      <sheetName val="PF Financials"/>
      <sheetName val="AccDil"/>
      <sheetName val="JV Assumptions"/>
      <sheetName val="JV AccDil "/>
      <sheetName val="JV Pro Forma Balance Sheet"/>
      <sheetName val="JV Credit Stats "/>
      <sheetName val="JV Financials"/>
      <sheetName val="Returns Analysis"/>
      <sheetName val="Acquiror Financials"/>
      <sheetName val="Target  Financials"/>
      <sheetName val="Target Detail"/>
      <sheetName val="DCF"/>
      <sheetName val="Exit Analysis"/>
      <sheetName val="Buildup"/>
      <sheetName val="Synergies"/>
      <sheetName val="Shareholder Analysis"/>
      <sheetName val="Broncos AccDil Input"/>
      <sheetName val="Broncos AccDil"/>
      <sheetName val="BUD AccDil Input"/>
      <sheetName val="BUD AccDil"/>
      <sheetName val="HEIN AccDil Input"/>
      <sheetName val="HEIN AccDil"/>
      <sheetName val="SAB AccDil Input"/>
      <sheetName val="SAB AccDil"/>
      <sheetName val="PMB AccDil Input"/>
      <sheetName val="PMB AccDil"/>
      <sheetName val="PMB AccDil (2)"/>
      <sheetName val="Combination Analysis"/>
      <sheetName val="Strategic JV Analysis"/>
      <sheetName val="MOL AccDil Input"/>
      <sheetName val="MOL AccDil 2"/>
      <sheetName val="MOL AccDil"/>
      <sheetName val="AdditionalPrintCode"/>
      <sheetName val="MainPrintCode"/>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sheetData sheetId="28" refreshError="1"/>
      <sheetData sheetId="29"/>
      <sheetData sheetId="30" refreshError="1"/>
      <sheetData sheetId="31"/>
      <sheetData sheetId="32" refreshError="1"/>
      <sheetData sheetId="33"/>
      <sheetData sheetId="34" refreshError="1"/>
      <sheetData sheetId="35" refreshError="1">
        <row r="26">
          <cell r="T26">
            <v>6000</v>
          </cell>
        </row>
      </sheetData>
      <sheetData sheetId="36" refreshError="1"/>
      <sheetData sheetId="37" refreshError="1"/>
      <sheetData sheetId="38"/>
      <sheetData sheetId="39"/>
      <sheetData sheetId="40"/>
      <sheetData sheetId="41" refreshError="1"/>
      <sheetData sheetId="42" refreshError="1"/>
      <sheetData sheetId="43" refreshError="1"/>
      <sheetData sheetId="44"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fd shares"/>
      <sheetName val="xchange"/>
      <sheetName val="Side-by_side"/>
      <sheetName val="Val_Matrix"/>
      <sheetName val="ownership"/>
    </sheetNames>
    <sheetDataSet>
      <sheetData sheetId="0" refreshError="1"/>
      <sheetData sheetId="1" refreshError="1">
        <row r="7">
          <cell r="F7" t="str">
            <v>MLNM</v>
          </cell>
          <cell r="H7" t="str">
            <v>VRTX</v>
          </cell>
        </row>
        <row r="9">
          <cell r="L9">
            <v>36578</v>
          </cell>
        </row>
        <row r="10">
          <cell r="K10" t="str">
            <v>^IB_PRICE_HIGH_52W</v>
          </cell>
        </row>
        <row r="11">
          <cell r="H11">
            <v>29.16700559255203</v>
          </cell>
          <cell r="K11" t="str">
            <v>^IB_PRICE_LOW_52W</v>
          </cell>
        </row>
        <row r="14">
          <cell r="K14" t="str">
            <v>^P_PRICE</v>
          </cell>
        </row>
      </sheetData>
      <sheetData sheetId="2" refreshError="1"/>
      <sheetData sheetId="3" refreshError="1"/>
      <sheetData sheetId="4" refreshError="1"/>
      <sheetData sheetId="5"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
      <sheetName val="Case"/>
      <sheetName val="Group 1"/>
      <sheetName val="Asbury"/>
      <sheetName val="combo"/>
      <sheetName val="Summary New"/>
      <sheetName val="AdditionalPrintCode"/>
      <sheetName val="MainPrintCode"/>
      <sheetName val="Calc"/>
      <sheetName val="AccDil"/>
      <sheetName val="Cases"/>
      <sheetName val="DCF Inputs"/>
      <sheetName val="DCF Matrix"/>
      <sheetName val="Summary Val"/>
      <sheetName val="ValMatrix"/>
      <sheetName val="Macr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LXK"/>
      <sheetName val="Valuation"/>
      <sheetName val="Analysis"/>
      <sheetName val="MACRS"/>
      <sheetName val="FutureAcq"/>
      <sheetName val="Credit Output"/>
      <sheetName val="CalcsMO"/>
      <sheetName val=" Capital"/>
      <sheetName val="New Business"/>
      <sheetName val="yearly"/>
      <sheetName val="OnAir"/>
      <sheetName val="RELPE"/>
      <sheetName val="SALESCAT"/>
      <sheetName val="MATCASH"/>
      <sheetName val="FinSum"/>
      <sheetName val="Gas"/>
      <sheetName val="Off Peak"/>
      <sheetName val="Peak"/>
      <sheetName val="Aladdin Macro1"/>
      <sheetName val="DATA"/>
      <sheetName val="Scenario"/>
      <sheetName val="WY"/>
      <sheetName val="changes in EST"/>
      <sheetName val="US peers EBIT Margins"/>
      <sheetName val="Sheet7"/>
      <sheetName val="Model (Euro)"/>
      <sheetName val="Monthly Spot"/>
      <sheetName val="NKEBALST"/>
      <sheetName val="NKEQTRIN"/>
      <sheetName val="main"/>
      <sheetName val="Sheet1"/>
      <sheetName val="DMK"/>
      <sheetName val="Cashflow Model"/>
      <sheetName val="premium detail - P&amp;C"/>
      <sheetName val="Sainsbury"/>
      <sheetName val="Accounts&amp;Forecasts"/>
      <sheetName val="単独"/>
      <sheetName val="ｾｸﾞﾒﾝﾄ"/>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RADING"/>
      <sheetName val="__FDSCACHE__"/>
      <sheetName val="OPERATING"/>
      <sheetName val="FACTSET"/>
      <sheetName val="TOP"/>
      <sheetName val="Dialog1"/>
      <sheetName val="Module1"/>
    </sheetNames>
    <sheetDataSet>
      <sheetData sheetId="0" refreshError="1">
        <row r="13">
          <cell r="A13" t="str">
            <v>AAII</v>
          </cell>
          <cell r="B13" t="str">
            <v xml:space="preserve">Applied Analytical Industries </v>
          </cell>
        </row>
        <row r="14">
          <cell r="A14" t="str">
            <v>BLPG</v>
          </cell>
          <cell r="B14" t="str">
            <v xml:space="preserve">Boron LePore &amp; Associates </v>
          </cell>
        </row>
        <row r="15">
          <cell r="A15" t="str">
            <v>BREL</v>
          </cell>
          <cell r="B15" t="str">
            <v xml:space="preserve">BioReliance Corporation </v>
          </cell>
        </row>
        <row r="16">
          <cell r="A16" t="str">
            <v>DATA</v>
          </cell>
          <cell r="B16" t="str">
            <v>Collaborative Clinical Research (a)</v>
          </cell>
        </row>
        <row r="17">
          <cell r="A17" t="str">
            <v>CCRO</v>
          </cell>
          <cell r="B17" t="str">
            <v xml:space="preserve">ClinTrials Research </v>
          </cell>
        </row>
        <row r="18">
          <cell r="A18" t="str">
            <v>CVD</v>
          </cell>
          <cell r="B18" t="str">
            <v>Covance</v>
          </cell>
        </row>
        <row r="19">
          <cell r="A19" t="str">
            <v>DJII</v>
          </cell>
          <cell r="B19" t="str">
            <v>DJIA</v>
          </cell>
        </row>
        <row r="20">
          <cell r="A20" t="str">
            <v>ICLRY</v>
          </cell>
          <cell r="B20" t="str">
            <v>ICON plc</v>
          </cell>
        </row>
        <row r="21">
          <cell r="A21" t="str">
            <v>KNDL</v>
          </cell>
          <cell r="B21" t="str">
            <v xml:space="preserve">Kendle International </v>
          </cell>
        </row>
        <row r="22">
          <cell r="A22" t="str">
            <v>PPDI</v>
          </cell>
          <cell r="B22" t="str">
            <v xml:space="preserve">Pharmaceutical Product Development </v>
          </cell>
        </row>
        <row r="23">
          <cell r="A23" t="str">
            <v>PRWW</v>
          </cell>
          <cell r="B23" t="str">
            <v>Premier Research Worldwide</v>
          </cell>
        </row>
        <row r="24">
          <cell r="A24" t="str">
            <v>PRXL</v>
          </cell>
          <cell r="B24" t="str">
            <v>Parexel International</v>
          </cell>
        </row>
        <row r="25">
          <cell r="A25" t="str">
            <v>PDII</v>
          </cell>
          <cell r="B25" t="str">
            <v>Professional Detailing</v>
          </cell>
        </row>
        <row r="26">
          <cell r="A26" t="str">
            <v>QTRN</v>
          </cell>
          <cell r="B26" t="str">
            <v xml:space="preserve">Quintiles Transnational </v>
          </cell>
        </row>
        <row r="27">
          <cell r="A27" t="str">
            <v>SNC</v>
          </cell>
          <cell r="B27" t="str">
            <v>Snyder Communications</v>
          </cell>
        </row>
        <row r="28">
          <cell r="A28" t="str">
            <v>VTIV</v>
          </cell>
          <cell r="B28" t="str">
            <v>Ventiv Health</v>
          </cell>
        </row>
        <row r="29">
          <cell r="A29" t="str">
            <v>SP50</v>
          </cell>
          <cell r="B29" t="str">
            <v>S &amp; P 500</v>
          </cell>
        </row>
        <row r="30">
          <cell r="A30" t="str">
            <v>SPII</v>
          </cell>
          <cell r="B30" t="str">
            <v>S &amp; P 400</v>
          </cell>
        </row>
      </sheetData>
      <sheetData sheetId="1"/>
      <sheetData sheetId="2"/>
      <sheetData sheetId="3"/>
      <sheetData sheetId="4"/>
      <sheetData sheetId="5"/>
      <sheetData sheetId="6"/>
      <sheetData sheetId="7"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Trans Assump"/>
      <sheetName val="Hist Inputs"/>
      <sheetName val="Cases"/>
      <sheetName val="DCF Inputs"/>
      <sheetName val="DCF"/>
      <sheetName val="DCF Matrix"/>
      <sheetName val="Standalone"/>
      <sheetName val="Hist Graph"/>
      <sheetName val="Proj Graph"/>
      <sheetName val="LBO"/>
      <sheetName val="LBO Summary"/>
      <sheetName val="LBO IRR"/>
      <sheetName val="LBO Sens"/>
      <sheetName val="Trading Value"/>
      <sheetName val="Trading Val Calc"/>
      <sheetName val="PFMA Statements"/>
      <sheetName val="PFMA Fin Sum"/>
      <sheetName val="PFMA Cap"/>
      <sheetName val="PFMA Credit"/>
      <sheetName val="Fin Graph"/>
      <sheetName val="Credit Graph"/>
      <sheetName val="Earnings"/>
      <sheetName val="Bal Sheets"/>
      <sheetName val="Schedules"/>
      <sheetName val="DCFLBO Code"/>
      <sheetName val="CasesDialog"/>
      <sheetName val="MainPrint Code"/>
      <sheetName val="AdditionalPrint Code"/>
      <sheetName val="InitialPrintDialog"/>
    </sheetNames>
    <sheetDataSet>
      <sheetData sheetId="0" refreshError="1"/>
      <sheetData sheetId="1" refreshError="1">
        <row r="28">
          <cell r="J28" t="str">
            <v>Yes</v>
          </cell>
        </row>
        <row r="29">
          <cell r="J29">
            <v>40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4)"/>
      <sheetName val="Financials"/>
      <sheetName val="DCF Inputs"/>
      <sheetName val="Wang DCF "/>
      <sheetName val="Sensitivity Analysis"/>
    </sheetNames>
    <sheetDataSet>
      <sheetData sheetId="0" refreshError="1"/>
      <sheetData sheetId="1" refreshError="1"/>
      <sheetData sheetId="2" refreshError="1"/>
      <sheetData sheetId="3" refreshError="1"/>
      <sheetData sheetId="4"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Cashflow Forecast Port"/>
      <sheetName val="FX Adjustment"/>
      <sheetName val="LBO Control"/>
      <sheetName val="Standalone"/>
      <sheetName val="Balance Sheet"/>
      <sheetName val="Data Validation Names"/>
      <sheetName val="c1"/>
      <sheetName val="DCF 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__FDSCACHE__"/>
      <sheetName val="Cap"/>
      <sheetName val="Sonoma Cases"/>
      <sheetName val="Sonoma Financials"/>
      <sheetName val="Cabernet Cases"/>
      <sheetName val="Cabernet Financials"/>
      <sheetName val="DEV"/>
      <sheetName val="Valuation Matrix"/>
      <sheetName val="Post Money Ownership"/>
      <sheetName val="Pro Forma Impact"/>
      <sheetName val="Sonoma Caps Table"/>
      <sheetName val="Sonoma Comp Val"/>
      <sheetName val="Relative Contribution"/>
      <sheetName val="Cash Requirments"/>
      <sheetName val="MiniMerger Assumptions"/>
      <sheetName val="Merger Output"/>
      <sheetName val="Stock Price Analysis"/>
      <sheetName val="EPS"/>
      <sheetName val="sonoma index"/>
      <sheetName val="nasdaq index"/>
      <sheetName val="comps index"/>
      <sheetName val="Sonoma"/>
      <sheetName val="Report"/>
      <sheetName val="DCF"/>
      <sheetName val="Valuation Summary"/>
    </sheetNames>
    <sheetDataSet>
      <sheetData sheetId="0" refreshError="1">
        <row r="7">
          <cell r="C7" t="str">
            <v>Cabernet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Cap"/>
      <sheetName val="LS Assmptns"/>
      <sheetName val="LS Fin"/>
      <sheetName val="Clin Assmptns"/>
      <sheetName val="Clin Fin"/>
      <sheetName val="Bio Assmptns"/>
      <sheetName val="Bio Fin"/>
      <sheetName val="Tot Fin"/>
      <sheetName val="Contribution"/>
      <sheetName val="__FDSCACHE__"/>
      <sheetName val="DCF Summary"/>
      <sheetName val="scen comp"/>
      <sheetName val="FD DCF Inputs"/>
      <sheetName val="FD DCF"/>
      <sheetName val="Football field"/>
      <sheetName val="BLANK3"/>
      <sheetName val="Total"/>
      <sheetName val="LS"/>
      <sheetName val="Clin"/>
      <sheetName val="Bio"/>
      <sheetName val="BLANK4"/>
      <sheetName val="BLANK5"/>
      <sheetName val="WACC"/>
      <sheetName val="cash burn"/>
    </sheetNames>
    <sheetDataSet>
      <sheetData sheetId="0" refreshError="1">
        <row r="33">
          <cell r="E33" t="str">
            <v>Burgundy Case</v>
          </cell>
        </row>
      </sheetData>
      <sheetData sheetId="1"/>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ill Financials"/>
      <sheetName val="Asset Sale Assump"/>
      <sheetName val="Mult"/>
      <sheetName val="Val Mtx"/>
      <sheetName val="Inputs"/>
      <sheetName val="AdditionalPrintCode"/>
      <sheetName val="MainPrintCode"/>
      <sheetName val="EPS Calc"/>
      <sheetName val="Merger Inputs"/>
      <sheetName val="Calc"/>
      <sheetName val="Module12"/>
      <sheetName val="Module13"/>
      <sheetName val="GAAP"/>
      <sheetName val="AssetPur"/>
      <sheetName val="HAT-MINI-MERGER"/>
      <sheetName val="Pooling"/>
      <sheetName val="Credit"/>
      <sheetName val="FinCosts"/>
      <sheetName val="Debt Capacity"/>
      <sheetName val="Contribution"/>
      <sheetName val="Val_to_King"/>
      <sheetName val="MINI-MERGER"/>
      <sheetName val="Val-Matrix "/>
      <sheetName val="ValMatrix -King-BFO-no trick"/>
      <sheetName val="Val to King - no trick"/>
      <sheetName val="bfo-val"/>
      <sheetName val="Val to King - trick"/>
      <sheetName val="Val Creat - pool"/>
      <sheetName val="val creat summ"/>
      <sheetName val="Exchange Ratio Calc"/>
      <sheetName val="B IS"/>
      <sheetName val="K IS"/>
      <sheetName val="Combined IS"/>
      <sheetName val="B BS"/>
      <sheetName val="K BS"/>
      <sheetName val="PF Balance Sheet"/>
      <sheetName val="shares calcs"/>
      <sheetName val="PF Acquiror"/>
      <sheetName val="Sheet1"/>
      <sheetName val="Price Target"/>
      <sheetName val="Football"/>
      <sheetName val="Val Matrix"/>
      <sheetName val="Syn_Val_Creat"/>
      <sheetName val="cost syn"/>
      <sheetName val="side-by-side"/>
      <sheetName val="Cont. Analysis"/>
      <sheetName val="SHARE CALC"/>
      <sheetName val="Stock Change"/>
      <sheetName val="PF BS"/>
      <sheetName val="Mini-Merger - K &amp; Q"/>
      <sheetName val="Mini Merger OP"/>
      <sheetName val="Mini Merger 2"/>
      <sheetName val="King_bishop"/>
      <sheetName val="bishop-check"/>
      <sheetName val="InitialPrintDialog"/>
      <sheetName val="b-k_trick_cash-premium"/>
      <sheetName val="bishop-king-19.9-30-5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Assumptions"/>
      <sheetName val="Inputs"/>
      <sheetName val="Sideby side"/>
      <sheetName val="AD"/>
      <sheetName val="Value Creation"/>
      <sheetName val="CA"/>
      <sheetName val="Options"/>
      <sheetName val="Val Matrix"/>
    </sheetNames>
    <sheetDataSet>
      <sheetData sheetId="0" refreshError="1"/>
      <sheetData sheetId="1" refreshError="1"/>
      <sheetData sheetId="2" refreshError="1"/>
      <sheetData sheetId="3" refreshError="1"/>
      <sheetData sheetId="4" refreshError="1">
        <row r="18">
          <cell r="T18">
            <v>0.3</v>
          </cell>
        </row>
      </sheetData>
      <sheetData sheetId="5" refreshError="1"/>
      <sheetData sheetId="6" refreshError="1"/>
      <sheetData sheetId="7" refreshError="1"/>
      <sheetData sheetId="8"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mini-m inputs"/>
      <sheetName val="mini-merger"/>
      <sheetName val="mini-merger normalized"/>
      <sheetName val="XR Calc"/>
      <sheetName val="PPDS"/>
      <sheetName val="Rel. Cont."/>
      <sheetName val="Then and Now"/>
      <sheetName val="Acc.Del Sensitivity"/>
    </sheetNames>
    <sheetDataSet>
      <sheetData sheetId="0" refreshError="1"/>
      <sheetData sheetId="1" refreshError="1">
        <row r="31">
          <cell r="L31">
            <v>24.990000000000002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tManagerCode"/>
      <sheetName val="LBO"/>
      <sheetName val="Sensitivity"/>
      <sheetName val="Shadow Quick LBO2"/>
    </sheetNames>
    <sheetDataSet>
      <sheetData sheetId="0" refreshError="1"/>
      <sheetData sheetId="1" refreshError="1">
        <row r="8">
          <cell r="Y8">
            <v>850</v>
          </cell>
        </row>
      </sheetData>
      <sheetData sheetId="2" refreshError="1"/>
      <sheetData sheetId="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 Inputs"/>
      <sheetName val="Calcs for Sensitivy"/>
      <sheetName val="Cases"/>
      <sheetName val="Financials"/>
      <sheetName val="Performance"/>
    </sheetNames>
    <sheetDataSet>
      <sheetData sheetId="0" refreshError="1"/>
      <sheetData sheetId="1" refreshError="1"/>
      <sheetData sheetId="2" refreshError="1"/>
      <sheetData sheetId="3" refreshError="1"/>
      <sheetData sheetId="4"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Page"/>
      <sheetName val="Cases"/>
      <sheetName val="Earnings"/>
      <sheetName val="DCF Input"/>
      <sheetName val="__FDSCACHE__"/>
      <sheetName val="DCF Output"/>
      <sheetName val="Contribution Analysis"/>
      <sheetName val="Valuation Matrix"/>
      <sheetName val="Sheet1"/>
      <sheetName val="Credit Statistics"/>
    </sheetNames>
    <sheetDataSet>
      <sheetData sheetId="0" refreshError="1">
        <row r="5">
          <cell r="C5" t="str">
            <v>New York Times</v>
          </cell>
        </row>
      </sheetData>
      <sheetData sheetId="1" refreshError="1"/>
      <sheetData sheetId="2" refreshError="1">
        <row r="50">
          <cell r="P50">
            <v>169.94192100000001</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es"/>
      <sheetName val="Financials"/>
      <sheetName val="Sheet2 (2)"/>
      <sheetName val="Standalone Financials"/>
      <sheetName val="DCF Inputs"/>
      <sheetName val="DCF Matrix"/>
      <sheetName val="DCF Matrix (2)"/>
      <sheetName val="Side-by-Side"/>
      <sheetName val="Sheet4 (2)"/>
      <sheetName val="Sheet17"/>
      <sheetName val="Sheet2"/>
      <sheetName val="Sensitivity Analysi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Module1"/>
      <sheetName val="Module2"/>
      <sheetName val="Logistics Valuation Model"/>
    </sheetNames>
    <definedNames>
      <definedName name="Print_DC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oRollUp"/>
      <sheetName val="Module3"/>
      <sheetName val="Geographic"/>
      <sheetName val="Model Assumptions"/>
      <sheetName val="Summary PF #4"/>
      <sheetName val="Summary of Pro Forma (3)"/>
      <sheetName val="Summary of Pro Forma (2)"/>
      <sheetName val="WellSens"/>
      <sheetName val="WellPoint"/>
      <sheetName val="SumFin"/>
      <sheetName val="Dental Valsum"/>
      <sheetName val="Dental DCF Inputs"/>
      <sheetName val="Dental DCF"/>
      <sheetName val="Dental Cases"/>
      <sheetName val="Dental (Klammer)"/>
      <sheetName val="Dental"/>
      <sheetName val="Hard Rock"/>
      <sheetName val="Poundstone"/>
      <sheetName val="Cases"/>
      <sheetName val="Covenant"/>
      <sheetName val="RushValSum"/>
      <sheetName val="RushMatrix"/>
      <sheetName val="Rush"/>
      <sheetName val="California"/>
      <sheetName val="CA Cases"/>
      <sheetName val="CredSens"/>
      <sheetName val="Dental PMAT"/>
      <sheetName val="PMAT (2)"/>
      <sheetName val="PFMA Income"/>
      <sheetName val="PFMA Balance"/>
      <sheetName val="PFMA Schedules"/>
      <sheetName val="SynSchedule"/>
      <sheetName val="DCF Inputs"/>
      <sheetName val="DCF Matrix"/>
      <sheetName val="Valuation Summary"/>
      <sheetName val="MemVal"/>
      <sheetName val="Sensitivities"/>
      <sheetName val="Synergy Analysis"/>
      <sheetName val="DCF Assumptions"/>
      <sheetName val="Sheet1"/>
      <sheetName val="DCFSENS"/>
      <sheetName val="SIDE"/>
      <sheetName val="PMAT"/>
      <sheetName val="Macred"/>
      <sheetName val="CredBuil(Update97Pound)"/>
      <sheetName val="CredDental"/>
      <sheetName val="Credit Buildup"/>
      <sheetName val="Financial Overview"/>
      <sheetName val="Sheet2"/>
      <sheetName val="Convert Analysis"/>
      <sheetName val="ConsMix With Convert"/>
      <sheetName val="Incr. Int"/>
      <sheetName val="Seller"/>
      <sheetName val="ConsMix"/>
      <sheetName val="Dollar for Dollar"/>
      <sheetName val="DCFYN26"/>
    </sheetNames>
    <definedNames>
      <definedName name="Print_HardRo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s for Sensitivy"/>
      <sheetName val="Financials"/>
      <sheetName val="Hist Inputs"/>
      <sheetName val="DCF7"/>
    </sheetNames>
    <definedNames>
      <definedName name="Print_ibt"/>
      <definedName name="Print_image"/>
      <definedName name="Print_valmat"/>
    </definedNames>
    <sheetDataSet>
      <sheetData sheetId="0" refreshError="1"/>
      <sheetData sheetId="1" refreshError="1"/>
      <sheetData sheetId="2" refreshError="1"/>
      <sheetData sheetId="3"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HIST20"/>
      <sheetName val="Graphs"/>
      <sheetName val="14150"/>
      <sheetName val="Hist Inputs"/>
    </sheetNames>
    <definedNames>
      <definedName name="Print_Valmax"/>
    </definedNames>
    <sheetDataSet>
      <sheetData sheetId="0" refreshError="1"/>
      <sheetData sheetId="1" refreshError="1"/>
      <sheetData sheetId="2" refreshError="1"/>
      <sheetData sheetId="3" refreshError="1"/>
      <sheetData sheetId="4"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LBO_2"/>
    </sheetNames>
    <definedNames>
      <definedName name="PrintModelReports"/>
      <definedName name="PrintPreviewModelReports"/>
    </definedNames>
    <sheetDataSet>
      <sheetData sheetId="0" refreshError="1"/>
      <sheetData sheetId="1"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FD Value"/>
      <sheetName val="Sheet13"/>
      <sheetName val="Sheet14"/>
      <sheetName val="Sheet12"/>
      <sheetName val="__FDSCACHE__"/>
      <sheetName val="Input"/>
      <sheetName val="FD TSO"/>
      <sheetName val="Value"/>
      <sheetName val="PF BS"/>
      <sheetName val="Sheet6"/>
      <sheetName val="Sheet1"/>
      <sheetName val="Sheet11"/>
      <sheetName val="Sheet16"/>
      <sheetName val="MiniMerg"/>
      <sheetName val="MiniMergSummary"/>
      <sheetName val="Sheet10"/>
      <sheetName val="Breakup"/>
      <sheetName val="Sheet7"/>
      <sheetName val="DCF"/>
      <sheetName val="Sheet4"/>
      <sheetName val="Sheet3"/>
      <sheetName val="Sheet9"/>
      <sheetName val="Sheet8"/>
      <sheetName val="Sheet5"/>
      <sheetName val="Multiple"/>
      <sheetName val="Multiple2"/>
      <sheetName val="Single"/>
      <sheetName val="Sheet2"/>
      <sheetName val="MainPrint Code"/>
      <sheetName val="AdditionalPrint Code"/>
      <sheetName val="InitialPrintDia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3">
          <cell r="T13">
            <v>0.2</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__FDSCACHE__"/>
      <sheetName val="Switches(2)"/>
      <sheetName val="SumVal"/>
      <sheetName val="Goodwill"/>
      <sheetName val="Debtrealloc"/>
      <sheetName val="Matrix"/>
      <sheetName val="Valmatrix"/>
      <sheetName val="40"/>
      <sheetName val="Borg"/>
      <sheetName val="Schw"/>
      <sheetName val="Elec"/>
      <sheetName val="Cable"/>
      <sheetName val="Corp"/>
      <sheetName val="Target"/>
      <sheetName val="10-Year DCF"/>
      <sheetName val="Combined"/>
      <sheetName val="Switches"/>
      <sheetName val="BearSens"/>
      <sheetName val="BearSens (38)"/>
      <sheetName val="Sources &amp; Uses"/>
      <sheetName val="Combined  PF BS"/>
      <sheetName val="Amort"/>
      <sheetName val="CorpExpense"/>
      <sheetName val="LBO Summary"/>
      <sheetName val="LBO Financials"/>
      <sheetName val="LBO PF BS"/>
      <sheetName val="5-Year D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53">
          <cell r="D53">
            <v>5</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redit Stats (2)"/>
      <sheetName val="Assumptions"/>
      <sheetName val="Blend"/>
      <sheetName val="__FDSCACHE__"/>
      <sheetName val="Acc-Dil"/>
      <sheetName val="Credit Stats"/>
      <sheetName val="accdil"/>
      <sheetName val="val_matrix"/>
      <sheetName val="PrintManagerCode"/>
      <sheetName val="Shares"/>
      <sheetName val="ENDP"/>
    </sheetNames>
    <sheetDataSet>
      <sheetData sheetId="0" refreshError="1"/>
      <sheetData sheetId="1" refreshError="1">
        <row r="15">
          <cell r="C15">
            <v>0</v>
          </cell>
        </row>
        <row r="20">
          <cell r="C20">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agle"/>
      <sheetName val="VERTIGO"/>
      <sheetName val="Data"/>
      <sheetName val="Xrate"/>
      <sheetName val="Outputs"/>
      <sheetName val="Inputs"/>
      <sheetName val="Transinputs"/>
      <sheetName val="Shares"/>
      <sheetName val="Acquiror"/>
      <sheetName val="Target"/>
      <sheetName val="Calcs"/>
      <sheetName val="Summary"/>
      <sheetName val="EPS"/>
      <sheetName val="RD Sense"/>
      <sheetName val="Sense"/>
      <sheetName val="Contribute"/>
      <sheetName val="TMat"/>
      <sheetName val="PMat"/>
      <sheetName val="Majors"/>
      <sheetName val="LIQUID"/>
      <sheetName val="LESLIE"/>
      <sheetName val="Tainted"/>
      <sheetName val="Module1"/>
      <sheetName val="Matrix"/>
      <sheetName val="Graph"/>
      <sheetName val="Structure"/>
      <sheetName val="Exchange Ratio"/>
      <sheetName val="Interloper"/>
      <sheetName val="Merger Code"/>
      <sheetName val="MainPrint Code"/>
      <sheetName val="AdditionalPrint Code"/>
      <sheetName val="InitialPrintDialog"/>
      <sheetName val="MainPrint Code (2)"/>
      <sheetName val="AdditionalPrint Code (2)"/>
      <sheetName val="InitialPrintDialog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 Assump"/>
      <sheetName val="Trans Sum"/>
      <sheetName val="LBO Sum"/>
      <sheetName val="Cases"/>
      <sheetName val="Research"/>
      <sheetName val="Synergy"/>
      <sheetName val="Standalone"/>
      <sheetName val="Summary"/>
      <sheetName val="DCF Inputs"/>
      <sheetName val="DCF Matrix"/>
      <sheetName val="DCF Sens"/>
      <sheetName val="Comps"/>
      <sheetName val="Val Anal"/>
      <sheetName val="Gr Cos Sen"/>
      <sheetName val="Val Matrix"/>
      <sheetName val="Comparison"/>
      <sheetName val="Print Mod"/>
      <sheetName val="Val Mod"/>
      <sheetName val="Module1"/>
    </sheetNames>
    <sheetDataSet>
      <sheetData sheetId="0" refreshError="1">
        <row r="19">
          <cell r="C19">
            <v>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Assumptions"/>
      <sheetName val="Calcs"/>
      <sheetName val="Prem Sens2"/>
      <sheetName val="Premium Sensitivity"/>
      <sheetName val="Exchange rate"/>
      <sheetName val="Contribution"/>
      <sheetName val="Comparison"/>
      <sheetName val="Proforma Growth Matrix"/>
      <sheetName val="Proforma Price"/>
      <sheetName val="Pro-Forma Stock Price"/>
      <sheetName val="2001 Sensitivities"/>
      <sheetName val="2002 Sensitivities "/>
      <sheetName val="Old Sensitivities"/>
      <sheetName val="Output"/>
      <sheetName val="Value Impact"/>
      <sheetName val="ProForma"/>
      <sheetName val="Interloper"/>
      <sheetName val="Interloper-Cash"/>
    </sheetNames>
    <sheetDataSet>
      <sheetData sheetId="0" refreshError="1"/>
      <sheetData sheetId="1" refreshError="1">
        <row r="59">
          <cell r="AC59">
            <v>0.1</v>
          </cell>
        </row>
        <row r="60">
          <cell r="AC60">
            <v>0.1</v>
          </cell>
        </row>
        <row r="61">
          <cell r="AC61">
            <v>0.1</v>
          </cell>
        </row>
        <row r="95">
          <cell r="AA95">
            <v>75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gt;&gt;&gt;"/>
      <sheetName val="post proforma"/>
      <sheetName val="Canada"/>
      <sheetName val="summary"/>
      <sheetName val="PRESENTATION&gt;&gt;&gt;"/>
      <sheetName val="PF Adj"/>
      <sheetName val="Hist Results"/>
      <sheetName val="Quarters"/>
      <sheetName val="Retail IS Summary"/>
      <sheetName val="IS Summary"/>
      <sheetName val="Proj Results"/>
      <sheetName val="Case Summary"/>
      <sheetName val="MODEL&gt;&gt;&gt;"/>
      <sheetName val="Assump"/>
      <sheetName val="LBO"/>
      <sheetName val="Consolidated"/>
      <sheetName val="Retail"/>
      <sheetName val="Closed"/>
      <sheetName val="Franchising"/>
      <sheetName val="Manufacturing"/>
      <sheetName val="Rite Aid"/>
      <sheetName val="DS.com"/>
      <sheetName val="Corporate"/>
      <sheetName val="New Prototype"/>
      <sheetName val="Takeback Prototype"/>
      <sheetName val="Buyback Prototype"/>
      <sheetName val="Convert '04"/>
      <sheetName val="Convert '05"/>
      <sheetName val="Convert '06"/>
      <sheetName val="Convert '07"/>
      <sheetName val="Convert '08"/>
      <sheetName val="DO NOT PRINT&gt;&gt;&gt;"/>
      <sheetName val="Sell Plant"/>
      <sheetName val="New Rollup"/>
      <sheetName val="Buyback Rollup"/>
      <sheetName val="Takeback Rollup"/>
      <sheetName val="Convert Roll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6">
          <cell r="P6">
            <v>1</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arison of Assumps."/>
      <sheetName val="Assumptions"/>
      <sheetName val="Syn. Assumps."/>
      <sheetName val="Synergy Output"/>
      <sheetName val="Lazard"/>
      <sheetName val="Hist. ROIC"/>
      <sheetName val="PF Cred Stats"/>
      <sheetName val="Summary"/>
      <sheetName val="Summary - Sales"/>
      <sheetName val="PF P&amp;L"/>
      <sheetName val="PF ROIC"/>
      <sheetName val="PF BS Adj"/>
      <sheetName val="PF CF"/>
      <sheetName val="__FDSCACHE__"/>
      <sheetName val="PF BS"/>
      <sheetName val="Holl. BS"/>
      <sheetName val="Holl. CF"/>
      <sheetName val="Holl P&amp;L Output"/>
      <sheetName val="Holl. P&amp;L"/>
      <sheetName val="Holl. Cases"/>
      <sheetName val="Divestiture"/>
      <sheetName val="Div. Output"/>
      <sheetName val="Tit P&amp;L Output (Div)"/>
      <sheetName val="Titan CF"/>
      <sheetName val="Lev Recap"/>
      <sheetName val="Titan BS"/>
      <sheetName val="Div. Tit BS"/>
      <sheetName val="Tit P&amp;L Output (Old)"/>
      <sheetName val="Titan P&amp;L"/>
      <sheetName val="Titan Cases"/>
      <sheetName val="Titan Mgmt Cases"/>
      <sheetName val="Fully Diluted Share"/>
      <sheetName val="Stock Price"/>
      <sheetName val="Acc-Dil Matrix"/>
      <sheetName val="ROIC Anal."/>
      <sheetName val="Growth Anal."/>
      <sheetName val="Impl. Val."/>
      <sheetName val="Disc Val Analysis"/>
      <sheetName val="PF Ownership"/>
      <sheetName val="Contr. Output"/>
      <sheetName val="Contribution"/>
      <sheetName val="Adjustments"/>
      <sheetName val="Acq. DCF"/>
      <sheetName val="Def DCF"/>
      <sheetName val="Fluid DCF"/>
      <sheetName val="DCF Output"/>
      <sheetName val="Pension DCF"/>
      <sheetName val="S-O-P DCF"/>
      <sheetName val="MoFlo DCF"/>
      <sheetName val="Elec DCF"/>
      <sheetName val="Graveyard"/>
      <sheetName val="Credit Stats"/>
      <sheetName val="ROIC (Old)"/>
      <sheetName val="Val Matrix"/>
      <sheetName val="D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0">
          <cell r="K10">
            <v>93</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ales  graph"/>
      <sheetName val="P&amp;L Slide"/>
      <sheetName val="Productivity"/>
      <sheetName val="Pipeline &amp; Resources"/>
      <sheetName val="MLNM Buildup"/>
      <sheetName val="Inflam"/>
      <sheetName val="Metabolic"/>
      <sheetName val="Oncology"/>
      <sheetName val="SDA"/>
      <sheetName val="G2P Platform"/>
      <sheetName val="Patient Mgnt"/>
      <sheetName val="Research Mgnt"/>
      <sheetName val="Inflam SM"/>
      <sheetName val="Inflam Ab"/>
      <sheetName val="LDP-02"/>
      <sheetName val="LDP-977 oral"/>
      <sheetName val="LDP-977 inhale"/>
      <sheetName val="LDP-519"/>
      <sheetName val="CAMPATH-MS"/>
      <sheetName val="CAMPATH-Trans"/>
      <sheetName val="Onco SM"/>
      <sheetName val="Onco Ab"/>
      <sheetName val="CAMPATH-CCLFR"/>
      <sheetName val="CAMPATH-CCLFA"/>
      <sheetName val="CAMPATH-NHL"/>
      <sheetName val="LDP-341"/>
      <sheetName val="Metabolic SM"/>
      <sheetName val="pipeline2"/>
      <sheetName val="Metabolic DP"/>
      <sheetName val="Bayer"/>
      <sheetName val="SDA SM"/>
      <sheetName val="SDA Royalties"/>
      <sheetName val="CAMPATH Buildup"/>
      <sheetName val="LDP-01"/>
    </sheetNames>
    <sheetDataSet>
      <sheetData sheetId="0" refreshError="1">
        <row r="51">
          <cell r="E51" t="str">
            <v>TV</v>
          </cell>
        </row>
        <row r="52">
          <cell r="E52" t="str">
            <v>E-Lead</v>
          </cell>
        </row>
        <row r="53">
          <cell r="E53" t="str">
            <v>L-Lead</v>
          </cell>
        </row>
        <row r="54">
          <cell r="E54" t="str">
            <v>Preclin</v>
          </cell>
        </row>
        <row r="55">
          <cell r="E55" t="str">
            <v>Phase I</v>
          </cell>
        </row>
        <row r="56">
          <cell r="E56" t="str">
            <v>Phase IIa</v>
          </cell>
        </row>
        <row r="57">
          <cell r="E57" t="str">
            <v>Phase IIb</v>
          </cell>
        </row>
        <row r="58">
          <cell r="E58" t="str">
            <v>Phase III</v>
          </cell>
        </row>
        <row r="59">
          <cell r="E59" t="str">
            <v>NDA</v>
          </cell>
        </row>
        <row r="60">
          <cell r="E60" t="str">
            <v>Market</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 Exp. &amp; Eff."/>
      <sheetName val="Bach P&amp;L"/>
      <sheetName val="Chopin P&amp;L"/>
      <sheetName val="Contrib. Analysis"/>
      <sheetName val="Prices"/>
      <sheetName val="Exchange Ratio"/>
      <sheetName val="__FDSCACHE__"/>
      <sheetName val="MOE Accretion Dilution"/>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9">
          <cell r="K9" t="str">
            <v>Chopin</v>
          </cell>
        </row>
      </sheetData>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Inputs"/>
      <sheetName val="EPS Calc"/>
      <sheetName val="Merger Inputs"/>
      <sheetName val="Calc"/>
      <sheetName val="AccDilMult"/>
      <sheetName val="CreditStats"/>
      <sheetName val="TradingValtoAsbury"/>
      <sheetName val="TradingValtoGroup1"/>
      <sheetName val="AccDilPre"/>
      <sheetName val="AccDilPre POOL"/>
      <sheetName val="Output 1"/>
      <sheetName val="MINI-MERGER 2"/>
      <sheetName val="AccDilwCredi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um_macro"/>
      <sheetName val="print_macro"/>
      <sheetName val="DCFLBO Code"/>
      <sheetName val="__FDSCACHE__"/>
      <sheetName val="CasesDialog"/>
      <sheetName val="MainPrint Code"/>
      <sheetName val="AdditionalPrint Code"/>
      <sheetName val="InitialPrintDialog"/>
    </sheetNames>
    <sheetDataSet>
      <sheetData sheetId="0" refreshError="1"/>
      <sheetData sheetId="1" refreshError="1">
        <row r="63">
          <cell r="K63">
            <v>86.5</v>
          </cell>
        </row>
        <row r="64">
          <cell r="K64">
            <v>40.0625</v>
          </cell>
        </row>
        <row r="68">
          <cell r="K68">
            <v>3.1</v>
          </cell>
        </row>
        <row r="70">
          <cell r="K70">
            <v>4.4639999999999995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s>
    <sheetDataSet>
      <sheetData sheetId="0" refreshError="1">
        <row r="49">
          <cell r="AF49">
            <v>12.538055999999999</v>
          </cell>
        </row>
      </sheetData>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inputs"/>
      <sheetName val="Acquiror"/>
      <sheetName val="Target"/>
      <sheetName val="Summary"/>
      <sheetName val="Mergesum"/>
      <sheetName val="Module1"/>
      <sheetName val="Calcs"/>
      <sheetName val="Reconcile"/>
      <sheetName val="Matrix"/>
      <sheetName val="Valuation"/>
      <sheetName val="SumVal"/>
      <sheetName val="Macros"/>
      <sheetName val="Cover1"/>
      <sheetName val="Sensinput"/>
      <sheetName val="Sensmacros"/>
      <sheetName val="Sens"/>
      <sheetName val="SensII Input"/>
      <sheetName val="SensII"/>
      <sheetName val="Sensgraph"/>
      <sheetName val="Cover2"/>
      <sheetName val="Exchinput"/>
      <sheetName val="Exchmacros"/>
      <sheetName val="Sens2"/>
      <sheetName val="Sens3"/>
    </sheetNames>
    <sheetDataSet>
      <sheetData sheetId="0" refreshError="1"/>
      <sheetData sheetId="1" refreshError="1"/>
      <sheetData sheetId="2" refreshError="1">
        <row r="23">
          <cell r="P23">
            <v>135269</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 val="GWP-WLine"/>
      <sheetName val="Forward Curves"/>
      <sheetName val="Broadcast Comps"/>
      <sheetName val="UTX"/>
      <sheetName val="Data"/>
      <sheetName val="All Sum"/>
      <sheetName val="Consol_Income"/>
      <sheetName val="Financials"/>
      <sheetName val="Cash Flow-Industrial"/>
      <sheetName val="Geo"/>
      <sheetName val="DCF"/>
      <sheetName val="Annual-consolidated"/>
      <sheetName val="Qtrly Inc St"/>
      <sheetName val="Bal Sheet - Cons."/>
      <sheetName val="Bal Sheet-Industrial"/>
      <sheetName val="Cash Flow - Cons."/>
      <sheetName val="CENMODEL"/>
      <sheetName val="MultipleSecurities"/>
    </sheetNames>
    <sheetDataSet>
      <sheetData sheetId="0"/>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OC"/>
      <sheetName val="P&amp;L"/>
      <sheetName val="Waterfall"/>
      <sheetName val="Sheet2"/>
      <sheetName val="New BXLT"/>
      <sheetName val="New BAX"/>
      <sheetName val="Reconciliation"/>
      <sheetName val="New guidance"/>
      <sheetName val="BAX"/>
      <sheetName val="BioSciences"/>
      <sheetName val="Medical Products"/>
      <sheetName val="Balance Sheet"/>
      <sheetName val="Cash Flow"/>
      <sheetName val="Pro Forma P&amp;L"/>
      <sheetName val="Pro Forma Sales"/>
      <sheetName val="P&amp;L Variance"/>
      <sheetName val="Product Line Variance"/>
      <sheetName val="Guidance at a Glance"/>
      <sheetName val="Hemophilia Segment Build"/>
      <sheetName val="FEIBA Model"/>
      <sheetName val="rFIX Model"/>
      <sheetName val="rVWF Model"/>
      <sheetName val="rFVIIa Model"/>
      <sheetName val="Model Changes"/>
      <sheetName val="SOTP Comps"/>
      <sheetName val="Baxalta Waterfall"/>
      <sheetName val="Pacritinib"/>
      <sheetName val="MM-398"/>
      <sheetName val="MS vs Cons"/>
      <sheetName val="Baxter Waterfall"/>
      <sheetName val="Bull Base Base"/>
      <sheetName val="MP"/>
      <sheetName val="Med Deliv Old"/>
      <sheetName val="Spin Segment P&amp;L"/>
      <sheetName val="Vaccines Divest"/>
      <sheetName val="Sheet4"/>
      <sheetName val="Sheet1"/>
      <sheetName val="Catalysts 2015"/>
      <sheetName val="SOTP"/>
      <sheetName val="Summary Segment P&amp;L"/>
      <sheetName val="Segment Historical"/>
      <sheetName val="Spin Segment Summary"/>
      <sheetName val="Item phasing"/>
      <sheetName val="model notes 101014"/>
      <sheetName val="LRP Analysis (2)"/>
      <sheetName val="Sheet3"/>
      <sheetName val="BioScience Old"/>
      <sheetName val="Product sales estimates"/>
      <sheetName val="Gambro Financing"/>
      <sheetName val="Summary"/>
      <sheetName val="Summary 2"/>
      <sheetName val="BAX Old"/>
      <sheetName val="Pipeline"/>
      <sheetName val="Catalysts "/>
      <sheetName val="Abbrev Catalysts"/>
      <sheetName val="Notes"/>
      <sheetName val="LINKS"/>
      <sheetName val="Renal Old"/>
      <sheetName val="EPS Preview"/>
      <sheetName val="Modeling Notes and Questions"/>
      <sheetName val="Gambro"/>
      <sheetName val="Gambro 2"/>
      <sheetName val="Hemophilia"/>
      <sheetName val="EM"/>
      <sheetName val="FX"/>
      <sheetName val="2011-12"/>
      <sheetName val="Currency"/>
      <sheetName val="EM Currency"/>
      <sheetName val="MS vs Consensus"/>
      <sheetName val="LINKSBackup"/>
      <sheetName val="Thomson Consensus (Raw)"/>
      <sheetName val="2Q11 Model Notes"/>
      <sheetName val="Margin Seasonality"/>
      <sheetName val="Buyback Analysis"/>
      <sheetName val="Hikma Margins"/>
      <sheetName val="LRP Analysis"/>
      <sheetName val="IVIG Changes"/>
      <sheetName val="rVIII market"/>
      <sheetName val="BAX P&amp;L pro forma rFVIII"/>
      <sheetName val="FX by Geography"/>
      <sheetName val="DCF"/>
      <sheetName val="Reform Analysis"/>
      <sheetName val="Reform Reconciliation"/>
      <sheetName val="Colleague Recall"/>
      <sheetName val="Guidance Reconciliation"/>
      <sheetName val="IVIG Price and Corporate GMs"/>
      <sheetName val="FX and GMs"/>
      <sheetName val="ApaTech Accretion"/>
      <sheetName val="CSL SCIG"/>
      <sheetName val="CSL Results"/>
      <sheetName val="Modeling to Do"/>
      <sheetName val="Guidance Chart"/>
      <sheetName val="HHI"/>
      <sheetName val="Options"/>
      <sheetName val="Pension"/>
      <sheetName val="MW-Cache"/>
      <sheetName val="OPEB"/>
      <sheetName val="Plasma Industry GMs"/>
      <sheetName val="Octapharma Impact"/>
      <sheetName val="mwareSettings"/>
      <sheetName val="mwareDates"/>
      <sheetName val="MWA RR"/>
      <sheetName val="BioScience"/>
      <sheetName val="Med Deliv"/>
      <sheetName val="Renal"/>
      <sheetName val="Valuation"/>
      <sheetName val="Currency Geography"/>
      <sheetName val="Buyback Offset to Tax"/>
      <sheetName val="FCF Valuation"/>
      <sheetName val="Product Line Guidance"/>
      <sheetName val="Swine Flu Charts"/>
      <sheetName val="Guidance"/>
      <sheetName val="MW Valuation"/>
      <sheetName val="Margin Charts"/>
      <sheetName val="Buyback Worksheet"/>
      <sheetName val="Collections-new"/>
      <sheetName val="Pretax Margins"/>
      <sheetName val="Prodsales"/>
      <sheetName val="Variance Table"/>
      <sheetName val="Desk Preview"/>
      <sheetName val="Spin Segment Summary v2"/>
      <sheetName val="Segments"/>
      <sheetName val="Segments 2"/>
      <sheetName val="2013-14"/>
      <sheetName val="New Currency"/>
      <sheetName val="#REF"/>
      <sheetName val="IS"/>
      <sheetName val="BS"/>
      <sheetName val="CFS"/>
      <sheetName val="Debt"/>
      <sheetName val="Variance"/>
      <sheetName val="ModelChanges"/>
      <sheetName val="Preview"/>
      <sheetName val="BBB"/>
      <sheetName val="Comps"/>
      <sheetName val="PFCalcs1"/>
      <sheetName val="PFCalcs2"/>
      <sheetName val="GrossMargin"/>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refreshError="1">
        <row r="6">
          <cell r="AH6">
            <v>38442</v>
          </cell>
        </row>
        <row r="7">
          <cell r="AH7">
            <v>38625</v>
          </cell>
        </row>
        <row r="8">
          <cell r="B8" t="str">
            <v>Cash and Equivalents</v>
          </cell>
          <cell r="D8">
            <v>709</v>
          </cell>
          <cell r="F8">
            <v>606</v>
          </cell>
          <cell r="H8">
            <v>694</v>
          </cell>
          <cell r="I8">
            <v>496</v>
          </cell>
          <cell r="J8">
            <v>568</v>
          </cell>
          <cell r="K8" t="e">
            <v>#REF!</v>
          </cell>
          <cell r="M8">
            <v>723</v>
          </cell>
          <cell r="N8">
            <v>431</v>
          </cell>
          <cell r="O8">
            <v>470</v>
          </cell>
          <cell r="P8">
            <v>582</v>
          </cell>
          <cell r="R8">
            <v>522</v>
          </cell>
          <cell r="S8">
            <v>472</v>
          </cell>
          <cell r="T8">
            <v>278</v>
          </cell>
          <cell r="U8">
            <v>1169</v>
          </cell>
          <cell r="W8">
            <v>1408</v>
          </cell>
          <cell r="X8">
            <v>608</v>
          </cell>
          <cell r="Y8">
            <v>830</v>
          </cell>
          <cell r="Z8">
            <v>925</v>
          </cell>
          <cell r="AB8">
            <v>648</v>
          </cell>
          <cell r="AC8">
            <v>760</v>
          </cell>
          <cell r="AD8">
            <v>822</v>
          </cell>
          <cell r="AE8">
            <v>1109</v>
          </cell>
          <cell r="AH8">
            <v>1106</v>
          </cell>
          <cell r="AI8">
            <v>1428</v>
          </cell>
          <cell r="AJ8">
            <v>1712</v>
          </cell>
          <cell r="AK8">
            <v>841</v>
          </cell>
          <cell r="AN8">
            <v>881</v>
          </cell>
          <cell r="AO8">
            <v>1061</v>
          </cell>
          <cell r="AP8">
            <v>2067</v>
          </cell>
          <cell r="AQ8">
            <v>2485</v>
          </cell>
          <cell r="AT8">
            <v>2384</v>
          </cell>
          <cell r="AU8">
            <v>2486</v>
          </cell>
          <cell r="AV8">
            <v>1818</v>
          </cell>
          <cell r="AW8">
            <v>2539</v>
          </cell>
          <cell r="AZ8">
            <v>1736</v>
          </cell>
          <cell r="BA8">
            <v>2147</v>
          </cell>
          <cell r="BB8">
            <v>2191</v>
          </cell>
          <cell r="BC8">
            <v>2131</v>
          </cell>
          <cell r="BF8">
            <v>1703</v>
          </cell>
          <cell r="BG8">
            <v>1802</v>
          </cell>
          <cell r="BH8">
            <v>2571</v>
          </cell>
          <cell r="BI8">
            <v>2786</v>
          </cell>
          <cell r="BL8">
            <v>2203.1324715770152</v>
          </cell>
          <cell r="BM8">
            <v>2115.5882677094369</v>
          </cell>
          <cell r="BN8">
            <v>2183.7289572370833</v>
          </cell>
          <cell r="BO8">
            <v>2221.3350043870255</v>
          </cell>
          <cell r="BR8">
            <v>2258.8663529210999</v>
          </cell>
          <cell r="BS8">
            <v>2564.9789267082033</v>
          </cell>
          <cell r="BT8">
            <v>2798.5106217155358</v>
          </cell>
          <cell r="BU8">
            <v>2977.1056120745116</v>
          </cell>
          <cell r="BX8">
            <v>3114.0527576149179</v>
          </cell>
          <cell r="BY8">
            <v>3537.9519649167696</v>
          </cell>
          <cell r="BZ8">
            <v>3891.0143549861828</v>
          </cell>
          <cell r="CA8">
            <v>4203.2423469950436</v>
          </cell>
        </row>
        <row r="9">
          <cell r="AH9">
            <v>1982</v>
          </cell>
        </row>
        <row r="10">
          <cell r="AH10">
            <v>2105</v>
          </cell>
        </row>
        <row r="11">
          <cell r="AH11">
            <v>447</v>
          </cell>
        </row>
        <row r="12">
          <cell r="AH12">
            <v>690</v>
          </cell>
        </row>
        <row r="13">
          <cell r="AH13">
            <v>968</v>
          </cell>
        </row>
        <row r="14">
          <cell r="AH14">
            <v>588</v>
          </cell>
        </row>
        <row r="15">
          <cell r="AH15">
            <v>249</v>
          </cell>
        </row>
        <row r="16">
          <cell r="AH16">
            <v>5781</v>
          </cell>
        </row>
        <row r="17">
          <cell r="AH17">
            <v>4310</v>
          </cell>
        </row>
        <row r="18">
          <cell r="AH18">
            <v>-3684</v>
          </cell>
        </row>
        <row r="19">
          <cell r="AH19">
            <v>2153</v>
          </cell>
        </row>
        <row r="20">
          <cell r="AH20">
            <v>1617</v>
          </cell>
        </row>
        <row r="21">
          <cell r="AH21">
            <v>536</v>
          </cell>
        </row>
        <row r="22">
          <cell r="AH22">
            <v>-385</v>
          </cell>
        </row>
        <row r="23">
          <cell r="AH23">
            <v>1564</v>
          </cell>
        </row>
        <row r="24">
          <cell r="AH24">
            <v>13808</v>
          </cell>
        </row>
        <row r="25">
          <cell r="AH25">
            <v>1531</v>
          </cell>
        </row>
        <row r="26">
          <cell r="AH26">
            <v>13783</v>
          </cell>
        </row>
        <row r="27">
          <cell r="AH27">
            <v>550</v>
          </cell>
        </row>
        <row r="28">
          <cell r="AH28">
            <v>1027</v>
          </cell>
        </row>
        <row r="29">
          <cell r="AH29">
            <v>2701</v>
          </cell>
        </row>
        <row r="30">
          <cell r="AH30">
            <v>417</v>
          </cell>
        </row>
        <row r="31">
          <cell r="AH31">
            <v>4695</v>
          </cell>
        </row>
        <row r="32">
          <cell r="AH32">
            <v>502</v>
          </cell>
        </row>
        <row r="33">
          <cell r="AH33">
            <v>3022</v>
          </cell>
        </row>
        <row r="34">
          <cell r="AH34">
            <v>0</v>
          </cell>
        </row>
        <row r="35">
          <cell r="AH35">
            <v>0</v>
          </cell>
        </row>
        <row r="36">
          <cell r="B36" t="str">
            <v>Other LT Liabilities</v>
          </cell>
          <cell r="C36">
            <v>461</v>
          </cell>
          <cell r="D36">
            <v>400</v>
          </cell>
          <cell r="E36">
            <v>311</v>
          </cell>
          <cell r="F36">
            <v>411</v>
          </cell>
          <cell r="G36">
            <v>330</v>
          </cell>
          <cell r="H36">
            <v>617</v>
          </cell>
          <cell r="I36">
            <v>615</v>
          </cell>
          <cell r="J36">
            <v>615</v>
          </cell>
          <cell r="K36">
            <v>632</v>
          </cell>
          <cell r="L36">
            <v>214</v>
          </cell>
          <cell r="M36">
            <v>695</v>
          </cell>
          <cell r="N36">
            <v>700</v>
          </cell>
          <cell r="O36">
            <v>714</v>
          </cell>
          <cell r="P36">
            <v>448</v>
          </cell>
          <cell r="Q36">
            <v>201</v>
          </cell>
          <cell r="R36">
            <v>496</v>
          </cell>
          <cell r="S36">
            <v>482</v>
          </cell>
          <cell r="T36">
            <v>488</v>
          </cell>
          <cell r="U36">
            <v>1280</v>
          </cell>
          <cell r="V36">
            <v>0</v>
          </cell>
          <cell r="W36">
            <v>1249</v>
          </cell>
          <cell r="X36">
            <v>1999</v>
          </cell>
          <cell r="Y36">
            <v>1738</v>
          </cell>
          <cell r="Z36">
            <v>2206</v>
          </cell>
          <cell r="AA36">
            <v>0</v>
          </cell>
          <cell r="AB36">
            <v>2289</v>
          </cell>
          <cell r="AC36">
            <v>2299</v>
          </cell>
          <cell r="AD36">
            <v>2046</v>
          </cell>
          <cell r="AE36">
            <v>2223</v>
          </cell>
          <cell r="AF36">
            <v>0</v>
          </cell>
          <cell r="AG36">
            <v>0</v>
          </cell>
          <cell r="AH36">
            <v>2081</v>
          </cell>
          <cell r="AI36">
            <v>2016</v>
          </cell>
          <cell r="AJ36">
            <v>2128</v>
          </cell>
          <cell r="AK36">
            <v>1849</v>
          </cell>
          <cell r="AL36">
            <v>0</v>
          </cell>
          <cell r="AM36">
            <v>0</v>
          </cell>
          <cell r="AN36">
            <v>1832</v>
          </cell>
          <cell r="AO36">
            <v>1937</v>
          </cell>
          <cell r="AP36">
            <v>1944</v>
          </cell>
          <cell r="AQ36">
            <v>2237</v>
          </cell>
          <cell r="AR36">
            <v>0</v>
          </cell>
          <cell r="AS36">
            <v>0</v>
          </cell>
          <cell r="AT36">
            <v>2131</v>
          </cell>
          <cell r="AU36">
            <v>2127</v>
          </cell>
          <cell r="AV36">
            <v>2142</v>
          </cell>
          <cell r="AW36">
            <v>1902</v>
          </cell>
          <cell r="AX36">
            <v>0</v>
          </cell>
          <cell r="AY36">
            <v>0</v>
          </cell>
          <cell r="AZ36">
            <v>2008</v>
          </cell>
          <cell r="BA36">
            <v>1686</v>
          </cell>
          <cell r="BB36">
            <v>1641</v>
          </cell>
          <cell r="BC36">
            <v>2179</v>
          </cell>
          <cell r="BD36">
            <v>0</v>
          </cell>
          <cell r="BE36">
            <v>0</v>
          </cell>
          <cell r="BF36">
            <v>1998</v>
          </cell>
          <cell r="BG36">
            <v>1981</v>
          </cell>
          <cell r="BH36">
            <v>2039</v>
          </cell>
          <cell r="BI36">
            <v>2030</v>
          </cell>
          <cell r="BJ36">
            <v>0</v>
          </cell>
          <cell r="BK36">
            <v>0</v>
          </cell>
          <cell r="BL36">
            <v>1578.5814360770578</v>
          </cell>
          <cell r="BM36">
            <v>1670.569586220571</v>
          </cell>
          <cell r="BN36">
            <v>1708.0087252421076</v>
          </cell>
          <cell r="BO36">
            <v>1869.3483375112569</v>
          </cell>
          <cell r="BP36">
            <v>0</v>
          </cell>
          <cell r="BQ36">
            <v>0</v>
          </cell>
          <cell r="BR36">
            <v>1841.2975250297529</v>
          </cell>
          <cell r="BS36">
            <v>1989.9729229462646</v>
          </cell>
          <cell r="BT36">
            <v>2017.7905376142542</v>
          </cell>
          <cell r="BU36">
            <v>2187.3499691017018</v>
          </cell>
          <cell r="BV36">
            <v>0</v>
          </cell>
          <cell r="BW36">
            <v>0</v>
          </cell>
          <cell r="BX36">
            <v>2165.032731613036</v>
          </cell>
          <cell r="BY36">
            <v>2329.6533877337702</v>
          </cell>
          <cell r="BZ36">
            <v>2351.6964473158505</v>
          </cell>
          <cell r="CA36">
            <v>2539.9532765022932</v>
          </cell>
        </row>
        <row r="37">
          <cell r="AH37">
            <v>9798</v>
          </cell>
        </row>
        <row r="38">
          <cell r="AH38">
            <v>2128</v>
          </cell>
        </row>
        <row r="39">
          <cell r="AH39">
            <v>648</v>
          </cell>
        </row>
        <row r="40">
          <cell r="AH40">
            <v>-1405</v>
          </cell>
        </row>
        <row r="41">
          <cell r="AH41">
            <v>3549</v>
          </cell>
        </row>
        <row r="42">
          <cell r="AH42">
            <v>2485</v>
          </cell>
        </row>
        <row r="43">
          <cell r="AH43">
            <v>-1267</v>
          </cell>
        </row>
        <row r="44">
          <cell r="AH44">
            <v>4010</v>
          </cell>
        </row>
        <row r="45">
          <cell r="AH45">
            <v>0</v>
          </cell>
        </row>
        <row r="46">
          <cell r="AH46">
            <v>4376</v>
          </cell>
        </row>
        <row r="47">
          <cell r="B47" t="str">
            <v>Total Liabilities &amp; Shareholders' Equity</v>
          </cell>
          <cell r="D47" t="e">
            <v>#REF!</v>
          </cell>
          <cell r="F47" t="e">
            <v>#REF!</v>
          </cell>
          <cell r="H47" t="e">
            <v>#REF!</v>
          </cell>
          <cell r="I47" t="e">
            <v>#REF!</v>
          </cell>
          <cell r="J47" t="e">
            <v>#REF!</v>
          </cell>
          <cell r="K47" t="e">
            <v>#REF!</v>
          </cell>
          <cell r="M47" t="e">
            <v>#REF!</v>
          </cell>
          <cell r="N47" t="e">
            <v>#REF!</v>
          </cell>
          <cell r="O47" t="e">
            <v>#REF!</v>
          </cell>
          <cell r="P47" t="e">
            <v>#REF!</v>
          </cell>
          <cell r="R47" t="e">
            <v>#REF!</v>
          </cell>
          <cell r="S47" t="e">
            <v>#REF!</v>
          </cell>
          <cell r="T47" t="e">
            <v>#REF!</v>
          </cell>
          <cell r="U47" t="e">
            <v>#REF!</v>
          </cell>
          <cell r="W47" t="e">
            <v>#REF!</v>
          </cell>
          <cell r="X47" t="e">
            <v>#REF!</v>
          </cell>
          <cell r="Y47" t="e">
            <v>#REF!</v>
          </cell>
          <cell r="Z47" t="e">
            <v>#REF!</v>
          </cell>
          <cell r="AB47" t="e">
            <v>#REF!</v>
          </cell>
          <cell r="AC47" t="e">
            <v>#REF!</v>
          </cell>
          <cell r="AD47" t="e">
            <v>#REF!</v>
          </cell>
          <cell r="AE47" t="e">
            <v>#REF!</v>
          </cell>
          <cell r="AF47">
            <v>0</v>
          </cell>
          <cell r="AH47">
            <v>13808</v>
          </cell>
          <cell r="AI47">
            <v>13626</v>
          </cell>
          <cell r="AJ47">
            <v>13783</v>
          </cell>
          <cell r="AK47">
            <v>12727</v>
          </cell>
          <cell r="AN47">
            <v>12780</v>
          </cell>
          <cell r="AO47">
            <v>13007</v>
          </cell>
          <cell r="AP47">
            <v>13931</v>
          </cell>
          <cell r="AQ47">
            <v>14686</v>
          </cell>
          <cell r="AT47">
            <v>14483</v>
          </cell>
          <cell r="AU47">
            <v>14659</v>
          </cell>
          <cell r="AV47">
            <v>14147</v>
          </cell>
          <cell r="AW47">
            <v>15294</v>
          </cell>
          <cell r="AZ47">
            <v>14972</v>
          </cell>
          <cell r="BA47">
            <v>15470</v>
          </cell>
          <cell r="BB47">
            <v>15209</v>
          </cell>
          <cell r="BC47">
            <v>15405</v>
          </cell>
          <cell r="BD47">
            <v>59</v>
          </cell>
          <cell r="BE47">
            <v>222</v>
          </cell>
          <cell r="BF47">
            <v>14953</v>
          </cell>
          <cell r="BG47">
            <v>15743</v>
          </cell>
          <cell r="BH47">
            <v>16954</v>
          </cell>
          <cell r="BI47">
            <v>17354</v>
          </cell>
          <cell r="BJ47">
            <v>230</v>
          </cell>
          <cell r="BK47">
            <v>236</v>
          </cell>
          <cell r="BL47">
            <v>16742.027131967465</v>
          </cell>
          <cell r="BM47">
            <v>16403.410375920059</v>
          </cell>
          <cell r="BN47">
            <v>16638.101655836064</v>
          </cell>
          <cell r="BO47">
            <v>17025.475494854938</v>
          </cell>
          <cell r="BP47">
            <v>237</v>
          </cell>
          <cell r="BQ47">
            <v>247</v>
          </cell>
          <cell r="BR47">
            <v>17303.972720073307</v>
          </cell>
          <cell r="BS47">
            <v>17578.770160350105</v>
          </cell>
          <cell r="BT47">
            <v>17945.336004727251</v>
          </cell>
          <cell r="BU47">
            <v>18515.120006178458</v>
          </cell>
          <cell r="BV47">
            <v>238</v>
          </cell>
          <cell r="BW47">
            <v>238</v>
          </cell>
          <cell r="BX47">
            <v>18871.453948687617</v>
          </cell>
          <cell r="BY47">
            <v>19265.299342125301</v>
          </cell>
          <cell r="BZ47">
            <v>19735.639160976152</v>
          </cell>
          <cell r="CA47">
            <v>20439.77430159802</v>
          </cell>
        </row>
        <row r="48">
          <cell r="AH48">
            <v>0</v>
          </cell>
        </row>
        <row r="49">
          <cell r="AH49">
            <v>13783</v>
          </cell>
        </row>
        <row r="50">
          <cell r="AH50">
            <v>0</v>
          </cell>
        </row>
        <row r="52">
          <cell r="AH52">
            <v>1.2313099041533546</v>
          </cell>
        </row>
        <row r="53">
          <cell r="AH53">
            <v>0.78296059637912674</v>
          </cell>
        </row>
        <row r="54">
          <cell r="AH54">
            <v>0.23556975505857294</v>
          </cell>
        </row>
        <row r="55">
          <cell r="AH55">
            <v>2650</v>
          </cell>
        </row>
        <row r="56">
          <cell r="AH56">
            <v>-4.193037974683544</v>
          </cell>
        </row>
        <row r="59">
          <cell r="AH59">
            <v>0.27594875378523182</v>
          </cell>
        </row>
        <row r="60">
          <cell r="AH60">
            <v>0.40573818097339992</v>
          </cell>
        </row>
        <row r="61">
          <cell r="AH61">
            <v>0.3330677867902665</v>
          </cell>
        </row>
        <row r="64">
          <cell r="AH64">
            <v>0.22907586779001943</v>
          </cell>
        </row>
        <row r="65">
          <cell r="AH65">
            <v>0.15285593495934957</v>
          </cell>
        </row>
        <row r="66">
          <cell r="AH66">
            <v>8.9124055732751395E-2</v>
          </cell>
        </row>
        <row r="67">
          <cell r="AH67" t="str">
            <v>NA</v>
          </cell>
        </row>
        <row r="69">
          <cell r="AH69">
            <v>75.894880402853545</v>
          </cell>
        </row>
        <row r="70">
          <cell r="AH70">
            <v>201.21463932107494</v>
          </cell>
        </row>
        <row r="71">
          <cell r="AH71">
            <v>135.84246817538897</v>
          </cell>
        </row>
        <row r="72">
          <cell r="AH72">
            <v>1.6488496799861616</v>
          </cell>
        </row>
        <row r="73">
          <cell r="AH73">
            <v>0.96722079138375083</v>
          </cell>
        </row>
        <row r="74">
          <cell r="AH74">
            <v>2383</v>
          </cell>
        </row>
        <row r="75">
          <cell r="AH75">
            <v>9291</v>
          </cell>
        </row>
        <row r="76">
          <cell r="AH76">
            <v>1414</v>
          </cell>
        </row>
        <row r="77">
          <cell r="AH77">
            <v>5482</v>
          </cell>
        </row>
        <row r="78">
          <cell r="AH78">
            <v>353</v>
          </cell>
        </row>
        <row r="79">
          <cell r="AH79">
            <v>1399</v>
          </cell>
        </row>
        <row r="80">
          <cell r="AH80">
            <v>0.248</v>
          </cell>
        </row>
        <row r="81">
          <cell r="AH81">
            <v>265.45600000000002</v>
          </cell>
        </row>
        <row r="82">
          <cell r="AH82">
            <v>1050.4497546012269</v>
          </cell>
        </row>
        <row r="83">
          <cell r="AH83">
            <v>500</v>
          </cell>
        </row>
        <row r="85">
          <cell r="AH85">
            <v>-41</v>
          </cell>
        </row>
        <row r="87">
          <cell r="AH87">
            <v>220.91503999999998</v>
          </cell>
        </row>
        <row r="88">
          <cell r="AH88">
            <v>0.30327306019684136</v>
          </cell>
        </row>
        <row r="89">
          <cell r="AH89">
            <v>5781</v>
          </cell>
        </row>
        <row r="90">
          <cell r="AH90">
            <v>3857.5</v>
          </cell>
        </row>
        <row r="91">
          <cell r="AH91">
            <v>2398</v>
          </cell>
        </row>
        <row r="92">
          <cell r="AH92">
            <v>3493</v>
          </cell>
        </row>
        <row r="93">
          <cell r="AH93">
            <v>1577</v>
          </cell>
        </row>
        <row r="94">
          <cell r="AH94">
            <v>3022</v>
          </cell>
        </row>
        <row r="95">
          <cell r="AH95">
            <v>4599</v>
          </cell>
        </row>
        <row r="96">
          <cell r="AH96">
            <v>8609</v>
          </cell>
        </row>
        <row r="97">
          <cell r="AH97">
            <v>11914</v>
          </cell>
        </row>
        <row r="98">
          <cell r="AH98">
            <v>328.71600000000001</v>
          </cell>
        </row>
        <row r="99">
          <cell r="AH99">
            <v>1232.0956493506494</v>
          </cell>
        </row>
        <row r="100">
          <cell r="AH100">
            <v>559</v>
          </cell>
        </row>
        <row r="101">
          <cell r="AH101">
            <v>1647</v>
          </cell>
        </row>
        <row r="102">
          <cell r="AH102">
            <v>-43</v>
          </cell>
        </row>
        <row r="103">
          <cell r="AH103">
            <v>65</v>
          </cell>
        </row>
        <row r="104">
          <cell r="AH104">
            <v>-133</v>
          </cell>
        </row>
        <row r="105">
          <cell r="AH105">
            <v>1644</v>
          </cell>
        </row>
        <row r="106">
          <cell r="AH106">
            <v>7994</v>
          </cell>
        </row>
        <row r="107">
          <cell r="AH107">
            <v>-3684</v>
          </cell>
        </row>
        <row r="108">
          <cell r="AH108">
            <v>4310</v>
          </cell>
        </row>
        <row r="109">
          <cell r="AH109">
            <v>1354</v>
          </cell>
        </row>
        <row r="110">
          <cell r="AH110">
            <v>15.026315789473685</v>
          </cell>
        </row>
        <row r="111">
          <cell r="AH111">
            <v>27.699248120300751</v>
          </cell>
        </row>
        <row r="112">
          <cell r="AH112">
            <v>0.46084563422566927</v>
          </cell>
        </row>
        <row r="113">
          <cell r="AH113">
            <v>296.16200000000003</v>
          </cell>
        </row>
        <row r="114">
          <cell r="AH114">
            <v>7831</v>
          </cell>
        </row>
        <row r="115">
          <cell r="AH115">
            <v>-3674</v>
          </cell>
        </row>
        <row r="116">
          <cell r="AH116">
            <v>4157</v>
          </cell>
        </row>
        <row r="118">
          <cell r="AH118">
            <v>0</v>
          </cell>
        </row>
        <row r="119">
          <cell r="AH119">
            <v>-14</v>
          </cell>
        </row>
        <row r="120">
          <cell r="AH120">
            <v>8738</v>
          </cell>
        </row>
        <row r="121">
          <cell r="AH121">
            <v>921</v>
          </cell>
        </row>
        <row r="122">
          <cell r="AH122">
            <v>-385</v>
          </cell>
        </row>
        <row r="123">
          <cell r="AH123">
            <v>536</v>
          </cell>
        </row>
        <row r="124">
          <cell r="AH124">
            <v>-3674</v>
          </cell>
        </row>
        <row r="125">
          <cell r="AH125">
            <v>14.988549618320612</v>
          </cell>
        </row>
        <row r="126">
          <cell r="AH126">
            <v>7.1374045801526718</v>
          </cell>
        </row>
        <row r="127">
          <cell r="AH127">
            <v>0.47619047619047616</v>
          </cell>
        </row>
        <row r="128">
          <cell r="AH128">
            <v>-131</v>
          </cell>
        </row>
        <row r="129">
          <cell r="AH129">
            <v>889</v>
          </cell>
        </row>
        <row r="130">
          <cell r="AH130">
            <v>-387</v>
          </cell>
        </row>
        <row r="131">
          <cell r="AH131">
            <v>502</v>
          </cell>
        </row>
        <row r="132">
          <cell r="AH132">
            <v>4114</v>
          </cell>
        </row>
        <row r="133">
          <cell r="AH133">
            <v>0</v>
          </cell>
        </row>
        <row r="134">
          <cell r="AH134">
            <v>-14</v>
          </cell>
        </row>
        <row r="135">
          <cell r="AH135">
            <v>7.1374045801526718</v>
          </cell>
        </row>
        <row r="136">
          <cell r="AH136">
            <v>899</v>
          </cell>
        </row>
        <row r="137">
          <cell r="AH137">
            <v>-400</v>
          </cell>
        </row>
        <row r="138">
          <cell r="AH138">
            <v>499</v>
          </cell>
        </row>
        <row r="139">
          <cell r="AH139">
            <v>-387</v>
          </cell>
        </row>
        <row r="140">
          <cell r="AH140">
            <v>15.875</v>
          </cell>
        </row>
        <row r="142">
          <cell r="AH142">
            <v>0</v>
          </cell>
        </row>
        <row r="143">
          <cell r="AH143">
            <v>-14</v>
          </cell>
        </row>
        <row r="145">
          <cell r="AH145">
            <v>899</v>
          </cell>
        </row>
        <row r="146">
          <cell r="AH146">
            <v>-400</v>
          </cell>
        </row>
        <row r="147">
          <cell r="AH147">
            <v>499</v>
          </cell>
        </row>
        <row r="149">
          <cell r="AH149">
            <v>15.875</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refreshError="1"/>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sheetData sheetId="128"/>
      <sheetData sheetId="129"/>
      <sheetData sheetId="130"/>
      <sheetData sheetId="131"/>
      <sheetData sheetId="132"/>
      <sheetData sheetId="133"/>
      <sheetData sheetId="134"/>
      <sheetData sheetId="135"/>
      <sheetData sheetId="136"/>
      <sheetData sheetId="137"/>
      <sheetData sheetId="138"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Data1"/>
      <sheetName val="Data2"/>
      <sheetName val="Custom Indices"/>
      <sheetName val="MW-Cache"/>
      <sheetName val="Multiples"/>
      <sheetName val="Multiples (2)"/>
      <sheetName val="LST Perf"/>
      <sheetName val="3yr"/>
      <sheetName val="Charts01"/>
      <sheetName val="LST Charts"/>
      <sheetName val="Mth &amp; Yr Perf"/>
    </sheetNames>
    <sheetDataSet>
      <sheetData sheetId="0"/>
      <sheetData sheetId="1"/>
      <sheetData sheetId="2"/>
      <sheetData sheetId="3"/>
      <sheetData sheetId="4"/>
      <sheetData sheetId="5">
        <row r="11">
          <cell r="BF11" t="str">
            <v>Abs NTM P/E</v>
          </cell>
        </row>
      </sheetData>
      <sheetData sheetId="6">
        <row r="11">
          <cell r="AF11" t="str">
            <v>Abs NTM P/E</v>
          </cell>
          <cell r="BF11" t="str">
            <v>Abs NTM P/E</v>
          </cell>
          <cell r="BG11" t="str">
            <v>3 Yr Avg</v>
          </cell>
          <cell r="BH11" t="str">
            <v>10 Yr Avg</v>
          </cell>
          <cell r="BI11" t="str">
            <v>StdDev1</v>
          </cell>
          <cell r="BJ11" t="str">
            <v>StdDev2</v>
          </cell>
          <cell r="BU11" t="str">
            <v>Abs NTM EV/EBITDA</v>
          </cell>
          <cell r="BV11" t="str">
            <v>3 Yr Avg</v>
          </cell>
          <cell r="BW11" t="str">
            <v>10 Yr Avg</v>
          </cell>
          <cell r="BX11" t="str">
            <v>StdDev1</v>
          </cell>
          <cell r="BY11" t="str">
            <v>StdDev2</v>
          </cell>
        </row>
        <row r="12">
          <cell r="A12">
            <v>39454</v>
          </cell>
          <cell r="BF12">
            <v>19.432533836530279</v>
          </cell>
          <cell r="BG12">
            <v>17.429620749261797</v>
          </cell>
          <cell r="BH12">
            <v>16.109902701379674</v>
          </cell>
          <cell r="BI12">
            <v>13.839355674417275</v>
          </cell>
          <cell r="BJ12">
            <v>18.380449728342072</v>
          </cell>
          <cell r="BU12">
            <v>12.252047609796231</v>
          </cell>
          <cell r="BV12">
            <v>11.522967903511651</v>
          </cell>
          <cell r="BW12">
            <v>10.055977276238897</v>
          </cell>
          <cell r="BX12">
            <v>8.6149332270911767</v>
          </cell>
          <cell r="BY12">
            <v>11.497021325386617</v>
          </cell>
        </row>
        <row r="13">
          <cell r="A13">
            <v>39455</v>
          </cell>
          <cell r="BF13">
            <v>19.555016344671557</v>
          </cell>
          <cell r="BG13">
            <v>17.429620749261797</v>
          </cell>
          <cell r="BH13">
            <v>16.109902701379674</v>
          </cell>
          <cell r="BI13">
            <v>13.839355674417275</v>
          </cell>
          <cell r="BJ13">
            <v>18.380449728342072</v>
          </cell>
          <cell r="BU13">
            <v>12.328987068879686</v>
          </cell>
          <cell r="BV13">
            <v>11.522967903511651</v>
          </cell>
          <cell r="BW13">
            <v>10.055977276238897</v>
          </cell>
          <cell r="BX13">
            <v>8.6149332270911767</v>
          </cell>
          <cell r="BY13">
            <v>11.497021325386617</v>
          </cell>
        </row>
        <row r="14">
          <cell r="A14">
            <v>39456</v>
          </cell>
          <cell r="BF14">
            <v>19.437864071639677</v>
          </cell>
          <cell r="BG14">
            <v>17.429620749261797</v>
          </cell>
          <cell r="BH14">
            <v>16.109902701379674</v>
          </cell>
          <cell r="BI14">
            <v>13.839355674417275</v>
          </cell>
          <cell r="BJ14">
            <v>18.380449728342072</v>
          </cell>
          <cell r="BU14">
            <v>12.255395887132547</v>
          </cell>
          <cell r="BV14">
            <v>11.522967903511651</v>
          </cell>
          <cell r="BW14">
            <v>10.055977276238897</v>
          </cell>
          <cell r="BX14">
            <v>8.6149332270911767</v>
          </cell>
          <cell r="BY14">
            <v>11.497021325386617</v>
          </cell>
        </row>
        <row r="15">
          <cell r="A15">
            <v>39457</v>
          </cell>
          <cell r="BF15">
            <v>19.475138439309983</v>
          </cell>
          <cell r="BG15">
            <v>17.429620749261797</v>
          </cell>
          <cell r="BH15">
            <v>16.109902701379674</v>
          </cell>
          <cell r="BI15">
            <v>13.839355674417275</v>
          </cell>
          <cell r="BJ15">
            <v>18.380449728342072</v>
          </cell>
          <cell r="BU15">
            <v>12.278810411620592</v>
          </cell>
          <cell r="BV15">
            <v>11.522967903511651</v>
          </cell>
          <cell r="BW15">
            <v>10.055977276238897</v>
          </cell>
          <cell r="BX15">
            <v>8.6149332270911767</v>
          </cell>
          <cell r="BY15">
            <v>11.497021325386617</v>
          </cell>
        </row>
        <row r="16">
          <cell r="A16">
            <v>39458</v>
          </cell>
          <cell r="BF16">
            <v>18.745554986523956</v>
          </cell>
          <cell r="BG16">
            <v>17.429620749261797</v>
          </cell>
          <cell r="BH16">
            <v>16.109902701379674</v>
          </cell>
          <cell r="BI16">
            <v>13.839355674417275</v>
          </cell>
          <cell r="BJ16">
            <v>18.380449728342072</v>
          </cell>
          <cell r="BU16">
            <v>11.820510226023087</v>
          </cell>
          <cell r="BV16">
            <v>11.522967903511651</v>
          </cell>
          <cell r="BW16">
            <v>10.055977276238897</v>
          </cell>
          <cell r="BX16">
            <v>8.6149332270911767</v>
          </cell>
          <cell r="BY16">
            <v>11.497021325386617</v>
          </cell>
        </row>
        <row r="17">
          <cell r="A17">
            <v>39461</v>
          </cell>
          <cell r="BF17">
            <v>18.609046402660894</v>
          </cell>
          <cell r="BG17">
            <v>17.429620749261797</v>
          </cell>
          <cell r="BH17">
            <v>16.109902701379674</v>
          </cell>
          <cell r="BI17">
            <v>13.839355674417275</v>
          </cell>
          <cell r="BJ17">
            <v>18.380449728342072</v>
          </cell>
          <cell r="BU17">
            <v>10.886629325268887</v>
          </cell>
          <cell r="BV17">
            <v>11.522967903511651</v>
          </cell>
          <cell r="BW17">
            <v>10.055977276238897</v>
          </cell>
          <cell r="BX17">
            <v>8.6149332270911767</v>
          </cell>
          <cell r="BY17">
            <v>11.497021325386617</v>
          </cell>
        </row>
        <row r="18">
          <cell r="A18">
            <v>39462</v>
          </cell>
          <cell r="BF18">
            <v>18.714508405669253</v>
          </cell>
          <cell r="BG18">
            <v>17.429620749261797</v>
          </cell>
          <cell r="BH18">
            <v>16.109902701379674</v>
          </cell>
          <cell r="BI18">
            <v>13.839355674417275</v>
          </cell>
          <cell r="BJ18">
            <v>18.380449728342072</v>
          </cell>
          <cell r="BU18">
            <v>10.948072358155352</v>
          </cell>
          <cell r="BV18">
            <v>11.522967903511651</v>
          </cell>
          <cell r="BW18">
            <v>10.055977276238897</v>
          </cell>
          <cell r="BX18">
            <v>8.6149332270911767</v>
          </cell>
          <cell r="BY18">
            <v>11.497021325386617</v>
          </cell>
        </row>
        <row r="19">
          <cell r="A19">
            <v>39463</v>
          </cell>
          <cell r="BF19">
            <v>18.835788891786081</v>
          </cell>
          <cell r="BG19">
            <v>17.429620749261797</v>
          </cell>
          <cell r="BH19">
            <v>16.109902701379674</v>
          </cell>
          <cell r="BI19">
            <v>13.839355674417275</v>
          </cell>
          <cell r="BJ19">
            <v>18.380449728342072</v>
          </cell>
          <cell r="BU19">
            <v>11.01873136978414</v>
          </cell>
          <cell r="BV19">
            <v>11.522967903511651</v>
          </cell>
          <cell r="BW19">
            <v>10.055977276238897</v>
          </cell>
          <cell r="BX19">
            <v>8.6149332270911767</v>
          </cell>
          <cell r="BY19">
            <v>11.497021325386617</v>
          </cell>
        </row>
        <row r="20">
          <cell r="A20">
            <v>39464</v>
          </cell>
          <cell r="BF20">
            <v>18.234646984819847</v>
          </cell>
          <cell r="BG20">
            <v>17.429620749261797</v>
          </cell>
          <cell r="BH20">
            <v>16.109902701379674</v>
          </cell>
          <cell r="BI20">
            <v>13.839355674417275</v>
          </cell>
          <cell r="BJ20">
            <v>18.380449728342072</v>
          </cell>
          <cell r="BU20">
            <v>10.66850113609294</v>
          </cell>
          <cell r="BV20">
            <v>11.522967903511651</v>
          </cell>
          <cell r="BW20">
            <v>10.055977276238897</v>
          </cell>
          <cell r="BX20">
            <v>8.6149332270911767</v>
          </cell>
          <cell r="BY20">
            <v>11.497021325386617</v>
          </cell>
        </row>
        <row r="21">
          <cell r="A21">
            <v>39465</v>
          </cell>
          <cell r="BF21">
            <v>17.760064016397795</v>
          </cell>
          <cell r="BG21">
            <v>17.429620749261797</v>
          </cell>
          <cell r="BH21">
            <v>16.109902701379674</v>
          </cell>
          <cell r="BI21">
            <v>13.839355674417275</v>
          </cell>
          <cell r="BJ21">
            <v>18.380449728342072</v>
          </cell>
          <cell r="BU21">
            <v>10.392005183955547</v>
          </cell>
          <cell r="BV21">
            <v>11.522967903511651</v>
          </cell>
          <cell r="BW21">
            <v>10.055977276238897</v>
          </cell>
          <cell r="BX21">
            <v>8.6149332270911767</v>
          </cell>
          <cell r="BY21">
            <v>11.497021325386617</v>
          </cell>
        </row>
        <row r="22">
          <cell r="A22">
            <v>39468</v>
          </cell>
          <cell r="BF22">
            <v>17.854977551638243</v>
          </cell>
          <cell r="BG22">
            <v>17.429620749261797</v>
          </cell>
          <cell r="BH22">
            <v>16.109902701379674</v>
          </cell>
          <cell r="BI22">
            <v>13.839355674417275</v>
          </cell>
          <cell r="BJ22">
            <v>18.380449728342072</v>
          </cell>
          <cell r="BU22">
            <v>10.43762995611786</v>
          </cell>
          <cell r="BV22">
            <v>11.522967903511651</v>
          </cell>
          <cell r="BW22">
            <v>10.055977276238897</v>
          </cell>
          <cell r="BX22">
            <v>8.6149332270911767</v>
          </cell>
          <cell r="BY22">
            <v>11.497021325386617</v>
          </cell>
        </row>
        <row r="23">
          <cell r="A23">
            <v>39469</v>
          </cell>
          <cell r="BF23">
            <v>18.297930408976377</v>
          </cell>
          <cell r="BG23">
            <v>17.429620749261797</v>
          </cell>
          <cell r="BH23">
            <v>16.109902701379674</v>
          </cell>
          <cell r="BI23">
            <v>13.839355674417275</v>
          </cell>
          <cell r="BJ23">
            <v>18.380449728342072</v>
          </cell>
          <cell r="BU23">
            <v>10.695459012348747</v>
          </cell>
          <cell r="BV23">
            <v>11.522967903511651</v>
          </cell>
          <cell r="BW23">
            <v>10.055977276238897</v>
          </cell>
          <cell r="BX23">
            <v>8.6149332270911767</v>
          </cell>
          <cell r="BY23">
            <v>11.497021325386617</v>
          </cell>
        </row>
        <row r="24">
          <cell r="A24">
            <v>39470</v>
          </cell>
          <cell r="BF24">
            <v>18.407069490973129</v>
          </cell>
          <cell r="BG24">
            <v>17.429620749261797</v>
          </cell>
          <cell r="BH24">
            <v>16.109902701379674</v>
          </cell>
          <cell r="BI24">
            <v>13.839355674417275</v>
          </cell>
          <cell r="BJ24">
            <v>18.380449728342072</v>
          </cell>
          <cell r="BU24">
            <v>10.759912976851636</v>
          </cell>
          <cell r="BV24">
            <v>11.522967903511651</v>
          </cell>
          <cell r="BW24">
            <v>10.055977276238897</v>
          </cell>
          <cell r="BX24">
            <v>8.6149332270911767</v>
          </cell>
          <cell r="BY24">
            <v>11.497021325386617</v>
          </cell>
        </row>
        <row r="25">
          <cell r="A25">
            <v>39471</v>
          </cell>
          <cell r="BF25">
            <v>18.433434686784476</v>
          </cell>
          <cell r="BG25">
            <v>17.429620749261797</v>
          </cell>
          <cell r="BH25">
            <v>16.109902701379674</v>
          </cell>
          <cell r="BI25">
            <v>13.839355674417275</v>
          </cell>
          <cell r="BJ25">
            <v>18.380449728342072</v>
          </cell>
          <cell r="BU25">
            <v>10.775260664320861</v>
          </cell>
          <cell r="BV25">
            <v>11.522967903511651</v>
          </cell>
          <cell r="BW25">
            <v>10.055977276238897</v>
          </cell>
          <cell r="BX25">
            <v>8.6149332270911767</v>
          </cell>
          <cell r="BY25">
            <v>11.497021325386617</v>
          </cell>
        </row>
        <row r="26">
          <cell r="A26">
            <v>39472</v>
          </cell>
          <cell r="BF26">
            <v>18.111798068779155</v>
          </cell>
          <cell r="BG26">
            <v>17.429620749261797</v>
          </cell>
          <cell r="BH26">
            <v>16.109902701379674</v>
          </cell>
          <cell r="BI26">
            <v>13.839355674417275</v>
          </cell>
          <cell r="BJ26">
            <v>18.380449728342072</v>
          </cell>
          <cell r="BU26">
            <v>10.588029804094157</v>
          </cell>
          <cell r="BV26">
            <v>11.522967903511651</v>
          </cell>
          <cell r="BW26">
            <v>10.055977276238897</v>
          </cell>
          <cell r="BX26">
            <v>8.6149332270911767</v>
          </cell>
          <cell r="BY26">
            <v>11.497021325386617</v>
          </cell>
        </row>
        <row r="27">
          <cell r="A27">
            <v>39475</v>
          </cell>
          <cell r="BF27">
            <v>18.211981383775136</v>
          </cell>
          <cell r="BG27">
            <v>17.429620749261797</v>
          </cell>
          <cell r="BH27">
            <v>16.109902701379674</v>
          </cell>
          <cell r="BI27">
            <v>13.839355674417275</v>
          </cell>
          <cell r="BJ27">
            <v>18.380449728342072</v>
          </cell>
          <cell r="BU27">
            <v>10.64634843822042</v>
          </cell>
          <cell r="BV27">
            <v>11.522967903511651</v>
          </cell>
          <cell r="BW27">
            <v>10.055977276238897</v>
          </cell>
          <cell r="BX27">
            <v>8.6149332270911767</v>
          </cell>
          <cell r="BY27">
            <v>11.497021325386617</v>
          </cell>
        </row>
        <row r="28">
          <cell r="A28">
            <v>39476</v>
          </cell>
          <cell r="BF28">
            <v>18.960706966674714</v>
          </cell>
          <cell r="BG28">
            <v>17.429620749261797</v>
          </cell>
          <cell r="BH28">
            <v>16.109902701379674</v>
          </cell>
          <cell r="BI28">
            <v>13.839355674417275</v>
          </cell>
          <cell r="BJ28">
            <v>18.380449728342072</v>
          </cell>
          <cell r="BU28">
            <v>11.08219599758541</v>
          </cell>
          <cell r="BV28">
            <v>11.522967903511651</v>
          </cell>
          <cell r="BW28">
            <v>10.055977276238897</v>
          </cell>
          <cell r="BX28">
            <v>8.6149332270911767</v>
          </cell>
          <cell r="BY28">
            <v>11.497021325386617</v>
          </cell>
        </row>
        <row r="29">
          <cell r="A29">
            <v>39477</v>
          </cell>
          <cell r="BF29">
            <v>18.770888418641952</v>
          </cell>
          <cell r="BG29">
            <v>17.429620749261797</v>
          </cell>
          <cell r="BH29">
            <v>16.109902701379674</v>
          </cell>
          <cell r="BI29">
            <v>13.839355674417275</v>
          </cell>
          <cell r="BJ29">
            <v>18.380449728342072</v>
          </cell>
          <cell r="BU29">
            <v>10.971698970674842</v>
          </cell>
          <cell r="BV29">
            <v>11.522967903511651</v>
          </cell>
          <cell r="BW29">
            <v>10.055977276238897</v>
          </cell>
          <cell r="BX29">
            <v>8.6149332270911767</v>
          </cell>
          <cell r="BY29">
            <v>11.497021325386617</v>
          </cell>
        </row>
        <row r="30">
          <cell r="A30">
            <v>39478</v>
          </cell>
          <cell r="BF30">
            <v>18.99234224892357</v>
          </cell>
          <cell r="BG30">
            <v>17.429620749261797</v>
          </cell>
          <cell r="BH30">
            <v>16.109902701379674</v>
          </cell>
          <cell r="BI30">
            <v>13.839355674417275</v>
          </cell>
          <cell r="BJ30">
            <v>18.380449728342072</v>
          </cell>
          <cell r="BU30">
            <v>11.100611503710615</v>
          </cell>
          <cell r="BV30">
            <v>11.522967903511651</v>
          </cell>
          <cell r="BW30">
            <v>10.055977276238897</v>
          </cell>
          <cell r="BX30">
            <v>8.6149332270911767</v>
          </cell>
          <cell r="BY30">
            <v>11.497021325386617</v>
          </cell>
        </row>
        <row r="31">
          <cell r="A31">
            <v>39479</v>
          </cell>
          <cell r="BF31">
            <v>18.99234224892357</v>
          </cell>
          <cell r="BG31">
            <v>17.429620749261797</v>
          </cell>
          <cell r="BH31">
            <v>16.109902701379674</v>
          </cell>
          <cell r="BI31">
            <v>13.839355674417275</v>
          </cell>
          <cell r="BJ31">
            <v>18.380449728342072</v>
          </cell>
          <cell r="BU31">
            <v>11.100611503710615</v>
          </cell>
          <cell r="BV31">
            <v>11.522967903511651</v>
          </cell>
          <cell r="BW31">
            <v>10.055977276238897</v>
          </cell>
          <cell r="BX31">
            <v>8.6149332270911767</v>
          </cell>
          <cell r="BY31">
            <v>11.497021325386617</v>
          </cell>
        </row>
        <row r="32">
          <cell r="A32">
            <v>39482</v>
          </cell>
          <cell r="BF32">
            <v>19.50165149375395</v>
          </cell>
          <cell r="BG32">
            <v>17.429620749261797</v>
          </cell>
          <cell r="BH32">
            <v>16.109902701379674</v>
          </cell>
          <cell r="BI32">
            <v>13.839355674417275</v>
          </cell>
          <cell r="BJ32">
            <v>18.380449728342072</v>
          </cell>
          <cell r="BU32">
            <v>11.443372181879118</v>
          </cell>
          <cell r="BV32">
            <v>11.522967903511651</v>
          </cell>
          <cell r="BW32">
            <v>10.055977276238897</v>
          </cell>
          <cell r="BX32">
            <v>8.6149332270911767</v>
          </cell>
          <cell r="BY32">
            <v>11.497021325386617</v>
          </cell>
        </row>
        <row r="33">
          <cell r="A33">
            <v>39483</v>
          </cell>
          <cell r="BF33">
            <v>19.310510372479534</v>
          </cell>
          <cell r="BG33">
            <v>17.429620749261797</v>
          </cell>
          <cell r="BH33">
            <v>16.109902701379674</v>
          </cell>
          <cell r="BI33">
            <v>13.839355674417275</v>
          </cell>
          <cell r="BJ33">
            <v>18.380449728342072</v>
          </cell>
          <cell r="BU33">
            <v>11.354318250666875</v>
          </cell>
          <cell r="BV33">
            <v>11.522967903511651</v>
          </cell>
          <cell r="BW33">
            <v>10.055977276238897</v>
          </cell>
          <cell r="BX33">
            <v>8.6149332270911767</v>
          </cell>
          <cell r="BY33">
            <v>11.497021325386617</v>
          </cell>
        </row>
        <row r="34">
          <cell r="A34">
            <v>39484</v>
          </cell>
          <cell r="BF34">
            <v>18.817661197336033</v>
          </cell>
          <cell r="BG34">
            <v>17.429620749261797</v>
          </cell>
          <cell r="BH34">
            <v>16.109902701379674</v>
          </cell>
          <cell r="BI34">
            <v>13.839355674417275</v>
          </cell>
          <cell r="BJ34">
            <v>18.380449728342072</v>
          </cell>
          <cell r="BU34">
            <v>11.065673630539903</v>
          </cell>
          <cell r="BV34">
            <v>11.522967903511651</v>
          </cell>
          <cell r="BW34">
            <v>10.055977276238897</v>
          </cell>
          <cell r="BX34">
            <v>8.6149332270911767</v>
          </cell>
          <cell r="BY34">
            <v>11.497021325386617</v>
          </cell>
        </row>
        <row r="35">
          <cell r="A35">
            <v>39485</v>
          </cell>
          <cell r="BF35">
            <v>18.974949370845824</v>
          </cell>
          <cell r="BG35">
            <v>17.429620749261797</v>
          </cell>
          <cell r="BH35">
            <v>16.109902701379674</v>
          </cell>
          <cell r="BI35">
            <v>13.839355674417275</v>
          </cell>
          <cell r="BJ35">
            <v>18.380449728342072</v>
          </cell>
          <cell r="BU35">
            <v>11.157791843135023</v>
          </cell>
          <cell r="BV35">
            <v>11.522967903511651</v>
          </cell>
          <cell r="BW35">
            <v>10.055977276238897</v>
          </cell>
          <cell r="BX35">
            <v>8.6149332270911767</v>
          </cell>
          <cell r="BY35">
            <v>11.497021325386617</v>
          </cell>
        </row>
        <row r="36">
          <cell r="A36">
            <v>39486</v>
          </cell>
          <cell r="BF36">
            <v>19.016895610219166</v>
          </cell>
          <cell r="BG36">
            <v>17.429620749261797</v>
          </cell>
          <cell r="BH36">
            <v>16.109902701379674</v>
          </cell>
          <cell r="BI36">
            <v>13.839355674417275</v>
          </cell>
          <cell r="BJ36">
            <v>18.380449728342072</v>
          </cell>
          <cell r="BU36">
            <v>11.18235829660661</v>
          </cell>
          <cell r="BV36">
            <v>11.522967903511651</v>
          </cell>
          <cell r="BW36">
            <v>10.055977276238897</v>
          </cell>
          <cell r="BX36">
            <v>8.6149332270911767</v>
          </cell>
          <cell r="BY36">
            <v>11.497021325386617</v>
          </cell>
        </row>
        <row r="37">
          <cell r="A37">
            <v>39489</v>
          </cell>
          <cell r="BF37">
            <v>19.025034612823042</v>
          </cell>
          <cell r="BG37">
            <v>17.429620749261797</v>
          </cell>
          <cell r="BH37">
            <v>16.109902701379674</v>
          </cell>
          <cell r="BI37">
            <v>13.839355674417275</v>
          </cell>
          <cell r="BJ37">
            <v>18.380449728342072</v>
          </cell>
          <cell r="BU37">
            <v>11.191569872207729</v>
          </cell>
          <cell r="BV37">
            <v>11.522967903511651</v>
          </cell>
          <cell r="BW37">
            <v>10.055977276238897</v>
          </cell>
          <cell r="BX37">
            <v>8.6149332270911767</v>
          </cell>
          <cell r="BY37">
            <v>11.497021325386617</v>
          </cell>
        </row>
        <row r="38">
          <cell r="A38">
            <v>39490</v>
          </cell>
          <cell r="BF38">
            <v>19.353566971013667</v>
          </cell>
          <cell r="BG38">
            <v>17.429620749261797</v>
          </cell>
          <cell r="BH38">
            <v>16.109902701379674</v>
          </cell>
          <cell r="BI38">
            <v>13.839355674417275</v>
          </cell>
          <cell r="BJ38">
            <v>18.380449728342072</v>
          </cell>
          <cell r="BU38">
            <v>11.430336421289176</v>
          </cell>
          <cell r="BV38">
            <v>11.522967903511651</v>
          </cell>
          <cell r="BW38">
            <v>10.055977276238897</v>
          </cell>
          <cell r="BX38">
            <v>8.6149332270911767</v>
          </cell>
          <cell r="BY38">
            <v>11.497021325386617</v>
          </cell>
        </row>
        <row r="39">
          <cell r="A39">
            <v>39491</v>
          </cell>
          <cell r="BF39">
            <v>19.374278966911977</v>
          </cell>
          <cell r="BG39">
            <v>17.429620749261797</v>
          </cell>
          <cell r="BH39">
            <v>16.109902701379674</v>
          </cell>
          <cell r="BI39">
            <v>13.839355674417275</v>
          </cell>
          <cell r="BJ39">
            <v>18.380449728342072</v>
          </cell>
          <cell r="BU39">
            <v>11.442521458025841</v>
          </cell>
          <cell r="BV39">
            <v>11.522967903511651</v>
          </cell>
          <cell r="BW39">
            <v>10.055977276238897</v>
          </cell>
          <cell r="BX39">
            <v>8.6149332270911767</v>
          </cell>
          <cell r="BY39">
            <v>11.497021325386617</v>
          </cell>
        </row>
        <row r="40">
          <cell r="A40">
            <v>39492</v>
          </cell>
          <cell r="BF40">
            <v>19.203374056791876</v>
          </cell>
          <cell r="BG40">
            <v>17.429620749261797</v>
          </cell>
          <cell r="BH40">
            <v>16.109902701379674</v>
          </cell>
          <cell r="BI40">
            <v>13.839355674417275</v>
          </cell>
          <cell r="BJ40">
            <v>18.380449728342072</v>
          </cell>
          <cell r="BU40">
            <v>11.341976700363928</v>
          </cell>
          <cell r="BV40">
            <v>11.522967903511651</v>
          </cell>
          <cell r="BW40">
            <v>10.055977276238897</v>
          </cell>
          <cell r="BX40">
            <v>8.6149332270911767</v>
          </cell>
          <cell r="BY40">
            <v>11.497021325386617</v>
          </cell>
        </row>
        <row r="41">
          <cell r="A41">
            <v>39493</v>
          </cell>
          <cell r="BF41">
            <v>19.255166216965062</v>
          </cell>
          <cell r="BG41">
            <v>17.429620749261797</v>
          </cell>
          <cell r="BH41">
            <v>16.109902701379674</v>
          </cell>
          <cell r="BI41">
            <v>13.839355674417275</v>
          </cell>
          <cell r="BJ41">
            <v>18.380449728342072</v>
          </cell>
          <cell r="BU41">
            <v>11.372446452167665</v>
          </cell>
          <cell r="BV41">
            <v>11.522967903511651</v>
          </cell>
          <cell r="BW41">
            <v>10.055977276238897</v>
          </cell>
          <cell r="BX41">
            <v>8.6149332270911767</v>
          </cell>
          <cell r="BY41">
            <v>11.497021325386617</v>
          </cell>
        </row>
        <row r="42">
          <cell r="A42">
            <v>39496</v>
          </cell>
          <cell r="BF42">
            <v>18.307425514394769</v>
          </cell>
          <cell r="BG42">
            <v>17.429620749261797</v>
          </cell>
          <cell r="BH42">
            <v>16.109902701379674</v>
          </cell>
          <cell r="BI42">
            <v>13.839355674417275</v>
          </cell>
          <cell r="BJ42">
            <v>18.380449728342072</v>
          </cell>
          <cell r="BU42">
            <v>10.814882838581036</v>
          </cell>
          <cell r="BV42">
            <v>11.522967903511651</v>
          </cell>
          <cell r="BW42">
            <v>10.055977276238897</v>
          </cell>
          <cell r="BX42">
            <v>8.6149332270911767</v>
          </cell>
          <cell r="BY42">
            <v>11.497021325386617</v>
          </cell>
        </row>
        <row r="43">
          <cell r="A43">
            <v>39497</v>
          </cell>
          <cell r="BF43">
            <v>18.478330424514869</v>
          </cell>
          <cell r="BG43">
            <v>17.429620749261797</v>
          </cell>
          <cell r="BH43">
            <v>16.109902701379674</v>
          </cell>
          <cell r="BI43">
            <v>13.839355674417275</v>
          </cell>
          <cell r="BJ43">
            <v>18.380449728342072</v>
          </cell>
          <cell r="BU43">
            <v>10.915427596242948</v>
          </cell>
          <cell r="BV43">
            <v>11.522967903511651</v>
          </cell>
          <cell r="BW43">
            <v>10.055977276238897</v>
          </cell>
          <cell r="BX43">
            <v>8.6149332270911767</v>
          </cell>
          <cell r="BY43">
            <v>11.497021325386617</v>
          </cell>
        </row>
        <row r="44">
          <cell r="A44">
            <v>39498</v>
          </cell>
          <cell r="BF44">
            <v>18.566370778544833</v>
          </cell>
          <cell r="BG44">
            <v>17.429620749261797</v>
          </cell>
          <cell r="BH44">
            <v>16.109902701379674</v>
          </cell>
          <cell r="BI44">
            <v>13.839355674417275</v>
          </cell>
          <cell r="BJ44">
            <v>18.380449728342072</v>
          </cell>
          <cell r="BU44">
            <v>10.96722245722261</v>
          </cell>
          <cell r="BV44">
            <v>11.522967903511651</v>
          </cell>
          <cell r="BW44">
            <v>10.055977276238897</v>
          </cell>
          <cell r="BX44">
            <v>8.6149332270911767</v>
          </cell>
          <cell r="BY44">
            <v>11.497021325386617</v>
          </cell>
        </row>
        <row r="45">
          <cell r="A45">
            <v>39499</v>
          </cell>
          <cell r="BF45">
            <v>17.735749222797928</v>
          </cell>
          <cell r="BG45">
            <v>17.429620749261797</v>
          </cell>
          <cell r="BH45">
            <v>16.109902701379674</v>
          </cell>
          <cell r="BI45">
            <v>13.839355674417275</v>
          </cell>
          <cell r="BJ45">
            <v>18.380449728342072</v>
          </cell>
          <cell r="BU45">
            <v>10.483372964679196</v>
          </cell>
          <cell r="BV45">
            <v>11.522967903511651</v>
          </cell>
          <cell r="BW45">
            <v>10.055977276238897</v>
          </cell>
          <cell r="BX45">
            <v>8.6149332270911767</v>
          </cell>
          <cell r="BY45">
            <v>11.497021325386617</v>
          </cell>
        </row>
        <row r="46">
          <cell r="A46">
            <v>39500</v>
          </cell>
          <cell r="BF46">
            <v>17.538855440414508</v>
          </cell>
          <cell r="BG46">
            <v>17.429620749261797</v>
          </cell>
          <cell r="BH46">
            <v>16.109902701379674</v>
          </cell>
          <cell r="BI46">
            <v>13.839355674417275</v>
          </cell>
          <cell r="BJ46">
            <v>18.380449728342072</v>
          </cell>
          <cell r="BU46">
            <v>10.367485779203145</v>
          </cell>
          <cell r="BV46">
            <v>11.522967903511651</v>
          </cell>
          <cell r="BW46">
            <v>10.055977276238897</v>
          </cell>
          <cell r="BX46">
            <v>8.6149332270911767</v>
          </cell>
          <cell r="BY46">
            <v>11.497021325386617</v>
          </cell>
        </row>
        <row r="47">
          <cell r="A47">
            <v>39503</v>
          </cell>
          <cell r="BF47">
            <v>17.398956994818654</v>
          </cell>
          <cell r="BG47">
            <v>17.429620749261797</v>
          </cell>
          <cell r="BH47">
            <v>16.109902701379674</v>
          </cell>
          <cell r="BI47">
            <v>13.839355674417275</v>
          </cell>
          <cell r="BJ47">
            <v>18.380449728342072</v>
          </cell>
          <cell r="BU47">
            <v>10.285144747829143</v>
          </cell>
          <cell r="BV47">
            <v>11.522967903511651</v>
          </cell>
          <cell r="BW47">
            <v>10.055977276238897</v>
          </cell>
          <cell r="BX47">
            <v>8.6149332270911767</v>
          </cell>
          <cell r="BY47">
            <v>11.497021325386617</v>
          </cell>
        </row>
        <row r="48">
          <cell r="A48">
            <v>39504</v>
          </cell>
          <cell r="BF48">
            <v>17.145076165803108</v>
          </cell>
          <cell r="BG48">
            <v>17.429620749261797</v>
          </cell>
          <cell r="BH48">
            <v>16.109902701379674</v>
          </cell>
          <cell r="BI48">
            <v>13.839355674417275</v>
          </cell>
          <cell r="BJ48">
            <v>18.380449728342072</v>
          </cell>
          <cell r="BU48">
            <v>10.135716287647266</v>
          </cell>
          <cell r="BV48">
            <v>11.522967903511651</v>
          </cell>
          <cell r="BW48">
            <v>10.055977276238897</v>
          </cell>
          <cell r="BX48">
            <v>8.6149332270911767</v>
          </cell>
          <cell r="BY48">
            <v>11.497021325386617</v>
          </cell>
        </row>
        <row r="49">
          <cell r="A49">
            <v>39505</v>
          </cell>
          <cell r="BF49">
            <v>17.366204153823876</v>
          </cell>
          <cell r="BG49">
            <v>17.429620749261797</v>
          </cell>
          <cell r="BH49">
            <v>16.109902701379674</v>
          </cell>
          <cell r="BI49">
            <v>13.839355674417275</v>
          </cell>
          <cell r="BJ49">
            <v>18.380449728342072</v>
          </cell>
          <cell r="BU49">
            <v>10.285144747829143</v>
          </cell>
          <cell r="BV49">
            <v>11.522967903511651</v>
          </cell>
          <cell r="BW49">
            <v>10.055977276238897</v>
          </cell>
          <cell r="BX49">
            <v>8.6149332270911767</v>
          </cell>
          <cell r="BY49">
            <v>11.497021325386617</v>
          </cell>
        </row>
        <row r="50">
          <cell r="A50">
            <v>39506</v>
          </cell>
          <cell r="BF50">
            <v>17.097286982064915</v>
          </cell>
          <cell r="BG50">
            <v>17.429620749261797</v>
          </cell>
          <cell r="BH50">
            <v>16.109902701379674</v>
          </cell>
          <cell r="BI50">
            <v>13.839355674417275</v>
          </cell>
          <cell r="BJ50">
            <v>18.380449728342072</v>
          </cell>
          <cell r="BU50">
            <v>10.126567724662317</v>
          </cell>
          <cell r="BV50">
            <v>11.522967903511651</v>
          </cell>
          <cell r="BW50">
            <v>10.055977276238897</v>
          </cell>
          <cell r="BX50">
            <v>8.6149332270911767</v>
          </cell>
          <cell r="BY50">
            <v>11.497021325386617</v>
          </cell>
        </row>
        <row r="51">
          <cell r="A51">
            <v>39507</v>
          </cell>
          <cell r="BF51">
            <v>17.293802362383897</v>
          </cell>
          <cell r="BG51">
            <v>17.429620749261797</v>
          </cell>
          <cell r="BH51">
            <v>16.109902701379674</v>
          </cell>
          <cell r="BI51">
            <v>13.839355674417275</v>
          </cell>
          <cell r="BJ51">
            <v>18.380449728342072</v>
          </cell>
          <cell r="BU51">
            <v>10.242450335704397</v>
          </cell>
          <cell r="BV51">
            <v>11.522967903511651</v>
          </cell>
          <cell r="BW51">
            <v>10.055977276238897</v>
          </cell>
          <cell r="BX51">
            <v>8.6149332270911767</v>
          </cell>
          <cell r="BY51">
            <v>11.497021325386617</v>
          </cell>
        </row>
        <row r="52">
          <cell r="A52">
            <v>39510</v>
          </cell>
          <cell r="BF52">
            <v>17.324838129124345</v>
          </cell>
          <cell r="BG52">
            <v>17.429620749261797</v>
          </cell>
          <cell r="BH52">
            <v>16.109902701379674</v>
          </cell>
          <cell r="BI52">
            <v>13.839355674417275</v>
          </cell>
          <cell r="BJ52">
            <v>18.380449728342072</v>
          </cell>
          <cell r="BU52">
            <v>10.26075173114601</v>
          </cell>
          <cell r="BV52">
            <v>11.522967903511651</v>
          </cell>
          <cell r="BW52">
            <v>10.055977276238897</v>
          </cell>
          <cell r="BX52">
            <v>8.6149332270911767</v>
          </cell>
          <cell r="BY52">
            <v>11.497021325386617</v>
          </cell>
        </row>
        <row r="53">
          <cell r="A53">
            <v>39511</v>
          </cell>
          <cell r="BF53">
            <v>17.205886307689124</v>
          </cell>
          <cell r="BG53">
            <v>17.429620749261797</v>
          </cell>
          <cell r="BH53">
            <v>16.109902701379674</v>
          </cell>
          <cell r="BI53">
            <v>13.839355674417275</v>
          </cell>
          <cell r="BJ53">
            <v>18.380449728342072</v>
          </cell>
          <cell r="BU53">
            <v>10.190607360594708</v>
          </cell>
          <cell r="BV53">
            <v>11.522967903511651</v>
          </cell>
          <cell r="BW53">
            <v>10.055977276238897</v>
          </cell>
          <cell r="BX53">
            <v>8.6149332270911767</v>
          </cell>
          <cell r="BY53">
            <v>11.497021325386617</v>
          </cell>
        </row>
        <row r="54">
          <cell r="A54">
            <v>39512</v>
          </cell>
          <cell r="BF54">
            <v>17.490325500093086</v>
          </cell>
          <cell r="BG54">
            <v>17.429620749261797</v>
          </cell>
          <cell r="BH54">
            <v>16.109902701379674</v>
          </cell>
          <cell r="BI54">
            <v>13.839355674417275</v>
          </cell>
          <cell r="BJ54">
            <v>18.380449728342072</v>
          </cell>
          <cell r="BU54">
            <v>10.358337521180454</v>
          </cell>
          <cell r="BV54">
            <v>11.522967903511651</v>
          </cell>
          <cell r="BW54">
            <v>10.055977276238897</v>
          </cell>
          <cell r="BX54">
            <v>8.6149332270911767</v>
          </cell>
          <cell r="BY54">
            <v>11.497021325386617</v>
          </cell>
        </row>
        <row r="55">
          <cell r="A55">
            <v>39513</v>
          </cell>
          <cell r="BF55">
            <v>16.890418588775574</v>
          </cell>
          <cell r="BG55">
            <v>17.429620749261797</v>
          </cell>
          <cell r="BH55">
            <v>16.109902701379674</v>
          </cell>
          <cell r="BI55">
            <v>13.839355674417275</v>
          </cell>
          <cell r="BJ55">
            <v>18.380449728342072</v>
          </cell>
          <cell r="BU55">
            <v>10.004580074039058</v>
          </cell>
          <cell r="BV55">
            <v>11.522967903511651</v>
          </cell>
          <cell r="BW55">
            <v>10.055977276238897</v>
          </cell>
          <cell r="BX55">
            <v>8.6149332270911767</v>
          </cell>
          <cell r="BY55">
            <v>11.497021325386617</v>
          </cell>
        </row>
        <row r="56">
          <cell r="A56">
            <v>39514</v>
          </cell>
          <cell r="BF56">
            <v>17.305663719556282</v>
          </cell>
          <cell r="BG56">
            <v>17.429620749261797</v>
          </cell>
          <cell r="BH56">
            <v>16.109902701379674</v>
          </cell>
          <cell r="BI56">
            <v>13.839355674417275</v>
          </cell>
          <cell r="BJ56">
            <v>18.380449728342072</v>
          </cell>
          <cell r="BU56">
            <v>10.263799828983759</v>
          </cell>
          <cell r="BV56">
            <v>11.522967903511651</v>
          </cell>
          <cell r="BW56">
            <v>10.055977276238897</v>
          </cell>
          <cell r="BX56">
            <v>8.6149332270911767</v>
          </cell>
          <cell r="BY56">
            <v>11.497021325386617</v>
          </cell>
        </row>
        <row r="57">
          <cell r="A57">
            <v>39517</v>
          </cell>
          <cell r="BF57">
            <v>17.579372637319505</v>
          </cell>
          <cell r="BG57">
            <v>17.429620749261797</v>
          </cell>
          <cell r="BH57">
            <v>16.109902701379674</v>
          </cell>
          <cell r="BI57">
            <v>13.839355674417275</v>
          </cell>
          <cell r="BJ57">
            <v>18.380449728342072</v>
          </cell>
          <cell r="BU57">
            <v>10.425429524422304</v>
          </cell>
          <cell r="BV57">
            <v>11.522967903511651</v>
          </cell>
          <cell r="BW57">
            <v>10.055977276238897</v>
          </cell>
          <cell r="BX57">
            <v>8.6149332270911767</v>
          </cell>
          <cell r="BY57">
            <v>11.497021325386617</v>
          </cell>
        </row>
        <row r="58">
          <cell r="A58">
            <v>39518</v>
          </cell>
          <cell r="BF58">
            <v>17.610357061703404</v>
          </cell>
          <cell r="BG58">
            <v>17.429620749261797</v>
          </cell>
          <cell r="BH58">
            <v>16.109902701379674</v>
          </cell>
          <cell r="BI58">
            <v>13.839355674417275</v>
          </cell>
          <cell r="BJ58">
            <v>18.380449728342072</v>
          </cell>
          <cell r="BU58">
            <v>10.44372634542994</v>
          </cell>
          <cell r="BV58">
            <v>11.522967903511651</v>
          </cell>
          <cell r="BW58">
            <v>10.055977276238897</v>
          </cell>
          <cell r="BX58">
            <v>8.6149332270911767</v>
          </cell>
          <cell r="BY58">
            <v>11.497021325386617</v>
          </cell>
        </row>
        <row r="59">
          <cell r="A59">
            <v>39519</v>
          </cell>
          <cell r="BF59">
            <v>17.662003449771738</v>
          </cell>
          <cell r="BG59">
            <v>17.429620749261797</v>
          </cell>
          <cell r="BH59">
            <v>16.109902701379674</v>
          </cell>
          <cell r="BI59">
            <v>13.839355674417275</v>
          </cell>
          <cell r="BJ59">
            <v>18.380449728342072</v>
          </cell>
          <cell r="BU59">
            <v>10.474224401694247</v>
          </cell>
          <cell r="BV59">
            <v>11.522967903511651</v>
          </cell>
          <cell r="BW59">
            <v>10.055977276238897</v>
          </cell>
          <cell r="BX59">
            <v>8.6149332270911767</v>
          </cell>
          <cell r="BY59">
            <v>11.497021325386617</v>
          </cell>
        </row>
        <row r="60">
          <cell r="A60">
            <v>39520</v>
          </cell>
          <cell r="BF60">
            <v>18.171164020715402</v>
          </cell>
          <cell r="BG60">
            <v>17.429620749261797</v>
          </cell>
          <cell r="BH60">
            <v>16.109902701379674</v>
          </cell>
          <cell r="BI60">
            <v>13.839355674417275</v>
          </cell>
          <cell r="BJ60">
            <v>18.380449728342072</v>
          </cell>
          <cell r="BU60">
            <v>10.797555191889419</v>
          </cell>
          <cell r="BV60">
            <v>11.522967903511651</v>
          </cell>
          <cell r="BW60">
            <v>10.055977276238897</v>
          </cell>
          <cell r="BX60">
            <v>8.6149332270911767</v>
          </cell>
          <cell r="BY60">
            <v>11.497021325386617</v>
          </cell>
        </row>
        <row r="61">
          <cell r="A61">
            <v>39521</v>
          </cell>
          <cell r="BF61">
            <v>17.977035976223185</v>
          </cell>
          <cell r="BG61">
            <v>17.429620749261797</v>
          </cell>
          <cell r="BH61">
            <v>16.109902701379674</v>
          </cell>
          <cell r="BI61">
            <v>13.839355674417275</v>
          </cell>
          <cell r="BJ61">
            <v>18.380449728342072</v>
          </cell>
          <cell r="BU61">
            <v>10.682673093744429</v>
          </cell>
          <cell r="BV61">
            <v>11.522967903511651</v>
          </cell>
          <cell r="BW61">
            <v>10.055977276238897</v>
          </cell>
          <cell r="BX61">
            <v>8.6149332270911767</v>
          </cell>
          <cell r="BY61">
            <v>11.497021325386617</v>
          </cell>
        </row>
        <row r="62">
          <cell r="A62">
            <v>39524</v>
          </cell>
          <cell r="BF62">
            <v>18.074099743041018</v>
          </cell>
          <cell r="BG62">
            <v>17.429620749261797</v>
          </cell>
          <cell r="BH62">
            <v>16.109902701379674</v>
          </cell>
          <cell r="BI62">
            <v>13.839355674417275</v>
          </cell>
          <cell r="BJ62">
            <v>18.380449728342072</v>
          </cell>
          <cell r="BU62">
            <v>10.740113991658259</v>
          </cell>
          <cell r="BV62">
            <v>11.522967903511651</v>
          </cell>
          <cell r="BW62">
            <v>10.055977276238897</v>
          </cell>
          <cell r="BX62">
            <v>8.6149332270911767</v>
          </cell>
          <cell r="BY62">
            <v>11.497021325386617</v>
          </cell>
        </row>
        <row r="63">
          <cell r="A63">
            <v>39525</v>
          </cell>
          <cell r="BF63">
            <v>17.982149139463992</v>
          </cell>
          <cell r="BG63">
            <v>17.429620749261797</v>
          </cell>
          <cell r="BH63">
            <v>16.109902701379674</v>
          </cell>
          <cell r="BI63">
            <v>13.839355674417275</v>
          </cell>
          <cell r="BJ63">
            <v>18.380449728342072</v>
          </cell>
          <cell r="BU63">
            <v>10.685698987930913</v>
          </cell>
          <cell r="BV63">
            <v>11.522967903511651</v>
          </cell>
          <cell r="BW63">
            <v>10.055977276238897</v>
          </cell>
          <cell r="BX63">
            <v>8.6149332270911767</v>
          </cell>
          <cell r="BY63">
            <v>11.497021325386617</v>
          </cell>
        </row>
        <row r="64">
          <cell r="A64">
            <v>39526</v>
          </cell>
          <cell r="BF64">
            <v>17.869760186907225</v>
          </cell>
          <cell r="BG64">
            <v>17.429620749261797</v>
          </cell>
          <cell r="BH64">
            <v>16.109902701379674</v>
          </cell>
          <cell r="BI64">
            <v>13.839355674417275</v>
          </cell>
          <cell r="BJ64">
            <v>18.380449728342072</v>
          </cell>
          <cell r="BU64">
            <v>10.619188872342969</v>
          </cell>
          <cell r="BV64">
            <v>11.522967903511651</v>
          </cell>
          <cell r="BW64">
            <v>10.055977276238897</v>
          </cell>
          <cell r="BX64">
            <v>8.6149332270911767</v>
          </cell>
          <cell r="BY64">
            <v>11.497021325386617</v>
          </cell>
        </row>
        <row r="65">
          <cell r="A65">
            <v>39527</v>
          </cell>
          <cell r="BF65">
            <v>18.074099743041018</v>
          </cell>
          <cell r="BG65">
            <v>17.429620749261797</v>
          </cell>
          <cell r="BH65">
            <v>16.109902701379674</v>
          </cell>
          <cell r="BI65">
            <v>13.839355674417275</v>
          </cell>
          <cell r="BJ65">
            <v>18.380449728342072</v>
          </cell>
          <cell r="BU65">
            <v>10.740113991658259</v>
          </cell>
          <cell r="BV65">
            <v>11.522967903511651</v>
          </cell>
          <cell r="BW65">
            <v>10.055977276238897</v>
          </cell>
          <cell r="BX65">
            <v>8.6149332270911767</v>
          </cell>
          <cell r="BY65">
            <v>11.497021325386617</v>
          </cell>
        </row>
        <row r="66">
          <cell r="A66">
            <v>39528</v>
          </cell>
          <cell r="BF66">
            <v>18.283552973272169</v>
          </cell>
          <cell r="BG66">
            <v>17.429620749261797</v>
          </cell>
          <cell r="BH66">
            <v>16.109902701379674</v>
          </cell>
          <cell r="BI66">
            <v>13.839355674417275</v>
          </cell>
          <cell r="BJ66">
            <v>18.380449728342072</v>
          </cell>
          <cell r="BU66">
            <v>10.864065307477363</v>
          </cell>
          <cell r="BV66">
            <v>11.522967903511651</v>
          </cell>
          <cell r="BW66">
            <v>10.055977276238897</v>
          </cell>
          <cell r="BX66">
            <v>8.6149332270911767</v>
          </cell>
          <cell r="BY66">
            <v>11.497021325386617</v>
          </cell>
        </row>
        <row r="67">
          <cell r="A67">
            <v>39531</v>
          </cell>
          <cell r="BF67">
            <v>18.150732823727409</v>
          </cell>
          <cell r="BG67">
            <v>17.429620749261797</v>
          </cell>
          <cell r="BH67">
            <v>16.109902701379674</v>
          </cell>
          <cell r="BI67">
            <v>13.839355674417275</v>
          </cell>
          <cell r="BJ67">
            <v>18.380449728342072</v>
          </cell>
          <cell r="BU67">
            <v>10.78546431247149</v>
          </cell>
          <cell r="BV67">
            <v>11.522967903511651</v>
          </cell>
          <cell r="BW67">
            <v>10.055977276238897</v>
          </cell>
          <cell r="BX67">
            <v>8.6149332270911767</v>
          </cell>
          <cell r="BY67">
            <v>11.497021325386617</v>
          </cell>
        </row>
        <row r="68">
          <cell r="A68">
            <v>39532</v>
          </cell>
          <cell r="BF68">
            <v>18.074099743041018</v>
          </cell>
          <cell r="BG68">
            <v>17.429620749261797</v>
          </cell>
          <cell r="BH68">
            <v>16.109902701379674</v>
          </cell>
          <cell r="BI68">
            <v>13.839355674417275</v>
          </cell>
          <cell r="BJ68">
            <v>18.380449728342072</v>
          </cell>
          <cell r="BU68">
            <v>10.740113991658259</v>
          </cell>
          <cell r="BV68">
            <v>11.522967903511651</v>
          </cell>
          <cell r="BW68">
            <v>10.055977276238897</v>
          </cell>
          <cell r="BX68">
            <v>8.6149332270911767</v>
          </cell>
          <cell r="BY68">
            <v>11.497021325386617</v>
          </cell>
        </row>
        <row r="69">
          <cell r="A69">
            <v>39533</v>
          </cell>
          <cell r="BF69">
            <v>18.513436889634757</v>
          </cell>
          <cell r="BG69">
            <v>17.429620749261797</v>
          </cell>
          <cell r="BH69">
            <v>16.109902701379674</v>
          </cell>
          <cell r="BI69">
            <v>13.839355674417275</v>
          </cell>
          <cell r="BJ69">
            <v>18.380449728342072</v>
          </cell>
          <cell r="BU69">
            <v>11.000107200397062</v>
          </cell>
          <cell r="BV69">
            <v>11.522967903511651</v>
          </cell>
          <cell r="BW69">
            <v>10.055977276238897</v>
          </cell>
          <cell r="BX69">
            <v>8.6149332270911767</v>
          </cell>
          <cell r="BY69">
            <v>11.497021325386617</v>
          </cell>
        </row>
        <row r="70">
          <cell r="A70">
            <v>39534</v>
          </cell>
          <cell r="BF70">
            <v>18.398299512345808</v>
          </cell>
          <cell r="BG70">
            <v>17.429620749261797</v>
          </cell>
          <cell r="BH70">
            <v>16.109902701379674</v>
          </cell>
          <cell r="BI70">
            <v>13.839355674417275</v>
          </cell>
          <cell r="BJ70">
            <v>18.380449728342072</v>
          </cell>
          <cell r="BU70">
            <v>10.954761414343825</v>
          </cell>
          <cell r="BV70">
            <v>11.522967903511651</v>
          </cell>
          <cell r="BW70">
            <v>10.055977276238897</v>
          </cell>
          <cell r="BX70">
            <v>8.6149332270911767</v>
          </cell>
          <cell r="BY70">
            <v>11.497021325386617</v>
          </cell>
        </row>
        <row r="71">
          <cell r="A71">
            <v>39535</v>
          </cell>
          <cell r="BF71">
            <v>18.082224449248713</v>
          </cell>
          <cell r="BG71">
            <v>17.429620749261797</v>
          </cell>
          <cell r="BH71">
            <v>16.109902701379674</v>
          </cell>
          <cell r="BI71">
            <v>13.839355674417275</v>
          </cell>
          <cell r="BJ71">
            <v>18.380449728342072</v>
          </cell>
          <cell r="BU71">
            <v>10.767321342363267</v>
          </cell>
          <cell r="BV71">
            <v>11.522967903511651</v>
          </cell>
          <cell r="BW71">
            <v>10.055977276238897</v>
          </cell>
          <cell r="BX71">
            <v>8.6149332270911767</v>
          </cell>
          <cell r="BY71">
            <v>11.497021325386617</v>
          </cell>
        </row>
        <row r="72">
          <cell r="A72">
            <v>39538</v>
          </cell>
          <cell r="BF72">
            <v>17.96497542602652</v>
          </cell>
          <cell r="BG72">
            <v>17.429620749261797</v>
          </cell>
          <cell r="BH72">
            <v>16.109902701379674</v>
          </cell>
          <cell r="BI72">
            <v>13.839355674417275</v>
          </cell>
          <cell r="BJ72">
            <v>18.380449728342072</v>
          </cell>
          <cell r="BU72">
            <v>10.697789867348844</v>
          </cell>
          <cell r="BV72">
            <v>11.522967903511651</v>
          </cell>
          <cell r="BW72">
            <v>10.055977276238897</v>
          </cell>
          <cell r="BX72">
            <v>8.6149332270911767</v>
          </cell>
          <cell r="BY72">
            <v>11.497021325386617</v>
          </cell>
        </row>
        <row r="73">
          <cell r="A73">
            <v>39539</v>
          </cell>
          <cell r="BF73">
            <v>17.868113902257363</v>
          </cell>
          <cell r="BG73">
            <v>17.429620749261797</v>
          </cell>
          <cell r="BH73">
            <v>16.109902701379674</v>
          </cell>
          <cell r="BI73">
            <v>13.839355674417275</v>
          </cell>
          <cell r="BJ73">
            <v>18.380449728342072</v>
          </cell>
          <cell r="BU73">
            <v>10.64034866711768</v>
          </cell>
          <cell r="BV73">
            <v>11.522967903511651</v>
          </cell>
          <cell r="BW73">
            <v>10.055977276238897</v>
          </cell>
          <cell r="BX73">
            <v>8.6149332270911767</v>
          </cell>
          <cell r="BY73">
            <v>11.497021325386617</v>
          </cell>
        </row>
        <row r="74">
          <cell r="A74">
            <v>39540</v>
          </cell>
          <cell r="BF74">
            <v>17.531658986548887</v>
          </cell>
          <cell r="BG74">
            <v>17.429620749261797</v>
          </cell>
          <cell r="BH74">
            <v>16.109902701379674</v>
          </cell>
          <cell r="BI74">
            <v>13.839355674417275</v>
          </cell>
          <cell r="BJ74">
            <v>18.380449728342072</v>
          </cell>
          <cell r="BU74">
            <v>10.440822855113852</v>
          </cell>
          <cell r="BV74">
            <v>11.522967903511651</v>
          </cell>
          <cell r="BW74">
            <v>10.055977276238897</v>
          </cell>
          <cell r="BX74">
            <v>8.6149332270911767</v>
          </cell>
          <cell r="BY74">
            <v>11.497021325386617</v>
          </cell>
        </row>
        <row r="75">
          <cell r="A75">
            <v>39541</v>
          </cell>
          <cell r="BF75">
            <v>16.986180712712883</v>
          </cell>
          <cell r="BG75">
            <v>17.429620749261797</v>
          </cell>
          <cell r="BH75">
            <v>16.109902701379674</v>
          </cell>
          <cell r="BI75">
            <v>13.839355674417275</v>
          </cell>
          <cell r="BJ75">
            <v>18.380449728342072</v>
          </cell>
          <cell r="BU75">
            <v>10.883936163803179</v>
          </cell>
          <cell r="BV75">
            <v>11.522967903511651</v>
          </cell>
          <cell r="BW75">
            <v>10.055977276238897</v>
          </cell>
          <cell r="BX75">
            <v>8.6149332270911767</v>
          </cell>
          <cell r="BY75">
            <v>11.497021325386617</v>
          </cell>
        </row>
        <row r="76">
          <cell r="A76">
            <v>39542</v>
          </cell>
          <cell r="BF76">
            <v>17.037002156905963</v>
          </cell>
          <cell r="BG76">
            <v>17.429620749261797</v>
          </cell>
          <cell r="BH76">
            <v>16.109902701379674</v>
          </cell>
          <cell r="BI76">
            <v>13.839355674417275</v>
          </cell>
          <cell r="BJ76">
            <v>18.380449728342072</v>
          </cell>
          <cell r="BU76">
            <v>11.071094996780657</v>
          </cell>
          <cell r="BV76">
            <v>11.522967903511651</v>
          </cell>
          <cell r="BW76">
            <v>10.055977276238897</v>
          </cell>
          <cell r="BX76">
            <v>8.6149332270911767</v>
          </cell>
          <cell r="BY76">
            <v>11.497021325386617</v>
          </cell>
        </row>
        <row r="77">
          <cell r="A77">
            <v>39545</v>
          </cell>
          <cell r="BF77">
            <v>17.037002156905963</v>
          </cell>
          <cell r="BG77">
            <v>17.429620749261797</v>
          </cell>
          <cell r="BH77">
            <v>16.109902701379674</v>
          </cell>
          <cell r="BI77">
            <v>13.839355674417275</v>
          </cell>
          <cell r="BJ77">
            <v>18.380449728342072</v>
          </cell>
          <cell r="BU77">
            <v>11.071094996780657</v>
          </cell>
          <cell r="BV77">
            <v>11.522967903511651</v>
          </cell>
          <cell r="BW77">
            <v>10.055977276238897</v>
          </cell>
          <cell r="BX77">
            <v>8.6149332270911767</v>
          </cell>
          <cell r="BY77">
            <v>11.497021325386617</v>
          </cell>
        </row>
        <row r="78">
          <cell r="A78">
            <v>39546</v>
          </cell>
          <cell r="BF78">
            <v>17.123277310215343</v>
          </cell>
          <cell r="BG78">
            <v>17.429620749261797</v>
          </cell>
          <cell r="BH78">
            <v>16.109902701379674</v>
          </cell>
          <cell r="BI78">
            <v>13.839355674417275</v>
          </cell>
          <cell r="BJ78">
            <v>18.380449728342072</v>
          </cell>
          <cell r="BU78">
            <v>11.123011577532251</v>
          </cell>
          <cell r="BV78">
            <v>11.522967903511651</v>
          </cell>
          <cell r="BW78">
            <v>10.055977276238897</v>
          </cell>
          <cell r="BX78">
            <v>8.6149332270911767</v>
          </cell>
          <cell r="BY78">
            <v>11.497021325386617</v>
          </cell>
        </row>
        <row r="79">
          <cell r="A79">
            <v>39547</v>
          </cell>
          <cell r="BF79">
            <v>17.14784455093417</v>
          </cell>
          <cell r="BG79">
            <v>17.429620749261797</v>
          </cell>
          <cell r="BH79">
            <v>16.109902701379674</v>
          </cell>
          <cell r="BI79">
            <v>13.839355674417275</v>
          </cell>
          <cell r="BJ79">
            <v>18.380449728342072</v>
          </cell>
          <cell r="BU79">
            <v>11.20063495742453</v>
          </cell>
          <cell r="BV79">
            <v>11.522967903511651</v>
          </cell>
          <cell r="BW79">
            <v>10.055977276238897</v>
          </cell>
          <cell r="BX79">
            <v>8.6149332270911767</v>
          </cell>
          <cell r="BY79">
            <v>11.497021325386617</v>
          </cell>
        </row>
        <row r="80">
          <cell r="A80">
            <v>39548</v>
          </cell>
          <cell r="BF80">
            <v>17.239350401817056</v>
          </cell>
          <cell r="BG80">
            <v>17.429620749261797</v>
          </cell>
          <cell r="BH80">
            <v>16.109902701379674</v>
          </cell>
          <cell r="BI80">
            <v>13.839355674417275</v>
          </cell>
          <cell r="BJ80">
            <v>18.380449728342072</v>
          </cell>
          <cell r="BU80">
            <v>11.256002766263771</v>
          </cell>
          <cell r="BV80">
            <v>11.522967903511651</v>
          </cell>
          <cell r="BW80">
            <v>10.055977276238897</v>
          </cell>
          <cell r="BX80">
            <v>8.6149332270911767</v>
          </cell>
          <cell r="BY80">
            <v>11.497021325386617</v>
          </cell>
        </row>
        <row r="81">
          <cell r="A81">
            <v>39549</v>
          </cell>
          <cell r="BF81">
            <v>17.29019201300968</v>
          </cell>
          <cell r="BG81">
            <v>17.429620749261797</v>
          </cell>
          <cell r="BH81">
            <v>16.109902701379674</v>
          </cell>
          <cell r="BI81">
            <v>13.839355674417275</v>
          </cell>
          <cell r="BJ81">
            <v>18.380449728342072</v>
          </cell>
          <cell r="BU81">
            <v>11.286765701993366</v>
          </cell>
          <cell r="BV81">
            <v>11.522967903511651</v>
          </cell>
          <cell r="BW81">
            <v>10.055977276238897</v>
          </cell>
          <cell r="BX81">
            <v>8.6149332270911767</v>
          </cell>
          <cell r="BY81">
            <v>11.497021325386617</v>
          </cell>
        </row>
        <row r="82">
          <cell r="A82">
            <v>39552</v>
          </cell>
          <cell r="BF82">
            <v>16.90480176710172</v>
          </cell>
          <cell r="BG82">
            <v>17.429620749261797</v>
          </cell>
          <cell r="BH82">
            <v>16.109902701379674</v>
          </cell>
          <cell r="BI82">
            <v>13.839355674417275</v>
          </cell>
          <cell r="BJ82">
            <v>18.380449728342072</v>
          </cell>
          <cell r="BU82">
            <v>11.06331732867276</v>
          </cell>
          <cell r="BV82">
            <v>11.522967903511651</v>
          </cell>
          <cell r="BW82">
            <v>10.055977276238897</v>
          </cell>
          <cell r="BX82">
            <v>8.6149332270911767</v>
          </cell>
          <cell r="BY82">
            <v>11.497021325386617</v>
          </cell>
        </row>
        <row r="83">
          <cell r="A83">
            <v>39553</v>
          </cell>
          <cell r="BF83">
            <v>16.80924407858241</v>
          </cell>
          <cell r="BG83">
            <v>17.429620749261797</v>
          </cell>
          <cell r="BH83">
            <v>16.109902701379674</v>
          </cell>
          <cell r="BI83">
            <v>13.839355674417275</v>
          </cell>
          <cell r="BJ83">
            <v>18.380449728342072</v>
          </cell>
          <cell r="BU83">
            <v>11.005400857056815</v>
          </cell>
          <cell r="BV83">
            <v>11.522967903511651</v>
          </cell>
          <cell r="BW83">
            <v>10.055977276238897</v>
          </cell>
          <cell r="BX83">
            <v>8.6149332270911767</v>
          </cell>
          <cell r="BY83">
            <v>11.497021325386617</v>
          </cell>
        </row>
        <row r="84">
          <cell r="A84">
            <v>39554</v>
          </cell>
          <cell r="BF84">
            <v>17.126109404276228</v>
          </cell>
          <cell r="BG84">
            <v>17.429620749261797</v>
          </cell>
          <cell r="BH84">
            <v>16.109902701379674</v>
          </cell>
          <cell r="BI84">
            <v>13.839355674417275</v>
          </cell>
          <cell r="BJ84">
            <v>18.380449728342072</v>
          </cell>
          <cell r="BU84">
            <v>11.197449471103335</v>
          </cell>
          <cell r="BV84">
            <v>11.522967903511651</v>
          </cell>
          <cell r="BW84">
            <v>10.055977276238897</v>
          </cell>
          <cell r="BX84">
            <v>8.6149332270911767</v>
          </cell>
          <cell r="BY84">
            <v>11.497021325386617</v>
          </cell>
        </row>
        <row r="85">
          <cell r="A85">
            <v>39555</v>
          </cell>
          <cell r="BF85">
            <v>17.156286575323623</v>
          </cell>
          <cell r="BG85">
            <v>17.429620749261797</v>
          </cell>
          <cell r="BH85">
            <v>16.109902701379674</v>
          </cell>
          <cell r="BI85">
            <v>13.839355674417275</v>
          </cell>
          <cell r="BJ85">
            <v>18.380449728342072</v>
          </cell>
          <cell r="BU85">
            <v>11.21573952497025</v>
          </cell>
          <cell r="BV85">
            <v>11.522967903511651</v>
          </cell>
          <cell r="BW85">
            <v>10.055977276238897</v>
          </cell>
          <cell r="BX85">
            <v>8.6149332270911767</v>
          </cell>
          <cell r="BY85">
            <v>11.497021325386617</v>
          </cell>
        </row>
        <row r="86">
          <cell r="A86">
            <v>39556</v>
          </cell>
          <cell r="BF86">
            <v>16.73379410938929</v>
          </cell>
          <cell r="BG86">
            <v>17.429620749261797</v>
          </cell>
          <cell r="BH86">
            <v>16.109902701379674</v>
          </cell>
          <cell r="BI86">
            <v>13.839355674417275</v>
          </cell>
          <cell r="BJ86">
            <v>18.380449728342072</v>
          </cell>
          <cell r="BU86">
            <v>10.959671454568035</v>
          </cell>
          <cell r="BV86">
            <v>11.522967903511651</v>
          </cell>
          <cell r="BW86">
            <v>10.055977276238897</v>
          </cell>
          <cell r="BX86">
            <v>8.6149332270911767</v>
          </cell>
          <cell r="BY86">
            <v>11.497021325386617</v>
          </cell>
        </row>
        <row r="87">
          <cell r="A87">
            <v>39559</v>
          </cell>
          <cell r="BF87">
            <v>16.708643616688633</v>
          </cell>
          <cell r="BG87">
            <v>17.429620749261797</v>
          </cell>
          <cell r="BH87">
            <v>16.109902701379674</v>
          </cell>
          <cell r="BI87">
            <v>13.839355674417275</v>
          </cell>
          <cell r="BJ87">
            <v>18.380449728342072</v>
          </cell>
          <cell r="BU87">
            <v>10.944428015560716</v>
          </cell>
          <cell r="BV87">
            <v>11.522967903511651</v>
          </cell>
          <cell r="BW87">
            <v>10.055977276238897</v>
          </cell>
          <cell r="BX87">
            <v>8.6149332270911767</v>
          </cell>
          <cell r="BY87">
            <v>11.497021325386617</v>
          </cell>
        </row>
        <row r="88">
          <cell r="A88">
            <v>39560</v>
          </cell>
          <cell r="BF88">
            <v>16.570825939141326</v>
          </cell>
          <cell r="BG88">
            <v>17.429620749261797</v>
          </cell>
          <cell r="BH88">
            <v>16.109902701379674</v>
          </cell>
          <cell r="BI88">
            <v>13.839355674417275</v>
          </cell>
          <cell r="BJ88">
            <v>18.380449728342072</v>
          </cell>
          <cell r="BU88">
            <v>10.84688024868546</v>
          </cell>
          <cell r="BV88">
            <v>11.522967903511651</v>
          </cell>
          <cell r="BW88">
            <v>10.055977276238897</v>
          </cell>
          <cell r="BX88">
            <v>8.6149332270911767</v>
          </cell>
          <cell r="BY88">
            <v>11.497021325386617</v>
          </cell>
        </row>
        <row r="89">
          <cell r="A89">
            <v>39561</v>
          </cell>
          <cell r="BF89">
            <v>16.344174774398386</v>
          </cell>
          <cell r="BG89">
            <v>17.429620749261797</v>
          </cell>
          <cell r="BH89">
            <v>16.109902701379674</v>
          </cell>
          <cell r="BI89">
            <v>13.839355674417275</v>
          </cell>
          <cell r="BJ89">
            <v>18.380449728342072</v>
          </cell>
          <cell r="BU89">
            <v>10.718399415887983</v>
          </cell>
          <cell r="BV89">
            <v>11.522967903511651</v>
          </cell>
          <cell r="BW89">
            <v>10.055977276238897</v>
          </cell>
          <cell r="BX89">
            <v>8.6149332270911767</v>
          </cell>
          <cell r="BY89">
            <v>11.497021325386617</v>
          </cell>
        </row>
        <row r="90">
          <cell r="A90">
            <v>39562</v>
          </cell>
          <cell r="BF90">
            <v>16.594265300305345</v>
          </cell>
          <cell r="BG90">
            <v>17.429620749261797</v>
          </cell>
          <cell r="BH90">
            <v>16.109902701379674</v>
          </cell>
          <cell r="BI90">
            <v>13.839355674417275</v>
          </cell>
          <cell r="BJ90">
            <v>18.380449728342072</v>
          </cell>
          <cell r="BU90">
            <v>10.880097861151789</v>
          </cell>
          <cell r="BV90">
            <v>11.522967903511651</v>
          </cell>
          <cell r="BW90">
            <v>10.055977276238897</v>
          </cell>
          <cell r="BX90">
            <v>8.6149332270911767</v>
          </cell>
          <cell r="BY90">
            <v>11.497021325386617</v>
          </cell>
        </row>
        <row r="91">
          <cell r="A91">
            <v>39563</v>
          </cell>
          <cell r="BF91">
            <v>16.517709819200217</v>
          </cell>
          <cell r="BG91">
            <v>17.429620749261797</v>
          </cell>
          <cell r="BH91">
            <v>16.109902701379674</v>
          </cell>
          <cell r="BI91">
            <v>13.839355674417275</v>
          </cell>
          <cell r="BJ91">
            <v>18.380449728342072</v>
          </cell>
          <cell r="BU91">
            <v>10.841308396256121</v>
          </cell>
          <cell r="BV91">
            <v>11.522967903511651</v>
          </cell>
          <cell r="BW91">
            <v>10.055977276238897</v>
          </cell>
          <cell r="BX91">
            <v>8.6149332270911767</v>
          </cell>
          <cell r="BY91">
            <v>11.497021325386617</v>
          </cell>
        </row>
        <row r="92">
          <cell r="A92">
            <v>39566</v>
          </cell>
          <cell r="BF92">
            <v>16.291027256662673</v>
          </cell>
          <cell r="BG92">
            <v>17.429620749261797</v>
          </cell>
          <cell r="BH92">
            <v>16.109902701379674</v>
          </cell>
          <cell r="BI92">
            <v>13.839355674417275</v>
          </cell>
          <cell r="BJ92">
            <v>18.380449728342072</v>
          </cell>
          <cell r="BU92">
            <v>10.70377461806132</v>
          </cell>
          <cell r="BV92">
            <v>11.522967903511651</v>
          </cell>
          <cell r="BW92">
            <v>10.055977276238897</v>
          </cell>
          <cell r="BX92">
            <v>8.6149332270911767</v>
          </cell>
          <cell r="BY92">
            <v>11.497021325386617</v>
          </cell>
        </row>
        <row r="93">
          <cell r="A93">
            <v>39567</v>
          </cell>
          <cell r="BF93">
            <v>15.983743897372584</v>
          </cell>
          <cell r="BG93">
            <v>17.429620749261797</v>
          </cell>
          <cell r="BH93">
            <v>16.109902701379674</v>
          </cell>
          <cell r="BI93">
            <v>13.839355674417275</v>
          </cell>
          <cell r="BJ93">
            <v>18.380449728342072</v>
          </cell>
          <cell r="BU93">
            <v>10.517338392414027</v>
          </cell>
          <cell r="BV93">
            <v>11.522967903511651</v>
          </cell>
          <cell r="BW93">
            <v>10.055977276238897</v>
          </cell>
          <cell r="BX93">
            <v>8.6149332270911767</v>
          </cell>
          <cell r="BY93">
            <v>11.497021325386617</v>
          </cell>
        </row>
        <row r="94">
          <cell r="A94">
            <v>39568</v>
          </cell>
          <cell r="BF94">
            <v>15.706684073766347</v>
          </cell>
          <cell r="BG94">
            <v>17.429620749261797</v>
          </cell>
          <cell r="BH94">
            <v>16.109902701379674</v>
          </cell>
          <cell r="BI94">
            <v>13.839355674417275</v>
          </cell>
          <cell r="BJ94">
            <v>18.380449728342072</v>
          </cell>
          <cell r="BU94">
            <v>10.349239514847126</v>
          </cell>
          <cell r="BV94">
            <v>11.522967903511651</v>
          </cell>
          <cell r="BW94">
            <v>10.055977276238897</v>
          </cell>
          <cell r="BX94">
            <v>8.6149332270911767</v>
          </cell>
          <cell r="BY94">
            <v>11.497021325386617</v>
          </cell>
        </row>
        <row r="95">
          <cell r="A95">
            <v>39569</v>
          </cell>
          <cell r="BF95">
            <v>15.90314360436242</v>
          </cell>
          <cell r="BG95">
            <v>17.429620749261797</v>
          </cell>
          <cell r="BH95">
            <v>16.109902701379674</v>
          </cell>
          <cell r="BI95">
            <v>13.839355674417275</v>
          </cell>
          <cell r="BJ95">
            <v>18.380449728342072</v>
          </cell>
          <cell r="BU95">
            <v>10.468436250594189</v>
          </cell>
          <cell r="BV95">
            <v>11.522967903511651</v>
          </cell>
          <cell r="BW95">
            <v>10.055977276238897</v>
          </cell>
          <cell r="BX95">
            <v>8.6149332270911767</v>
          </cell>
          <cell r="BY95">
            <v>11.497021325386617</v>
          </cell>
        </row>
        <row r="96">
          <cell r="A96">
            <v>39570</v>
          </cell>
          <cell r="BF96">
            <v>15.523626750715458</v>
          </cell>
          <cell r="BG96">
            <v>17.429620749261797</v>
          </cell>
          <cell r="BH96">
            <v>16.109902701379674</v>
          </cell>
          <cell r="BI96">
            <v>13.839355674417275</v>
          </cell>
          <cell r="BJ96">
            <v>18.380449728342072</v>
          </cell>
          <cell r="BU96">
            <v>10.2330975774944</v>
          </cell>
          <cell r="BV96">
            <v>11.522967903511651</v>
          </cell>
          <cell r="BW96">
            <v>10.055977276238897</v>
          </cell>
          <cell r="BX96">
            <v>8.6149332270911767</v>
          </cell>
          <cell r="BY96">
            <v>11.497021325386617</v>
          </cell>
        </row>
        <row r="97">
          <cell r="A97">
            <v>39573</v>
          </cell>
          <cell r="BF97">
            <v>15.61939093262086</v>
          </cell>
          <cell r="BG97">
            <v>17.429620749261797</v>
          </cell>
          <cell r="BH97">
            <v>16.109902701379674</v>
          </cell>
          <cell r="BI97">
            <v>13.839355674417275</v>
          </cell>
          <cell r="BJ97">
            <v>18.380449728342072</v>
          </cell>
          <cell r="BU97">
            <v>9.7044826169758647</v>
          </cell>
          <cell r="BV97">
            <v>11.522967903511651</v>
          </cell>
          <cell r="BW97">
            <v>10.055977276238897</v>
          </cell>
          <cell r="BX97">
            <v>8.6149332270911767</v>
          </cell>
          <cell r="BY97">
            <v>11.497021325386617</v>
          </cell>
        </row>
        <row r="98">
          <cell r="A98">
            <v>39574</v>
          </cell>
          <cell r="BF98">
            <v>15.392586121302697</v>
          </cell>
          <cell r="BG98">
            <v>17.429620749261797</v>
          </cell>
          <cell r="BH98">
            <v>16.109902701379674</v>
          </cell>
          <cell r="BI98">
            <v>13.839355674417275</v>
          </cell>
          <cell r="BJ98">
            <v>18.380449728342072</v>
          </cell>
          <cell r="BU98">
            <v>9.5754679434444636</v>
          </cell>
          <cell r="BV98">
            <v>11.522967903511651</v>
          </cell>
          <cell r="BW98">
            <v>10.055977276238897</v>
          </cell>
          <cell r="BX98">
            <v>8.6149332270911767</v>
          </cell>
          <cell r="BY98">
            <v>11.497021325386617</v>
          </cell>
        </row>
        <row r="99">
          <cell r="A99">
            <v>39575</v>
          </cell>
          <cell r="BF99">
            <v>15.740356825149957</v>
          </cell>
          <cell r="BG99">
            <v>17.429620749261797</v>
          </cell>
          <cell r="BH99">
            <v>16.109902701379674</v>
          </cell>
          <cell r="BI99">
            <v>13.839355674417275</v>
          </cell>
          <cell r="BJ99">
            <v>18.380449728342072</v>
          </cell>
          <cell r="BU99">
            <v>9.7732923350871026</v>
          </cell>
          <cell r="BV99">
            <v>11.522967903511651</v>
          </cell>
          <cell r="BW99">
            <v>10.055977276238897</v>
          </cell>
          <cell r="BX99">
            <v>8.6149332270911767</v>
          </cell>
          <cell r="BY99">
            <v>11.497021325386617</v>
          </cell>
        </row>
        <row r="100">
          <cell r="A100">
            <v>39576</v>
          </cell>
          <cell r="BF100">
            <v>15.4631475845563</v>
          </cell>
          <cell r="BG100">
            <v>17.429620749261797</v>
          </cell>
          <cell r="BH100">
            <v>16.109902701379674</v>
          </cell>
          <cell r="BI100">
            <v>13.839355674417275</v>
          </cell>
          <cell r="BJ100">
            <v>18.380449728342072</v>
          </cell>
          <cell r="BU100">
            <v>9.6156058227630421</v>
          </cell>
          <cell r="BV100">
            <v>11.522967903511651</v>
          </cell>
          <cell r="BW100">
            <v>10.055977276238897</v>
          </cell>
          <cell r="BX100">
            <v>8.6149332270911767</v>
          </cell>
          <cell r="BY100">
            <v>11.497021325386617</v>
          </cell>
        </row>
        <row r="101">
          <cell r="A101">
            <v>39577</v>
          </cell>
          <cell r="BF101">
            <v>14.999455664825529</v>
          </cell>
          <cell r="BG101">
            <v>17.429620749261797</v>
          </cell>
          <cell r="BH101">
            <v>16.109902701379674</v>
          </cell>
          <cell r="BI101">
            <v>13.839355674417275</v>
          </cell>
          <cell r="BJ101">
            <v>18.380449728342072</v>
          </cell>
          <cell r="BU101">
            <v>9.3518413051783913</v>
          </cell>
          <cell r="BV101">
            <v>11.522967903511651</v>
          </cell>
          <cell r="BW101">
            <v>10.055977276238897</v>
          </cell>
          <cell r="BX101">
            <v>8.6149332270911767</v>
          </cell>
          <cell r="BY101">
            <v>11.497021325386617</v>
          </cell>
        </row>
        <row r="102">
          <cell r="A102">
            <v>39580</v>
          </cell>
          <cell r="BF102">
            <v>14.812972985688415</v>
          </cell>
          <cell r="BG102">
            <v>17.429620749261797</v>
          </cell>
          <cell r="BH102">
            <v>16.109902701379674</v>
          </cell>
          <cell r="BI102">
            <v>13.839355674417275</v>
          </cell>
          <cell r="BJ102">
            <v>18.380449728342072</v>
          </cell>
          <cell r="BU102">
            <v>9.245763299917801</v>
          </cell>
          <cell r="BV102">
            <v>11.522967903511651</v>
          </cell>
          <cell r="BW102">
            <v>10.055977276238897</v>
          </cell>
          <cell r="BX102">
            <v>8.6149332270911767</v>
          </cell>
          <cell r="BY102">
            <v>11.497021325386617</v>
          </cell>
        </row>
        <row r="103">
          <cell r="A103">
            <v>39581</v>
          </cell>
          <cell r="BF103">
            <v>14.537708115847673</v>
          </cell>
          <cell r="BG103">
            <v>17.429620749261797</v>
          </cell>
          <cell r="BH103">
            <v>16.109902701379674</v>
          </cell>
          <cell r="BI103">
            <v>13.839355674417275</v>
          </cell>
          <cell r="BJ103">
            <v>18.380449728342072</v>
          </cell>
          <cell r="BU103">
            <v>9.0907687967042037</v>
          </cell>
          <cell r="BV103">
            <v>11.522967903511651</v>
          </cell>
          <cell r="BW103">
            <v>10.055977276238897</v>
          </cell>
          <cell r="BX103">
            <v>8.6149332270911767</v>
          </cell>
          <cell r="BY103">
            <v>11.497021325386617</v>
          </cell>
        </row>
        <row r="104">
          <cell r="A104">
            <v>39582</v>
          </cell>
          <cell r="BF104">
            <v>14.532714208564226</v>
          </cell>
          <cell r="BG104">
            <v>17.429620749261797</v>
          </cell>
          <cell r="BH104">
            <v>16.109902701379674</v>
          </cell>
          <cell r="BI104">
            <v>13.839355674417275</v>
          </cell>
          <cell r="BJ104">
            <v>18.380449728342072</v>
          </cell>
          <cell r="BU104">
            <v>9.0879249821173325</v>
          </cell>
          <cell r="BV104">
            <v>11.522967903511651</v>
          </cell>
          <cell r="BW104">
            <v>10.055977276238897</v>
          </cell>
          <cell r="BX104">
            <v>8.6149332270911767</v>
          </cell>
          <cell r="BY104">
            <v>11.497021325386617</v>
          </cell>
        </row>
        <row r="105">
          <cell r="A105">
            <v>39583</v>
          </cell>
          <cell r="BF105">
            <v>14.477836106548329</v>
          </cell>
          <cell r="BG105">
            <v>17.429620749261797</v>
          </cell>
          <cell r="BH105">
            <v>16.109902701379674</v>
          </cell>
          <cell r="BI105">
            <v>13.839355674417275</v>
          </cell>
          <cell r="BJ105">
            <v>18.380449728342072</v>
          </cell>
          <cell r="BU105">
            <v>9.0566742723714828</v>
          </cell>
          <cell r="BV105">
            <v>11.522967903511651</v>
          </cell>
          <cell r="BW105">
            <v>10.055977276238897</v>
          </cell>
          <cell r="BX105">
            <v>8.6149332270911767</v>
          </cell>
          <cell r="BY105">
            <v>11.497021325386617</v>
          </cell>
        </row>
        <row r="106">
          <cell r="A106">
            <v>39584</v>
          </cell>
          <cell r="BF106">
            <v>14.477836106548329</v>
          </cell>
          <cell r="BG106">
            <v>17.429620749261797</v>
          </cell>
          <cell r="BH106">
            <v>16.109902701379674</v>
          </cell>
          <cell r="BI106">
            <v>13.839355674417275</v>
          </cell>
          <cell r="BJ106">
            <v>18.380449728342072</v>
          </cell>
          <cell r="BU106">
            <v>9.0566742723714828</v>
          </cell>
          <cell r="BV106">
            <v>11.522967903511651</v>
          </cell>
          <cell r="BW106">
            <v>10.055977276238897</v>
          </cell>
          <cell r="BX106">
            <v>8.6149332270911767</v>
          </cell>
          <cell r="BY106">
            <v>11.497021325386617</v>
          </cell>
        </row>
        <row r="107">
          <cell r="A107">
            <v>39587</v>
          </cell>
          <cell r="BF107">
            <v>14.477836106548329</v>
          </cell>
          <cell r="BG107">
            <v>17.429620749261797</v>
          </cell>
          <cell r="BH107">
            <v>16.109902701379674</v>
          </cell>
          <cell r="BI107">
            <v>13.839355674417275</v>
          </cell>
          <cell r="BJ107">
            <v>18.380449728342072</v>
          </cell>
          <cell r="BU107">
            <v>9.0566742723714828</v>
          </cell>
          <cell r="BV107">
            <v>11.522967903511651</v>
          </cell>
          <cell r="BW107">
            <v>10.055977276238897</v>
          </cell>
          <cell r="BX107">
            <v>8.6149332270911767</v>
          </cell>
          <cell r="BY107">
            <v>11.497021325386617</v>
          </cell>
        </row>
        <row r="108">
          <cell r="A108">
            <v>39588</v>
          </cell>
          <cell r="BF108">
            <v>15.031606045072381</v>
          </cell>
          <cell r="BG108">
            <v>17.429620749261797</v>
          </cell>
          <cell r="BH108">
            <v>16.109902701379674</v>
          </cell>
          <cell r="BI108">
            <v>13.839355674417275</v>
          </cell>
          <cell r="BJ108">
            <v>18.380449728342072</v>
          </cell>
          <cell r="BU108">
            <v>9.3720223434432359</v>
          </cell>
          <cell r="BV108">
            <v>11.522967903511651</v>
          </cell>
          <cell r="BW108">
            <v>10.055977276238897</v>
          </cell>
          <cell r="BX108">
            <v>8.6149332270911767</v>
          </cell>
          <cell r="BY108">
            <v>11.497021325386617</v>
          </cell>
        </row>
        <row r="109">
          <cell r="A109">
            <v>39589</v>
          </cell>
          <cell r="BF109">
            <v>14.34812672351539</v>
          </cell>
          <cell r="BG109">
            <v>17.429620749261797</v>
          </cell>
          <cell r="BH109">
            <v>16.109902701379674</v>
          </cell>
          <cell r="BI109">
            <v>13.839355674417275</v>
          </cell>
          <cell r="BJ109">
            <v>18.380449728342072</v>
          </cell>
          <cell r="BU109">
            <v>8.9828103789135518</v>
          </cell>
          <cell r="BV109">
            <v>11.522967903511651</v>
          </cell>
          <cell r="BW109">
            <v>10.055977276238897</v>
          </cell>
          <cell r="BX109">
            <v>8.6149332270911767</v>
          </cell>
          <cell r="BY109">
            <v>11.497021325386617</v>
          </cell>
        </row>
        <row r="110">
          <cell r="A110">
            <v>39590</v>
          </cell>
          <cell r="BF110">
            <v>14.557660297065143</v>
          </cell>
          <cell r="BG110">
            <v>17.429620749261797</v>
          </cell>
          <cell r="BH110">
            <v>16.109902701379674</v>
          </cell>
          <cell r="BI110">
            <v>13.839355674417275</v>
          </cell>
          <cell r="BJ110">
            <v>18.380449728342072</v>
          </cell>
          <cell r="BU110">
            <v>9.1021307024757103</v>
          </cell>
          <cell r="BV110">
            <v>11.522967903511651</v>
          </cell>
          <cell r="BW110">
            <v>10.055977276238897</v>
          </cell>
          <cell r="BX110">
            <v>8.6149332270911767</v>
          </cell>
          <cell r="BY110">
            <v>11.497021325386617</v>
          </cell>
        </row>
        <row r="111">
          <cell r="A111">
            <v>39591</v>
          </cell>
          <cell r="BF111">
            <v>14.627505154176285</v>
          </cell>
          <cell r="BG111">
            <v>17.429620749261797</v>
          </cell>
          <cell r="BH111">
            <v>16.109902701379674</v>
          </cell>
          <cell r="BI111">
            <v>13.839355674417275</v>
          </cell>
          <cell r="BJ111">
            <v>18.380449728342072</v>
          </cell>
          <cell r="BU111">
            <v>9.1419043330613388</v>
          </cell>
          <cell r="BV111">
            <v>11.522967903511651</v>
          </cell>
          <cell r="BW111">
            <v>10.055977276238897</v>
          </cell>
          <cell r="BX111">
            <v>8.6149332270911767</v>
          </cell>
          <cell r="BY111">
            <v>11.497021325386617</v>
          </cell>
        </row>
        <row r="112">
          <cell r="A112">
            <v>39594</v>
          </cell>
          <cell r="BF112">
            <v>14.527728283550163</v>
          </cell>
          <cell r="BG112">
            <v>17.429620749261797</v>
          </cell>
          <cell r="BH112">
            <v>16.109902701379674</v>
          </cell>
          <cell r="BI112">
            <v>13.839355674417275</v>
          </cell>
          <cell r="BJ112">
            <v>18.380449728342072</v>
          </cell>
          <cell r="BU112">
            <v>9.0850857130882403</v>
          </cell>
          <cell r="BV112">
            <v>11.522967903511651</v>
          </cell>
          <cell r="BW112">
            <v>10.055977276238897</v>
          </cell>
          <cell r="BX112">
            <v>8.6149332270911767</v>
          </cell>
          <cell r="BY112">
            <v>11.497021325386617</v>
          </cell>
        </row>
        <row r="113">
          <cell r="A113">
            <v>39595</v>
          </cell>
          <cell r="BF113">
            <v>14.842032136117648</v>
          </cell>
          <cell r="BG113">
            <v>17.429620749261797</v>
          </cell>
          <cell r="BH113">
            <v>16.109902701379674</v>
          </cell>
          <cell r="BI113">
            <v>13.839355674417275</v>
          </cell>
          <cell r="BJ113">
            <v>18.380449728342072</v>
          </cell>
          <cell r="BU113">
            <v>9.2640681871130059</v>
          </cell>
          <cell r="BV113">
            <v>11.522967903511651</v>
          </cell>
          <cell r="BW113">
            <v>10.055977276238897</v>
          </cell>
          <cell r="BX113">
            <v>8.6149332270911767</v>
          </cell>
          <cell r="BY113">
            <v>11.497021325386617</v>
          </cell>
        </row>
        <row r="114">
          <cell r="A114">
            <v>39596</v>
          </cell>
          <cell r="BF114">
            <v>15.231167269702173</v>
          </cell>
          <cell r="BG114">
            <v>17.429620749261797</v>
          </cell>
          <cell r="BH114">
            <v>16.109902701379674</v>
          </cell>
          <cell r="BI114">
            <v>13.839355674417275</v>
          </cell>
          <cell r="BJ114">
            <v>18.380449728342072</v>
          </cell>
          <cell r="BU114">
            <v>9.4856638448498494</v>
          </cell>
          <cell r="BV114">
            <v>11.522967903511651</v>
          </cell>
          <cell r="BW114">
            <v>10.055977276238897</v>
          </cell>
          <cell r="BX114">
            <v>8.6149332270911767</v>
          </cell>
          <cell r="BY114">
            <v>11.497021325386617</v>
          </cell>
        </row>
        <row r="115">
          <cell r="A115">
            <v>39597</v>
          </cell>
          <cell r="BF115">
            <v>15.879720670460738</v>
          </cell>
          <cell r="BG115">
            <v>17.429620749261797</v>
          </cell>
          <cell r="BH115">
            <v>16.109902701379674</v>
          </cell>
          <cell r="BI115">
            <v>13.839355674417275</v>
          </cell>
          <cell r="BJ115">
            <v>18.380449728342072</v>
          </cell>
          <cell r="BU115">
            <v>9.8549870054051922</v>
          </cell>
          <cell r="BV115">
            <v>11.522967903511651</v>
          </cell>
          <cell r="BW115">
            <v>10.055977276238897</v>
          </cell>
          <cell r="BX115">
            <v>8.6149332270911767</v>
          </cell>
          <cell r="BY115">
            <v>11.497021325386617</v>
          </cell>
        </row>
        <row r="116">
          <cell r="A116">
            <v>39598</v>
          </cell>
          <cell r="BF116">
            <v>15.695133185411903</v>
          </cell>
          <cell r="BG116">
            <v>17.429620749261797</v>
          </cell>
          <cell r="BH116">
            <v>16.109902701379674</v>
          </cell>
          <cell r="BI116">
            <v>13.839355674417275</v>
          </cell>
          <cell r="BJ116">
            <v>18.380449728342072</v>
          </cell>
          <cell r="BU116">
            <v>9.7498724022014116</v>
          </cell>
          <cell r="BV116">
            <v>11.522967903511651</v>
          </cell>
          <cell r="BW116">
            <v>10.055977276238897</v>
          </cell>
          <cell r="BX116">
            <v>8.6149332270911767</v>
          </cell>
          <cell r="BY116">
            <v>11.497021325386617</v>
          </cell>
        </row>
        <row r="117">
          <cell r="A117">
            <v>39601</v>
          </cell>
          <cell r="BF117">
            <v>15.814869720633043</v>
          </cell>
          <cell r="BG117">
            <v>17.429620749261797</v>
          </cell>
          <cell r="BH117">
            <v>16.109902701379674</v>
          </cell>
          <cell r="BI117">
            <v>13.839355674417275</v>
          </cell>
          <cell r="BJ117">
            <v>18.380449728342072</v>
          </cell>
          <cell r="BU117">
            <v>9.818057189406435</v>
          </cell>
          <cell r="BV117">
            <v>11.522967903511651</v>
          </cell>
          <cell r="BW117">
            <v>10.055977276238897</v>
          </cell>
          <cell r="BX117">
            <v>8.6149332270911767</v>
          </cell>
          <cell r="BY117">
            <v>11.497021325386617</v>
          </cell>
        </row>
        <row r="118">
          <cell r="A118">
            <v>39602</v>
          </cell>
          <cell r="BF118">
            <v>15.894686926664146</v>
          </cell>
          <cell r="BG118">
            <v>17.429620749261797</v>
          </cell>
          <cell r="BH118">
            <v>16.109902701379674</v>
          </cell>
          <cell r="BI118">
            <v>13.839355674417275</v>
          </cell>
          <cell r="BJ118">
            <v>18.380449728342072</v>
          </cell>
          <cell r="BU118">
            <v>9.8635096421476049</v>
          </cell>
          <cell r="BV118">
            <v>11.522967903511651</v>
          </cell>
          <cell r="BW118">
            <v>10.055977276238897</v>
          </cell>
          <cell r="BX118">
            <v>8.6149332270911767</v>
          </cell>
          <cell r="BY118">
            <v>11.497021325386617</v>
          </cell>
        </row>
        <row r="119">
          <cell r="A119">
            <v>39603</v>
          </cell>
          <cell r="BF119">
            <v>15.869748321540778</v>
          </cell>
          <cell r="BG119">
            <v>17.429620749261797</v>
          </cell>
          <cell r="BH119">
            <v>16.109902701379674</v>
          </cell>
          <cell r="BI119">
            <v>13.839355674417275</v>
          </cell>
          <cell r="BJ119">
            <v>18.380449728342072</v>
          </cell>
          <cell r="BU119">
            <v>9.8493081832496472</v>
          </cell>
          <cell r="BV119">
            <v>11.522967903511651</v>
          </cell>
          <cell r="BW119">
            <v>10.055977276238897</v>
          </cell>
          <cell r="BX119">
            <v>8.6149332270911767</v>
          </cell>
          <cell r="BY119">
            <v>11.497021325386617</v>
          </cell>
        </row>
        <row r="120">
          <cell r="A120">
            <v>39604</v>
          </cell>
          <cell r="BF120">
            <v>15.86475441425733</v>
          </cell>
          <cell r="BG120">
            <v>17.429620749261797</v>
          </cell>
          <cell r="BH120">
            <v>16.109902701379674</v>
          </cell>
          <cell r="BI120">
            <v>13.839355674417275</v>
          </cell>
          <cell r="BJ120">
            <v>18.380449728342072</v>
          </cell>
          <cell r="BU120">
            <v>9.8464643686627742</v>
          </cell>
          <cell r="BV120">
            <v>11.522967903511651</v>
          </cell>
          <cell r="BW120">
            <v>10.055977276238897</v>
          </cell>
          <cell r="BX120">
            <v>8.6149332270911767</v>
          </cell>
          <cell r="BY120">
            <v>11.497021325386617</v>
          </cell>
        </row>
        <row r="121">
          <cell r="A121">
            <v>39605</v>
          </cell>
          <cell r="BF121">
            <v>15.849788656945758</v>
          </cell>
          <cell r="BG121">
            <v>17.429620749261797</v>
          </cell>
          <cell r="BH121">
            <v>16.109902701379674</v>
          </cell>
          <cell r="BI121">
            <v>13.839355674417275</v>
          </cell>
          <cell r="BJ121">
            <v>18.380449728342072</v>
          </cell>
          <cell r="BU121">
            <v>9.8379420160177204</v>
          </cell>
          <cell r="BV121">
            <v>11.522967903511651</v>
          </cell>
          <cell r="BW121">
            <v>10.055977276238897</v>
          </cell>
          <cell r="BX121">
            <v>8.6149332270911767</v>
          </cell>
          <cell r="BY121">
            <v>11.497021325386617</v>
          </cell>
        </row>
        <row r="122">
          <cell r="A122">
            <v>39608</v>
          </cell>
          <cell r="BF122">
            <v>15.515531625377129</v>
          </cell>
          <cell r="BG122">
            <v>17.429620749261797</v>
          </cell>
          <cell r="BH122">
            <v>16.109902701379674</v>
          </cell>
          <cell r="BI122">
            <v>13.839355674417275</v>
          </cell>
          <cell r="BJ122">
            <v>18.380449728342072</v>
          </cell>
          <cell r="BU122">
            <v>9.6475970680267267</v>
          </cell>
          <cell r="BV122">
            <v>11.522967903511651</v>
          </cell>
          <cell r="BW122">
            <v>10.055977276238897</v>
          </cell>
          <cell r="BX122">
            <v>8.6149332270911767</v>
          </cell>
          <cell r="BY122">
            <v>11.497021325386617</v>
          </cell>
        </row>
        <row r="123">
          <cell r="A123">
            <v>39609</v>
          </cell>
          <cell r="BF123">
            <v>15.759991618617146</v>
          </cell>
          <cell r="BG123">
            <v>17.429620749261797</v>
          </cell>
          <cell r="BH123">
            <v>16.109902701379674</v>
          </cell>
          <cell r="BI123">
            <v>13.839355674417275</v>
          </cell>
          <cell r="BJ123">
            <v>18.380449728342072</v>
          </cell>
          <cell r="BU123">
            <v>9.7868064796605854</v>
          </cell>
          <cell r="BV123">
            <v>11.522967903511651</v>
          </cell>
          <cell r="BW123">
            <v>10.055977276238897</v>
          </cell>
          <cell r="BX123">
            <v>8.6149332270911767</v>
          </cell>
          <cell r="BY123">
            <v>11.497021325386617</v>
          </cell>
        </row>
        <row r="124">
          <cell r="A124">
            <v>39610</v>
          </cell>
          <cell r="BF124">
            <v>15.690146761506004</v>
          </cell>
          <cell r="BG124">
            <v>17.429620749261797</v>
          </cell>
          <cell r="BH124">
            <v>16.109902701379674</v>
          </cell>
          <cell r="BI124">
            <v>13.839355674417275</v>
          </cell>
          <cell r="BJ124">
            <v>18.380449728342072</v>
          </cell>
          <cell r="BU124">
            <v>9.7470328490749587</v>
          </cell>
          <cell r="BV124">
            <v>11.522967903511651</v>
          </cell>
          <cell r="BW124">
            <v>10.055977276238897</v>
          </cell>
          <cell r="BX124">
            <v>8.6149332270911767</v>
          </cell>
          <cell r="BY124">
            <v>11.497021325386617</v>
          </cell>
        </row>
        <row r="125">
          <cell r="A125">
            <v>39611</v>
          </cell>
          <cell r="BF125">
            <v>15.580390058582372</v>
          </cell>
          <cell r="BG125">
            <v>17.429620749261797</v>
          </cell>
          <cell r="BH125">
            <v>16.109902701379674</v>
          </cell>
          <cell r="BI125">
            <v>13.839355674417275</v>
          </cell>
          <cell r="BJ125">
            <v>18.380449728342072</v>
          </cell>
          <cell r="BU125">
            <v>9.6845311454859004</v>
          </cell>
          <cell r="BV125">
            <v>11.522967903511651</v>
          </cell>
          <cell r="BW125">
            <v>10.055977276238897</v>
          </cell>
          <cell r="BX125">
            <v>8.6149332270911767</v>
          </cell>
          <cell r="BY125">
            <v>11.497021325386617</v>
          </cell>
        </row>
        <row r="126">
          <cell r="A126">
            <v>39612</v>
          </cell>
          <cell r="BF126">
            <v>15.344620903327602</v>
          </cell>
          <cell r="BG126">
            <v>17.429620749261797</v>
          </cell>
          <cell r="BH126">
            <v>16.109902701379674</v>
          </cell>
          <cell r="BI126">
            <v>13.839355674417275</v>
          </cell>
          <cell r="BJ126">
            <v>18.380449728342072</v>
          </cell>
          <cell r="BU126">
            <v>9.5523203962907068</v>
          </cell>
          <cell r="BV126">
            <v>11.522967903511651</v>
          </cell>
          <cell r="BW126">
            <v>10.055977276238897</v>
          </cell>
          <cell r="BX126">
            <v>8.6149332270911767</v>
          </cell>
          <cell r="BY126">
            <v>11.497021325386617</v>
          </cell>
        </row>
        <row r="127">
          <cell r="A127">
            <v>39615</v>
          </cell>
          <cell r="BF127">
            <v>15.068053186797327</v>
          </cell>
          <cell r="BG127">
            <v>17.429620749261797</v>
          </cell>
          <cell r="BH127">
            <v>16.109902701379674</v>
          </cell>
          <cell r="BI127">
            <v>13.839355674417275</v>
          </cell>
          <cell r="BJ127">
            <v>18.380449728342072</v>
          </cell>
          <cell r="BU127">
            <v>9.3946583314135346</v>
          </cell>
          <cell r="BV127">
            <v>11.522967903511651</v>
          </cell>
          <cell r="BW127">
            <v>10.055977276238897</v>
          </cell>
          <cell r="BX127">
            <v>8.6149332270911767</v>
          </cell>
          <cell r="BY127">
            <v>11.497021325386617</v>
          </cell>
        </row>
        <row r="128">
          <cell r="A128">
            <v>39616</v>
          </cell>
          <cell r="BF128">
            <v>15.991592640640077</v>
          </cell>
          <cell r="BG128">
            <v>17.429620749261797</v>
          </cell>
          <cell r="BH128">
            <v>16.109902701379674</v>
          </cell>
          <cell r="BI128">
            <v>13.839355674417275</v>
          </cell>
          <cell r="BJ128">
            <v>18.380449728342072</v>
          </cell>
          <cell r="BU128">
            <v>9.9211374849283445</v>
          </cell>
          <cell r="BV128">
            <v>11.522967903511651</v>
          </cell>
          <cell r="BW128">
            <v>10.055977276238897</v>
          </cell>
          <cell r="BX128">
            <v>8.6149332270911767</v>
          </cell>
          <cell r="BY128">
            <v>11.497021325386617</v>
          </cell>
        </row>
        <row r="129">
          <cell r="A129">
            <v>39617</v>
          </cell>
          <cell r="BF129">
            <v>15.759471984250329</v>
          </cell>
          <cell r="BG129">
            <v>17.429620749261797</v>
          </cell>
          <cell r="BH129">
            <v>16.109902701379674</v>
          </cell>
          <cell r="BI129">
            <v>13.839355674417275</v>
          </cell>
          <cell r="BJ129">
            <v>18.380449728342072</v>
          </cell>
          <cell r="BU129">
            <v>9.7888132120660583</v>
          </cell>
          <cell r="BV129">
            <v>11.522967903511651</v>
          </cell>
          <cell r="BW129">
            <v>10.055977276238897</v>
          </cell>
          <cell r="BX129">
            <v>8.6149332270911767</v>
          </cell>
          <cell r="BY129">
            <v>11.497021325386617</v>
          </cell>
        </row>
        <row r="130">
          <cell r="A130">
            <v>39618</v>
          </cell>
          <cell r="BF130">
            <v>15.789102863804661</v>
          </cell>
          <cell r="BG130">
            <v>17.429620749261797</v>
          </cell>
          <cell r="BH130">
            <v>16.109902701379674</v>
          </cell>
          <cell r="BI130">
            <v>13.839355674417275</v>
          </cell>
          <cell r="BJ130">
            <v>18.380449728342072</v>
          </cell>
          <cell r="BU130">
            <v>9.8057047918689051</v>
          </cell>
          <cell r="BV130">
            <v>11.522967903511651</v>
          </cell>
          <cell r="BW130">
            <v>10.055977276238897</v>
          </cell>
          <cell r="BX130">
            <v>8.6149332270911767</v>
          </cell>
          <cell r="BY130">
            <v>11.497021325386617</v>
          </cell>
        </row>
        <row r="131">
          <cell r="A131">
            <v>39619</v>
          </cell>
          <cell r="BF131">
            <v>16.00640832735359</v>
          </cell>
          <cell r="BG131">
            <v>17.429620749261797</v>
          </cell>
          <cell r="BH131">
            <v>16.109902701379674</v>
          </cell>
          <cell r="BI131">
            <v>13.839355674417275</v>
          </cell>
          <cell r="BJ131">
            <v>18.380449728342072</v>
          </cell>
          <cell r="BU131">
            <v>9.9295834155999749</v>
          </cell>
          <cell r="BV131">
            <v>11.522967903511651</v>
          </cell>
          <cell r="BW131">
            <v>10.055977276238897</v>
          </cell>
          <cell r="BX131">
            <v>8.6149332270911767</v>
          </cell>
          <cell r="BY131">
            <v>11.497021325386617</v>
          </cell>
        </row>
        <row r="132">
          <cell r="A132">
            <v>39622</v>
          </cell>
          <cell r="BF132">
            <v>16.29285547309874</v>
          </cell>
          <cell r="BG132">
            <v>17.429620749261797</v>
          </cell>
          <cell r="BH132">
            <v>16.109902701379674</v>
          </cell>
          <cell r="BI132">
            <v>13.839355674417275</v>
          </cell>
          <cell r="BJ132">
            <v>18.380449728342072</v>
          </cell>
          <cell r="BU132">
            <v>10.092877414780132</v>
          </cell>
          <cell r="BV132">
            <v>11.522967903511651</v>
          </cell>
          <cell r="BW132">
            <v>10.055977276238897</v>
          </cell>
          <cell r="BX132">
            <v>8.6149332270911767</v>
          </cell>
          <cell r="BY132">
            <v>11.497021325386617</v>
          </cell>
        </row>
        <row r="133">
          <cell r="A133">
            <v>39623</v>
          </cell>
          <cell r="BF133">
            <v>16.391628528721981</v>
          </cell>
          <cell r="BG133">
            <v>17.429620749261797</v>
          </cell>
          <cell r="BH133">
            <v>16.109902701379674</v>
          </cell>
          <cell r="BI133">
            <v>13.839355674417275</v>
          </cell>
          <cell r="BJ133">
            <v>18.380449728342072</v>
          </cell>
          <cell r="BU133">
            <v>10.149184651572474</v>
          </cell>
          <cell r="BV133">
            <v>11.522967903511651</v>
          </cell>
          <cell r="BW133">
            <v>10.055977276238897</v>
          </cell>
          <cell r="BX133">
            <v>8.6149332270911767</v>
          </cell>
          <cell r="BY133">
            <v>11.497021325386617</v>
          </cell>
        </row>
        <row r="134">
          <cell r="A134">
            <v>39624</v>
          </cell>
          <cell r="BF134">
            <v>16.248408412958209</v>
          </cell>
          <cell r="BG134">
            <v>17.429620749261797</v>
          </cell>
          <cell r="BH134">
            <v>16.109902701379674</v>
          </cell>
          <cell r="BI134">
            <v>13.839355674417275</v>
          </cell>
          <cell r="BJ134">
            <v>18.380449728342072</v>
          </cell>
          <cell r="BU134">
            <v>10.067539622765246</v>
          </cell>
          <cell r="BV134">
            <v>11.522967903511651</v>
          </cell>
          <cell r="BW134">
            <v>10.055977276238897</v>
          </cell>
          <cell r="BX134">
            <v>8.6149332270911767</v>
          </cell>
          <cell r="BY134">
            <v>11.497021325386617</v>
          </cell>
        </row>
        <row r="135">
          <cell r="A135">
            <v>39625</v>
          </cell>
          <cell r="BF135">
            <v>16.273103528886598</v>
          </cell>
          <cell r="BG135">
            <v>17.429620749261797</v>
          </cell>
          <cell r="BH135">
            <v>16.109902701379674</v>
          </cell>
          <cell r="BI135">
            <v>13.839355674417275</v>
          </cell>
          <cell r="BJ135">
            <v>18.380449728342072</v>
          </cell>
          <cell r="BU135">
            <v>10.081617487739862</v>
          </cell>
          <cell r="BV135">
            <v>11.522967903511651</v>
          </cell>
          <cell r="BW135">
            <v>10.055977276238897</v>
          </cell>
          <cell r="BX135">
            <v>8.6149332270911767</v>
          </cell>
          <cell r="BY135">
            <v>11.497021325386617</v>
          </cell>
        </row>
        <row r="136">
          <cell r="A136">
            <v>39626</v>
          </cell>
          <cell r="BF136">
            <v>16.144692185618723</v>
          </cell>
          <cell r="BG136">
            <v>17.429620749261797</v>
          </cell>
          <cell r="BH136">
            <v>16.109902701379674</v>
          </cell>
          <cell r="BI136">
            <v>13.839355674417275</v>
          </cell>
          <cell r="BJ136">
            <v>18.380449728342072</v>
          </cell>
          <cell r="BU136">
            <v>10.008414448038559</v>
          </cell>
          <cell r="BV136">
            <v>11.522967903511651</v>
          </cell>
          <cell r="BW136">
            <v>10.055977276238897</v>
          </cell>
          <cell r="BX136">
            <v>8.6149332270911767</v>
          </cell>
          <cell r="BY136">
            <v>11.497021325386617</v>
          </cell>
        </row>
        <row r="137">
          <cell r="A137">
            <v>39629</v>
          </cell>
          <cell r="BF137">
            <v>16.228649554528459</v>
          </cell>
          <cell r="BG137">
            <v>17.429620749261797</v>
          </cell>
          <cell r="BH137">
            <v>16.109902701379674</v>
          </cell>
          <cell r="BI137">
            <v>13.839355674417275</v>
          </cell>
          <cell r="BJ137">
            <v>18.380449728342072</v>
          </cell>
          <cell r="BU137">
            <v>10.056275754159277</v>
          </cell>
          <cell r="BV137">
            <v>11.522967903511651</v>
          </cell>
          <cell r="BW137">
            <v>10.055977276238897</v>
          </cell>
          <cell r="BX137">
            <v>8.6149332270911767</v>
          </cell>
          <cell r="BY137">
            <v>11.497021325386617</v>
          </cell>
        </row>
        <row r="138">
          <cell r="A138">
            <v>39630</v>
          </cell>
          <cell r="BF138">
            <v>16.218082523473864</v>
          </cell>
          <cell r="BG138">
            <v>17.429620749261797</v>
          </cell>
          <cell r="BH138">
            <v>16.109902701379674</v>
          </cell>
          <cell r="BI138">
            <v>13.839355674417275</v>
          </cell>
          <cell r="BJ138">
            <v>18.380449728342072</v>
          </cell>
          <cell r="BU138">
            <v>10.045016108659414</v>
          </cell>
          <cell r="BV138">
            <v>11.522967903511651</v>
          </cell>
          <cell r="BW138">
            <v>10.055977276238897</v>
          </cell>
          <cell r="BX138">
            <v>8.6149332270911767</v>
          </cell>
          <cell r="BY138">
            <v>11.497021325386617</v>
          </cell>
        </row>
        <row r="139">
          <cell r="A139">
            <v>39631</v>
          </cell>
          <cell r="BF139">
            <v>16.282324328777779</v>
          </cell>
          <cell r="BG139">
            <v>17.429620749261797</v>
          </cell>
          <cell r="BH139">
            <v>16.109902701379674</v>
          </cell>
          <cell r="BI139">
            <v>13.839355674417275</v>
          </cell>
          <cell r="BJ139">
            <v>18.380449728342072</v>
          </cell>
          <cell r="BU139">
            <v>10.081617487739862</v>
          </cell>
          <cell r="BV139">
            <v>11.522967903511651</v>
          </cell>
          <cell r="BW139">
            <v>10.055977276238897</v>
          </cell>
          <cell r="BX139">
            <v>8.6149332270911767</v>
          </cell>
          <cell r="BY139">
            <v>11.497021325386617</v>
          </cell>
        </row>
        <row r="140">
          <cell r="A140">
            <v>39632</v>
          </cell>
          <cell r="BF140">
            <v>15.757641640891395</v>
          </cell>
          <cell r="BG140">
            <v>17.429620749261797</v>
          </cell>
          <cell r="BH140">
            <v>16.109902701379674</v>
          </cell>
          <cell r="BI140">
            <v>13.839355674417275</v>
          </cell>
          <cell r="BJ140">
            <v>18.380449728342072</v>
          </cell>
          <cell r="BU140">
            <v>9.8655186547238483</v>
          </cell>
          <cell r="BV140">
            <v>11.522967903511651</v>
          </cell>
          <cell r="BW140">
            <v>10.055977276238897</v>
          </cell>
          <cell r="BX140">
            <v>8.6149332270911767</v>
          </cell>
          <cell r="BY140">
            <v>11.497021325386617</v>
          </cell>
        </row>
        <row r="141">
          <cell r="A141">
            <v>39633</v>
          </cell>
          <cell r="BF141">
            <v>15.946750230288538</v>
          </cell>
          <cell r="BG141">
            <v>17.429620749261797</v>
          </cell>
          <cell r="BH141">
            <v>16.109902701379674</v>
          </cell>
          <cell r="BI141">
            <v>13.839355674417275</v>
          </cell>
          <cell r="BJ141">
            <v>18.380449728342072</v>
          </cell>
          <cell r="BU141">
            <v>9.9761414342662373</v>
          </cell>
          <cell r="BV141">
            <v>11.522967903511651</v>
          </cell>
          <cell r="BW141">
            <v>10.055977276238897</v>
          </cell>
          <cell r="BX141">
            <v>8.6149332270911767</v>
          </cell>
          <cell r="BY141">
            <v>11.497021325386617</v>
          </cell>
        </row>
        <row r="142">
          <cell r="A142">
            <v>39636</v>
          </cell>
          <cell r="BF142">
            <v>15.670020497283451</v>
          </cell>
          <cell r="BG142">
            <v>17.429620749261797</v>
          </cell>
          <cell r="BH142">
            <v>16.109902701379674</v>
          </cell>
          <cell r="BI142">
            <v>13.839355674417275</v>
          </cell>
          <cell r="BJ142">
            <v>18.380449728342072</v>
          </cell>
          <cell r="BU142">
            <v>9.8196354668949759</v>
          </cell>
          <cell r="BV142">
            <v>11.522967903511651</v>
          </cell>
          <cell r="BW142">
            <v>10.055977276238897</v>
          </cell>
          <cell r="BX142">
            <v>8.6149332270911767</v>
          </cell>
          <cell r="BY142">
            <v>11.497021325386617</v>
          </cell>
        </row>
        <row r="143">
          <cell r="A143">
            <v>39637</v>
          </cell>
          <cell r="BF143">
            <v>15.759389269879115</v>
          </cell>
          <cell r="BG143">
            <v>17.429620749261797</v>
          </cell>
          <cell r="BH143">
            <v>16.109902701379674</v>
          </cell>
          <cell r="BI143">
            <v>13.839355674417275</v>
          </cell>
          <cell r="BJ143">
            <v>18.380449728342072</v>
          </cell>
          <cell r="BU143">
            <v>9.8582068394347626</v>
          </cell>
          <cell r="BV143">
            <v>11.522967903511651</v>
          </cell>
          <cell r="BW143">
            <v>10.055977276238897</v>
          </cell>
          <cell r="BX143">
            <v>8.6149332270911767</v>
          </cell>
          <cell r="BY143">
            <v>11.497021325386617</v>
          </cell>
        </row>
        <row r="144">
          <cell r="A144">
            <v>39638</v>
          </cell>
          <cell r="BF144">
            <v>15.848540778627187</v>
          </cell>
          <cell r="BG144">
            <v>17.429620749261797</v>
          </cell>
          <cell r="BH144">
            <v>16.109902701379674</v>
          </cell>
          <cell r="BI144">
            <v>13.839355674417275</v>
          </cell>
          <cell r="BJ144">
            <v>18.380449728342072</v>
          </cell>
          <cell r="BU144">
            <v>9.9093778041230358</v>
          </cell>
          <cell r="BV144">
            <v>11.522967903511651</v>
          </cell>
          <cell r="BW144">
            <v>10.055977276238897</v>
          </cell>
          <cell r="BX144">
            <v>8.6149332270911767</v>
          </cell>
          <cell r="BY144">
            <v>11.497021325386617</v>
          </cell>
        </row>
        <row r="145">
          <cell r="A145">
            <v>39639</v>
          </cell>
          <cell r="BF145">
            <v>16.328942737242734</v>
          </cell>
          <cell r="BG145">
            <v>17.429620749261797</v>
          </cell>
          <cell r="BH145">
            <v>16.109902701379674</v>
          </cell>
          <cell r="BI145">
            <v>13.839355674417275</v>
          </cell>
          <cell r="BJ145">
            <v>18.380449728342072</v>
          </cell>
          <cell r="BU145">
            <v>10.1851177439816</v>
          </cell>
          <cell r="BV145">
            <v>11.522967903511651</v>
          </cell>
          <cell r="BW145">
            <v>10.055977276238897</v>
          </cell>
          <cell r="BX145">
            <v>8.6149332270911767</v>
          </cell>
          <cell r="BY145">
            <v>11.497021325386617</v>
          </cell>
        </row>
        <row r="146">
          <cell r="A146">
            <v>39640</v>
          </cell>
          <cell r="BF146">
            <v>16.115981932665125</v>
          </cell>
          <cell r="BG146">
            <v>17.429620749261797</v>
          </cell>
          <cell r="BH146">
            <v>16.109902701379674</v>
          </cell>
          <cell r="BI146">
            <v>13.839355674417275</v>
          </cell>
          <cell r="BJ146">
            <v>18.380449728342072</v>
          </cell>
          <cell r="BU146">
            <v>10.062883022841641</v>
          </cell>
          <cell r="BV146">
            <v>11.522967903511651</v>
          </cell>
          <cell r="BW146">
            <v>10.055977276238897</v>
          </cell>
          <cell r="BX146">
            <v>8.6149332270911767</v>
          </cell>
          <cell r="BY146">
            <v>11.497021325386617</v>
          </cell>
        </row>
        <row r="147">
          <cell r="A147">
            <v>39643</v>
          </cell>
          <cell r="BF147">
            <v>15.953134512879</v>
          </cell>
          <cell r="BG147">
            <v>17.429620749261797</v>
          </cell>
          <cell r="BH147">
            <v>16.109902701379674</v>
          </cell>
          <cell r="BI147">
            <v>13.839355674417275</v>
          </cell>
          <cell r="BJ147">
            <v>18.380449728342072</v>
          </cell>
          <cell r="BU147">
            <v>9.9878850224877205</v>
          </cell>
          <cell r="BV147">
            <v>11.522967903511651</v>
          </cell>
          <cell r="BW147">
            <v>10.055977276238897</v>
          </cell>
          <cell r="BX147">
            <v>8.6149332270911767</v>
          </cell>
          <cell r="BY147">
            <v>11.497021325386617</v>
          </cell>
        </row>
        <row r="148">
          <cell r="A148">
            <v>39644</v>
          </cell>
          <cell r="BF148">
            <v>16.222780286061592</v>
          </cell>
          <cell r="BG148">
            <v>17.429620749261797</v>
          </cell>
          <cell r="BH148">
            <v>16.109902701379674</v>
          </cell>
          <cell r="BI148">
            <v>13.839355674417275</v>
          </cell>
          <cell r="BJ148">
            <v>18.380449728342072</v>
          </cell>
          <cell r="BU148">
            <v>10.1512267126108</v>
          </cell>
          <cell r="BV148">
            <v>11.522967903511651</v>
          </cell>
          <cell r="BW148">
            <v>10.055977276238897</v>
          </cell>
          <cell r="BX148">
            <v>8.6149332270911767</v>
          </cell>
          <cell r="BY148">
            <v>11.497021325386617</v>
          </cell>
        </row>
        <row r="149">
          <cell r="A149">
            <v>39645</v>
          </cell>
          <cell r="BF149">
            <v>16.080773150079938</v>
          </cell>
          <cell r="BG149">
            <v>17.429620749261797</v>
          </cell>
          <cell r="BH149">
            <v>16.109902701379674</v>
          </cell>
          <cell r="BI149">
            <v>13.839355674417275</v>
          </cell>
          <cell r="BJ149">
            <v>18.380449728342072</v>
          </cell>
          <cell r="BU149">
            <v>10.083449038749311</v>
          </cell>
          <cell r="BV149">
            <v>11.522967903511651</v>
          </cell>
          <cell r="BW149">
            <v>10.055977276238897</v>
          </cell>
          <cell r="BX149">
            <v>8.6149332270911767</v>
          </cell>
          <cell r="BY149">
            <v>11.497021325386617</v>
          </cell>
        </row>
        <row r="150">
          <cell r="A150">
            <v>39646</v>
          </cell>
          <cell r="BF150">
            <v>15.552089562834524</v>
          </cell>
          <cell r="BG150">
            <v>17.429620749261797</v>
          </cell>
          <cell r="BH150">
            <v>16.109902701379674</v>
          </cell>
          <cell r="BI150">
            <v>13.839355674417275</v>
          </cell>
          <cell r="BJ150">
            <v>18.380449728342072</v>
          </cell>
          <cell r="BU150">
            <v>9.7250003618112792</v>
          </cell>
          <cell r="BV150">
            <v>11.522967903511651</v>
          </cell>
          <cell r="BW150">
            <v>10.055977276238897</v>
          </cell>
          <cell r="BX150">
            <v>8.6149332270911767</v>
          </cell>
          <cell r="BY150">
            <v>11.497021325386617</v>
          </cell>
        </row>
        <row r="151">
          <cell r="A151">
            <v>39647</v>
          </cell>
          <cell r="BF151">
            <v>15.419923683617386</v>
          </cell>
          <cell r="BG151">
            <v>17.429620749261797</v>
          </cell>
          <cell r="BH151">
            <v>16.109902701379674</v>
          </cell>
          <cell r="BI151">
            <v>13.839355674417275</v>
          </cell>
          <cell r="BJ151">
            <v>18.380449728342072</v>
          </cell>
          <cell r="BU151">
            <v>9.6471530781075909</v>
          </cell>
          <cell r="BV151">
            <v>11.522967903511651</v>
          </cell>
          <cell r="BW151">
            <v>10.055977276238897</v>
          </cell>
          <cell r="BX151">
            <v>8.6149332270911767</v>
          </cell>
          <cell r="BY151">
            <v>11.497021325386617</v>
          </cell>
        </row>
        <row r="152">
          <cell r="A152">
            <v>39650</v>
          </cell>
          <cell r="BF152">
            <v>15.76258718580028</v>
          </cell>
          <cell r="BG152">
            <v>17.429620749261797</v>
          </cell>
          <cell r="BH152">
            <v>16.109902701379674</v>
          </cell>
          <cell r="BI152">
            <v>13.839355674417275</v>
          </cell>
          <cell r="BJ152">
            <v>18.380449728342072</v>
          </cell>
          <cell r="BU152">
            <v>9.854622960497478</v>
          </cell>
          <cell r="BV152">
            <v>11.522967903511651</v>
          </cell>
          <cell r="BW152">
            <v>10.055977276238897</v>
          </cell>
          <cell r="BX152">
            <v>8.6149332270911767</v>
          </cell>
          <cell r="BY152">
            <v>11.497021325386617</v>
          </cell>
        </row>
        <row r="153">
          <cell r="A153">
            <v>39651</v>
          </cell>
          <cell r="BF153">
            <v>15.59125176329843</v>
          </cell>
          <cell r="BG153">
            <v>17.429620749261797</v>
          </cell>
          <cell r="BH153">
            <v>16.109902701379674</v>
          </cell>
          <cell r="BI153">
            <v>13.839355674417275</v>
          </cell>
          <cell r="BJ153">
            <v>18.380449728342072</v>
          </cell>
          <cell r="BU153">
            <v>9.7556990956679535</v>
          </cell>
          <cell r="BV153">
            <v>11.522967903511651</v>
          </cell>
          <cell r="BW153">
            <v>10.055977276238897</v>
          </cell>
          <cell r="BX153">
            <v>8.6149332270911767</v>
          </cell>
          <cell r="BY153">
            <v>11.497021325386617</v>
          </cell>
        </row>
        <row r="154">
          <cell r="A154">
            <v>39652</v>
          </cell>
          <cell r="BF154">
            <v>15.468871416603054</v>
          </cell>
          <cell r="BG154">
            <v>17.429620749261797</v>
          </cell>
          <cell r="BH154">
            <v>16.109902701379674</v>
          </cell>
          <cell r="BI154">
            <v>13.839355674417275</v>
          </cell>
          <cell r="BJ154">
            <v>18.380449728342072</v>
          </cell>
          <cell r="BU154">
            <v>9.6850404035101576</v>
          </cell>
          <cell r="BV154">
            <v>11.522967903511651</v>
          </cell>
          <cell r="BW154">
            <v>10.055977276238897</v>
          </cell>
          <cell r="BX154">
            <v>8.6149332270911767</v>
          </cell>
          <cell r="BY154">
            <v>11.497021325386617</v>
          </cell>
        </row>
        <row r="155">
          <cell r="A155">
            <v>39653</v>
          </cell>
          <cell r="BF155">
            <v>15.659784757447841</v>
          </cell>
          <cell r="BG155">
            <v>17.429620749261797</v>
          </cell>
          <cell r="BH155">
            <v>16.109902701379674</v>
          </cell>
          <cell r="BI155">
            <v>13.839355674417275</v>
          </cell>
          <cell r="BJ155">
            <v>18.380449728342072</v>
          </cell>
          <cell r="BU155">
            <v>9.79526796327632</v>
          </cell>
          <cell r="BV155">
            <v>11.522967903511651</v>
          </cell>
          <cell r="BW155">
            <v>10.055977276238897</v>
          </cell>
          <cell r="BX155">
            <v>8.6149332270911767</v>
          </cell>
          <cell r="BY155">
            <v>11.497021325386617</v>
          </cell>
        </row>
        <row r="156">
          <cell r="A156">
            <v>39654</v>
          </cell>
          <cell r="BF156">
            <v>15.899652684577713</v>
          </cell>
          <cell r="BG156">
            <v>17.429620749261797</v>
          </cell>
          <cell r="BH156">
            <v>16.109902701379674</v>
          </cell>
          <cell r="BI156">
            <v>13.839355674417275</v>
          </cell>
          <cell r="BJ156">
            <v>18.380449728342072</v>
          </cell>
          <cell r="BU156">
            <v>9.9128526811621818</v>
          </cell>
          <cell r="BV156">
            <v>11.522967903511651</v>
          </cell>
          <cell r="BW156">
            <v>10.055977276238897</v>
          </cell>
          <cell r="BX156">
            <v>8.6149332270911767</v>
          </cell>
          <cell r="BY156">
            <v>11.497021325386617</v>
          </cell>
        </row>
        <row r="157">
          <cell r="A157">
            <v>39657</v>
          </cell>
          <cell r="BF157">
            <v>15.219218446472809</v>
          </cell>
          <cell r="BG157">
            <v>17.429620749261797</v>
          </cell>
          <cell r="BH157">
            <v>16.109902701379674</v>
          </cell>
          <cell r="BI157">
            <v>13.839355674417275</v>
          </cell>
          <cell r="BJ157">
            <v>18.380449728342072</v>
          </cell>
          <cell r="BU157">
            <v>9.520817497936223</v>
          </cell>
          <cell r="BV157">
            <v>11.522967903511651</v>
          </cell>
          <cell r="BW157">
            <v>10.055977276238897</v>
          </cell>
          <cell r="BX157">
            <v>8.6149332270911767</v>
          </cell>
          <cell r="BY157">
            <v>11.497021325386617</v>
          </cell>
        </row>
        <row r="158">
          <cell r="A158">
            <v>39658</v>
          </cell>
          <cell r="BF158">
            <v>15.415024064057089</v>
          </cell>
          <cell r="BG158">
            <v>17.429620749261797</v>
          </cell>
          <cell r="BH158">
            <v>16.109902701379674</v>
          </cell>
          <cell r="BI158">
            <v>13.839355674417275</v>
          </cell>
          <cell r="BJ158">
            <v>18.380449728342072</v>
          </cell>
          <cell r="BU158">
            <v>9.6336317669243918</v>
          </cell>
          <cell r="BV158">
            <v>11.522967903511651</v>
          </cell>
          <cell r="BW158">
            <v>10.055977276238897</v>
          </cell>
          <cell r="BX158">
            <v>8.6149332270911767</v>
          </cell>
          <cell r="BY158">
            <v>11.497021325386617</v>
          </cell>
        </row>
        <row r="159">
          <cell r="A159">
            <v>39659</v>
          </cell>
          <cell r="BF159">
            <v>14.96466536726088</v>
          </cell>
          <cell r="BG159">
            <v>17.429620749261797</v>
          </cell>
          <cell r="BH159">
            <v>16.109902701379674</v>
          </cell>
          <cell r="BI159">
            <v>13.839355674417275</v>
          </cell>
          <cell r="BJ159">
            <v>18.380449728342072</v>
          </cell>
          <cell r="BU159">
            <v>9.3741556201807512</v>
          </cell>
          <cell r="BV159">
            <v>11.522967903511651</v>
          </cell>
          <cell r="BW159">
            <v>10.055977276238897</v>
          </cell>
          <cell r="BX159">
            <v>8.6149332270911767</v>
          </cell>
          <cell r="BY159">
            <v>11.497021325386617</v>
          </cell>
        </row>
        <row r="160">
          <cell r="A160">
            <v>39660</v>
          </cell>
          <cell r="BF160">
            <v>15.400338911975032</v>
          </cell>
          <cell r="BG160">
            <v>17.429620749261797</v>
          </cell>
          <cell r="BH160">
            <v>16.109902701379674</v>
          </cell>
          <cell r="BI160">
            <v>13.839355674417275</v>
          </cell>
          <cell r="BJ160">
            <v>18.380449728342072</v>
          </cell>
          <cell r="BU160">
            <v>9.625170851872225</v>
          </cell>
          <cell r="BV160">
            <v>11.522967903511651</v>
          </cell>
          <cell r="BW160">
            <v>10.055977276238897</v>
          </cell>
          <cell r="BX160">
            <v>8.6149332270911767</v>
          </cell>
          <cell r="BY160">
            <v>11.497021325386617</v>
          </cell>
        </row>
        <row r="161">
          <cell r="A161">
            <v>39661</v>
          </cell>
          <cell r="BF161">
            <v>15.424816449878268</v>
          </cell>
          <cell r="BG161">
            <v>17.429620749261797</v>
          </cell>
          <cell r="BH161">
            <v>16.109902701379674</v>
          </cell>
          <cell r="BI161">
            <v>13.839355674417275</v>
          </cell>
          <cell r="BJ161">
            <v>18.380449728342072</v>
          </cell>
          <cell r="BU161">
            <v>9.6392736931453822</v>
          </cell>
          <cell r="BV161">
            <v>11.522967903511651</v>
          </cell>
          <cell r="BW161">
            <v>10.055977276238897</v>
          </cell>
          <cell r="BX161">
            <v>8.6149332270911767</v>
          </cell>
          <cell r="BY161">
            <v>11.497021325386617</v>
          </cell>
        </row>
        <row r="162">
          <cell r="A162">
            <v>39664</v>
          </cell>
          <cell r="BF162">
            <v>15.082152947695375</v>
          </cell>
          <cell r="BG162">
            <v>17.429620749261797</v>
          </cell>
          <cell r="BH162">
            <v>16.109902701379674</v>
          </cell>
          <cell r="BI162">
            <v>13.839355674417275</v>
          </cell>
          <cell r="BJ162">
            <v>18.380449728342072</v>
          </cell>
          <cell r="BU162">
            <v>9.441846607116819</v>
          </cell>
          <cell r="BV162">
            <v>11.522967903511651</v>
          </cell>
          <cell r="BW162">
            <v>10.055977276238897</v>
          </cell>
          <cell r="BX162">
            <v>8.6149332270911767</v>
          </cell>
          <cell r="BY162">
            <v>11.497021325386617</v>
          </cell>
        </row>
        <row r="163">
          <cell r="A163">
            <v>39665</v>
          </cell>
          <cell r="BF163">
            <v>14.886339987290292</v>
          </cell>
          <cell r="BG163">
            <v>17.429620749261797</v>
          </cell>
          <cell r="BH163">
            <v>16.109902701379674</v>
          </cell>
          <cell r="BI163">
            <v>13.839355674417275</v>
          </cell>
          <cell r="BJ163">
            <v>18.380449728342072</v>
          </cell>
          <cell r="BU163">
            <v>9.3290281075301049</v>
          </cell>
          <cell r="BV163">
            <v>11.522967903511651</v>
          </cell>
          <cell r="BW163">
            <v>10.055977276238897</v>
          </cell>
          <cell r="BX163">
            <v>8.6149332270911767</v>
          </cell>
          <cell r="BY163">
            <v>11.497021325386617</v>
          </cell>
        </row>
        <row r="164">
          <cell r="A164">
            <v>39666</v>
          </cell>
          <cell r="BF164">
            <v>14.798229564319328</v>
          </cell>
          <cell r="BG164">
            <v>17.429620749261797</v>
          </cell>
          <cell r="BH164">
            <v>16.109902701379674</v>
          </cell>
          <cell r="BI164">
            <v>13.839355674417275</v>
          </cell>
          <cell r="BJ164">
            <v>18.380449728342072</v>
          </cell>
          <cell r="BU164">
            <v>9.2782628992570118</v>
          </cell>
          <cell r="BV164">
            <v>11.522967903511651</v>
          </cell>
          <cell r="BW164">
            <v>10.055977276238897</v>
          </cell>
          <cell r="BX164">
            <v>8.6149332270911767</v>
          </cell>
          <cell r="BY164">
            <v>11.497021325386617</v>
          </cell>
        </row>
        <row r="165">
          <cell r="A165">
            <v>39667</v>
          </cell>
          <cell r="BF165">
            <v>14.772258036858675</v>
          </cell>
          <cell r="BG165">
            <v>17.429620749261797</v>
          </cell>
          <cell r="BH165">
            <v>16.109902701379674</v>
          </cell>
          <cell r="BI165">
            <v>13.839355674417275</v>
          </cell>
          <cell r="BJ165">
            <v>18.380449728342072</v>
          </cell>
          <cell r="BU165">
            <v>9.2556991429316895</v>
          </cell>
          <cell r="BV165">
            <v>11.522967903511651</v>
          </cell>
          <cell r="BW165">
            <v>10.055977276238897</v>
          </cell>
          <cell r="BX165">
            <v>8.6149332270911767</v>
          </cell>
          <cell r="BY165">
            <v>11.497021325386617</v>
          </cell>
        </row>
        <row r="166">
          <cell r="A166">
            <v>39668</v>
          </cell>
          <cell r="BF166">
            <v>14.977218487276261</v>
          </cell>
          <cell r="BG166">
            <v>17.429620749261797</v>
          </cell>
          <cell r="BH166">
            <v>16.109902701379674</v>
          </cell>
          <cell r="BI166">
            <v>13.839355674417275</v>
          </cell>
          <cell r="BJ166">
            <v>18.380449728342072</v>
          </cell>
          <cell r="BU166">
            <v>9.3628757162974114</v>
          </cell>
          <cell r="BV166">
            <v>11.522967903511651</v>
          </cell>
          <cell r="BW166">
            <v>10.055977276238897</v>
          </cell>
          <cell r="BX166">
            <v>8.6149332270911767</v>
          </cell>
          <cell r="BY166">
            <v>11.497021325386617</v>
          </cell>
        </row>
        <row r="167">
          <cell r="A167">
            <v>39671</v>
          </cell>
          <cell r="BF167">
            <v>13.736067192263429</v>
          </cell>
          <cell r="BG167">
            <v>17.429620749261797</v>
          </cell>
          <cell r="BH167">
            <v>16.109902701379674</v>
          </cell>
          <cell r="BI167">
            <v>13.839355674417275</v>
          </cell>
          <cell r="BJ167">
            <v>18.380449728342072</v>
          </cell>
          <cell r="BU167">
            <v>8.6493150435728339</v>
          </cell>
          <cell r="BV167">
            <v>11.522967903511651</v>
          </cell>
          <cell r="BW167">
            <v>10.055977276238897</v>
          </cell>
          <cell r="BX167">
            <v>8.6149332270911767</v>
          </cell>
          <cell r="BY167">
            <v>11.497021325386617</v>
          </cell>
        </row>
        <row r="168">
          <cell r="A168">
            <v>39672</v>
          </cell>
          <cell r="BF168">
            <v>14.918344722142562</v>
          </cell>
          <cell r="BG168">
            <v>17.429620749261797</v>
          </cell>
          <cell r="BH168">
            <v>16.109902701379674</v>
          </cell>
          <cell r="BI168">
            <v>13.839355674417275</v>
          </cell>
          <cell r="BJ168">
            <v>18.380449728342072</v>
          </cell>
          <cell r="BU168">
            <v>9.3290281075301049</v>
          </cell>
          <cell r="BV168">
            <v>11.522967903511651</v>
          </cell>
          <cell r="BW168">
            <v>10.055977276238897</v>
          </cell>
          <cell r="BX168">
            <v>8.6149332270911767</v>
          </cell>
          <cell r="BY168">
            <v>11.497021325386617</v>
          </cell>
        </row>
        <row r="169">
          <cell r="A169">
            <v>39673</v>
          </cell>
          <cell r="BF169">
            <v>14.298106788684956</v>
          </cell>
          <cell r="BG169">
            <v>17.429620749261797</v>
          </cell>
          <cell r="BH169">
            <v>16.109902701379674</v>
          </cell>
          <cell r="BI169">
            <v>13.839355674417275</v>
          </cell>
          <cell r="BJ169">
            <v>18.380449728342072</v>
          </cell>
          <cell r="BU169">
            <v>8.97941636675335</v>
          </cell>
          <cell r="BV169">
            <v>11.522967903511651</v>
          </cell>
          <cell r="BW169">
            <v>10.055977276238897</v>
          </cell>
          <cell r="BX169">
            <v>8.6149332270911767</v>
          </cell>
          <cell r="BY169">
            <v>11.497021325386617</v>
          </cell>
        </row>
        <row r="170">
          <cell r="A170">
            <v>39674</v>
          </cell>
          <cell r="BF170">
            <v>14.20576541286878</v>
          </cell>
          <cell r="BG170">
            <v>17.429620749261797</v>
          </cell>
          <cell r="BH170">
            <v>16.109902701379674</v>
          </cell>
          <cell r="BI170">
            <v>13.839355674417275</v>
          </cell>
          <cell r="BJ170">
            <v>18.380449728342072</v>
          </cell>
          <cell r="BU170">
            <v>8.9262447831430105</v>
          </cell>
          <cell r="BV170">
            <v>11.522967903511651</v>
          </cell>
          <cell r="BW170">
            <v>10.055977276238897</v>
          </cell>
          <cell r="BX170">
            <v>8.6149332270911767</v>
          </cell>
          <cell r="BY170">
            <v>11.497021325386617</v>
          </cell>
        </row>
        <row r="171">
          <cell r="A171">
            <v>39675</v>
          </cell>
          <cell r="BF171">
            <v>14.030805568583043</v>
          </cell>
          <cell r="BG171">
            <v>17.429620749261797</v>
          </cell>
          <cell r="BH171">
            <v>16.109902701379674</v>
          </cell>
          <cell r="BI171">
            <v>13.839355674417275</v>
          </cell>
          <cell r="BJ171">
            <v>18.380449728342072</v>
          </cell>
          <cell r="BU171">
            <v>8.8255002154271232</v>
          </cell>
          <cell r="BV171">
            <v>11.522967903511651</v>
          </cell>
          <cell r="BW171">
            <v>10.055977276238897</v>
          </cell>
          <cell r="BX171">
            <v>8.6149332270911767</v>
          </cell>
          <cell r="BY171">
            <v>11.497021325386617</v>
          </cell>
        </row>
        <row r="172">
          <cell r="A172">
            <v>39678</v>
          </cell>
          <cell r="BF172">
            <v>13.515646999074169</v>
          </cell>
          <cell r="BG172">
            <v>17.429620749261797</v>
          </cell>
          <cell r="BH172">
            <v>16.109902701379674</v>
          </cell>
          <cell r="BI172">
            <v>13.839355674417275</v>
          </cell>
          <cell r="BJ172">
            <v>18.380449728342072</v>
          </cell>
          <cell r="BU172">
            <v>8.5288639924001597</v>
          </cell>
          <cell r="BV172">
            <v>11.522967903511651</v>
          </cell>
          <cell r="BW172">
            <v>10.055977276238897</v>
          </cell>
          <cell r="BX172">
            <v>8.6149332270911767</v>
          </cell>
          <cell r="BY172">
            <v>11.497021325386617</v>
          </cell>
        </row>
        <row r="173">
          <cell r="A173">
            <v>39679</v>
          </cell>
          <cell r="BF173">
            <v>13.078243014363716</v>
          </cell>
          <cell r="BG173">
            <v>17.429620749261797</v>
          </cell>
          <cell r="BH173">
            <v>16.109902701379674</v>
          </cell>
          <cell r="BI173">
            <v>13.839355674417275</v>
          </cell>
          <cell r="BJ173">
            <v>18.380449728342072</v>
          </cell>
          <cell r="BU173">
            <v>8.2770000544962468</v>
          </cell>
          <cell r="BV173">
            <v>11.522967903511651</v>
          </cell>
          <cell r="BW173">
            <v>10.055977276238897</v>
          </cell>
          <cell r="BX173">
            <v>8.6149332270911767</v>
          </cell>
          <cell r="BY173">
            <v>11.497021325386617</v>
          </cell>
        </row>
        <row r="174">
          <cell r="A174">
            <v>39680</v>
          </cell>
          <cell r="BF174">
            <v>13.132745176604862</v>
          </cell>
          <cell r="BG174">
            <v>17.429620749261797</v>
          </cell>
          <cell r="BH174">
            <v>16.109902701379674</v>
          </cell>
          <cell r="BI174">
            <v>13.839355674417275</v>
          </cell>
          <cell r="BJ174">
            <v>18.380449728342072</v>
          </cell>
          <cell r="BU174">
            <v>8.3133814365126462</v>
          </cell>
          <cell r="BV174">
            <v>11.522967903511651</v>
          </cell>
          <cell r="BW174">
            <v>10.055977276238897</v>
          </cell>
          <cell r="BX174">
            <v>8.6149332270911767</v>
          </cell>
          <cell r="BY174">
            <v>11.497021325386617</v>
          </cell>
        </row>
        <row r="175">
          <cell r="A175">
            <v>39681</v>
          </cell>
          <cell r="BF175">
            <v>12.156533712162604</v>
          </cell>
          <cell r="BG175">
            <v>17.429620749261797</v>
          </cell>
          <cell r="BH175">
            <v>16.109902701379674</v>
          </cell>
          <cell r="BI175">
            <v>13.839355674417275</v>
          </cell>
          <cell r="BJ175">
            <v>18.380449728342072</v>
          </cell>
          <cell r="BU175">
            <v>7.7508923326623744</v>
          </cell>
          <cell r="BV175">
            <v>11.522967903511651</v>
          </cell>
          <cell r="BW175">
            <v>10.055977276238897</v>
          </cell>
          <cell r="BX175">
            <v>8.6149332270911767</v>
          </cell>
          <cell r="BY175">
            <v>11.497021325386617</v>
          </cell>
        </row>
        <row r="176">
          <cell r="A176">
            <v>39682</v>
          </cell>
          <cell r="BF176">
            <v>12.218341149371552</v>
          </cell>
          <cell r="BG176">
            <v>17.429620749261797</v>
          </cell>
          <cell r="BH176">
            <v>16.109902701379674</v>
          </cell>
          <cell r="BI176">
            <v>13.839355674417275</v>
          </cell>
          <cell r="BJ176">
            <v>18.380449728342072</v>
          </cell>
          <cell r="BU176">
            <v>7.7345045998031292</v>
          </cell>
          <cell r="BV176">
            <v>11.522967903511651</v>
          </cell>
          <cell r="BW176">
            <v>10.055977276238897</v>
          </cell>
          <cell r="BX176">
            <v>8.6149332270911767</v>
          </cell>
          <cell r="BY176">
            <v>11.497021325386617</v>
          </cell>
        </row>
        <row r="177">
          <cell r="A177">
            <v>39685</v>
          </cell>
          <cell r="BF177">
            <v>13.002379874066824</v>
          </cell>
          <cell r="BG177">
            <v>17.429620749261797</v>
          </cell>
          <cell r="BH177">
            <v>16.109902701379674</v>
          </cell>
          <cell r="BI177">
            <v>13.839355674417275</v>
          </cell>
          <cell r="BJ177">
            <v>18.380449728342072</v>
          </cell>
          <cell r="BU177">
            <v>8.1831322608910142</v>
          </cell>
          <cell r="BV177">
            <v>11.522967903511651</v>
          </cell>
          <cell r="BW177">
            <v>10.055977276238897</v>
          </cell>
          <cell r="BX177">
            <v>8.6149332270911767</v>
          </cell>
          <cell r="BY177">
            <v>11.497021325386617</v>
          </cell>
        </row>
        <row r="178">
          <cell r="A178">
            <v>39686</v>
          </cell>
          <cell r="BF178">
            <v>12.510525111153317</v>
          </cell>
          <cell r="BG178">
            <v>17.429620749261797</v>
          </cell>
          <cell r="BH178">
            <v>16.109902701379674</v>
          </cell>
          <cell r="BI178">
            <v>13.839355674417275</v>
          </cell>
          <cell r="BJ178">
            <v>18.380449728342072</v>
          </cell>
          <cell r="BU178">
            <v>7.9016925246501986</v>
          </cell>
          <cell r="BV178">
            <v>11.522967903511651</v>
          </cell>
          <cell r="BW178">
            <v>10.055977276238897</v>
          </cell>
          <cell r="BX178">
            <v>8.6149332270911767</v>
          </cell>
          <cell r="BY178">
            <v>11.497021325386617</v>
          </cell>
        </row>
        <row r="179">
          <cell r="A179">
            <v>39687</v>
          </cell>
          <cell r="BF179">
            <v>12.101462889645333</v>
          </cell>
          <cell r="BG179">
            <v>17.429620749261797</v>
          </cell>
          <cell r="BH179">
            <v>16.109902701379674</v>
          </cell>
          <cell r="BI179">
            <v>13.839355674417275</v>
          </cell>
          <cell r="BJ179">
            <v>18.380449728342072</v>
          </cell>
          <cell r="BU179">
            <v>7.6676267548173787</v>
          </cell>
          <cell r="BV179">
            <v>11.522967903511651</v>
          </cell>
          <cell r="BW179">
            <v>10.055977276238897</v>
          </cell>
          <cell r="BX179">
            <v>8.6149332270911767</v>
          </cell>
          <cell r="BY179">
            <v>11.497021325386617</v>
          </cell>
        </row>
        <row r="180">
          <cell r="A180">
            <v>39688</v>
          </cell>
          <cell r="BF180">
            <v>12.101462889645333</v>
          </cell>
          <cell r="BG180">
            <v>17.429620749261797</v>
          </cell>
          <cell r="BH180">
            <v>16.109902701379674</v>
          </cell>
          <cell r="BI180">
            <v>13.839355674417275</v>
          </cell>
          <cell r="BJ180">
            <v>18.380449728342072</v>
          </cell>
          <cell r="BU180">
            <v>7.6676267548173787</v>
          </cell>
          <cell r="BV180">
            <v>11.522967903511651</v>
          </cell>
          <cell r="BW180">
            <v>10.055977276238897</v>
          </cell>
          <cell r="BX180">
            <v>8.6149332270911767</v>
          </cell>
          <cell r="BY180">
            <v>11.497021325386617</v>
          </cell>
        </row>
        <row r="181">
          <cell r="A181">
            <v>39689</v>
          </cell>
          <cell r="BF181">
            <v>12.047895026467394</v>
          </cell>
          <cell r="BG181">
            <v>17.429620749261797</v>
          </cell>
          <cell r="BH181">
            <v>16.109902701379674</v>
          </cell>
          <cell r="BI181">
            <v>13.839355674417275</v>
          </cell>
          <cell r="BJ181">
            <v>18.380449728342072</v>
          </cell>
          <cell r="BU181">
            <v>7.6369751754883923</v>
          </cell>
          <cell r="BV181">
            <v>11.522967903511651</v>
          </cell>
          <cell r="BW181">
            <v>10.055977276238897</v>
          </cell>
          <cell r="BX181">
            <v>8.6149332270911767</v>
          </cell>
          <cell r="BY181">
            <v>11.497021325386617</v>
          </cell>
        </row>
        <row r="182">
          <cell r="A182">
            <v>39692</v>
          </cell>
          <cell r="BF182">
            <v>12.28164326725007</v>
          </cell>
          <cell r="BG182">
            <v>17.429620749261797</v>
          </cell>
          <cell r="BH182">
            <v>16.109902701379674</v>
          </cell>
          <cell r="BI182">
            <v>13.839355674417275</v>
          </cell>
          <cell r="BJ182">
            <v>18.380449728342072</v>
          </cell>
          <cell r="BU182">
            <v>7.7707261283976328</v>
          </cell>
          <cell r="BV182">
            <v>11.522967903511651</v>
          </cell>
          <cell r="BW182">
            <v>10.055977276238897</v>
          </cell>
          <cell r="BX182">
            <v>8.6149332270911767</v>
          </cell>
          <cell r="BY182">
            <v>11.497021325386617</v>
          </cell>
        </row>
        <row r="183">
          <cell r="A183">
            <v>39693</v>
          </cell>
          <cell r="BF183">
            <v>11.814687864041073</v>
          </cell>
          <cell r="BG183">
            <v>17.429620749261797</v>
          </cell>
          <cell r="BH183">
            <v>16.109902701379674</v>
          </cell>
          <cell r="BI183">
            <v>13.839355674417275</v>
          </cell>
          <cell r="BJ183">
            <v>18.380449728342072</v>
          </cell>
          <cell r="BU183">
            <v>7.5115831869128868</v>
          </cell>
          <cell r="BV183">
            <v>11.522967903511651</v>
          </cell>
          <cell r="BW183">
            <v>10.055977276238897</v>
          </cell>
          <cell r="BX183">
            <v>8.6149332270911767</v>
          </cell>
          <cell r="BY183">
            <v>11.497021325386617</v>
          </cell>
        </row>
        <row r="184">
          <cell r="A184">
            <v>39694</v>
          </cell>
          <cell r="BF184">
            <v>11.19695609983876</v>
          </cell>
          <cell r="BG184">
            <v>17.429620749261797</v>
          </cell>
          <cell r="BH184">
            <v>16.109902701379674</v>
          </cell>
          <cell r="BI184">
            <v>13.839355674417275</v>
          </cell>
          <cell r="BJ184">
            <v>18.380449728342072</v>
          </cell>
          <cell r="BU184">
            <v>7.1576956564207999</v>
          </cell>
          <cell r="BV184">
            <v>11.522967903511651</v>
          </cell>
          <cell r="BW184">
            <v>10.055977276238897</v>
          </cell>
          <cell r="BX184">
            <v>8.6149332270911767</v>
          </cell>
          <cell r="BY184">
            <v>11.497021325386617</v>
          </cell>
        </row>
        <row r="185">
          <cell r="A185">
            <v>39695</v>
          </cell>
          <cell r="BF185">
            <v>10.856476556666985</v>
          </cell>
          <cell r="BG185">
            <v>17.429620749261797</v>
          </cell>
          <cell r="BH185">
            <v>16.109902701379674</v>
          </cell>
          <cell r="BI185">
            <v>13.839355674417275</v>
          </cell>
          <cell r="BJ185">
            <v>18.380449728342072</v>
          </cell>
          <cell r="BU185">
            <v>6.9626409875521436</v>
          </cell>
          <cell r="BV185">
            <v>11.522967903511651</v>
          </cell>
          <cell r="BW185">
            <v>10.055977276238897</v>
          </cell>
          <cell r="BX185">
            <v>8.6149332270911767</v>
          </cell>
          <cell r="BY185">
            <v>11.497021325386617</v>
          </cell>
        </row>
        <row r="186">
          <cell r="A186">
            <v>39696</v>
          </cell>
          <cell r="BF186">
            <v>10.520858109406275</v>
          </cell>
          <cell r="BG186">
            <v>17.429620749261797</v>
          </cell>
          <cell r="BH186">
            <v>16.109902701379674</v>
          </cell>
          <cell r="BI186">
            <v>13.839355674417275</v>
          </cell>
          <cell r="BJ186">
            <v>18.380449728342072</v>
          </cell>
          <cell r="BU186">
            <v>6.7703711539908866</v>
          </cell>
          <cell r="BV186">
            <v>11.522967903511651</v>
          </cell>
          <cell r="BW186">
            <v>10.055977276238897</v>
          </cell>
          <cell r="BX186">
            <v>8.6149332270911767</v>
          </cell>
          <cell r="BY186">
            <v>11.497021325386617</v>
          </cell>
        </row>
        <row r="187">
          <cell r="A187">
            <v>39699</v>
          </cell>
          <cell r="BF187">
            <v>10.194970122792043</v>
          </cell>
          <cell r="BG187">
            <v>17.429620749261797</v>
          </cell>
          <cell r="BH187">
            <v>16.109902701379674</v>
          </cell>
          <cell r="BI187">
            <v>13.839355674417275</v>
          </cell>
          <cell r="BJ187">
            <v>18.380449728342072</v>
          </cell>
          <cell r="BU187">
            <v>6.5836757281066873</v>
          </cell>
          <cell r="BV187">
            <v>11.522967903511651</v>
          </cell>
          <cell r="BW187">
            <v>10.055977276238897</v>
          </cell>
          <cell r="BX187">
            <v>8.6149332270911767</v>
          </cell>
          <cell r="BY187">
            <v>11.497021325386617</v>
          </cell>
        </row>
        <row r="188">
          <cell r="A188">
            <v>39700</v>
          </cell>
          <cell r="BF188">
            <v>10.885659183380637</v>
          </cell>
          <cell r="BG188">
            <v>17.429620749261797</v>
          </cell>
          <cell r="BH188">
            <v>16.109902701379674</v>
          </cell>
          <cell r="BI188">
            <v>13.839355674417275</v>
          </cell>
          <cell r="BJ188">
            <v>18.380449728342072</v>
          </cell>
          <cell r="BU188">
            <v>6.9793591948703364</v>
          </cell>
          <cell r="BV188">
            <v>11.522967903511651</v>
          </cell>
          <cell r="BW188">
            <v>10.055977276238897</v>
          </cell>
          <cell r="BX188">
            <v>8.6149332270911767</v>
          </cell>
          <cell r="BY188">
            <v>11.497021325386617</v>
          </cell>
        </row>
        <row r="189">
          <cell r="A189">
            <v>39701</v>
          </cell>
          <cell r="BF189">
            <v>11.021851097929634</v>
          </cell>
          <cell r="BG189">
            <v>17.429620749261797</v>
          </cell>
          <cell r="BH189">
            <v>16.109902701379674</v>
          </cell>
          <cell r="BI189">
            <v>13.839355674417275</v>
          </cell>
          <cell r="BJ189">
            <v>18.380449728342072</v>
          </cell>
          <cell r="BU189">
            <v>7.0573811181479424</v>
          </cell>
          <cell r="BV189">
            <v>11.522967903511651</v>
          </cell>
          <cell r="BW189">
            <v>10.055977276238897</v>
          </cell>
          <cell r="BX189">
            <v>8.6149332270911767</v>
          </cell>
          <cell r="BY189">
            <v>11.497021325386617</v>
          </cell>
        </row>
        <row r="190">
          <cell r="A190">
            <v>39702</v>
          </cell>
          <cell r="BF190">
            <v>12.490785368072125</v>
          </cell>
          <cell r="BG190">
            <v>17.429620749261797</v>
          </cell>
          <cell r="BH190">
            <v>16.109902701379674</v>
          </cell>
          <cell r="BI190">
            <v>13.839355674417275</v>
          </cell>
          <cell r="BJ190">
            <v>18.380449728342072</v>
          </cell>
          <cell r="BU190">
            <v>7.898907410692078</v>
          </cell>
          <cell r="BV190">
            <v>11.522967903511651</v>
          </cell>
          <cell r="BW190">
            <v>10.055977276238897</v>
          </cell>
          <cell r="BX190">
            <v>8.6149332270911767</v>
          </cell>
          <cell r="BY190">
            <v>11.497021325386617</v>
          </cell>
        </row>
        <row r="191">
          <cell r="A191">
            <v>39703</v>
          </cell>
          <cell r="BF191">
            <v>12.320541948475498</v>
          </cell>
          <cell r="BG191">
            <v>17.429620749261797</v>
          </cell>
          <cell r="BH191">
            <v>16.109902701379674</v>
          </cell>
          <cell r="BI191">
            <v>13.839355674417275</v>
          </cell>
          <cell r="BJ191">
            <v>18.380449728342072</v>
          </cell>
          <cell r="BU191">
            <v>7.8013779863773411</v>
          </cell>
          <cell r="BV191">
            <v>11.522967903511651</v>
          </cell>
          <cell r="BW191">
            <v>10.055977276238897</v>
          </cell>
          <cell r="BX191">
            <v>8.6149332270911767</v>
          </cell>
          <cell r="BY191">
            <v>11.497021325386617</v>
          </cell>
        </row>
        <row r="192">
          <cell r="A192">
            <v>39706</v>
          </cell>
          <cell r="BF192">
            <v>12.259668971112967</v>
          </cell>
          <cell r="BG192">
            <v>17.429620749261797</v>
          </cell>
          <cell r="BH192">
            <v>16.109902701379674</v>
          </cell>
          <cell r="BI192">
            <v>13.839355674417275</v>
          </cell>
          <cell r="BJ192">
            <v>18.380449728342072</v>
          </cell>
          <cell r="BU192">
            <v>7.7693086679415702</v>
          </cell>
          <cell r="BV192">
            <v>11.522967903511651</v>
          </cell>
          <cell r="BW192">
            <v>10.055977276238897</v>
          </cell>
          <cell r="BX192">
            <v>8.6149332270911767</v>
          </cell>
          <cell r="BY192">
            <v>11.497021325386617</v>
          </cell>
        </row>
        <row r="193">
          <cell r="A193">
            <v>39707</v>
          </cell>
          <cell r="BF193">
            <v>12.370512526531103</v>
          </cell>
          <cell r="BG193">
            <v>17.429620749261797</v>
          </cell>
          <cell r="BH193">
            <v>16.109902701379674</v>
          </cell>
          <cell r="BI193">
            <v>13.839355674417275</v>
          </cell>
          <cell r="BJ193">
            <v>18.380449728342072</v>
          </cell>
          <cell r="BU193">
            <v>7.8328881257093146</v>
          </cell>
          <cell r="BV193">
            <v>11.522967903511651</v>
          </cell>
          <cell r="BW193">
            <v>10.055977276238897</v>
          </cell>
          <cell r="BX193">
            <v>8.6149332270911767</v>
          </cell>
          <cell r="BY193">
            <v>11.497021325386617</v>
          </cell>
        </row>
        <row r="194">
          <cell r="A194">
            <v>39708</v>
          </cell>
          <cell r="BF194">
            <v>11.146468335800837</v>
          </cell>
          <cell r="BG194">
            <v>17.429620749261797</v>
          </cell>
          <cell r="BH194">
            <v>16.109902701379674</v>
          </cell>
          <cell r="BI194">
            <v>13.839355674417275</v>
          </cell>
          <cell r="BJ194">
            <v>18.380449728342072</v>
          </cell>
          <cell r="BU194">
            <v>7.1307808571647975</v>
          </cell>
          <cell r="BV194">
            <v>11.522967903511651</v>
          </cell>
          <cell r="BW194">
            <v>10.055977276238897</v>
          </cell>
          <cell r="BX194">
            <v>8.6149332270911767</v>
          </cell>
          <cell r="BY194">
            <v>11.497021325386617</v>
          </cell>
        </row>
        <row r="195">
          <cell r="A195">
            <v>39709</v>
          </cell>
          <cell r="BF195">
            <v>10.958525690581622</v>
          </cell>
          <cell r="BG195">
            <v>17.429620749261797</v>
          </cell>
          <cell r="BH195">
            <v>16.109902701379674</v>
          </cell>
          <cell r="BI195">
            <v>13.839355674417275</v>
          </cell>
          <cell r="BJ195">
            <v>18.380449728342072</v>
          </cell>
          <cell r="BU195">
            <v>7.0229776436229985</v>
          </cell>
          <cell r="BV195">
            <v>11.522967903511651</v>
          </cell>
          <cell r="BW195">
            <v>10.055977276238897</v>
          </cell>
          <cell r="BX195">
            <v>8.6149332270911767</v>
          </cell>
          <cell r="BY195">
            <v>11.497021325386617</v>
          </cell>
        </row>
        <row r="196">
          <cell r="A196">
            <v>39710</v>
          </cell>
          <cell r="BF196">
            <v>11.348867662739572</v>
          </cell>
          <cell r="BG196">
            <v>17.429620749261797</v>
          </cell>
          <cell r="BH196">
            <v>16.109902701379674</v>
          </cell>
          <cell r="BI196">
            <v>13.839355674417275</v>
          </cell>
          <cell r="BJ196">
            <v>18.380449728342072</v>
          </cell>
          <cell r="BU196">
            <v>7.2468763704382386</v>
          </cell>
          <cell r="BV196">
            <v>11.522967903511651</v>
          </cell>
          <cell r="BW196">
            <v>10.055977276238897</v>
          </cell>
          <cell r="BX196">
            <v>8.6149332270911767</v>
          </cell>
          <cell r="BY196">
            <v>11.497021325386617</v>
          </cell>
        </row>
        <row r="197">
          <cell r="A197">
            <v>39713</v>
          </cell>
          <cell r="BF197">
            <v>11.10309877254773</v>
          </cell>
          <cell r="BG197">
            <v>17.429620749261797</v>
          </cell>
          <cell r="BH197">
            <v>16.109902701379674</v>
          </cell>
          <cell r="BI197">
            <v>13.839355674417275</v>
          </cell>
          <cell r="BJ197">
            <v>18.380449728342072</v>
          </cell>
          <cell r="BU197">
            <v>7.1059042343890786</v>
          </cell>
          <cell r="BV197">
            <v>11.522967903511651</v>
          </cell>
          <cell r="BW197">
            <v>10.055977276238897</v>
          </cell>
          <cell r="BX197">
            <v>8.6149332270911767</v>
          </cell>
          <cell r="BY197">
            <v>11.497021325386617</v>
          </cell>
        </row>
        <row r="198">
          <cell r="A198">
            <v>39714</v>
          </cell>
          <cell r="BF198">
            <v>10.813952608615512</v>
          </cell>
          <cell r="BG198">
            <v>17.429620749261797</v>
          </cell>
          <cell r="BH198">
            <v>16.109902701379674</v>
          </cell>
          <cell r="BI198">
            <v>13.839355674417275</v>
          </cell>
          <cell r="BJ198">
            <v>18.380449728342072</v>
          </cell>
          <cell r="BU198">
            <v>6.9400510528569175</v>
          </cell>
          <cell r="BV198">
            <v>11.522967903511651</v>
          </cell>
          <cell r="BW198">
            <v>10.055977276238897</v>
          </cell>
          <cell r="BX198">
            <v>8.6149332270911767</v>
          </cell>
          <cell r="BY198">
            <v>11.497021325386617</v>
          </cell>
        </row>
        <row r="199">
          <cell r="A199">
            <v>39715</v>
          </cell>
          <cell r="BF199">
            <v>10.572999881532605</v>
          </cell>
          <cell r="BG199">
            <v>17.429620749261797</v>
          </cell>
          <cell r="BH199">
            <v>16.109902701379674</v>
          </cell>
          <cell r="BI199">
            <v>13.839355674417275</v>
          </cell>
          <cell r="BJ199">
            <v>18.380449728342072</v>
          </cell>
          <cell r="BU199">
            <v>6.8018414503428088</v>
          </cell>
          <cell r="BV199">
            <v>11.522967903511651</v>
          </cell>
          <cell r="BW199">
            <v>10.055977276238897</v>
          </cell>
          <cell r="BX199">
            <v>8.6149332270911767</v>
          </cell>
          <cell r="BY199">
            <v>11.497021325386617</v>
          </cell>
        </row>
        <row r="200">
          <cell r="A200">
            <v>39716</v>
          </cell>
          <cell r="BF200">
            <v>11.213935099384051</v>
          </cell>
          <cell r="BG200">
            <v>17.429620749261797</v>
          </cell>
          <cell r="BH200">
            <v>16.109902701379674</v>
          </cell>
          <cell r="BI200">
            <v>13.839355674417275</v>
          </cell>
          <cell r="BJ200">
            <v>18.380449728342072</v>
          </cell>
          <cell r="BU200">
            <v>7.1694795458687484</v>
          </cell>
          <cell r="BV200">
            <v>11.522967903511651</v>
          </cell>
          <cell r="BW200">
            <v>10.055977276238897</v>
          </cell>
          <cell r="BX200">
            <v>8.6149332270911767</v>
          </cell>
          <cell r="BY200">
            <v>11.497021325386617</v>
          </cell>
        </row>
        <row r="201">
          <cell r="A201">
            <v>39717</v>
          </cell>
          <cell r="BF201">
            <v>10.631931500242231</v>
          </cell>
          <cell r="BG201">
            <v>17.429620749261797</v>
          </cell>
          <cell r="BH201">
            <v>16.109902701379674</v>
          </cell>
          <cell r="BI201">
            <v>13.839355674417275</v>
          </cell>
          <cell r="BJ201">
            <v>18.380449728342072</v>
          </cell>
          <cell r="BU201">
            <v>6.8445723267558769</v>
          </cell>
          <cell r="BV201">
            <v>11.522967903511651</v>
          </cell>
          <cell r="BW201">
            <v>10.055977276238897</v>
          </cell>
          <cell r="BX201">
            <v>8.6149332270911767</v>
          </cell>
          <cell r="BY201">
            <v>11.497021325386617</v>
          </cell>
        </row>
        <row r="202">
          <cell r="A202">
            <v>39720</v>
          </cell>
          <cell r="BF202">
            <v>10.366614085866903</v>
          </cell>
          <cell r="BG202">
            <v>17.429620749261797</v>
          </cell>
          <cell r="BH202">
            <v>16.109902701379674</v>
          </cell>
          <cell r="BI202">
            <v>13.839355674417275</v>
          </cell>
          <cell r="BJ202">
            <v>18.380449728342072</v>
          </cell>
          <cell r="BU202">
            <v>6.6922050759066423</v>
          </cell>
          <cell r="BV202">
            <v>11.522967903511651</v>
          </cell>
          <cell r="BW202">
            <v>10.055977276238897</v>
          </cell>
          <cell r="BX202">
            <v>8.6149332270911767</v>
          </cell>
          <cell r="BY202">
            <v>11.497021325386617</v>
          </cell>
        </row>
        <row r="203">
          <cell r="A203">
            <v>39721</v>
          </cell>
          <cell r="BF203">
            <v>10.467919440425524</v>
          </cell>
          <cell r="BG203">
            <v>17.429620749261797</v>
          </cell>
          <cell r="BH203">
            <v>16.109902701379674</v>
          </cell>
          <cell r="BI203">
            <v>13.839355674417275</v>
          </cell>
          <cell r="BJ203">
            <v>18.380449728342072</v>
          </cell>
          <cell r="BU203">
            <v>6.7503830074485514</v>
          </cell>
          <cell r="BV203">
            <v>11.522967903511651</v>
          </cell>
          <cell r="BW203">
            <v>10.055977276238897</v>
          </cell>
          <cell r="BX203">
            <v>8.6149332270911767</v>
          </cell>
          <cell r="BY203">
            <v>11.497021325386617</v>
          </cell>
        </row>
        <row r="204">
          <cell r="A204">
            <v>39722</v>
          </cell>
          <cell r="BF204">
            <v>9.5062993936742668</v>
          </cell>
          <cell r="BG204">
            <v>17.429620749261797</v>
          </cell>
          <cell r="BH204">
            <v>16.109902701379674</v>
          </cell>
          <cell r="BI204">
            <v>13.839355674417275</v>
          </cell>
          <cell r="BJ204">
            <v>18.380449728342072</v>
          </cell>
          <cell r="BU204">
            <v>6.1880129576680138</v>
          </cell>
          <cell r="BV204">
            <v>11.522967903511651</v>
          </cell>
          <cell r="BW204">
            <v>10.055977276238897</v>
          </cell>
          <cell r="BX204">
            <v>8.6149332270911767</v>
          </cell>
          <cell r="BY204">
            <v>11.497021325386617</v>
          </cell>
        </row>
        <row r="205">
          <cell r="A205">
            <v>39723</v>
          </cell>
          <cell r="BF205">
            <v>8.4575621681170219</v>
          </cell>
          <cell r="BG205">
            <v>17.429620749261797</v>
          </cell>
          <cell r="BH205">
            <v>16.109902701379674</v>
          </cell>
          <cell r="BI205">
            <v>13.839355674417275</v>
          </cell>
          <cell r="BJ205">
            <v>18.380449728342072</v>
          </cell>
          <cell r="BU205">
            <v>5.5868584512824313</v>
          </cell>
          <cell r="BV205">
            <v>11.522967903511651</v>
          </cell>
          <cell r="BW205">
            <v>10.055977276238897</v>
          </cell>
          <cell r="BX205">
            <v>8.6149332270911767</v>
          </cell>
          <cell r="BY205">
            <v>11.497021325386617</v>
          </cell>
        </row>
        <row r="206">
          <cell r="A206">
            <v>39724</v>
          </cell>
          <cell r="BF206">
            <v>9.572885271956963</v>
          </cell>
          <cell r="BG206">
            <v>17.429620749261797</v>
          </cell>
          <cell r="BH206">
            <v>16.109902701379674</v>
          </cell>
          <cell r="BI206">
            <v>13.839355674417275</v>
          </cell>
          <cell r="BJ206">
            <v>18.380449728342072</v>
          </cell>
          <cell r="BU206">
            <v>6.2114439897064049</v>
          </cell>
          <cell r="BV206">
            <v>11.522967903511651</v>
          </cell>
          <cell r="BW206">
            <v>10.055977276238897</v>
          </cell>
          <cell r="BX206">
            <v>8.6149332270911767</v>
          </cell>
          <cell r="BY206">
            <v>11.497021325386617</v>
          </cell>
        </row>
        <row r="207">
          <cell r="A207">
            <v>39727</v>
          </cell>
          <cell r="BF207">
            <v>9.8003380656604264</v>
          </cell>
          <cell r="BG207">
            <v>17.429620749261797</v>
          </cell>
          <cell r="BH207">
            <v>16.109902701379674</v>
          </cell>
          <cell r="BI207">
            <v>13.839355674417275</v>
          </cell>
          <cell r="BJ207">
            <v>18.380449728342072</v>
          </cell>
          <cell r="BU207">
            <v>6.4159692790703042</v>
          </cell>
          <cell r="BV207">
            <v>11.522967903511651</v>
          </cell>
          <cell r="BW207">
            <v>10.055977276238897</v>
          </cell>
          <cell r="BX207">
            <v>8.6149332270911767</v>
          </cell>
          <cell r="BY207">
            <v>11.497021325386617</v>
          </cell>
        </row>
        <row r="208">
          <cell r="A208">
            <v>39728</v>
          </cell>
          <cell r="BF208">
            <v>9.6295302132847862</v>
          </cell>
          <cell r="BG208">
            <v>17.429620749261797</v>
          </cell>
          <cell r="BH208">
            <v>16.109902701379674</v>
          </cell>
          <cell r="BI208">
            <v>13.839355674417275</v>
          </cell>
          <cell r="BJ208">
            <v>18.380449728342072</v>
          </cell>
          <cell r="BU208">
            <v>6.3183299995395616</v>
          </cell>
          <cell r="BV208">
            <v>11.522967903511651</v>
          </cell>
          <cell r="BW208">
            <v>10.055977276238897</v>
          </cell>
          <cell r="BX208">
            <v>8.6149332270911767</v>
          </cell>
          <cell r="BY208">
            <v>11.497021325386617</v>
          </cell>
        </row>
        <row r="209">
          <cell r="A209">
            <v>39729</v>
          </cell>
          <cell r="BF209">
            <v>10.035205801919414</v>
          </cell>
          <cell r="BG209">
            <v>17.429620749261797</v>
          </cell>
          <cell r="BH209">
            <v>16.109902701379674</v>
          </cell>
          <cell r="BI209">
            <v>13.839355674417275</v>
          </cell>
          <cell r="BJ209">
            <v>18.380449728342072</v>
          </cell>
          <cell r="BU209">
            <v>6.5502272551199745</v>
          </cell>
          <cell r="BV209">
            <v>11.522967903511651</v>
          </cell>
          <cell r="BW209">
            <v>10.055977276238897</v>
          </cell>
          <cell r="BX209">
            <v>8.6149332270911767</v>
          </cell>
          <cell r="BY209">
            <v>11.497021325386617</v>
          </cell>
        </row>
        <row r="210">
          <cell r="A210">
            <v>39730</v>
          </cell>
          <cell r="BF210">
            <v>10.035205801919414</v>
          </cell>
          <cell r="BG210">
            <v>17.429620749261797</v>
          </cell>
          <cell r="BH210">
            <v>16.109902701379674</v>
          </cell>
          <cell r="BI210">
            <v>13.839355674417275</v>
          </cell>
          <cell r="BJ210">
            <v>18.380449728342072</v>
          </cell>
          <cell r="BU210">
            <v>6.5502272551199745</v>
          </cell>
          <cell r="BV210">
            <v>11.522967903511651</v>
          </cell>
          <cell r="BW210">
            <v>10.055977276238897</v>
          </cell>
          <cell r="BX210">
            <v>8.6149332270911767</v>
          </cell>
          <cell r="BY210">
            <v>11.497021325386617</v>
          </cell>
        </row>
        <row r="211">
          <cell r="A211">
            <v>39731</v>
          </cell>
          <cell r="BF211">
            <v>10.045884228526251</v>
          </cell>
          <cell r="BG211">
            <v>17.429620749261797</v>
          </cell>
          <cell r="BH211">
            <v>16.109902701379674</v>
          </cell>
          <cell r="BI211">
            <v>13.839355674417275</v>
          </cell>
          <cell r="BJ211">
            <v>18.380449728342072</v>
          </cell>
          <cell r="BU211">
            <v>6.5563313883077194</v>
          </cell>
          <cell r="BV211">
            <v>11.522967903511651</v>
          </cell>
          <cell r="BW211">
            <v>10.055977276238897</v>
          </cell>
          <cell r="BX211">
            <v>8.6149332270911767</v>
          </cell>
          <cell r="BY211">
            <v>11.497021325386617</v>
          </cell>
        </row>
        <row r="212">
          <cell r="A212">
            <v>39734</v>
          </cell>
          <cell r="BF212">
            <v>9.7343539997901321</v>
          </cell>
          <cell r="BG212">
            <v>17.429620749261797</v>
          </cell>
          <cell r="BH212">
            <v>16.109902701379674</v>
          </cell>
          <cell r="BI212">
            <v>13.839355674417275</v>
          </cell>
          <cell r="BJ212">
            <v>18.380449728342072</v>
          </cell>
          <cell r="BU212">
            <v>6.3219299297230132</v>
          </cell>
          <cell r="BV212">
            <v>11.522967903511651</v>
          </cell>
          <cell r="BW212">
            <v>10.055977276238897</v>
          </cell>
          <cell r="BX212">
            <v>8.6149332270911767</v>
          </cell>
          <cell r="BY212">
            <v>11.497021325386617</v>
          </cell>
        </row>
        <row r="213">
          <cell r="A213">
            <v>39735</v>
          </cell>
          <cell r="BF213">
            <v>10.222146204797802</v>
          </cell>
          <cell r="BG213">
            <v>17.429620749261797</v>
          </cell>
          <cell r="BH213">
            <v>16.109902701379674</v>
          </cell>
          <cell r="BI213">
            <v>13.839355674417275</v>
          </cell>
          <cell r="BJ213">
            <v>18.380449728342072</v>
          </cell>
          <cell r="BU213">
            <v>6.5981956983626873</v>
          </cell>
          <cell r="BV213">
            <v>11.522967903511651</v>
          </cell>
          <cell r="BW213">
            <v>10.055977276238897</v>
          </cell>
          <cell r="BX213">
            <v>8.6149332270911767</v>
          </cell>
          <cell r="BY213">
            <v>11.497021325386617</v>
          </cell>
        </row>
        <row r="214">
          <cell r="A214">
            <v>39736</v>
          </cell>
          <cell r="BF214">
            <v>10.04417649131466</v>
          </cell>
          <cell r="BG214">
            <v>17.429620749261797</v>
          </cell>
          <cell r="BH214">
            <v>16.109902701379674</v>
          </cell>
          <cell r="BI214">
            <v>13.839355674417275</v>
          </cell>
          <cell r="BJ214">
            <v>18.380449728342072</v>
          </cell>
          <cell r="BU214">
            <v>6.4342603118470105</v>
          </cell>
          <cell r="BV214">
            <v>11.522967903511651</v>
          </cell>
          <cell r="BW214">
            <v>10.055977276238897</v>
          </cell>
          <cell r="BX214">
            <v>8.6149332270911767</v>
          </cell>
          <cell r="BY214">
            <v>11.497021325386617</v>
          </cell>
        </row>
        <row r="215">
          <cell r="A215">
            <v>39737</v>
          </cell>
          <cell r="BF215">
            <v>9.4316578583634119</v>
          </cell>
          <cell r="BG215">
            <v>17.429620749261797</v>
          </cell>
          <cell r="BH215">
            <v>16.109902701379674</v>
          </cell>
          <cell r="BI215">
            <v>13.839355674417275</v>
          </cell>
          <cell r="BJ215">
            <v>18.380449728342072</v>
          </cell>
          <cell r="BU215">
            <v>6.2780276516415965</v>
          </cell>
          <cell r="BV215">
            <v>11.522967903511651</v>
          </cell>
          <cell r="BW215">
            <v>10.055977276238897</v>
          </cell>
          <cell r="BX215">
            <v>8.6149332270911767</v>
          </cell>
          <cell r="BY215">
            <v>11.497021325386617</v>
          </cell>
        </row>
        <row r="216">
          <cell r="A216">
            <v>39738</v>
          </cell>
          <cell r="BF216">
            <v>9.6213784318517899</v>
          </cell>
          <cell r="BG216">
            <v>17.429620749261797</v>
          </cell>
          <cell r="BH216">
            <v>16.109902701379674</v>
          </cell>
          <cell r="BI216">
            <v>13.839355674417275</v>
          </cell>
          <cell r="BJ216">
            <v>18.380449728342072</v>
          </cell>
          <cell r="BU216">
            <v>6.3842850709699697</v>
          </cell>
          <cell r="BV216">
            <v>11.522967903511651</v>
          </cell>
          <cell r="BW216">
            <v>10.055977276238897</v>
          </cell>
          <cell r="BX216">
            <v>8.6149332270911767</v>
          </cell>
          <cell r="BY216">
            <v>11.497021325386617</v>
          </cell>
        </row>
        <row r="217">
          <cell r="A217">
            <v>39741</v>
          </cell>
          <cell r="BF217">
            <v>9.9370219298017641</v>
          </cell>
          <cell r="BG217">
            <v>17.429620749261797</v>
          </cell>
          <cell r="BH217">
            <v>16.109902701379674</v>
          </cell>
          <cell r="BI217">
            <v>13.839355674417275</v>
          </cell>
          <cell r="BJ217">
            <v>18.380449728342072</v>
          </cell>
          <cell r="BU217">
            <v>6.5573277765671243</v>
          </cell>
          <cell r="BV217">
            <v>11.522967903511651</v>
          </cell>
          <cell r="BW217">
            <v>10.055977276238897</v>
          </cell>
          <cell r="BX217">
            <v>8.6149332270911767</v>
          </cell>
          <cell r="BY217">
            <v>11.497021325386617</v>
          </cell>
        </row>
        <row r="218">
          <cell r="A218">
            <v>39742</v>
          </cell>
          <cell r="BF218">
            <v>9.8448120806471078</v>
          </cell>
          <cell r="BG218">
            <v>17.429620749261797</v>
          </cell>
          <cell r="BH218">
            <v>16.109902701379674</v>
          </cell>
          <cell r="BI218">
            <v>13.839355674417275</v>
          </cell>
          <cell r="BJ218">
            <v>18.380449728342072</v>
          </cell>
          <cell r="BU218">
            <v>6.5057182183641089</v>
          </cell>
          <cell r="BV218">
            <v>11.522967903511651</v>
          </cell>
          <cell r="BW218">
            <v>10.055977276238897</v>
          </cell>
          <cell r="BX218">
            <v>8.6149332270911767</v>
          </cell>
          <cell r="BY218">
            <v>11.497021325386617</v>
          </cell>
        </row>
        <row r="219">
          <cell r="A219">
            <v>39743</v>
          </cell>
          <cell r="BF219">
            <v>9.9207500501742931</v>
          </cell>
          <cell r="BG219">
            <v>17.429620749261797</v>
          </cell>
          <cell r="BH219">
            <v>16.109902701379674</v>
          </cell>
          <cell r="BI219">
            <v>13.839355674417275</v>
          </cell>
          <cell r="BJ219">
            <v>18.380449728342072</v>
          </cell>
          <cell r="BU219">
            <v>6.5482204574856446</v>
          </cell>
          <cell r="BV219">
            <v>11.522967903511651</v>
          </cell>
          <cell r="BW219">
            <v>10.055977276238897</v>
          </cell>
          <cell r="BX219">
            <v>8.6149332270911767</v>
          </cell>
          <cell r="BY219">
            <v>11.497021325386617</v>
          </cell>
        </row>
        <row r="220">
          <cell r="A220">
            <v>39744</v>
          </cell>
          <cell r="BF220">
            <v>9.7742960821441631</v>
          </cell>
          <cell r="BG220">
            <v>17.429620749261797</v>
          </cell>
          <cell r="BH220">
            <v>16.109902701379674</v>
          </cell>
          <cell r="BI220">
            <v>13.839355674417275</v>
          </cell>
          <cell r="BJ220">
            <v>18.380449728342072</v>
          </cell>
          <cell r="BU220">
            <v>6.4662506391158505</v>
          </cell>
          <cell r="BV220">
            <v>11.522967903511651</v>
          </cell>
          <cell r="BW220">
            <v>10.055977276238897</v>
          </cell>
          <cell r="BX220">
            <v>8.6149332270911767</v>
          </cell>
          <cell r="BY220">
            <v>11.497021325386617</v>
          </cell>
        </row>
        <row r="221">
          <cell r="A221">
            <v>39745</v>
          </cell>
          <cell r="BF221">
            <v>9.8285407434337042</v>
          </cell>
          <cell r="BG221">
            <v>17.429620749261797</v>
          </cell>
          <cell r="BH221">
            <v>16.109902701379674</v>
          </cell>
          <cell r="BI221">
            <v>13.839355674417275</v>
          </cell>
          <cell r="BJ221">
            <v>18.380449728342072</v>
          </cell>
          <cell r="BU221">
            <v>6.4966112028700547</v>
          </cell>
          <cell r="BV221">
            <v>11.522967903511651</v>
          </cell>
          <cell r="BW221">
            <v>10.055977276238897</v>
          </cell>
          <cell r="BX221">
            <v>8.6149332270911767</v>
          </cell>
          <cell r="BY221">
            <v>11.497021325386617</v>
          </cell>
        </row>
        <row r="222">
          <cell r="A222">
            <v>39748</v>
          </cell>
          <cell r="BF222">
            <v>9.6061488058763889</v>
          </cell>
          <cell r="BG222">
            <v>17.429620749261797</v>
          </cell>
          <cell r="BH222">
            <v>16.109902701379674</v>
          </cell>
          <cell r="BI222">
            <v>13.839355674417275</v>
          </cell>
          <cell r="BJ222">
            <v>18.380449728342072</v>
          </cell>
          <cell r="BU222">
            <v>6.3721391453787231</v>
          </cell>
          <cell r="BV222">
            <v>11.522967903511651</v>
          </cell>
          <cell r="BW222">
            <v>10.055977276238897</v>
          </cell>
          <cell r="BX222">
            <v>8.6149332270911767</v>
          </cell>
          <cell r="BY222">
            <v>11.497021325386617</v>
          </cell>
        </row>
        <row r="223">
          <cell r="A223">
            <v>39749</v>
          </cell>
          <cell r="BF223">
            <v>10.116019114672769</v>
          </cell>
          <cell r="BG223">
            <v>17.429620749261797</v>
          </cell>
          <cell r="BH223">
            <v>16.109902701379674</v>
          </cell>
          <cell r="BI223">
            <v>13.839355674417275</v>
          </cell>
          <cell r="BJ223">
            <v>18.380449728342072</v>
          </cell>
          <cell r="BU223">
            <v>6.6575119295124532</v>
          </cell>
          <cell r="BV223">
            <v>11.522967903511651</v>
          </cell>
          <cell r="BW223">
            <v>10.055977276238897</v>
          </cell>
          <cell r="BX223">
            <v>8.6149332270911767</v>
          </cell>
          <cell r="BY223">
            <v>11.497021325386617</v>
          </cell>
        </row>
        <row r="224">
          <cell r="A224">
            <v>39750</v>
          </cell>
          <cell r="BF224">
            <v>10.121440543282942</v>
          </cell>
          <cell r="BG224">
            <v>17.429620749261797</v>
          </cell>
          <cell r="BH224">
            <v>16.109902701379674</v>
          </cell>
          <cell r="BI224">
            <v>13.839355674417275</v>
          </cell>
          <cell r="BJ224">
            <v>18.380449728342072</v>
          </cell>
          <cell r="BU224">
            <v>6.6605462857983087</v>
          </cell>
          <cell r="BV224">
            <v>11.522967903511651</v>
          </cell>
          <cell r="BW224">
            <v>10.055977276238897</v>
          </cell>
          <cell r="BX224">
            <v>8.6149332270911767</v>
          </cell>
          <cell r="BY224">
            <v>11.497021325386617</v>
          </cell>
        </row>
        <row r="225">
          <cell r="A225">
            <v>39751</v>
          </cell>
          <cell r="BF225">
            <v>10.121440543282942</v>
          </cell>
          <cell r="BG225">
            <v>17.429620749261797</v>
          </cell>
          <cell r="BH225">
            <v>16.109902701379674</v>
          </cell>
          <cell r="BI225">
            <v>13.839355674417275</v>
          </cell>
          <cell r="BJ225">
            <v>18.380449728342072</v>
          </cell>
          <cell r="BU225">
            <v>6.6605462857983087</v>
          </cell>
          <cell r="BV225">
            <v>11.522967903511651</v>
          </cell>
          <cell r="BW225">
            <v>10.055977276238897</v>
          </cell>
          <cell r="BX225">
            <v>8.6149332270911767</v>
          </cell>
          <cell r="BY225">
            <v>11.497021325386617</v>
          </cell>
        </row>
        <row r="226">
          <cell r="A226">
            <v>39752</v>
          </cell>
          <cell r="BF226">
            <v>9.9804155976599382</v>
          </cell>
          <cell r="BG226">
            <v>17.429620749261797</v>
          </cell>
          <cell r="BH226">
            <v>16.109902701379674</v>
          </cell>
          <cell r="BI226">
            <v>13.839355674417275</v>
          </cell>
          <cell r="BJ226">
            <v>18.380449728342072</v>
          </cell>
          <cell r="BU226">
            <v>6.5816150739382806</v>
          </cell>
          <cell r="BV226">
            <v>11.522967903511651</v>
          </cell>
          <cell r="BW226">
            <v>10.055977276238897</v>
          </cell>
          <cell r="BX226">
            <v>8.6149332270911767</v>
          </cell>
          <cell r="BY226">
            <v>11.497021325386617</v>
          </cell>
        </row>
        <row r="227">
          <cell r="A227">
            <v>39755</v>
          </cell>
          <cell r="BF227">
            <v>9.9424428159978699</v>
          </cell>
          <cell r="BG227">
            <v>17.429620749261797</v>
          </cell>
          <cell r="BH227">
            <v>16.109902701379674</v>
          </cell>
          <cell r="BI227">
            <v>13.839355674417275</v>
          </cell>
          <cell r="BJ227">
            <v>18.380449728342072</v>
          </cell>
          <cell r="BU227">
            <v>6.5662647578854569</v>
          </cell>
          <cell r="BV227">
            <v>11.522967903511651</v>
          </cell>
          <cell r="BW227">
            <v>10.055977276238897</v>
          </cell>
          <cell r="BX227">
            <v>8.6149332270911767</v>
          </cell>
          <cell r="BY227">
            <v>11.497021325386617</v>
          </cell>
        </row>
        <row r="228">
          <cell r="A228">
            <v>39756</v>
          </cell>
          <cell r="BF228">
            <v>9.8393911944510037</v>
          </cell>
          <cell r="BG228">
            <v>17.429620749261797</v>
          </cell>
          <cell r="BH228">
            <v>16.109902701379674</v>
          </cell>
          <cell r="BI228">
            <v>13.839355674417275</v>
          </cell>
          <cell r="BJ228">
            <v>18.380449728342072</v>
          </cell>
          <cell r="BU228">
            <v>6.5085351966707723</v>
          </cell>
          <cell r="BV228">
            <v>11.522967903511651</v>
          </cell>
          <cell r="BW228">
            <v>10.055977276238897</v>
          </cell>
          <cell r="BX228">
            <v>8.6149332270911767</v>
          </cell>
          <cell r="BY228">
            <v>11.497021325386617</v>
          </cell>
        </row>
        <row r="229">
          <cell r="A229">
            <v>39757</v>
          </cell>
          <cell r="BF229">
            <v>9.8719344112918783</v>
          </cell>
          <cell r="BG229">
            <v>17.429620749261797</v>
          </cell>
          <cell r="BH229">
            <v>16.109902701379674</v>
          </cell>
          <cell r="BI229">
            <v>13.839355674417275</v>
          </cell>
          <cell r="BJ229">
            <v>18.380449728342072</v>
          </cell>
          <cell r="BU229">
            <v>6.5267659202686898</v>
          </cell>
          <cell r="BV229">
            <v>11.522967903511651</v>
          </cell>
          <cell r="BW229">
            <v>10.055977276238897</v>
          </cell>
          <cell r="BX229">
            <v>8.6149332270911767</v>
          </cell>
          <cell r="BY229">
            <v>11.497021325386617</v>
          </cell>
        </row>
        <row r="230">
          <cell r="A230">
            <v>39758</v>
          </cell>
          <cell r="BF230">
            <v>9.8719344112918783</v>
          </cell>
          <cell r="BG230">
            <v>17.429620749261797</v>
          </cell>
          <cell r="BH230">
            <v>16.109902701379674</v>
          </cell>
          <cell r="BI230">
            <v>13.839355674417275</v>
          </cell>
          <cell r="BJ230">
            <v>18.380449728342072</v>
          </cell>
          <cell r="BU230">
            <v>6.5267659202686898</v>
          </cell>
          <cell r="BV230">
            <v>11.522967903511651</v>
          </cell>
          <cell r="BW230">
            <v>10.055977276238897</v>
          </cell>
          <cell r="BX230">
            <v>8.6149332270911767</v>
          </cell>
          <cell r="BY230">
            <v>11.497021325386617</v>
          </cell>
        </row>
        <row r="231">
          <cell r="A231">
            <v>39759</v>
          </cell>
          <cell r="BF231">
            <v>9.8990567419366489</v>
          </cell>
          <cell r="BG231">
            <v>17.429620749261797</v>
          </cell>
          <cell r="BH231">
            <v>16.109902701379674</v>
          </cell>
          <cell r="BI231">
            <v>13.839355674417275</v>
          </cell>
          <cell r="BJ231">
            <v>18.380449728342072</v>
          </cell>
          <cell r="BU231">
            <v>6.5419598611668439</v>
          </cell>
          <cell r="BV231">
            <v>11.522967903511651</v>
          </cell>
          <cell r="BW231">
            <v>10.055977276238897</v>
          </cell>
          <cell r="BX231">
            <v>8.6149332270911767</v>
          </cell>
          <cell r="BY231">
            <v>11.497021325386617</v>
          </cell>
        </row>
        <row r="232">
          <cell r="A232">
            <v>39762</v>
          </cell>
          <cell r="BF232">
            <v>9.6495430161486322</v>
          </cell>
          <cell r="BG232">
            <v>17.429620749261797</v>
          </cell>
          <cell r="BH232">
            <v>16.109902701379674</v>
          </cell>
          <cell r="BI232">
            <v>13.839355674417275</v>
          </cell>
          <cell r="BJ232">
            <v>18.380449728342072</v>
          </cell>
          <cell r="BU232">
            <v>6.4021821682924775</v>
          </cell>
          <cell r="BV232">
            <v>11.522967903511651</v>
          </cell>
          <cell r="BW232">
            <v>10.055977276238897</v>
          </cell>
          <cell r="BX232">
            <v>8.6149332270911767</v>
          </cell>
          <cell r="BY232">
            <v>11.497021325386617</v>
          </cell>
        </row>
        <row r="233">
          <cell r="A233">
            <v>39763</v>
          </cell>
          <cell r="BF233">
            <v>9.8936277195295226</v>
          </cell>
          <cell r="BG233">
            <v>17.429620749261797</v>
          </cell>
          <cell r="BH233">
            <v>16.109902701379674</v>
          </cell>
          <cell r="BI233">
            <v>13.839355674417275</v>
          </cell>
          <cell r="BJ233">
            <v>18.380449728342072</v>
          </cell>
          <cell r="BU233">
            <v>6.5389185205582887</v>
          </cell>
          <cell r="BV233">
            <v>11.522967903511651</v>
          </cell>
          <cell r="BW233">
            <v>10.055977276238897</v>
          </cell>
          <cell r="BX233">
            <v>8.6149332270911767</v>
          </cell>
          <cell r="BY233">
            <v>11.497021325386617</v>
          </cell>
        </row>
        <row r="234">
          <cell r="A234">
            <v>39764</v>
          </cell>
          <cell r="BF234">
            <v>10.207025699930794</v>
          </cell>
          <cell r="BG234">
            <v>17.429620749261797</v>
          </cell>
          <cell r="BH234">
            <v>16.109902701379674</v>
          </cell>
          <cell r="BI234">
            <v>13.839355674417275</v>
          </cell>
          <cell r="BJ234">
            <v>18.380449728342072</v>
          </cell>
          <cell r="BU234">
            <v>6.7935333678883314</v>
          </cell>
          <cell r="BV234">
            <v>11.522967903511651</v>
          </cell>
          <cell r="BW234">
            <v>10.055977276238897</v>
          </cell>
          <cell r="BX234">
            <v>8.6149332270911767</v>
          </cell>
          <cell r="BY234">
            <v>11.497021325386617</v>
          </cell>
        </row>
        <row r="235">
          <cell r="A235">
            <v>39765</v>
          </cell>
          <cell r="BF235">
            <v>10.135135135135135</v>
          </cell>
          <cell r="BG235">
            <v>17.429620749261797</v>
          </cell>
          <cell r="BH235">
            <v>16.109902701379674</v>
          </cell>
          <cell r="BI235">
            <v>13.839355674417275</v>
          </cell>
          <cell r="BJ235">
            <v>18.380449728342072</v>
          </cell>
          <cell r="BU235">
            <v>6.7590090601655559</v>
          </cell>
          <cell r="BV235">
            <v>11.522967903511651</v>
          </cell>
          <cell r="BW235">
            <v>10.055977276238897</v>
          </cell>
          <cell r="BX235">
            <v>8.6149332270911767</v>
          </cell>
          <cell r="BY235">
            <v>11.497021325386617</v>
          </cell>
        </row>
        <row r="236">
          <cell r="A236">
            <v>39766</v>
          </cell>
          <cell r="BF236">
            <v>10.497296756756757</v>
          </cell>
          <cell r="BG236">
            <v>17.429620749261797</v>
          </cell>
          <cell r="BH236">
            <v>16.109902701379674</v>
          </cell>
          <cell r="BI236">
            <v>13.839355674417275</v>
          </cell>
          <cell r="BJ236">
            <v>18.380449728342072</v>
          </cell>
          <cell r="BU236">
            <v>6.9645758591434479</v>
          </cell>
          <cell r="BV236">
            <v>11.522967903511651</v>
          </cell>
          <cell r="BW236">
            <v>10.055977276238897</v>
          </cell>
          <cell r="BX236">
            <v>8.6149332270911767</v>
          </cell>
          <cell r="BY236">
            <v>11.497021325386617</v>
          </cell>
        </row>
        <row r="237">
          <cell r="A237">
            <v>39769</v>
          </cell>
          <cell r="BF237">
            <v>10.41251885002017</v>
          </cell>
          <cell r="BG237">
            <v>17.429620749261797</v>
          </cell>
          <cell r="BH237">
            <v>16.109902701379674</v>
          </cell>
          <cell r="BI237">
            <v>13.839355674417275</v>
          </cell>
          <cell r="BJ237">
            <v>18.380449728342072</v>
          </cell>
          <cell r="BU237">
            <v>6.9351192369034127</v>
          </cell>
          <cell r="BV237">
            <v>11.522967903511651</v>
          </cell>
          <cell r="BW237">
            <v>10.055977276238897</v>
          </cell>
          <cell r="BX237">
            <v>8.6149332270911767</v>
          </cell>
          <cell r="BY237">
            <v>11.497021325386617</v>
          </cell>
        </row>
        <row r="238">
          <cell r="A238">
            <v>39770</v>
          </cell>
          <cell r="BF238">
            <v>10.488707516009436</v>
          </cell>
          <cell r="BG238">
            <v>17.429620749261797</v>
          </cell>
          <cell r="BH238">
            <v>16.109902701379674</v>
          </cell>
          <cell r="BI238">
            <v>13.839355674417275</v>
          </cell>
          <cell r="BJ238">
            <v>18.380449728342072</v>
          </cell>
          <cell r="BU238">
            <v>7.0029010587030038</v>
          </cell>
          <cell r="BV238">
            <v>11.522967903511651</v>
          </cell>
          <cell r="BW238">
            <v>10.055977276238897</v>
          </cell>
          <cell r="BX238">
            <v>8.6149332270911767</v>
          </cell>
          <cell r="BY238">
            <v>11.497021325386617</v>
          </cell>
        </row>
        <row r="239">
          <cell r="A239">
            <v>39771</v>
          </cell>
          <cell r="BF239">
            <v>10.418600876306032</v>
          </cell>
          <cell r="BG239">
            <v>17.429620749261797</v>
          </cell>
          <cell r="BH239">
            <v>16.109902701379674</v>
          </cell>
          <cell r="BI239">
            <v>13.839355674417275</v>
          </cell>
          <cell r="BJ239">
            <v>18.380449728342072</v>
          </cell>
          <cell r="BU239">
            <v>6.96284711366987</v>
          </cell>
          <cell r="BV239">
            <v>11.522967903511651</v>
          </cell>
          <cell r="BW239">
            <v>10.055977276238897</v>
          </cell>
          <cell r="BX239">
            <v>8.6149332270911767</v>
          </cell>
          <cell r="BY239">
            <v>11.497021325386617</v>
          </cell>
        </row>
        <row r="240">
          <cell r="A240">
            <v>39772</v>
          </cell>
          <cell r="BF240">
            <v>10.585771486349847</v>
          </cell>
          <cell r="BG240">
            <v>17.429620749261797</v>
          </cell>
          <cell r="BH240">
            <v>16.109902701379674</v>
          </cell>
          <cell r="BI240">
            <v>13.839355674417275</v>
          </cell>
          <cell r="BJ240">
            <v>18.380449728342072</v>
          </cell>
          <cell r="BU240">
            <v>7.0583565041381329</v>
          </cell>
          <cell r="BV240">
            <v>11.522967903511651</v>
          </cell>
          <cell r="BW240">
            <v>10.055977276238897</v>
          </cell>
          <cell r="BX240">
            <v>8.6149332270911767</v>
          </cell>
          <cell r="BY240">
            <v>11.497021325386617</v>
          </cell>
        </row>
        <row r="241">
          <cell r="A241">
            <v>39773</v>
          </cell>
          <cell r="BF241">
            <v>10.450955173576002</v>
          </cell>
          <cell r="BG241">
            <v>17.429620749261797</v>
          </cell>
          <cell r="BH241">
            <v>16.109902701379674</v>
          </cell>
          <cell r="BI241">
            <v>13.839355674417275</v>
          </cell>
          <cell r="BJ241">
            <v>18.380449728342072</v>
          </cell>
          <cell r="BU241">
            <v>6.9813320567497206</v>
          </cell>
          <cell r="BV241">
            <v>11.522967903511651</v>
          </cell>
          <cell r="BW241">
            <v>10.055977276238897</v>
          </cell>
          <cell r="BX241">
            <v>8.6149332270911767</v>
          </cell>
          <cell r="BY241">
            <v>11.497021325386617</v>
          </cell>
        </row>
        <row r="242">
          <cell r="A242">
            <v>39776</v>
          </cell>
          <cell r="BF242">
            <v>10.272996562184023</v>
          </cell>
          <cell r="BG242">
            <v>17.429620749261797</v>
          </cell>
          <cell r="BH242">
            <v>16.109902701379674</v>
          </cell>
          <cell r="BI242">
            <v>13.839355674417275</v>
          </cell>
          <cell r="BJ242">
            <v>18.380449728342072</v>
          </cell>
          <cell r="BU242">
            <v>6.8796591700014389</v>
          </cell>
          <cell r="BV242">
            <v>11.522967903511651</v>
          </cell>
          <cell r="BW242">
            <v>10.055977276238897</v>
          </cell>
          <cell r="BX242">
            <v>8.6149332270911767</v>
          </cell>
          <cell r="BY242">
            <v>11.497021325386617</v>
          </cell>
        </row>
        <row r="243">
          <cell r="A243">
            <v>39777</v>
          </cell>
          <cell r="BF243">
            <v>10.445565756656555</v>
          </cell>
          <cell r="BG243">
            <v>17.429620749261797</v>
          </cell>
          <cell r="BH243">
            <v>16.109902701379674</v>
          </cell>
          <cell r="BI243">
            <v>13.839355674417275</v>
          </cell>
          <cell r="BJ243">
            <v>18.380449728342072</v>
          </cell>
          <cell r="BU243">
            <v>6.9782529274409226</v>
          </cell>
          <cell r="BV243">
            <v>11.522967903511651</v>
          </cell>
          <cell r="BW243">
            <v>10.055977276238897</v>
          </cell>
          <cell r="BX243">
            <v>8.6149332270911767</v>
          </cell>
          <cell r="BY243">
            <v>11.497021325386617</v>
          </cell>
        </row>
        <row r="244">
          <cell r="A244">
            <v>39778</v>
          </cell>
          <cell r="BF244">
            <v>10.186720593191776</v>
          </cell>
          <cell r="BG244">
            <v>17.429620749261797</v>
          </cell>
          <cell r="BH244">
            <v>16.109902701379674</v>
          </cell>
          <cell r="BI244">
            <v>13.839355674417275</v>
          </cell>
          <cell r="BJ244">
            <v>18.380449728342072</v>
          </cell>
          <cell r="BU244">
            <v>6.8303672208463295</v>
          </cell>
          <cell r="BV244">
            <v>11.522967903511651</v>
          </cell>
          <cell r="BW244">
            <v>10.055977276238897</v>
          </cell>
          <cell r="BX244">
            <v>8.6149332270911767</v>
          </cell>
          <cell r="BY244">
            <v>11.497021325386617</v>
          </cell>
        </row>
        <row r="245">
          <cell r="A245">
            <v>39779</v>
          </cell>
          <cell r="BF245">
            <v>10.326926322885068</v>
          </cell>
          <cell r="BG245">
            <v>17.429620749261797</v>
          </cell>
          <cell r="BH245">
            <v>16.109902701379674</v>
          </cell>
          <cell r="BI245">
            <v>13.839355674417275</v>
          </cell>
          <cell r="BJ245">
            <v>18.380449728342072</v>
          </cell>
          <cell r="BU245">
            <v>6.9104707975435398</v>
          </cell>
          <cell r="BV245">
            <v>11.522967903511651</v>
          </cell>
          <cell r="BW245">
            <v>10.055977276238897</v>
          </cell>
          <cell r="BX245">
            <v>8.6149332270911767</v>
          </cell>
          <cell r="BY245">
            <v>11.497021325386617</v>
          </cell>
        </row>
        <row r="246">
          <cell r="A246">
            <v>39780</v>
          </cell>
          <cell r="BF246">
            <v>10.269118463739877</v>
          </cell>
          <cell r="BG246">
            <v>17.429620749261797</v>
          </cell>
          <cell r="BH246">
            <v>16.109902701379674</v>
          </cell>
          <cell r="BI246">
            <v>13.839355674417275</v>
          </cell>
          <cell r="BJ246">
            <v>18.380449728342072</v>
          </cell>
          <cell r="BU246">
            <v>6.8997497213819461</v>
          </cell>
          <cell r="BV246">
            <v>11.522967903511651</v>
          </cell>
          <cell r="BW246">
            <v>10.055977276238897</v>
          </cell>
          <cell r="BX246">
            <v>8.6149332270911767</v>
          </cell>
          <cell r="BY246">
            <v>11.497021325386617</v>
          </cell>
        </row>
        <row r="247">
          <cell r="A247">
            <v>39783</v>
          </cell>
          <cell r="BF247">
            <v>10.269118463739877</v>
          </cell>
          <cell r="BG247">
            <v>17.429620749261797</v>
          </cell>
          <cell r="BH247">
            <v>16.109902701379674</v>
          </cell>
          <cell r="BI247">
            <v>13.839355674417275</v>
          </cell>
          <cell r="BJ247">
            <v>18.380449728342072</v>
          </cell>
          <cell r="BU247">
            <v>6.8997497213819461</v>
          </cell>
          <cell r="BV247">
            <v>11.522967903511651</v>
          </cell>
          <cell r="BW247">
            <v>10.055977276238897</v>
          </cell>
          <cell r="BX247">
            <v>8.6149332270911767</v>
          </cell>
          <cell r="BY247">
            <v>11.497021325386617</v>
          </cell>
        </row>
        <row r="248">
          <cell r="A248">
            <v>39784</v>
          </cell>
          <cell r="BF248">
            <v>9.604322758393316</v>
          </cell>
          <cell r="BG248">
            <v>17.429620749261797</v>
          </cell>
          <cell r="BH248">
            <v>16.109902701379674</v>
          </cell>
          <cell r="BI248">
            <v>13.839355674417275</v>
          </cell>
          <cell r="BJ248">
            <v>18.380449728342072</v>
          </cell>
          <cell r="BU248">
            <v>6.5188269237892058</v>
          </cell>
          <cell r="BV248">
            <v>11.522967903511651</v>
          </cell>
          <cell r="BW248">
            <v>10.055977276238897</v>
          </cell>
          <cell r="BX248">
            <v>8.6149332270911767</v>
          </cell>
          <cell r="BY248">
            <v>11.497021325386617</v>
          </cell>
        </row>
        <row r="249">
          <cell r="A249">
            <v>39785</v>
          </cell>
          <cell r="BF249">
            <v>9.9124000956649461</v>
          </cell>
          <cell r="BG249">
            <v>17.429620749261797</v>
          </cell>
          <cell r="BH249">
            <v>16.109902701379674</v>
          </cell>
          <cell r="BI249">
            <v>13.839355674417275</v>
          </cell>
          <cell r="BJ249">
            <v>18.380449728342072</v>
          </cell>
          <cell r="BU249">
            <v>6.6953528553567905</v>
          </cell>
          <cell r="BV249">
            <v>11.522967903511651</v>
          </cell>
          <cell r="BW249">
            <v>10.055977276238897</v>
          </cell>
          <cell r="BX249">
            <v>8.6149332270911767</v>
          </cell>
          <cell r="BY249">
            <v>11.497021325386617</v>
          </cell>
        </row>
        <row r="250">
          <cell r="A250">
            <v>39786</v>
          </cell>
          <cell r="BF250">
            <v>9.8151093863796355</v>
          </cell>
          <cell r="BG250">
            <v>17.429620749261797</v>
          </cell>
          <cell r="BH250">
            <v>16.109902701379674</v>
          </cell>
          <cell r="BI250">
            <v>13.839355674417275</v>
          </cell>
          <cell r="BJ250">
            <v>18.380449728342072</v>
          </cell>
          <cell r="BU250">
            <v>6.6396060313886327</v>
          </cell>
          <cell r="BV250">
            <v>11.522967903511651</v>
          </cell>
          <cell r="BW250">
            <v>10.055977276238897</v>
          </cell>
          <cell r="BX250">
            <v>8.6149332270911767</v>
          </cell>
          <cell r="BY250">
            <v>11.497021325386617</v>
          </cell>
        </row>
        <row r="251">
          <cell r="A251">
            <v>39787</v>
          </cell>
          <cell r="BF251">
            <v>9.7286385445956736</v>
          </cell>
          <cell r="BG251">
            <v>17.429620749261797</v>
          </cell>
          <cell r="BH251">
            <v>16.109902701379674</v>
          </cell>
          <cell r="BI251">
            <v>13.839355674417275</v>
          </cell>
          <cell r="BJ251">
            <v>18.380449728342072</v>
          </cell>
          <cell r="BU251">
            <v>6.5900589078172267</v>
          </cell>
          <cell r="BV251">
            <v>11.522967903511651</v>
          </cell>
          <cell r="BW251">
            <v>10.055977276238897</v>
          </cell>
          <cell r="BX251">
            <v>8.6149332270911767</v>
          </cell>
          <cell r="BY251">
            <v>11.497021325386617</v>
          </cell>
        </row>
        <row r="252">
          <cell r="A252">
            <v>39790</v>
          </cell>
          <cell r="BF252">
            <v>9.8853744782679787</v>
          </cell>
          <cell r="BG252">
            <v>17.429620749261797</v>
          </cell>
          <cell r="BH252">
            <v>16.109902701379674</v>
          </cell>
          <cell r="BI252">
            <v>13.839355674417275</v>
          </cell>
          <cell r="BJ252">
            <v>18.380449728342072</v>
          </cell>
          <cell r="BU252">
            <v>6.679867385606113</v>
          </cell>
          <cell r="BV252">
            <v>11.522967903511651</v>
          </cell>
          <cell r="BW252">
            <v>10.055977276238897</v>
          </cell>
          <cell r="BX252">
            <v>8.6149332270911767</v>
          </cell>
          <cell r="BY252">
            <v>11.497021325386617</v>
          </cell>
        </row>
        <row r="253">
          <cell r="A253">
            <v>39791</v>
          </cell>
          <cell r="BF253">
            <v>10.112374963348705</v>
          </cell>
          <cell r="BG253">
            <v>17.429620749261797</v>
          </cell>
          <cell r="BH253">
            <v>16.109902701379674</v>
          </cell>
          <cell r="BI253">
            <v>13.839355674417275</v>
          </cell>
          <cell r="BJ253">
            <v>18.380449728342072</v>
          </cell>
          <cell r="BU253">
            <v>6.8099369079216681</v>
          </cell>
          <cell r="BV253">
            <v>11.522967903511651</v>
          </cell>
          <cell r="BW253">
            <v>10.055977276238897</v>
          </cell>
          <cell r="BX253">
            <v>8.6149332270911767</v>
          </cell>
          <cell r="BY253">
            <v>11.497021325386617</v>
          </cell>
        </row>
        <row r="254">
          <cell r="A254">
            <v>39792</v>
          </cell>
          <cell r="BF254">
            <v>10.301546177928692</v>
          </cell>
          <cell r="BG254">
            <v>17.429620749261797</v>
          </cell>
          <cell r="BH254">
            <v>16.109902701379674</v>
          </cell>
          <cell r="BI254">
            <v>13.839355674417275</v>
          </cell>
          <cell r="BJ254">
            <v>18.380449728342072</v>
          </cell>
          <cell r="BU254">
            <v>6.9183305508142015</v>
          </cell>
          <cell r="BV254">
            <v>11.522967903511651</v>
          </cell>
          <cell r="BW254">
            <v>10.055977276238897</v>
          </cell>
          <cell r="BX254">
            <v>8.6149332270911767</v>
          </cell>
          <cell r="BY254">
            <v>11.497021325386617</v>
          </cell>
        </row>
        <row r="255">
          <cell r="A255">
            <v>39793</v>
          </cell>
          <cell r="BF255">
            <v>10.036708315148436</v>
          </cell>
          <cell r="BG255">
            <v>17.429620749261797</v>
          </cell>
          <cell r="BH255">
            <v>16.109902701379674</v>
          </cell>
          <cell r="BI255">
            <v>13.839355674417275</v>
          </cell>
          <cell r="BJ255">
            <v>18.380449728342072</v>
          </cell>
          <cell r="BU255">
            <v>6.7665805037134215</v>
          </cell>
          <cell r="BV255">
            <v>11.522967903511651</v>
          </cell>
          <cell r="BW255">
            <v>10.055977276238897</v>
          </cell>
          <cell r="BX255">
            <v>8.6149332270911767</v>
          </cell>
          <cell r="BY255">
            <v>11.497021325386617</v>
          </cell>
        </row>
        <row r="256">
          <cell r="A256">
            <v>39794</v>
          </cell>
          <cell r="BF256">
            <v>9.9394257130619135</v>
          </cell>
          <cell r="BG256">
            <v>17.429620749261797</v>
          </cell>
          <cell r="BH256">
            <v>16.109902701379674</v>
          </cell>
          <cell r="BI256">
            <v>13.839355674417275</v>
          </cell>
          <cell r="BJ256">
            <v>18.380449728342072</v>
          </cell>
          <cell r="BU256">
            <v>6.710838325107467</v>
          </cell>
          <cell r="BV256">
            <v>11.522967903511651</v>
          </cell>
          <cell r="BW256">
            <v>10.055977276238897</v>
          </cell>
          <cell r="BX256">
            <v>8.6149332270911767</v>
          </cell>
          <cell r="BY256">
            <v>11.497021325386617</v>
          </cell>
        </row>
        <row r="257">
          <cell r="A257">
            <v>39797</v>
          </cell>
          <cell r="BF257">
            <v>10.067228461573137</v>
          </cell>
          <cell r="BG257">
            <v>17.429620749261797</v>
          </cell>
          <cell r="BH257">
            <v>16.109902701379674</v>
          </cell>
          <cell r="BI257">
            <v>13.839355674417275</v>
          </cell>
          <cell r="BJ257">
            <v>18.380449728342072</v>
          </cell>
          <cell r="BU257">
            <v>6.7943119792455144</v>
          </cell>
          <cell r="BV257">
            <v>11.522967903511651</v>
          </cell>
          <cell r="BW257">
            <v>10.055977276238897</v>
          </cell>
          <cell r="BX257">
            <v>8.6149332270911767</v>
          </cell>
          <cell r="BY257">
            <v>11.497021325386617</v>
          </cell>
        </row>
        <row r="258">
          <cell r="A258">
            <v>39798</v>
          </cell>
          <cell r="BF258">
            <v>10.061864816834778</v>
          </cell>
          <cell r="BG258">
            <v>17.429620749261797</v>
          </cell>
          <cell r="BH258">
            <v>16.109902701379674</v>
          </cell>
          <cell r="BI258">
            <v>13.839355674417275</v>
          </cell>
          <cell r="BJ258">
            <v>18.380449728342072</v>
          </cell>
          <cell r="BU258">
            <v>6.791230728269249</v>
          </cell>
          <cell r="BV258">
            <v>11.522967903511651</v>
          </cell>
          <cell r="BW258">
            <v>10.055977276238897</v>
          </cell>
          <cell r="BX258">
            <v>8.6149332270911767</v>
          </cell>
          <cell r="BY258">
            <v>11.497021325386617</v>
          </cell>
        </row>
        <row r="259">
          <cell r="A259">
            <v>39799</v>
          </cell>
          <cell r="BF259">
            <v>10.15866237078516</v>
          </cell>
          <cell r="BG259">
            <v>17.429620749261797</v>
          </cell>
          <cell r="BH259">
            <v>16.109902701379674</v>
          </cell>
          <cell r="BI259">
            <v>13.839355674417275</v>
          </cell>
          <cell r="BJ259">
            <v>18.380449728342072</v>
          </cell>
          <cell r="BU259">
            <v>6.8559669018568403</v>
          </cell>
          <cell r="BV259">
            <v>11.522967903511651</v>
          </cell>
          <cell r="BW259">
            <v>10.055977276238897</v>
          </cell>
          <cell r="BX259">
            <v>8.6149332270911767</v>
          </cell>
          <cell r="BY259">
            <v>11.497021325386617</v>
          </cell>
        </row>
        <row r="260">
          <cell r="A260">
            <v>39800</v>
          </cell>
          <cell r="BF260">
            <v>10.355241609071715</v>
          </cell>
          <cell r="BG260">
            <v>17.429620749261797</v>
          </cell>
          <cell r="BH260">
            <v>16.109902701379674</v>
          </cell>
          <cell r="BI260">
            <v>13.839355674417275</v>
          </cell>
          <cell r="BJ260">
            <v>18.380449728342072</v>
          </cell>
          <cell r="BU260">
            <v>7.0501359576418867</v>
          </cell>
          <cell r="BV260">
            <v>11.522967903511651</v>
          </cell>
          <cell r="BW260">
            <v>10.055977276238897</v>
          </cell>
          <cell r="BX260">
            <v>8.6149332270911767</v>
          </cell>
          <cell r="BY260">
            <v>11.497021325386617</v>
          </cell>
        </row>
        <row r="261">
          <cell r="A261">
            <v>39801</v>
          </cell>
          <cell r="BF261">
            <v>10.638434102853518</v>
          </cell>
          <cell r="BG261">
            <v>17.429620749261797</v>
          </cell>
          <cell r="BH261">
            <v>16.109902701379674</v>
          </cell>
          <cell r="BI261">
            <v>13.839355674417275</v>
          </cell>
          <cell r="BJ261">
            <v>18.380449728342072</v>
          </cell>
          <cell r="BU261">
            <v>7.2150367831505084</v>
          </cell>
          <cell r="BV261">
            <v>11.522967903511651</v>
          </cell>
          <cell r="BW261">
            <v>10.055977276238897</v>
          </cell>
          <cell r="BX261">
            <v>8.6149332270911767</v>
          </cell>
          <cell r="BY261">
            <v>11.497021325386617</v>
          </cell>
        </row>
        <row r="262">
          <cell r="A262">
            <v>39804</v>
          </cell>
          <cell r="BF262">
            <v>10.526229819158214</v>
          </cell>
          <cell r="BG262">
            <v>17.429620749261797</v>
          </cell>
          <cell r="BH262">
            <v>16.109902701379674</v>
          </cell>
          <cell r="BI262">
            <v>13.839355674417275</v>
          </cell>
          <cell r="BJ262">
            <v>18.380449728342072</v>
          </cell>
          <cell r="BU262">
            <v>7.1497010860072949</v>
          </cell>
          <cell r="BV262">
            <v>11.522967903511651</v>
          </cell>
          <cell r="BW262">
            <v>10.055977276238897</v>
          </cell>
          <cell r="BX262">
            <v>8.6149332270911767</v>
          </cell>
          <cell r="BY262">
            <v>11.497021325386617</v>
          </cell>
        </row>
        <row r="263">
          <cell r="A263">
            <v>39805</v>
          </cell>
          <cell r="BF263">
            <v>10.237689251756908</v>
          </cell>
          <cell r="BG263">
            <v>17.429620749261797</v>
          </cell>
          <cell r="BH263">
            <v>16.109902701379674</v>
          </cell>
          <cell r="BI263">
            <v>13.839355674417275</v>
          </cell>
          <cell r="BJ263">
            <v>18.380449728342072</v>
          </cell>
          <cell r="BU263">
            <v>6.9816861180898835</v>
          </cell>
          <cell r="BV263">
            <v>11.522967903511651</v>
          </cell>
          <cell r="BW263">
            <v>10.055977276238897</v>
          </cell>
          <cell r="BX263">
            <v>8.6149332270911767</v>
          </cell>
          <cell r="BY263">
            <v>11.497021325386617</v>
          </cell>
        </row>
        <row r="264">
          <cell r="A264">
            <v>39806</v>
          </cell>
          <cell r="BF264">
            <v>10.253718511474306</v>
          </cell>
          <cell r="BG264">
            <v>17.429620749261797</v>
          </cell>
          <cell r="BH264">
            <v>16.109902701379674</v>
          </cell>
          <cell r="BI264">
            <v>13.839355674417275</v>
          </cell>
          <cell r="BJ264">
            <v>18.380449728342072</v>
          </cell>
          <cell r="BU264">
            <v>6.991019833558088</v>
          </cell>
          <cell r="BV264">
            <v>11.522967903511651</v>
          </cell>
          <cell r="BW264">
            <v>10.055977276238897</v>
          </cell>
          <cell r="BX264">
            <v>8.6149332270911767</v>
          </cell>
          <cell r="BY264">
            <v>11.497021325386617</v>
          </cell>
        </row>
        <row r="265">
          <cell r="A265">
            <v>39807</v>
          </cell>
          <cell r="BF265">
            <v>10.355241609071715</v>
          </cell>
          <cell r="BG265">
            <v>17.429620749261797</v>
          </cell>
          <cell r="BH265">
            <v>16.109902701379674</v>
          </cell>
          <cell r="BI265">
            <v>13.839355674417275</v>
          </cell>
          <cell r="BJ265">
            <v>18.380449728342072</v>
          </cell>
          <cell r="BU265">
            <v>7.0501359576418867</v>
          </cell>
          <cell r="BV265">
            <v>11.522967903511651</v>
          </cell>
          <cell r="BW265">
            <v>10.055977276238897</v>
          </cell>
          <cell r="BX265">
            <v>8.6149332270911767</v>
          </cell>
          <cell r="BY265">
            <v>11.497021325386617</v>
          </cell>
        </row>
        <row r="266">
          <cell r="A266">
            <v>39808</v>
          </cell>
          <cell r="BF266">
            <v>10.365930275740165</v>
          </cell>
          <cell r="BG266">
            <v>17.429620749261797</v>
          </cell>
          <cell r="BH266">
            <v>16.109902701379674</v>
          </cell>
          <cell r="BI266">
            <v>13.839355674417275</v>
          </cell>
          <cell r="BJ266">
            <v>18.380449728342072</v>
          </cell>
          <cell r="BU266">
            <v>7.0563598865803829</v>
          </cell>
          <cell r="BV266">
            <v>11.522967903511651</v>
          </cell>
          <cell r="BW266">
            <v>10.055977276238897</v>
          </cell>
          <cell r="BX266">
            <v>8.6149332270911767</v>
          </cell>
          <cell r="BY266">
            <v>11.497021325386617</v>
          </cell>
        </row>
        <row r="267">
          <cell r="A267">
            <v>39811</v>
          </cell>
          <cell r="BF267">
            <v>10.365930275740165</v>
          </cell>
          <cell r="BG267">
            <v>17.429620749261797</v>
          </cell>
          <cell r="BH267">
            <v>16.109902701379674</v>
          </cell>
          <cell r="BI267">
            <v>13.839355674417275</v>
          </cell>
          <cell r="BJ267">
            <v>18.380449728342072</v>
          </cell>
          <cell r="BU267">
            <v>7.0563598865803829</v>
          </cell>
          <cell r="BV267">
            <v>11.522967903511651</v>
          </cell>
          <cell r="BW267">
            <v>10.055977276238897</v>
          </cell>
          <cell r="BX267">
            <v>8.6149332270911767</v>
          </cell>
          <cell r="BY267">
            <v>11.497021325386617</v>
          </cell>
        </row>
        <row r="268">
          <cell r="A268">
            <v>39812</v>
          </cell>
          <cell r="BF268">
            <v>10.010570951622778</v>
          </cell>
          <cell r="BG268">
            <v>17.429620749261797</v>
          </cell>
          <cell r="BH268">
            <v>16.109902701379674</v>
          </cell>
          <cell r="BI268">
            <v>13.839355674417275</v>
          </cell>
          <cell r="BJ268">
            <v>18.380449728342072</v>
          </cell>
          <cell r="BU268">
            <v>6.8234166855948759</v>
          </cell>
          <cell r="BV268">
            <v>11.522967903511651</v>
          </cell>
          <cell r="BW268">
            <v>10.055977276238897</v>
          </cell>
          <cell r="BX268">
            <v>8.6149332270911767</v>
          </cell>
          <cell r="BY268">
            <v>11.497021325386617</v>
          </cell>
        </row>
        <row r="269">
          <cell r="A269">
            <v>39813</v>
          </cell>
          <cell r="BF269">
            <v>9.9874073741016769</v>
          </cell>
          <cell r="BG269">
            <v>17.429620749261797</v>
          </cell>
          <cell r="BH269">
            <v>16.109902701379674</v>
          </cell>
          <cell r="BI269">
            <v>13.839355674417275</v>
          </cell>
          <cell r="BJ269">
            <v>18.380449728342072</v>
          </cell>
          <cell r="BU269">
            <v>6.779855604643906</v>
          </cell>
          <cell r="BV269">
            <v>11.522967903511651</v>
          </cell>
          <cell r="BW269">
            <v>10.055977276238897</v>
          </cell>
          <cell r="BX269">
            <v>8.6149332270911767</v>
          </cell>
          <cell r="BY269">
            <v>11.497021325386617</v>
          </cell>
        </row>
        <row r="270">
          <cell r="A270">
            <v>39814</v>
          </cell>
          <cell r="BF270">
            <v>11.018905991028284</v>
          </cell>
          <cell r="BG270">
            <v>17.429620749261797</v>
          </cell>
          <cell r="BH270">
            <v>16.109902701379674</v>
          </cell>
          <cell r="BI270">
            <v>13.839355674417275</v>
          </cell>
          <cell r="BJ270">
            <v>18.380449728342072</v>
          </cell>
          <cell r="BU270">
            <v>7.4024117627182626</v>
          </cell>
          <cell r="BV270">
            <v>11.522967903511651</v>
          </cell>
          <cell r="BW270">
            <v>10.055977276238897</v>
          </cell>
          <cell r="BX270">
            <v>8.6149332270911767</v>
          </cell>
          <cell r="BY270">
            <v>11.497021325386617</v>
          </cell>
        </row>
        <row r="271">
          <cell r="A271">
            <v>39815</v>
          </cell>
          <cell r="BF271">
            <v>10.869780958256673</v>
          </cell>
          <cell r="BG271">
            <v>17.429620749261797</v>
          </cell>
          <cell r="BH271">
            <v>16.109902701379674</v>
          </cell>
          <cell r="BI271">
            <v>13.839355674417275</v>
          </cell>
          <cell r="BJ271">
            <v>18.380449728342072</v>
          </cell>
          <cell r="BU271">
            <v>7.257520921912481</v>
          </cell>
          <cell r="BV271">
            <v>11.522967903511651</v>
          </cell>
          <cell r="BW271">
            <v>10.055977276238897</v>
          </cell>
          <cell r="BX271">
            <v>8.6149332270911767</v>
          </cell>
          <cell r="BY271">
            <v>11.497021325386617</v>
          </cell>
        </row>
        <row r="272">
          <cell r="A272">
            <v>39818</v>
          </cell>
          <cell r="BF272">
            <v>10.636426340001423</v>
          </cell>
          <cell r="BG272">
            <v>17.429620749261797</v>
          </cell>
          <cell r="BH272">
            <v>16.109902701379674</v>
          </cell>
          <cell r="BI272">
            <v>13.839355674417275</v>
          </cell>
          <cell r="BJ272">
            <v>18.380449728342072</v>
          </cell>
          <cell r="BU272">
            <v>7.123635805856626</v>
          </cell>
          <cell r="BV272">
            <v>11.522967903511651</v>
          </cell>
          <cell r="BW272">
            <v>10.055977276238897</v>
          </cell>
          <cell r="BX272">
            <v>8.6149332270911767</v>
          </cell>
          <cell r="BY272">
            <v>11.497021325386617</v>
          </cell>
        </row>
        <row r="273">
          <cell r="A273">
            <v>39819</v>
          </cell>
          <cell r="BF273">
            <v>10.837213399733685</v>
          </cell>
          <cell r="BG273">
            <v>17.429620749261797</v>
          </cell>
          <cell r="BH273">
            <v>16.109902701379674</v>
          </cell>
          <cell r="BI273">
            <v>13.839355674417275</v>
          </cell>
          <cell r="BJ273">
            <v>18.380449728342072</v>
          </cell>
          <cell r="BU273">
            <v>7.2388355777564177</v>
          </cell>
          <cell r="BV273">
            <v>11.522967903511651</v>
          </cell>
          <cell r="BW273">
            <v>10.055977276238897</v>
          </cell>
          <cell r="BX273">
            <v>8.6149332270911767</v>
          </cell>
          <cell r="BY273">
            <v>11.497021325386617</v>
          </cell>
        </row>
        <row r="274">
          <cell r="A274">
            <v>39820</v>
          </cell>
          <cell r="BF274">
            <v>10.641850377250639</v>
          </cell>
          <cell r="BG274">
            <v>17.429620749261797</v>
          </cell>
          <cell r="BH274">
            <v>16.109902701379674</v>
          </cell>
          <cell r="BI274">
            <v>13.839355674417275</v>
          </cell>
          <cell r="BJ274">
            <v>18.380449728342072</v>
          </cell>
          <cell r="BU274">
            <v>7.1267477985055496</v>
          </cell>
          <cell r="BV274">
            <v>11.522967903511651</v>
          </cell>
          <cell r="BW274">
            <v>10.055977276238897</v>
          </cell>
          <cell r="BX274">
            <v>8.6149332270911767</v>
          </cell>
          <cell r="BY274">
            <v>11.497021325386617</v>
          </cell>
        </row>
        <row r="275">
          <cell r="A275">
            <v>39821</v>
          </cell>
          <cell r="BF275">
            <v>9.9797943985089663</v>
          </cell>
          <cell r="BG275">
            <v>17.429620749261797</v>
          </cell>
          <cell r="BH275">
            <v>16.109902701379674</v>
          </cell>
          <cell r="BI275">
            <v>13.839355674417275</v>
          </cell>
          <cell r="BJ275">
            <v>18.380449728342072</v>
          </cell>
          <cell r="BU275">
            <v>6.7468991277912442</v>
          </cell>
          <cell r="BV275">
            <v>11.522967903511651</v>
          </cell>
          <cell r="BW275">
            <v>10.055977276238897</v>
          </cell>
          <cell r="BX275">
            <v>8.6149332270911767</v>
          </cell>
          <cell r="BY275">
            <v>11.497021325386617</v>
          </cell>
        </row>
        <row r="276">
          <cell r="A276">
            <v>39822</v>
          </cell>
          <cell r="BF276">
            <v>9.8061345797985986</v>
          </cell>
          <cell r="BG276">
            <v>17.429620749261797</v>
          </cell>
          <cell r="BH276">
            <v>16.109902701379674</v>
          </cell>
          <cell r="BI276">
            <v>13.839355674417275</v>
          </cell>
          <cell r="BJ276">
            <v>18.380449728342072</v>
          </cell>
          <cell r="BU276">
            <v>6.6472633667503187</v>
          </cell>
          <cell r="BV276">
            <v>11.522967903511651</v>
          </cell>
          <cell r="BW276">
            <v>10.055977276238897</v>
          </cell>
          <cell r="BX276">
            <v>8.6149332270911767</v>
          </cell>
          <cell r="BY276">
            <v>11.497021325386617</v>
          </cell>
        </row>
        <row r="277">
          <cell r="A277">
            <v>39825</v>
          </cell>
          <cell r="BF277">
            <v>9.1203875762738473</v>
          </cell>
          <cell r="BG277">
            <v>17.429620749261797</v>
          </cell>
          <cell r="BH277">
            <v>16.109902701379674</v>
          </cell>
          <cell r="BI277">
            <v>13.839355674417275</v>
          </cell>
          <cell r="BJ277">
            <v>18.380449728342072</v>
          </cell>
          <cell r="BU277">
            <v>6.2741499051316163</v>
          </cell>
          <cell r="BV277">
            <v>11.522967903511651</v>
          </cell>
          <cell r="BW277">
            <v>10.055977276238897</v>
          </cell>
          <cell r="BX277">
            <v>8.6149332270911767</v>
          </cell>
          <cell r="BY277">
            <v>11.497021325386617</v>
          </cell>
        </row>
        <row r="278">
          <cell r="A278">
            <v>39826</v>
          </cell>
          <cell r="BF278">
            <v>9.1419658556063528</v>
          </cell>
          <cell r="BG278">
            <v>17.429620749261797</v>
          </cell>
          <cell r="BH278">
            <v>16.109902701379674</v>
          </cell>
          <cell r="BI278">
            <v>13.839355674417275</v>
          </cell>
          <cell r="BJ278">
            <v>18.380449728342072</v>
          </cell>
          <cell r="BU278">
            <v>6.2865893603168095</v>
          </cell>
          <cell r="BV278">
            <v>11.522967903511651</v>
          </cell>
          <cell r="BW278">
            <v>10.055977276238897</v>
          </cell>
          <cell r="BX278">
            <v>8.6149332270911767</v>
          </cell>
          <cell r="BY278">
            <v>11.497021325386617</v>
          </cell>
        </row>
        <row r="279">
          <cell r="A279">
            <v>39827</v>
          </cell>
          <cell r="BF279">
            <v>9.4555953068010936</v>
          </cell>
          <cell r="BG279">
            <v>17.429620749261797</v>
          </cell>
          <cell r="BH279">
            <v>16.109902701379674</v>
          </cell>
          <cell r="BI279">
            <v>13.839355674417275</v>
          </cell>
          <cell r="BJ279">
            <v>18.380449728342072</v>
          </cell>
          <cell r="BU279">
            <v>6.454486559958724</v>
          </cell>
          <cell r="BV279">
            <v>11.522967903511651</v>
          </cell>
          <cell r="BW279">
            <v>10.055977276238897</v>
          </cell>
          <cell r="BX279">
            <v>8.6149332270911767</v>
          </cell>
          <cell r="BY279">
            <v>11.497021325386617</v>
          </cell>
        </row>
        <row r="280">
          <cell r="A280">
            <v>39828</v>
          </cell>
          <cell r="BF280">
            <v>9.0230905323717199</v>
          </cell>
          <cell r="BG280">
            <v>17.429620749261797</v>
          </cell>
          <cell r="BH280">
            <v>16.109902701379674</v>
          </cell>
          <cell r="BI280">
            <v>13.839355674417275</v>
          </cell>
          <cell r="BJ280">
            <v>18.380449728342072</v>
          </cell>
          <cell r="BU280">
            <v>6.2757673759206769</v>
          </cell>
          <cell r="BV280">
            <v>11.522967903511651</v>
          </cell>
          <cell r="BW280">
            <v>10.055977276238897</v>
          </cell>
          <cell r="BX280">
            <v>8.6149332270911767</v>
          </cell>
          <cell r="BY280">
            <v>11.497021325386617</v>
          </cell>
        </row>
        <row r="281">
          <cell r="A281">
            <v>39829</v>
          </cell>
          <cell r="BF281">
            <v>8.9474024806767716</v>
          </cell>
          <cell r="BG281">
            <v>17.429620749261797</v>
          </cell>
          <cell r="BH281">
            <v>16.109902701379674</v>
          </cell>
          <cell r="BI281">
            <v>13.839355674417275</v>
          </cell>
          <cell r="BJ281">
            <v>18.380449728342072</v>
          </cell>
          <cell r="BU281">
            <v>6.2322379886499517</v>
          </cell>
          <cell r="BV281">
            <v>11.522967903511651</v>
          </cell>
          <cell r="BW281">
            <v>10.055977276238897</v>
          </cell>
          <cell r="BX281">
            <v>8.6149332270911767</v>
          </cell>
          <cell r="BY281">
            <v>11.497021325386617</v>
          </cell>
        </row>
        <row r="282">
          <cell r="A282">
            <v>39832</v>
          </cell>
          <cell r="BF282">
            <v>8.8500935963862251</v>
          </cell>
          <cell r="BG282">
            <v>17.429620749261797</v>
          </cell>
          <cell r="BH282">
            <v>16.109902701379674</v>
          </cell>
          <cell r="BI282">
            <v>13.839355674417275</v>
          </cell>
          <cell r="BJ282">
            <v>18.380449728342072</v>
          </cell>
          <cell r="BU282">
            <v>6.1762741209811498</v>
          </cell>
          <cell r="BV282">
            <v>11.522967903511651</v>
          </cell>
          <cell r="BW282">
            <v>10.055977276238897</v>
          </cell>
          <cell r="BX282">
            <v>8.6149332270911767</v>
          </cell>
          <cell r="BY282">
            <v>11.497021325386617</v>
          </cell>
        </row>
        <row r="283">
          <cell r="A283">
            <v>39833</v>
          </cell>
          <cell r="BF283">
            <v>9.3420675542901996</v>
          </cell>
          <cell r="BG283">
            <v>17.429620749261797</v>
          </cell>
          <cell r="BH283">
            <v>16.109902701379674</v>
          </cell>
          <cell r="BI283">
            <v>13.839355674417275</v>
          </cell>
          <cell r="BJ283">
            <v>18.380449728342072</v>
          </cell>
          <cell r="BU283">
            <v>6.4592160710134481</v>
          </cell>
          <cell r="BV283">
            <v>11.522967903511651</v>
          </cell>
          <cell r="BW283">
            <v>10.055977276238897</v>
          </cell>
          <cell r="BX283">
            <v>8.6149332270911767</v>
          </cell>
          <cell r="BY283">
            <v>11.497021325386617</v>
          </cell>
        </row>
        <row r="284">
          <cell r="A284">
            <v>39834</v>
          </cell>
          <cell r="BF284">
            <v>9.0068722047803149</v>
          </cell>
          <cell r="BG284">
            <v>17.429620749261797</v>
          </cell>
          <cell r="BH284">
            <v>16.109902701379674</v>
          </cell>
          <cell r="BI284">
            <v>13.839355674417275</v>
          </cell>
          <cell r="BJ284">
            <v>18.380449728342072</v>
          </cell>
          <cell r="BU284">
            <v>6.2664399610011454</v>
          </cell>
          <cell r="BV284">
            <v>11.522967903511651</v>
          </cell>
          <cell r="BW284">
            <v>10.055977276238897</v>
          </cell>
          <cell r="BX284">
            <v>8.6149332270911767</v>
          </cell>
          <cell r="BY284">
            <v>11.497021325386617</v>
          </cell>
        </row>
        <row r="285">
          <cell r="A285">
            <v>39835</v>
          </cell>
          <cell r="BF285">
            <v>9.5204680765377745</v>
          </cell>
          <cell r="BG285">
            <v>17.429620749261797</v>
          </cell>
          <cell r="BH285">
            <v>16.109902701379674</v>
          </cell>
          <cell r="BI285">
            <v>13.839355674417275</v>
          </cell>
          <cell r="BJ285">
            <v>18.380449728342072</v>
          </cell>
          <cell r="BU285">
            <v>6.561817013279911</v>
          </cell>
          <cell r="BV285">
            <v>11.522967903511651</v>
          </cell>
          <cell r="BW285">
            <v>10.055977276238897</v>
          </cell>
          <cell r="BX285">
            <v>8.6149332270911767</v>
          </cell>
          <cell r="BY285">
            <v>11.497021325386617</v>
          </cell>
        </row>
        <row r="286">
          <cell r="A286">
            <v>39836</v>
          </cell>
          <cell r="BF286">
            <v>9.7259097771401901</v>
          </cell>
          <cell r="BG286">
            <v>17.429620749261797</v>
          </cell>
          <cell r="BH286">
            <v>16.109902701379674</v>
          </cell>
          <cell r="BI286">
            <v>13.839355674417275</v>
          </cell>
          <cell r="BJ286">
            <v>18.380449728342072</v>
          </cell>
          <cell r="BU286">
            <v>6.6799697619214244</v>
          </cell>
          <cell r="BV286">
            <v>11.522967903511651</v>
          </cell>
          <cell r="BW286">
            <v>10.055977276238897</v>
          </cell>
          <cell r="BX286">
            <v>8.6149332270911767</v>
          </cell>
          <cell r="BY286">
            <v>11.497021325386617</v>
          </cell>
        </row>
        <row r="287">
          <cell r="A287">
            <v>39839</v>
          </cell>
          <cell r="BF287">
            <v>9.4231586516182837</v>
          </cell>
          <cell r="BG287">
            <v>17.429620749261797</v>
          </cell>
          <cell r="BH287">
            <v>16.109902701379674</v>
          </cell>
          <cell r="BI287">
            <v>13.839355674417275</v>
          </cell>
          <cell r="BJ287">
            <v>18.380449728342072</v>
          </cell>
          <cell r="BU287">
            <v>6.5058528346869124</v>
          </cell>
          <cell r="BV287">
            <v>11.522967903511651</v>
          </cell>
          <cell r="BW287">
            <v>10.055977276238897</v>
          </cell>
          <cell r="BX287">
            <v>8.6149332270911767</v>
          </cell>
          <cell r="BY287">
            <v>11.497021325386617</v>
          </cell>
        </row>
        <row r="288">
          <cell r="A288">
            <v>39840</v>
          </cell>
          <cell r="BF288">
            <v>9.7150944951819227</v>
          </cell>
          <cell r="BG288">
            <v>17.429620749261797</v>
          </cell>
          <cell r="BH288">
            <v>16.109902701379674</v>
          </cell>
          <cell r="BI288">
            <v>13.839355674417275</v>
          </cell>
          <cell r="BJ288">
            <v>18.380449728342072</v>
          </cell>
          <cell r="BU288">
            <v>6.6737497234046339</v>
          </cell>
          <cell r="BV288">
            <v>11.522967903511651</v>
          </cell>
          <cell r="BW288">
            <v>10.055977276238897</v>
          </cell>
          <cell r="BX288">
            <v>8.6149332270911767</v>
          </cell>
          <cell r="BY288">
            <v>11.497021325386617</v>
          </cell>
        </row>
        <row r="289">
          <cell r="A289">
            <v>39841</v>
          </cell>
          <cell r="BF289">
            <v>9.82322731149379</v>
          </cell>
          <cell r="BG289">
            <v>17.429620749261797</v>
          </cell>
          <cell r="BH289">
            <v>16.109902701379674</v>
          </cell>
          <cell r="BI289">
            <v>13.839355674417275</v>
          </cell>
          <cell r="BJ289">
            <v>18.380449728342072</v>
          </cell>
          <cell r="BU289">
            <v>6.7359386043773446</v>
          </cell>
          <cell r="BV289">
            <v>11.522967903511651</v>
          </cell>
          <cell r="BW289">
            <v>10.055977276238897</v>
          </cell>
          <cell r="BX289">
            <v>8.6149332270911767</v>
          </cell>
          <cell r="BY289">
            <v>11.497021325386617</v>
          </cell>
        </row>
        <row r="290">
          <cell r="A290">
            <v>39842</v>
          </cell>
          <cell r="BF290">
            <v>9.7583458916940593</v>
          </cell>
          <cell r="BG290">
            <v>17.429620749261797</v>
          </cell>
          <cell r="BH290">
            <v>16.109902701379674</v>
          </cell>
          <cell r="BI290">
            <v>13.839355674417275</v>
          </cell>
          <cell r="BJ290">
            <v>18.380449728342072</v>
          </cell>
          <cell r="BU290">
            <v>6.6986242808362935</v>
          </cell>
          <cell r="BV290">
            <v>11.522967903511651</v>
          </cell>
          <cell r="BW290">
            <v>10.055977276238897</v>
          </cell>
          <cell r="BX290">
            <v>8.6149332270911767</v>
          </cell>
          <cell r="BY290">
            <v>11.497021325386617</v>
          </cell>
        </row>
        <row r="291">
          <cell r="A291">
            <v>39843</v>
          </cell>
          <cell r="BF291">
            <v>9.5853489557085645</v>
          </cell>
          <cell r="BG291">
            <v>17.429620749261797</v>
          </cell>
          <cell r="BH291">
            <v>16.109902701379674</v>
          </cell>
          <cell r="BI291">
            <v>13.839355674417275</v>
          </cell>
          <cell r="BJ291">
            <v>18.380449728342072</v>
          </cell>
          <cell r="BU291">
            <v>6.5991310258967664</v>
          </cell>
          <cell r="BV291">
            <v>11.522967903511651</v>
          </cell>
          <cell r="BW291">
            <v>10.055977276238897</v>
          </cell>
          <cell r="BX291">
            <v>8.6149332270911767</v>
          </cell>
          <cell r="BY291">
            <v>11.497021325386617</v>
          </cell>
        </row>
        <row r="292">
          <cell r="A292">
            <v>39846</v>
          </cell>
          <cell r="BF292">
            <v>10.185447620490297</v>
          </cell>
          <cell r="BG292">
            <v>17.429620749261797</v>
          </cell>
          <cell r="BH292">
            <v>16.109902701379674</v>
          </cell>
          <cell r="BI292">
            <v>13.839355674417275</v>
          </cell>
          <cell r="BJ292">
            <v>18.380449728342072</v>
          </cell>
          <cell r="BU292">
            <v>6.9442571930388546</v>
          </cell>
          <cell r="BV292">
            <v>11.522967903511651</v>
          </cell>
          <cell r="BW292">
            <v>10.055977276238897</v>
          </cell>
          <cell r="BX292">
            <v>8.6149332270911767</v>
          </cell>
          <cell r="BY292">
            <v>11.497021325386617</v>
          </cell>
        </row>
        <row r="293">
          <cell r="A293">
            <v>39847</v>
          </cell>
          <cell r="BF293">
            <v>10.205914672863134</v>
          </cell>
          <cell r="BG293">
            <v>17.429620749261797</v>
          </cell>
          <cell r="BH293">
            <v>16.109902701379674</v>
          </cell>
          <cell r="BI293">
            <v>13.839355674417275</v>
          </cell>
          <cell r="BJ293">
            <v>18.380449728342072</v>
          </cell>
          <cell r="BU293">
            <v>6.9504722567685304</v>
          </cell>
          <cell r="BV293">
            <v>11.522967903511651</v>
          </cell>
          <cell r="BW293">
            <v>10.055977276238897</v>
          </cell>
          <cell r="BX293">
            <v>8.6149332270911767</v>
          </cell>
          <cell r="BY293">
            <v>11.497021325386617</v>
          </cell>
        </row>
        <row r="294">
          <cell r="A294">
            <v>39848</v>
          </cell>
          <cell r="BF294">
            <v>10.368258643829122</v>
          </cell>
          <cell r="BG294">
            <v>17.429620749261797</v>
          </cell>
          <cell r="BH294">
            <v>16.109902701379674</v>
          </cell>
          <cell r="BI294">
            <v>13.839355674417275</v>
          </cell>
          <cell r="BJ294">
            <v>18.380449728342072</v>
          </cell>
          <cell r="BU294">
            <v>7.0437504479783826</v>
          </cell>
          <cell r="BV294">
            <v>11.522967903511651</v>
          </cell>
          <cell r="BW294">
            <v>10.055977276238897</v>
          </cell>
          <cell r="BX294">
            <v>8.6149332270911767</v>
          </cell>
          <cell r="BY294">
            <v>11.497021325386617</v>
          </cell>
        </row>
        <row r="295">
          <cell r="A295">
            <v>39849</v>
          </cell>
          <cell r="BF295">
            <v>10.720005267108329</v>
          </cell>
          <cell r="BG295">
            <v>17.429620749261797</v>
          </cell>
          <cell r="BH295">
            <v>16.109902701379674</v>
          </cell>
          <cell r="BI295">
            <v>13.839355674417275</v>
          </cell>
          <cell r="BJ295">
            <v>18.380449728342072</v>
          </cell>
          <cell r="BU295">
            <v>7.2458539729102176</v>
          </cell>
          <cell r="BV295">
            <v>11.522967903511651</v>
          </cell>
          <cell r="BW295">
            <v>10.055977276238897</v>
          </cell>
          <cell r="BX295">
            <v>8.6149332270911767</v>
          </cell>
          <cell r="BY295">
            <v>11.497021325386617</v>
          </cell>
        </row>
        <row r="296">
          <cell r="A296">
            <v>39850</v>
          </cell>
          <cell r="BF296">
            <v>10.568486283876474</v>
          </cell>
          <cell r="BG296">
            <v>17.429620749261797</v>
          </cell>
          <cell r="BH296">
            <v>16.109902701379674</v>
          </cell>
          <cell r="BI296">
            <v>13.839355674417275</v>
          </cell>
          <cell r="BJ296">
            <v>18.380449728342072</v>
          </cell>
          <cell r="BU296">
            <v>7.1587955092929612</v>
          </cell>
          <cell r="BV296">
            <v>11.522967903511651</v>
          </cell>
          <cell r="BW296">
            <v>10.055977276238897</v>
          </cell>
          <cell r="BX296">
            <v>8.6149332270911767</v>
          </cell>
          <cell r="BY296">
            <v>11.497021325386617</v>
          </cell>
        </row>
        <row r="297">
          <cell r="A297">
            <v>39853</v>
          </cell>
          <cell r="BF297">
            <v>10.362849937950164</v>
          </cell>
          <cell r="BG297">
            <v>17.429620749261797</v>
          </cell>
          <cell r="BH297">
            <v>16.109902701379674</v>
          </cell>
          <cell r="BI297">
            <v>13.839355674417275</v>
          </cell>
          <cell r="BJ297">
            <v>18.380449728342072</v>
          </cell>
          <cell r="BU297">
            <v>7.0406427606514468</v>
          </cell>
          <cell r="BV297">
            <v>11.522967903511651</v>
          </cell>
          <cell r="BW297">
            <v>10.055977276238897</v>
          </cell>
          <cell r="BX297">
            <v>8.6149332270911767</v>
          </cell>
          <cell r="BY297">
            <v>11.497021325386617</v>
          </cell>
        </row>
        <row r="298">
          <cell r="A298">
            <v>39854</v>
          </cell>
          <cell r="BF298">
            <v>10.205914672863134</v>
          </cell>
          <cell r="BG298">
            <v>17.429620749261797</v>
          </cell>
          <cell r="BH298">
            <v>16.109902701379674</v>
          </cell>
          <cell r="BI298">
            <v>13.839355674417275</v>
          </cell>
          <cell r="BJ298">
            <v>18.380449728342072</v>
          </cell>
          <cell r="BU298">
            <v>6.9504722567685304</v>
          </cell>
          <cell r="BV298">
            <v>11.522967903511651</v>
          </cell>
          <cell r="BW298">
            <v>10.055977276238897</v>
          </cell>
          <cell r="BX298">
            <v>8.6149332270911767</v>
          </cell>
          <cell r="BY298">
            <v>11.497021325386617</v>
          </cell>
        </row>
        <row r="299">
          <cell r="A299">
            <v>39855</v>
          </cell>
          <cell r="BF299">
            <v>9.999998386229155</v>
          </cell>
          <cell r="BG299">
            <v>17.429620749261797</v>
          </cell>
          <cell r="BH299">
            <v>16.109902701379674</v>
          </cell>
          <cell r="BI299">
            <v>13.839355674417275</v>
          </cell>
          <cell r="BJ299">
            <v>18.380449728342072</v>
          </cell>
          <cell r="BU299">
            <v>6.8353541605133472</v>
          </cell>
          <cell r="BV299">
            <v>11.522967903511651</v>
          </cell>
          <cell r="BW299">
            <v>10.055977276238897</v>
          </cell>
          <cell r="BX299">
            <v>8.6149332270911767</v>
          </cell>
          <cell r="BY299">
            <v>11.497021325386617</v>
          </cell>
        </row>
        <row r="300">
          <cell r="A300">
            <v>39856</v>
          </cell>
          <cell r="BF300">
            <v>10.478749865519097</v>
          </cell>
          <cell r="BG300">
            <v>17.429620749261797</v>
          </cell>
          <cell r="BH300">
            <v>16.109902701379674</v>
          </cell>
          <cell r="BI300">
            <v>13.839355674417275</v>
          </cell>
          <cell r="BJ300">
            <v>18.380449728342072</v>
          </cell>
          <cell r="BU300">
            <v>7.1108201464716974</v>
          </cell>
          <cell r="BV300">
            <v>11.522967903511651</v>
          </cell>
          <cell r="BW300">
            <v>10.055977276238897</v>
          </cell>
          <cell r="BX300">
            <v>8.6149332270911767</v>
          </cell>
          <cell r="BY300">
            <v>11.497021325386617</v>
          </cell>
        </row>
        <row r="301">
          <cell r="A301">
            <v>39857</v>
          </cell>
          <cell r="BF301">
            <v>10.096875672766416</v>
          </cell>
          <cell r="BG301">
            <v>17.429620749261797</v>
          </cell>
          <cell r="BH301">
            <v>16.109902701379674</v>
          </cell>
          <cell r="BI301">
            <v>13.839355674417275</v>
          </cell>
          <cell r="BJ301">
            <v>18.380449728342072</v>
          </cell>
          <cell r="BU301">
            <v>6.8879706990498484</v>
          </cell>
          <cell r="BV301">
            <v>11.522967903511651</v>
          </cell>
          <cell r="BW301">
            <v>10.055977276238897</v>
          </cell>
          <cell r="BX301">
            <v>8.6149332270911767</v>
          </cell>
          <cell r="BY301">
            <v>11.497021325386617</v>
          </cell>
        </row>
        <row r="302">
          <cell r="A302">
            <v>39860</v>
          </cell>
          <cell r="BF302">
            <v>10.096875672766416</v>
          </cell>
          <cell r="BG302">
            <v>17.429620749261797</v>
          </cell>
          <cell r="BH302">
            <v>16.109902701379674</v>
          </cell>
          <cell r="BI302">
            <v>13.839355674417275</v>
          </cell>
          <cell r="BJ302">
            <v>18.380449728342072</v>
          </cell>
          <cell r="BU302">
            <v>6.8806891215436847</v>
          </cell>
          <cell r="BV302">
            <v>11.522967903511651</v>
          </cell>
          <cell r="BW302">
            <v>10.055977276238897</v>
          </cell>
          <cell r="BX302">
            <v>8.6149332270911767</v>
          </cell>
          <cell r="BY302">
            <v>11.497021325386617</v>
          </cell>
        </row>
        <row r="303">
          <cell r="A303">
            <v>39861</v>
          </cell>
          <cell r="BF303">
            <v>10.016138858988159</v>
          </cell>
          <cell r="BG303">
            <v>17.429620749261797</v>
          </cell>
          <cell r="BH303">
            <v>16.109902701379674</v>
          </cell>
          <cell r="BI303">
            <v>13.839355674417275</v>
          </cell>
          <cell r="BJ303">
            <v>18.380449728342072</v>
          </cell>
          <cell r="BU303">
            <v>6.8343085150700071</v>
          </cell>
          <cell r="BV303">
            <v>11.522967903511651</v>
          </cell>
          <cell r="BW303">
            <v>10.055977276238897</v>
          </cell>
          <cell r="BX303">
            <v>8.6149332270911767</v>
          </cell>
          <cell r="BY303">
            <v>11.497021325386617</v>
          </cell>
        </row>
        <row r="304">
          <cell r="A304">
            <v>39862</v>
          </cell>
          <cell r="BF304">
            <v>10.129094674556212</v>
          </cell>
          <cell r="BG304">
            <v>17.429620749261797</v>
          </cell>
          <cell r="BH304">
            <v>16.109902701379674</v>
          </cell>
          <cell r="BI304">
            <v>13.839355674417275</v>
          </cell>
          <cell r="BJ304">
            <v>18.380449728342072</v>
          </cell>
          <cell r="BU304">
            <v>6.9023296325017309</v>
          </cell>
          <cell r="BV304">
            <v>11.522967903511651</v>
          </cell>
          <cell r="BW304">
            <v>10.055977276238897</v>
          </cell>
          <cell r="BX304">
            <v>8.6149332270911767</v>
          </cell>
          <cell r="BY304">
            <v>11.497021325386617</v>
          </cell>
        </row>
        <row r="305">
          <cell r="A305">
            <v>39863</v>
          </cell>
          <cell r="BF305">
            <v>10.688540075309307</v>
          </cell>
          <cell r="BG305">
            <v>17.429620749261797</v>
          </cell>
          <cell r="BH305">
            <v>16.109902701379674</v>
          </cell>
          <cell r="BI305">
            <v>13.839355674417275</v>
          </cell>
          <cell r="BJ305">
            <v>18.380449728342072</v>
          </cell>
          <cell r="BU305">
            <v>7.2135713164954947</v>
          </cell>
          <cell r="BV305">
            <v>11.522967903511651</v>
          </cell>
          <cell r="BW305">
            <v>10.055977276238897</v>
          </cell>
          <cell r="BX305">
            <v>8.6149332270911767</v>
          </cell>
          <cell r="BY305">
            <v>11.497021325386617</v>
          </cell>
        </row>
        <row r="306">
          <cell r="A306">
            <v>39864</v>
          </cell>
          <cell r="BF306">
            <v>10.688540075309307</v>
          </cell>
          <cell r="BG306">
            <v>17.429620749261797</v>
          </cell>
          <cell r="BH306">
            <v>16.109902701379674</v>
          </cell>
          <cell r="BI306">
            <v>13.839355674417275</v>
          </cell>
          <cell r="BJ306">
            <v>18.380449728342072</v>
          </cell>
          <cell r="BU306">
            <v>7.2135713164954947</v>
          </cell>
          <cell r="BV306">
            <v>11.522967903511651</v>
          </cell>
          <cell r="BW306">
            <v>10.055977276238897</v>
          </cell>
          <cell r="BX306">
            <v>8.6149332270911767</v>
          </cell>
          <cell r="BY306">
            <v>11.497021325386617</v>
          </cell>
        </row>
        <row r="307">
          <cell r="A307">
            <v>39867</v>
          </cell>
          <cell r="BF307">
            <v>10.586332974717591</v>
          </cell>
          <cell r="BG307">
            <v>17.429620749261797</v>
          </cell>
          <cell r="BH307">
            <v>16.109902701379674</v>
          </cell>
          <cell r="BI307">
            <v>13.839355674417275</v>
          </cell>
          <cell r="BJ307">
            <v>18.380449728342072</v>
          </cell>
          <cell r="BU307">
            <v>7.1549090211785131</v>
          </cell>
          <cell r="BV307">
            <v>11.522967903511651</v>
          </cell>
          <cell r="BW307">
            <v>10.055977276238897</v>
          </cell>
          <cell r="BX307">
            <v>8.6149332270911767</v>
          </cell>
          <cell r="BY307">
            <v>11.497021325386617</v>
          </cell>
        </row>
        <row r="308">
          <cell r="A308">
            <v>39868</v>
          </cell>
          <cell r="BF308">
            <v>10.650881118881118</v>
          </cell>
          <cell r="BG308">
            <v>17.429620749261797</v>
          </cell>
          <cell r="BH308">
            <v>16.109902701379674</v>
          </cell>
          <cell r="BI308">
            <v>13.839355674417275</v>
          </cell>
          <cell r="BJ308">
            <v>18.380449728342072</v>
          </cell>
          <cell r="BU308">
            <v>7.1919567631960666</v>
          </cell>
          <cell r="BV308">
            <v>11.522967903511651</v>
          </cell>
          <cell r="BW308">
            <v>10.055977276238897</v>
          </cell>
          <cell r="BX308">
            <v>8.6149332270911767</v>
          </cell>
          <cell r="BY308">
            <v>11.497021325386617</v>
          </cell>
        </row>
        <row r="309">
          <cell r="A309">
            <v>39869</v>
          </cell>
          <cell r="BF309">
            <v>10.841985921030663</v>
          </cell>
          <cell r="BG309">
            <v>17.429620749261797</v>
          </cell>
          <cell r="BH309">
            <v>16.109902701379674</v>
          </cell>
          <cell r="BI309">
            <v>13.839355674417275</v>
          </cell>
          <cell r="BJ309">
            <v>18.380449728342072</v>
          </cell>
          <cell r="BU309">
            <v>7.2938429164630909</v>
          </cell>
          <cell r="BV309">
            <v>11.522967903511651</v>
          </cell>
          <cell r="BW309">
            <v>10.055977276238897</v>
          </cell>
          <cell r="BX309">
            <v>8.6149332270911767</v>
          </cell>
          <cell r="BY309">
            <v>11.497021325386617</v>
          </cell>
        </row>
        <row r="310">
          <cell r="A310">
            <v>39870</v>
          </cell>
          <cell r="BF310">
            <v>11.213620621866029</v>
          </cell>
          <cell r="BG310">
            <v>17.429620749261797</v>
          </cell>
          <cell r="BH310">
            <v>16.109902701379674</v>
          </cell>
          <cell r="BI310">
            <v>13.839355674417275</v>
          </cell>
          <cell r="BJ310">
            <v>18.380449728342072</v>
          </cell>
          <cell r="BU310">
            <v>7.5068772356875426</v>
          </cell>
          <cell r="BV310">
            <v>11.522967903511651</v>
          </cell>
          <cell r="BW310">
            <v>10.055977276238897</v>
          </cell>
          <cell r="BX310">
            <v>8.6149332270911767</v>
          </cell>
          <cell r="BY310">
            <v>11.497021325386617</v>
          </cell>
        </row>
        <row r="311">
          <cell r="A311">
            <v>39871</v>
          </cell>
          <cell r="BF311">
            <v>11.633726510365332</v>
          </cell>
          <cell r="BG311">
            <v>17.429620749261797</v>
          </cell>
          <cell r="BH311">
            <v>16.109902701379674</v>
          </cell>
          <cell r="BI311">
            <v>13.839355674417275</v>
          </cell>
          <cell r="BJ311">
            <v>18.380449728342072</v>
          </cell>
          <cell r="BU311">
            <v>7.7476969754950966</v>
          </cell>
          <cell r="BV311">
            <v>11.522967903511651</v>
          </cell>
          <cell r="BW311">
            <v>10.055977276238897</v>
          </cell>
          <cell r="BX311">
            <v>8.6149332270911767</v>
          </cell>
          <cell r="BY311">
            <v>11.497021325386617</v>
          </cell>
        </row>
        <row r="312">
          <cell r="A312">
            <v>39874</v>
          </cell>
          <cell r="BF312">
            <v>11.154374229130648</v>
          </cell>
          <cell r="BG312">
            <v>17.429620749261797</v>
          </cell>
          <cell r="BH312">
            <v>16.109902701379674</v>
          </cell>
          <cell r="BI312">
            <v>13.839355674417275</v>
          </cell>
          <cell r="BJ312">
            <v>18.380449728342072</v>
          </cell>
          <cell r="BU312">
            <v>7.4729150816838503</v>
          </cell>
          <cell r="BV312">
            <v>11.522967903511651</v>
          </cell>
          <cell r="BW312">
            <v>10.055977276238897</v>
          </cell>
          <cell r="BX312">
            <v>8.6149332270911767</v>
          </cell>
          <cell r="BY312">
            <v>11.497021325386617</v>
          </cell>
        </row>
        <row r="313">
          <cell r="A313">
            <v>39875</v>
          </cell>
          <cell r="BF313">
            <v>10.998184383870047</v>
          </cell>
          <cell r="BG313">
            <v>17.429620749261797</v>
          </cell>
          <cell r="BH313">
            <v>16.109902701379674</v>
          </cell>
          <cell r="BI313">
            <v>13.839355674417275</v>
          </cell>
          <cell r="BJ313">
            <v>18.380449728342072</v>
          </cell>
          <cell r="BU313">
            <v>7.3833814690258537</v>
          </cell>
          <cell r="BV313">
            <v>11.522967903511651</v>
          </cell>
          <cell r="BW313">
            <v>10.055977276238897</v>
          </cell>
          <cell r="BX313">
            <v>8.6149332270911767</v>
          </cell>
          <cell r="BY313">
            <v>11.497021325386617</v>
          </cell>
        </row>
        <row r="314">
          <cell r="A314">
            <v>39876</v>
          </cell>
          <cell r="BF314">
            <v>10.949704040028653</v>
          </cell>
          <cell r="BG314">
            <v>17.429620749261797</v>
          </cell>
          <cell r="BH314">
            <v>16.109902701379674</v>
          </cell>
          <cell r="BI314">
            <v>13.839355674417275</v>
          </cell>
          <cell r="BJ314">
            <v>18.380449728342072</v>
          </cell>
          <cell r="BU314">
            <v>7.3555907997939354</v>
          </cell>
          <cell r="BV314">
            <v>11.522967903511651</v>
          </cell>
          <cell r="BW314">
            <v>10.055977276238897</v>
          </cell>
          <cell r="BX314">
            <v>8.6149332270911767</v>
          </cell>
          <cell r="BY314">
            <v>11.497021325386617</v>
          </cell>
        </row>
        <row r="315">
          <cell r="A315">
            <v>39877</v>
          </cell>
          <cell r="BF315">
            <v>10.739651095779001</v>
          </cell>
          <cell r="BG315">
            <v>17.429620749261797</v>
          </cell>
          <cell r="BH315">
            <v>16.109902701379674</v>
          </cell>
          <cell r="BI315">
            <v>13.839355674417275</v>
          </cell>
          <cell r="BJ315">
            <v>18.380449728342072</v>
          </cell>
          <cell r="BU315">
            <v>7.2351809298901575</v>
          </cell>
          <cell r="BV315">
            <v>11.522967903511651</v>
          </cell>
          <cell r="BW315">
            <v>10.055977276238897</v>
          </cell>
          <cell r="BX315">
            <v>8.6149332270911767</v>
          </cell>
          <cell r="BY315">
            <v>11.497021325386617</v>
          </cell>
        </row>
        <row r="316">
          <cell r="A316">
            <v>39878</v>
          </cell>
          <cell r="BF316">
            <v>10.718110380412243</v>
          </cell>
          <cell r="BG316">
            <v>17.429620749261797</v>
          </cell>
          <cell r="BH316">
            <v>16.109902701379674</v>
          </cell>
          <cell r="BI316">
            <v>13.839355674417275</v>
          </cell>
          <cell r="BJ316">
            <v>18.380449728342072</v>
          </cell>
          <cell r="BU316">
            <v>7.2228330204418469</v>
          </cell>
          <cell r="BV316">
            <v>11.522967903511651</v>
          </cell>
          <cell r="BW316">
            <v>10.055977276238897</v>
          </cell>
          <cell r="BX316">
            <v>8.6149332270911767</v>
          </cell>
          <cell r="BY316">
            <v>11.497021325386617</v>
          </cell>
        </row>
        <row r="317">
          <cell r="A317">
            <v>39881</v>
          </cell>
          <cell r="BF317">
            <v>10.691178830917718</v>
          </cell>
          <cell r="BG317">
            <v>17.429620749261797</v>
          </cell>
          <cell r="BH317">
            <v>16.109902701379674</v>
          </cell>
          <cell r="BI317">
            <v>13.839355674417275</v>
          </cell>
          <cell r="BJ317">
            <v>18.380449728342072</v>
          </cell>
          <cell r="BU317">
            <v>7.2073948918189563</v>
          </cell>
          <cell r="BV317">
            <v>11.522967903511651</v>
          </cell>
          <cell r="BW317">
            <v>10.055977276238897</v>
          </cell>
          <cell r="BX317">
            <v>8.6149332270911767</v>
          </cell>
          <cell r="BY317">
            <v>11.497021325386617</v>
          </cell>
        </row>
        <row r="318">
          <cell r="A318">
            <v>39882</v>
          </cell>
          <cell r="BF318">
            <v>10.588844005666058</v>
          </cell>
          <cell r="BG318">
            <v>17.429620749261797</v>
          </cell>
          <cell r="BH318">
            <v>16.109902701379674</v>
          </cell>
          <cell r="BI318">
            <v>13.839355674417275</v>
          </cell>
          <cell r="BJ318">
            <v>18.380449728342072</v>
          </cell>
          <cell r="BU318">
            <v>7.1487329052460229</v>
          </cell>
          <cell r="BV318">
            <v>11.522967903511651</v>
          </cell>
          <cell r="BW318">
            <v>10.055977276238897</v>
          </cell>
          <cell r="BX318">
            <v>8.6149332270911767</v>
          </cell>
          <cell r="BY318">
            <v>11.497021325386617</v>
          </cell>
        </row>
        <row r="319">
          <cell r="A319">
            <v>39883</v>
          </cell>
          <cell r="BF319">
            <v>10.841985921030663</v>
          </cell>
          <cell r="BG319">
            <v>17.429620749261797</v>
          </cell>
          <cell r="BH319">
            <v>16.109902701379674</v>
          </cell>
          <cell r="BI319">
            <v>13.839355674417275</v>
          </cell>
          <cell r="BJ319">
            <v>18.380449728342072</v>
          </cell>
          <cell r="BU319">
            <v>7.2938429164630909</v>
          </cell>
          <cell r="BV319">
            <v>11.522967903511651</v>
          </cell>
          <cell r="BW319">
            <v>10.055977276238897</v>
          </cell>
          <cell r="BX319">
            <v>8.6149332270911767</v>
          </cell>
          <cell r="BY319">
            <v>11.497021325386617</v>
          </cell>
        </row>
        <row r="320">
          <cell r="A320">
            <v>39884</v>
          </cell>
          <cell r="BF320">
            <v>11.019724560638132</v>
          </cell>
          <cell r="BG320">
            <v>17.429620749261797</v>
          </cell>
          <cell r="BH320">
            <v>16.109902701379674</v>
          </cell>
          <cell r="BI320">
            <v>13.839355674417275</v>
          </cell>
          <cell r="BJ320">
            <v>18.380449728342072</v>
          </cell>
          <cell r="BU320">
            <v>7.3957290697301161</v>
          </cell>
          <cell r="BV320">
            <v>11.522967903511651</v>
          </cell>
          <cell r="BW320">
            <v>10.055977276238897</v>
          </cell>
          <cell r="BX320">
            <v>8.6149332270911767</v>
          </cell>
          <cell r="BY320">
            <v>11.497021325386617</v>
          </cell>
        </row>
        <row r="321">
          <cell r="A321">
            <v>39885</v>
          </cell>
          <cell r="BF321">
            <v>10.90890756482117</v>
          </cell>
          <cell r="BG321">
            <v>17.429620749261797</v>
          </cell>
          <cell r="BH321">
            <v>16.109902701379674</v>
          </cell>
          <cell r="BI321">
            <v>13.839355674417275</v>
          </cell>
          <cell r="BJ321">
            <v>18.380449728342072</v>
          </cell>
          <cell r="BU321">
            <v>7.3303943517393311</v>
          </cell>
          <cell r="BV321">
            <v>11.522967903511651</v>
          </cell>
          <cell r="BW321">
            <v>10.055977276238897</v>
          </cell>
          <cell r="BX321">
            <v>8.6149332270911767</v>
          </cell>
          <cell r="BY321">
            <v>11.497021325386617</v>
          </cell>
        </row>
        <row r="322">
          <cell r="A322">
            <v>39888</v>
          </cell>
          <cell r="BF322">
            <v>11.485591168570911</v>
          </cell>
          <cell r="BG322">
            <v>17.429620749261797</v>
          </cell>
          <cell r="BH322">
            <v>16.109902701379674</v>
          </cell>
          <cell r="BI322">
            <v>13.839355674417275</v>
          </cell>
          <cell r="BJ322">
            <v>18.380449728342072</v>
          </cell>
          <cell r="BU322">
            <v>7.661307274213728</v>
          </cell>
          <cell r="BV322">
            <v>11.522967903511651</v>
          </cell>
          <cell r="BW322">
            <v>10.055977276238897</v>
          </cell>
          <cell r="BX322">
            <v>8.6149332270911767</v>
          </cell>
          <cell r="BY322">
            <v>11.497021325386617</v>
          </cell>
        </row>
        <row r="323">
          <cell r="A323">
            <v>39889</v>
          </cell>
          <cell r="BF323">
            <v>11.656455796350386</v>
          </cell>
          <cell r="BG323">
            <v>17.429620749261797</v>
          </cell>
          <cell r="BH323">
            <v>16.109902701379674</v>
          </cell>
          <cell r="BI323">
            <v>13.839355674417275</v>
          </cell>
          <cell r="BJ323">
            <v>18.380449728342072</v>
          </cell>
          <cell r="BU323">
            <v>7.75935291476664</v>
          </cell>
          <cell r="BV323">
            <v>11.522967903511651</v>
          </cell>
          <cell r="BW323">
            <v>10.055977276238897</v>
          </cell>
          <cell r="BX323">
            <v>8.6149332270911767</v>
          </cell>
          <cell r="BY323">
            <v>11.497021325386617</v>
          </cell>
        </row>
        <row r="324">
          <cell r="A324">
            <v>39890</v>
          </cell>
          <cell r="BF324">
            <v>11.67781921447593</v>
          </cell>
          <cell r="BG324">
            <v>17.429620749261797</v>
          </cell>
          <cell r="BH324">
            <v>16.109902701379674</v>
          </cell>
          <cell r="BI324">
            <v>13.839355674417275</v>
          </cell>
          <cell r="BJ324">
            <v>18.380449728342072</v>
          </cell>
          <cell r="BU324">
            <v>7.7716116838386222</v>
          </cell>
          <cell r="BV324">
            <v>11.522967903511651</v>
          </cell>
          <cell r="BW324">
            <v>10.055977276238897</v>
          </cell>
          <cell r="BX324">
            <v>8.6149332270911767</v>
          </cell>
          <cell r="BY324">
            <v>11.497021325386617</v>
          </cell>
        </row>
        <row r="325">
          <cell r="A325">
            <v>39891</v>
          </cell>
          <cell r="BF325">
            <v>11.944801869947744</v>
          </cell>
          <cell r="BG325">
            <v>17.429620749261797</v>
          </cell>
          <cell r="BH325">
            <v>16.109902701379674</v>
          </cell>
          <cell r="BI325">
            <v>13.839355674417275</v>
          </cell>
          <cell r="BJ325">
            <v>18.380449728342072</v>
          </cell>
          <cell r="BU325">
            <v>7.924811827206133</v>
          </cell>
          <cell r="BV325">
            <v>11.522967903511651</v>
          </cell>
          <cell r="BW325">
            <v>10.055977276238897</v>
          </cell>
          <cell r="BX325">
            <v>8.6149332270911767</v>
          </cell>
          <cell r="BY325">
            <v>11.497021325386617</v>
          </cell>
        </row>
        <row r="326">
          <cell r="A326">
            <v>39892</v>
          </cell>
          <cell r="BF326">
            <v>12.323912435029921</v>
          </cell>
          <cell r="BG326">
            <v>17.429620749261797</v>
          </cell>
          <cell r="BH326">
            <v>16.109902701379674</v>
          </cell>
          <cell r="BI326">
            <v>13.839355674417275</v>
          </cell>
          <cell r="BJ326">
            <v>18.380449728342072</v>
          </cell>
          <cell r="BU326">
            <v>8.1423532731854174</v>
          </cell>
          <cell r="BV326">
            <v>11.522967903511651</v>
          </cell>
          <cell r="BW326">
            <v>10.055977276238897</v>
          </cell>
          <cell r="BX326">
            <v>8.6149332270911767</v>
          </cell>
          <cell r="BY326">
            <v>11.497021325386617</v>
          </cell>
        </row>
        <row r="327">
          <cell r="A327">
            <v>39895</v>
          </cell>
          <cell r="BF327">
            <v>12.185084657976445</v>
          </cell>
          <cell r="BG327">
            <v>17.429620749261797</v>
          </cell>
          <cell r="BH327">
            <v>16.109902701379674</v>
          </cell>
          <cell r="BI327">
            <v>13.839355674417275</v>
          </cell>
          <cell r="BJ327">
            <v>18.380449728342072</v>
          </cell>
          <cell r="BU327">
            <v>8.0626910370360321</v>
          </cell>
          <cell r="BV327">
            <v>11.522967903511651</v>
          </cell>
          <cell r="BW327">
            <v>10.055977276238897</v>
          </cell>
          <cell r="BX327">
            <v>8.6149332270911767</v>
          </cell>
          <cell r="BY327">
            <v>11.497021325386617</v>
          </cell>
        </row>
        <row r="328">
          <cell r="A328">
            <v>39896</v>
          </cell>
          <cell r="BF328">
            <v>12.206439532657013</v>
          </cell>
          <cell r="BG328">
            <v>17.429620749261797</v>
          </cell>
          <cell r="BH328">
            <v>16.109902701379674</v>
          </cell>
          <cell r="BI328">
            <v>13.839355674417275</v>
          </cell>
          <cell r="BJ328">
            <v>18.380449728342072</v>
          </cell>
          <cell r="BU328">
            <v>8.0749449037034253</v>
          </cell>
          <cell r="BV328">
            <v>11.522967903511651</v>
          </cell>
          <cell r="BW328">
            <v>10.055977276238897</v>
          </cell>
          <cell r="BX328">
            <v>8.6149332270911767</v>
          </cell>
          <cell r="BY328">
            <v>11.497021325386617</v>
          </cell>
        </row>
        <row r="329">
          <cell r="A329">
            <v>39897</v>
          </cell>
          <cell r="BF329">
            <v>11.830651572897857</v>
          </cell>
          <cell r="BG329">
            <v>17.429620749261797</v>
          </cell>
          <cell r="BH329">
            <v>16.109902701379674</v>
          </cell>
          <cell r="BI329">
            <v>13.839355674417275</v>
          </cell>
          <cell r="BJ329">
            <v>18.380449728342072</v>
          </cell>
          <cell r="BU329">
            <v>7.8482117555223772</v>
          </cell>
          <cell r="BV329">
            <v>11.522967903511651</v>
          </cell>
          <cell r="BW329">
            <v>10.055977276238897</v>
          </cell>
          <cell r="BX329">
            <v>8.6149332270911767</v>
          </cell>
          <cell r="BY329">
            <v>11.497021325386617</v>
          </cell>
        </row>
        <row r="330">
          <cell r="A330">
            <v>39898</v>
          </cell>
          <cell r="BF330">
            <v>11.900182870601665</v>
          </cell>
          <cell r="BG330">
            <v>17.429620749261797</v>
          </cell>
          <cell r="BH330">
            <v>16.109902701379674</v>
          </cell>
          <cell r="BI330">
            <v>13.839355674417275</v>
          </cell>
          <cell r="BJ330">
            <v>18.380449728342072</v>
          </cell>
          <cell r="BU330">
            <v>7.8880450183990769</v>
          </cell>
          <cell r="BV330">
            <v>11.522967903511651</v>
          </cell>
          <cell r="BW330">
            <v>10.055977276238897</v>
          </cell>
          <cell r="BX330">
            <v>8.6149332270911767</v>
          </cell>
          <cell r="BY330">
            <v>11.497021325386617</v>
          </cell>
        </row>
        <row r="331">
          <cell r="A331">
            <v>39899</v>
          </cell>
          <cell r="BF331">
            <v>11.841473785261755</v>
          </cell>
          <cell r="BG331">
            <v>17.429620749261797</v>
          </cell>
          <cell r="BH331">
            <v>16.109902701379674</v>
          </cell>
          <cell r="BI331">
            <v>13.839355674417275</v>
          </cell>
          <cell r="BJ331">
            <v>18.380449728342072</v>
          </cell>
          <cell r="BU331">
            <v>7.8739418112052437</v>
          </cell>
          <cell r="BV331">
            <v>11.522967903511651</v>
          </cell>
          <cell r="BW331">
            <v>10.055977276238897</v>
          </cell>
          <cell r="BX331">
            <v>8.6149332270911767</v>
          </cell>
          <cell r="BY331">
            <v>11.497021325386617</v>
          </cell>
        </row>
        <row r="332">
          <cell r="A332">
            <v>39902</v>
          </cell>
          <cell r="BF332">
            <v>12.093534826807966</v>
          </cell>
          <cell r="BG332">
            <v>17.429620749261797</v>
          </cell>
          <cell r="BH332">
            <v>16.109902701379674</v>
          </cell>
          <cell r="BI332">
            <v>13.839355674417275</v>
          </cell>
          <cell r="BJ332">
            <v>18.380449728342072</v>
          </cell>
          <cell r="BU332">
            <v>8.0186484075850561</v>
          </cell>
          <cell r="BV332">
            <v>11.522967903511651</v>
          </cell>
          <cell r="BW332">
            <v>10.055977276238897</v>
          </cell>
          <cell r="BX332">
            <v>8.6149332270911767</v>
          </cell>
          <cell r="BY332">
            <v>11.497021325386617</v>
          </cell>
        </row>
        <row r="333">
          <cell r="A333">
            <v>39903</v>
          </cell>
          <cell r="BF333">
            <v>12.185269903782858</v>
          </cell>
          <cell r="BG333">
            <v>17.429620749261797</v>
          </cell>
          <cell r="BH333">
            <v>16.109902701379674</v>
          </cell>
          <cell r="BI333">
            <v>13.839355674417275</v>
          </cell>
          <cell r="BJ333">
            <v>18.380449728342072</v>
          </cell>
          <cell r="BU333">
            <v>8.0617524084130832</v>
          </cell>
          <cell r="BV333">
            <v>11.522967903511651</v>
          </cell>
          <cell r="BW333">
            <v>10.055977276238897</v>
          </cell>
          <cell r="BX333">
            <v>8.6149332270911767</v>
          </cell>
          <cell r="BY333">
            <v>11.497021325386617</v>
          </cell>
        </row>
        <row r="334">
          <cell r="A334">
            <v>39904</v>
          </cell>
          <cell r="BF334">
            <v>12.096473290074172</v>
          </cell>
          <cell r="BG334">
            <v>17.429620749261797</v>
          </cell>
          <cell r="BH334">
            <v>16.109902701379674</v>
          </cell>
          <cell r="BI334">
            <v>13.839355674417275</v>
          </cell>
          <cell r="BJ334">
            <v>18.380449728342072</v>
          </cell>
          <cell r="BU334">
            <v>8.0248076614176629</v>
          </cell>
          <cell r="BV334">
            <v>11.522967903511651</v>
          </cell>
          <cell r="BW334">
            <v>10.055977276238897</v>
          </cell>
          <cell r="BX334">
            <v>8.6149332270911767</v>
          </cell>
          <cell r="BY334">
            <v>11.497021325386617</v>
          </cell>
        </row>
        <row r="335">
          <cell r="A335">
            <v>39905</v>
          </cell>
          <cell r="BF335">
            <v>11.154318315503186</v>
          </cell>
          <cell r="BG335">
            <v>17.429620749261797</v>
          </cell>
          <cell r="BH335">
            <v>16.109902701379674</v>
          </cell>
          <cell r="BI335">
            <v>13.839355674417275</v>
          </cell>
          <cell r="BJ335">
            <v>18.380449728342072</v>
          </cell>
          <cell r="BU335">
            <v>7.5260700482303156</v>
          </cell>
          <cell r="BV335">
            <v>11.522967903511651</v>
          </cell>
          <cell r="BW335">
            <v>10.055977276238897</v>
          </cell>
          <cell r="BX335">
            <v>8.6149332270911767</v>
          </cell>
          <cell r="BY335">
            <v>11.497021325386617</v>
          </cell>
        </row>
        <row r="336">
          <cell r="A336">
            <v>39906</v>
          </cell>
          <cell r="BF336">
            <v>11.353862282359529</v>
          </cell>
          <cell r="BG336">
            <v>17.429620749261797</v>
          </cell>
          <cell r="BH336">
            <v>16.109902701379674</v>
          </cell>
          <cell r="BI336">
            <v>13.839355674417275</v>
          </cell>
          <cell r="BJ336">
            <v>18.380449728342072</v>
          </cell>
          <cell r="BU336">
            <v>7.6188273846778163</v>
          </cell>
          <cell r="BV336">
            <v>11.522967903511651</v>
          </cell>
          <cell r="BW336">
            <v>10.055977276238897</v>
          </cell>
          <cell r="BX336">
            <v>8.6149332270911767</v>
          </cell>
          <cell r="BY336">
            <v>11.497021325386617</v>
          </cell>
        </row>
        <row r="337">
          <cell r="A337">
            <v>39909</v>
          </cell>
          <cell r="BF337">
            <v>11.353862282359529</v>
          </cell>
          <cell r="BG337">
            <v>17.429620749261797</v>
          </cell>
          <cell r="BH337">
            <v>16.109902701379674</v>
          </cell>
          <cell r="BI337">
            <v>13.839355674417275</v>
          </cell>
          <cell r="BJ337">
            <v>18.380449728342072</v>
          </cell>
          <cell r="BU337">
            <v>7.6188273846778163</v>
          </cell>
          <cell r="BV337">
            <v>11.522967903511651</v>
          </cell>
          <cell r="BW337">
            <v>10.055977276238897</v>
          </cell>
          <cell r="BX337">
            <v>8.6149332270911767</v>
          </cell>
          <cell r="BY337">
            <v>11.497021325386617</v>
          </cell>
        </row>
        <row r="338">
          <cell r="A338">
            <v>39910</v>
          </cell>
          <cell r="BF338">
            <v>11.679909729809884</v>
          </cell>
          <cell r="BG338">
            <v>17.429620749261797</v>
          </cell>
          <cell r="BH338">
            <v>16.109902701379674</v>
          </cell>
          <cell r="BI338">
            <v>13.839355674417275</v>
          </cell>
          <cell r="BJ338">
            <v>18.380449728342072</v>
          </cell>
          <cell r="BU338">
            <v>7.7803510487292016</v>
          </cell>
          <cell r="BV338">
            <v>11.522967903511651</v>
          </cell>
          <cell r="BW338">
            <v>10.055977276238897</v>
          </cell>
          <cell r="BX338">
            <v>8.6149332270911767</v>
          </cell>
          <cell r="BY338">
            <v>11.497021325386617</v>
          </cell>
        </row>
        <row r="339">
          <cell r="A339">
            <v>39911</v>
          </cell>
          <cell r="BF339">
            <v>11.492712346019264</v>
          </cell>
          <cell r="BG339">
            <v>17.429620749261797</v>
          </cell>
          <cell r="BH339">
            <v>16.109902701379674</v>
          </cell>
          <cell r="BI339">
            <v>13.839355674417275</v>
          </cell>
          <cell r="BJ339">
            <v>18.380449728342072</v>
          </cell>
          <cell r="BU339">
            <v>7.6737447843606317</v>
          </cell>
          <cell r="BV339">
            <v>11.522967903511651</v>
          </cell>
          <cell r="BW339">
            <v>10.055977276238897</v>
          </cell>
          <cell r="BX339">
            <v>8.6149332270911767</v>
          </cell>
          <cell r="BY339">
            <v>11.497021325386617</v>
          </cell>
        </row>
        <row r="340">
          <cell r="A340">
            <v>39912</v>
          </cell>
          <cell r="BF340">
            <v>11.609626010138939</v>
          </cell>
          <cell r="BG340">
            <v>17.429620749261797</v>
          </cell>
          <cell r="BH340">
            <v>16.109902701379674</v>
          </cell>
          <cell r="BI340">
            <v>13.839355674417275</v>
          </cell>
          <cell r="BJ340">
            <v>18.380449728342072</v>
          </cell>
          <cell r="BU340">
            <v>7.7028177517005672</v>
          </cell>
          <cell r="BV340">
            <v>11.522967903511651</v>
          </cell>
          <cell r="BW340">
            <v>10.055977276238897</v>
          </cell>
          <cell r="BX340">
            <v>8.6149332270911767</v>
          </cell>
          <cell r="BY340">
            <v>11.497021325386617</v>
          </cell>
        </row>
        <row r="341">
          <cell r="A341">
            <v>39913</v>
          </cell>
          <cell r="BF341">
            <v>11.746548915912676</v>
          </cell>
          <cell r="BG341">
            <v>17.429620749261797</v>
          </cell>
          <cell r="BH341">
            <v>16.109902701379674</v>
          </cell>
          <cell r="BI341">
            <v>13.839355674417275</v>
          </cell>
          <cell r="BJ341">
            <v>18.380449728342072</v>
          </cell>
          <cell r="BU341">
            <v>7.7803510487292016</v>
          </cell>
          <cell r="BV341">
            <v>11.522967903511651</v>
          </cell>
          <cell r="BW341">
            <v>10.055977276238897</v>
          </cell>
          <cell r="BX341">
            <v>8.6149332270911767</v>
          </cell>
          <cell r="BY341">
            <v>11.497021325386617</v>
          </cell>
        </row>
        <row r="342">
          <cell r="A342">
            <v>39916</v>
          </cell>
          <cell r="BF342">
            <v>11.823974237182037</v>
          </cell>
          <cell r="BG342">
            <v>17.429620749261797</v>
          </cell>
          <cell r="BH342">
            <v>16.109902701379674</v>
          </cell>
          <cell r="BI342">
            <v>13.839355674417275</v>
          </cell>
          <cell r="BJ342">
            <v>18.380449728342072</v>
          </cell>
          <cell r="BU342">
            <v>7.8798014453248291</v>
          </cell>
          <cell r="BV342">
            <v>11.522967903511651</v>
          </cell>
          <cell r="BW342">
            <v>10.055977276238897</v>
          </cell>
          <cell r="BX342">
            <v>8.6149332270911767</v>
          </cell>
          <cell r="BY342">
            <v>11.497021325386617</v>
          </cell>
        </row>
        <row r="343">
          <cell r="A343">
            <v>39917</v>
          </cell>
          <cell r="BF343">
            <v>11.971002126168957</v>
          </cell>
          <cell r="BG343">
            <v>17.429620749261797</v>
          </cell>
          <cell r="BH343">
            <v>16.109902701379674</v>
          </cell>
          <cell r="BI343">
            <v>13.839355674417275</v>
          </cell>
          <cell r="BJ343">
            <v>18.380449728342072</v>
          </cell>
          <cell r="BU343">
            <v>7.96375519320301</v>
          </cell>
          <cell r="BV343">
            <v>11.522967903511651</v>
          </cell>
          <cell r="BW343">
            <v>10.055977276238897</v>
          </cell>
          <cell r="BX343">
            <v>8.6149332270911767</v>
          </cell>
          <cell r="BY343">
            <v>11.497021325386617</v>
          </cell>
        </row>
        <row r="344">
          <cell r="A344">
            <v>39918</v>
          </cell>
          <cell r="BF344">
            <v>11.823974237182037</v>
          </cell>
          <cell r="BG344">
            <v>17.429620749261797</v>
          </cell>
          <cell r="BH344">
            <v>16.109902701379674</v>
          </cell>
          <cell r="BI344">
            <v>13.839355674417275</v>
          </cell>
          <cell r="BJ344">
            <v>18.380449728342072</v>
          </cell>
          <cell r="BU344">
            <v>7.8798014453248291</v>
          </cell>
          <cell r="BV344">
            <v>11.522967903511651</v>
          </cell>
          <cell r="BW344">
            <v>10.055977276238897</v>
          </cell>
          <cell r="BX344">
            <v>8.6149332270911767</v>
          </cell>
          <cell r="BY344">
            <v>11.497021325386617</v>
          </cell>
        </row>
        <row r="345">
          <cell r="A345">
            <v>39919</v>
          </cell>
          <cell r="BF345">
            <v>11.614753115741649</v>
          </cell>
          <cell r="BG345">
            <v>17.429620749261797</v>
          </cell>
          <cell r="BH345">
            <v>16.109902701379674</v>
          </cell>
          <cell r="BI345">
            <v>13.839355674417275</v>
          </cell>
          <cell r="BJ345">
            <v>18.380449728342072</v>
          </cell>
          <cell r="BU345">
            <v>7.7603350134714875</v>
          </cell>
          <cell r="BV345">
            <v>11.522967903511651</v>
          </cell>
          <cell r="BW345">
            <v>10.055977276238897</v>
          </cell>
          <cell r="BX345">
            <v>8.6149332270911767</v>
          </cell>
          <cell r="BY345">
            <v>11.497021325386617</v>
          </cell>
        </row>
        <row r="346">
          <cell r="A346">
            <v>39920</v>
          </cell>
          <cell r="BF346">
            <v>11.55820270973409</v>
          </cell>
          <cell r="BG346">
            <v>17.429620749261797</v>
          </cell>
          <cell r="BH346">
            <v>16.109902701379674</v>
          </cell>
          <cell r="BI346">
            <v>13.839355674417275</v>
          </cell>
          <cell r="BJ346">
            <v>18.380449728342072</v>
          </cell>
          <cell r="BU346">
            <v>7.7280444149933309</v>
          </cell>
          <cell r="BV346">
            <v>11.522967903511651</v>
          </cell>
          <cell r="BW346">
            <v>10.055977276238897</v>
          </cell>
          <cell r="BX346">
            <v>8.6149332270911767</v>
          </cell>
          <cell r="BY346">
            <v>11.497021325386617</v>
          </cell>
        </row>
        <row r="347">
          <cell r="A347">
            <v>39923</v>
          </cell>
          <cell r="BF347">
            <v>11.55354680363255</v>
          </cell>
          <cell r="BG347">
            <v>17.429620749261797</v>
          </cell>
          <cell r="BH347">
            <v>16.109902701379674</v>
          </cell>
          <cell r="BI347">
            <v>13.839355674417275</v>
          </cell>
          <cell r="BJ347">
            <v>18.380449728342072</v>
          </cell>
          <cell r="BU347">
            <v>7.6892996360362043</v>
          </cell>
          <cell r="BV347">
            <v>11.522967903511651</v>
          </cell>
          <cell r="BW347">
            <v>10.055977276238897</v>
          </cell>
          <cell r="BX347">
            <v>8.6149332270911767</v>
          </cell>
          <cell r="BY347">
            <v>11.497021325386617</v>
          </cell>
        </row>
        <row r="348">
          <cell r="A348">
            <v>39924</v>
          </cell>
          <cell r="BF348">
            <v>11.547863843982794</v>
          </cell>
          <cell r="BG348">
            <v>17.429620749261797</v>
          </cell>
          <cell r="BH348">
            <v>16.109902701379674</v>
          </cell>
          <cell r="BI348">
            <v>13.839355674417275</v>
          </cell>
          <cell r="BJ348">
            <v>18.380449728342072</v>
          </cell>
          <cell r="BU348">
            <v>7.6860723843534133</v>
          </cell>
          <cell r="BV348">
            <v>11.522967903511651</v>
          </cell>
          <cell r="BW348">
            <v>10.055977276238897</v>
          </cell>
          <cell r="BX348">
            <v>8.6149332270911767</v>
          </cell>
          <cell r="BY348">
            <v>11.497021325386617</v>
          </cell>
        </row>
        <row r="349">
          <cell r="A349">
            <v>39925</v>
          </cell>
          <cell r="BF349">
            <v>11.536489964559713</v>
          </cell>
          <cell r="BG349">
            <v>17.429620749261797</v>
          </cell>
          <cell r="BH349">
            <v>16.109902701379674</v>
          </cell>
          <cell r="BI349">
            <v>13.839355674417275</v>
          </cell>
          <cell r="BJ349">
            <v>18.380449728342072</v>
          </cell>
          <cell r="BU349">
            <v>7.6796133605752699</v>
          </cell>
          <cell r="BV349">
            <v>11.522967903511651</v>
          </cell>
          <cell r="BW349">
            <v>10.055977276238897</v>
          </cell>
          <cell r="BX349">
            <v>8.6149332270911767</v>
          </cell>
          <cell r="BY349">
            <v>11.497021325386617</v>
          </cell>
        </row>
        <row r="350">
          <cell r="A350">
            <v>39926</v>
          </cell>
          <cell r="BF350">
            <v>11.638829861836223</v>
          </cell>
          <cell r="BG350">
            <v>17.429620749261797</v>
          </cell>
          <cell r="BH350">
            <v>16.109902701379674</v>
          </cell>
          <cell r="BI350">
            <v>13.839355674417275</v>
          </cell>
          <cell r="BJ350">
            <v>18.380449728342072</v>
          </cell>
          <cell r="BU350">
            <v>7.7377303675676528</v>
          </cell>
          <cell r="BV350">
            <v>11.522967903511651</v>
          </cell>
          <cell r="BW350">
            <v>10.055977276238897</v>
          </cell>
          <cell r="BX350">
            <v>8.6149332270911767</v>
          </cell>
          <cell r="BY350">
            <v>11.497021325386617</v>
          </cell>
        </row>
        <row r="351">
          <cell r="A351">
            <v>39927</v>
          </cell>
          <cell r="BF351">
            <v>11.633147470766724</v>
          </cell>
          <cell r="BG351">
            <v>17.429620749261797</v>
          </cell>
          <cell r="BH351">
            <v>16.109902701379674</v>
          </cell>
          <cell r="BI351">
            <v>13.839355674417275</v>
          </cell>
          <cell r="BJ351">
            <v>18.380449728342072</v>
          </cell>
          <cell r="BU351">
            <v>7.7345034387714735</v>
          </cell>
          <cell r="BV351">
            <v>11.522967903511651</v>
          </cell>
          <cell r="BW351">
            <v>10.055977276238897</v>
          </cell>
          <cell r="BX351">
            <v>8.6149332270911767</v>
          </cell>
          <cell r="BY351">
            <v>11.497021325386617</v>
          </cell>
        </row>
        <row r="352">
          <cell r="A352">
            <v>39930</v>
          </cell>
          <cell r="BF352">
            <v>11.240825957585097</v>
          </cell>
          <cell r="BG352">
            <v>17.429620749261797</v>
          </cell>
          <cell r="BH352">
            <v>16.109902701379674</v>
          </cell>
          <cell r="BI352">
            <v>13.839355674417275</v>
          </cell>
          <cell r="BJ352">
            <v>18.380449728342072</v>
          </cell>
          <cell r="BU352">
            <v>7.5117110310046922</v>
          </cell>
          <cell r="BV352">
            <v>11.522967903511651</v>
          </cell>
          <cell r="BW352">
            <v>10.055977276238897</v>
          </cell>
          <cell r="BX352">
            <v>8.6149332270911767</v>
          </cell>
          <cell r="BY352">
            <v>11.497021325386617</v>
          </cell>
        </row>
        <row r="353">
          <cell r="A353">
            <v>39931</v>
          </cell>
          <cell r="BF353">
            <v>11.343174383565435</v>
          </cell>
          <cell r="BG353">
            <v>17.429620749261797</v>
          </cell>
          <cell r="BH353">
            <v>16.109902701379674</v>
          </cell>
          <cell r="BI353">
            <v>13.839355674417275</v>
          </cell>
          <cell r="BJ353">
            <v>18.380449728342072</v>
          </cell>
          <cell r="BU353">
            <v>7.5698328812962492</v>
          </cell>
          <cell r="BV353">
            <v>11.522967903511651</v>
          </cell>
          <cell r="BW353">
            <v>10.055977276238897</v>
          </cell>
          <cell r="BX353">
            <v>8.6149332270911767</v>
          </cell>
          <cell r="BY353">
            <v>11.497021325386617</v>
          </cell>
        </row>
        <row r="354">
          <cell r="A354">
            <v>39932</v>
          </cell>
          <cell r="BF354">
            <v>11.547863843982794</v>
          </cell>
          <cell r="BG354">
            <v>17.429620749261797</v>
          </cell>
          <cell r="BH354">
            <v>16.109902701379674</v>
          </cell>
          <cell r="BI354">
            <v>13.839355674417275</v>
          </cell>
          <cell r="BJ354">
            <v>18.380449728342072</v>
          </cell>
          <cell r="BU354">
            <v>7.6860723843534133</v>
          </cell>
          <cell r="BV354">
            <v>11.522967903511651</v>
          </cell>
          <cell r="BW354">
            <v>10.055977276238897</v>
          </cell>
          <cell r="BX354">
            <v>8.6149332270911767</v>
          </cell>
          <cell r="BY354">
            <v>11.497021325386617</v>
          </cell>
        </row>
        <row r="355">
          <cell r="A355">
            <v>39933</v>
          </cell>
          <cell r="BF355">
            <v>11.667261148912397</v>
          </cell>
          <cell r="BG355">
            <v>17.429620749261797</v>
          </cell>
          <cell r="BH355">
            <v>16.109902701379674</v>
          </cell>
          <cell r="BI355">
            <v>13.839355674417275</v>
          </cell>
          <cell r="BJ355">
            <v>18.380449728342072</v>
          </cell>
          <cell r="BU355">
            <v>7.7538759896933422</v>
          </cell>
          <cell r="BV355">
            <v>11.522967903511651</v>
          </cell>
          <cell r="BW355">
            <v>10.055977276238897</v>
          </cell>
          <cell r="BX355">
            <v>8.6149332270911767</v>
          </cell>
          <cell r="BY355">
            <v>11.497021325386617</v>
          </cell>
        </row>
        <row r="356">
          <cell r="A356">
            <v>39934</v>
          </cell>
          <cell r="BF356">
            <v>11.849210810607165</v>
          </cell>
          <cell r="BG356">
            <v>17.429620749261797</v>
          </cell>
          <cell r="BH356">
            <v>16.109902701379674</v>
          </cell>
          <cell r="BI356">
            <v>13.839355674417275</v>
          </cell>
          <cell r="BJ356">
            <v>18.380449728342072</v>
          </cell>
          <cell r="BU356">
            <v>7.8572019656067811</v>
          </cell>
          <cell r="BV356">
            <v>11.522967903511651</v>
          </cell>
          <cell r="BW356">
            <v>10.055977276238897</v>
          </cell>
          <cell r="BX356">
            <v>8.6149332270911767</v>
          </cell>
          <cell r="BY356">
            <v>11.497021325386617</v>
          </cell>
        </row>
        <row r="357">
          <cell r="A357">
            <v>39937</v>
          </cell>
          <cell r="BF357">
            <v>11.547863843982794</v>
          </cell>
          <cell r="BG357">
            <v>17.429620749261797</v>
          </cell>
          <cell r="BH357">
            <v>16.109902701379674</v>
          </cell>
          <cell r="BI357">
            <v>13.839355674417275</v>
          </cell>
          <cell r="BJ357">
            <v>18.380449728342072</v>
          </cell>
          <cell r="BU357">
            <v>7.6990309216805857</v>
          </cell>
          <cell r="BV357">
            <v>11.522967903511651</v>
          </cell>
          <cell r="BW357">
            <v>10.055977276238897</v>
          </cell>
          <cell r="BX357">
            <v>8.6149332270911767</v>
          </cell>
          <cell r="BY357">
            <v>11.497021325386617</v>
          </cell>
        </row>
        <row r="358">
          <cell r="A358">
            <v>39938</v>
          </cell>
          <cell r="BF358">
            <v>11.542172355629212</v>
          </cell>
          <cell r="BG358">
            <v>17.429620749261797</v>
          </cell>
          <cell r="BH358">
            <v>16.109902701379674</v>
          </cell>
          <cell r="BI358">
            <v>13.839355674417275</v>
          </cell>
          <cell r="BJ358">
            <v>18.380449728342072</v>
          </cell>
          <cell r="BU358">
            <v>7.6957924399447348</v>
          </cell>
          <cell r="BV358">
            <v>11.522967903511651</v>
          </cell>
          <cell r="BW358">
            <v>10.055977276238897</v>
          </cell>
          <cell r="BX358">
            <v>8.6149332270911767</v>
          </cell>
          <cell r="BY358">
            <v>11.497021325386617</v>
          </cell>
        </row>
        <row r="359">
          <cell r="A359">
            <v>39939</v>
          </cell>
          <cell r="BF359">
            <v>11.707065746831399</v>
          </cell>
          <cell r="BG359">
            <v>17.429620749261797</v>
          </cell>
          <cell r="BH359">
            <v>16.109902701379674</v>
          </cell>
          <cell r="BI359">
            <v>13.839355674417275</v>
          </cell>
          <cell r="BJ359">
            <v>18.380449728342072</v>
          </cell>
          <cell r="BU359">
            <v>7.6910605850289571</v>
          </cell>
          <cell r="BV359">
            <v>11.522967903511651</v>
          </cell>
          <cell r="BW359">
            <v>10.055977276238897</v>
          </cell>
          <cell r="BX359">
            <v>8.6149332270911767</v>
          </cell>
          <cell r="BY359">
            <v>11.497021325386617</v>
          </cell>
        </row>
        <row r="360">
          <cell r="A360">
            <v>39940</v>
          </cell>
          <cell r="BF360">
            <v>11.928811477741339</v>
          </cell>
          <cell r="BG360">
            <v>17.429620749261797</v>
          </cell>
          <cell r="BH360">
            <v>16.109902701379674</v>
          </cell>
          <cell r="BI360">
            <v>13.839355674417275</v>
          </cell>
          <cell r="BJ360">
            <v>18.380449728342072</v>
          </cell>
          <cell r="BU360">
            <v>7.8172348745893814</v>
          </cell>
          <cell r="BV360">
            <v>11.522967903511651</v>
          </cell>
          <cell r="BW360">
            <v>10.055977276238897</v>
          </cell>
          <cell r="BX360">
            <v>8.6149332270911767</v>
          </cell>
          <cell r="BY360">
            <v>11.497021325386617</v>
          </cell>
        </row>
        <row r="361">
          <cell r="A361">
            <v>39941</v>
          </cell>
          <cell r="BF361">
            <v>12.173297007373872</v>
          </cell>
          <cell r="BG361">
            <v>17.429620749261797</v>
          </cell>
          <cell r="BH361">
            <v>16.109902701379674</v>
          </cell>
          <cell r="BI361">
            <v>13.839355674417275</v>
          </cell>
          <cell r="BJ361">
            <v>18.380449728342072</v>
          </cell>
          <cell r="BU361">
            <v>7.9563482089593558</v>
          </cell>
          <cell r="BV361">
            <v>11.522967903511651</v>
          </cell>
          <cell r="BW361">
            <v>10.055977276238897</v>
          </cell>
          <cell r="BX361">
            <v>8.6149332270911767</v>
          </cell>
          <cell r="BY361">
            <v>11.497021325386617</v>
          </cell>
        </row>
        <row r="362">
          <cell r="A362">
            <v>39944</v>
          </cell>
          <cell r="BF362">
            <v>12.264272122511384</v>
          </cell>
          <cell r="BG362">
            <v>17.429620749261797</v>
          </cell>
          <cell r="BH362">
            <v>16.109902701379674</v>
          </cell>
          <cell r="BI362">
            <v>13.839355674417275</v>
          </cell>
          <cell r="BJ362">
            <v>18.380449728342072</v>
          </cell>
          <cell r="BU362">
            <v>8.0081134468877249</v>
          </cell>
          <cell r="BV362">
            <v>11.522967903511651</v>
          </cell>
          <cell r="BW362">
            <v>10.055977276238897</v>
          </cell>
          <cell r="BX362">
            <v>8.6149332270911767</v>
          </cell>
          <cell r="BY362">
            <v>11.497021325386617</v>
          </cell>
        </row>
        <row r="363">
          <cell r="A363">
            <v>39945</v>
          </cell>
          <cell r="BF363">
            <v>12.338189829995803</v>
          </cell>
          <cell r="BG363">
            <v>17.429620749261797</v>
          </cell>
          <cell r="BH363">
            <v>16.109902701379674</v>
          </cell>
          <cell r="BI363">
            <v>13.839355674417275</v>
          </cell>
          <cell r="BJ363">
            <v>18.380449728342072</v>
          </cell>
          <cell r="BU363">
            <v>8.0501729453480113</v>
          </cell>
          <cell r="BV363">
            <v>11.522967903511651</v>
          </cell>
          <cell r="BW363">
            <v>10.055977276238897</v>
          </cell>
          <cell r="BX363">
            <v>8.6149332270911767</v>
          </cell>
          <cell r="BY363">
            <v>11.497021325386617</v>
          </cell>
        </row>
        <row r="364">
          <cell r="A364">
            <v>39946</v>
          </cell>
          <cell r="BF364">
            <v>12.392113338010667</v>
          </cell>
          <cell r="BG364">
            <v>17.429620749261797</v>
          </cell>
          <cell r="BH364">
            <v>16.109902701379674</v>
          </cell>
          <cell r="BI364">
            <v>13.839355674417275</v>
          </cell>
          <cell r="BJ364">
            <v>18.380449728342072</v>
          </cell>
          <cell r="BU364">
            <v>8.1399435185927818</v>
          </cell>
          <cell r="BV364">
            <v>11.522967903511651</v>
          </cell>
          <cell r="BW364">
            <v>10.055977276238897</v>
          </cell>
          <cell r="BX364">
            <v>8.6149332270911767</v>
          </cell>
          <cell r="BY364">
            <v>11.497021325386617</v>
          </cell>
        </row>
        <row r="365">
          <cell r="A365">
            <v>39947</v>
          </cell>
          <cell r="BF365">
            <v>12.17796750097914</v>
          </cell>
          <cell r="BG365">
            <v>17.429620749261797</v>
          </cell>
          <cell r="BH365">
            <v>16.109902701379674</v>
          </cell>
          <cell r="BI365">
            <v>13.839355674417275</v>
          </cell>
          <cell r="BJ365">
            <v>18.380449728342072</v>
          </cell>
          <cell r="BU365">
            <v>8.0170636672794693</v>
          </cell>
          <cell r="BV365">
            <v>11.522967903511651</v>
          </cell>
          <cell r="BW365">
            <v>10.055977276238897</v>
          </cell>
          <cell r="BX365">
            <v>8.6149332270911767</v>
          </cell>
          <cell r="BY365">
            <v>11.497021325386617</v>
          </cell>
        </row>
        <row r="366">
          <cell r="A366">
            <v>39948</v>
          </cell>
          <cell r="BF366">
            <v>12.17796750097914</v>
          </cell>
          <cell r="BG366">
            <v>17.429620749261797</v>
          </cell>
          <cell r="BH366">
            <v>16.109902701379674</v>
          </cell>
          <cell r="BI366">
            <v>13.839355674417275</v>
          </cell>
          <cell r="BJ366">
            <v>18.380449728342072</v>
          </cell>
          <cell r="BU366">
            <v>8.0170636672794693</v>
          </cell>
          <cell r="BV366">
            <v>11.522967903511651</v>
          </cell>
          <cell r="BW366">
            <v>10.055977276238897</v>
          </cell>
          <cell r="BX366">
            <v>8.6149332270911767</v>
          </cell>
          <cell r="BY366">
            <v>11.497021325386617</v>
          </cell>
        </row>
        <row r="367">
          <cell r="A367">
            <v>39951</v>
          </cell>
          <cell r="BF367">
            <v>12.268135236952068</v>
          </cell>
          <cell r="BG367">
            <v>17.429620749261797</v>
          </cell>
          <cell r="BH367">
            <v>16.109902701379674</v>
          </cell>
          <cell r="BI367">
            <v>13.839355674417275</v>
          </cell>
          <cell r="BJ367">
            <v>18.380449728342072</v>
          </cell>
          <cell r="BU367">
            <v>8.0688031647322269</v>
          </cell>
          <cell r="BV367">
            <v>11.522967903511651</v>
          </cell>
          <cell r="BW367">
            <v>10.055977276238897</v>
          </cell>
          <cell r="BX367">
            <v>8.6149332270911767</v>
          </cell>
          <cell r="BY367">
            <v>11.497021325386617</v>
          </cell>
        </row>
        <row r="368">
          <cell r="A368">
            <v>39952</v>
          </cell>
          <cell r="BF368">
            <v>12.076535278653603</v>
          </cell>
          <cell r="BG368">
            <v>17.429620749261797</v>
          </cell>
          <cell r="BH368">
            <v>16.109902701379674</v>
          </cell>
          <cell r="BI368">
            <v>13.839355674417275</v>
          </cell>
          <cell r="BJ368">
            <v>18.380449728342072</v>
          </cell>
          <cell r="BU368">
            <v>7.9588604513285288</v>
          </cell>
          <cell r="BV368">
            <v>11.522967903511651</v>
          </cell>
          <cell r="BW368">
            <v>10.055977276238897</v>
          </cell>
          <cell r="BX368">
            <v>8.6149332270911767</v>
          </cell>
          <cell r="BY368">
            <v>11.497021325386617</v>
          </cell>
        </row>
        <row r="369">
          <cell r="A369">
            <v>39953</v>
          </cell>
          <cell r="BF369">
            <v>11.952557177595004</v>
          </cell>
          <cell r="BG369">
            <v>17.429620749261797</v>
          </cell>
          <cell r="BH369">
            <v>16.109902701379674</v>
          </cell>
          <cell r="BI369">
            <v>13.839355674417275</v>
          </cell>
          <cell r="BJ369">
            <v>18.380449728342072</v>
          </cell>
          <cell r="BU369">
            <v>7.8877200974679731</v>
          </cell>
          <cell r="BV369">
            <v>11.522967903511651</v>
          </cell>
          <cell r="BW369">
            <v>10.055977276238897</v>
          </cell>
          <cell r="BX369">
            <v>8.6149332270911767</v>
          </cell>
          <cell r="BY369">
            <v>11.497021325386617</v>
          </cell>
        </row>
        <row r="370">
          <cell r="A370">
            <v>39954</v>
          </cell>
          <cell r="BF370">
            <v>11.862389441622076</v>
          </cell>
          <cell r="BG370">
            <v>17.429620749261797</v>
          </cell>
          <cell r="BH370">
            <v>16.109902701379674</v>
          </cell>
          <cell r="BI370">
            <v>13.839355674417275</v>
          </cell>
          <cell r="BJ370">
            <v>18.380449728342072</v>
          </cell>
          <cell r="BU370">
            <v>7.7705319875751702</v>
          </cell>
          <cell r="BV370">
            <v>11.522967903511651</v>
          </cell>
          <cell r="BW370">
            <v>10.055977276238897</v>
          </cell>
          <cell r="BX370">
            <v>8.6149332270911767</v>
          </cell>
          <cell r="BY370">
            <v>11.497021325386617</v>
          </cell>
        </row>
        <row r="371">
          <cell r="A371">
            <v>39955</v>
          </cell>
          <cell r="BF371">
            <v>11.839852015902936</v>
          </cell>
          <cell r="BG371">
            <v>17.429620749261797</v>
          </cell>
          <cell r="BH371">
            <v>16.109902701379674</v>
          </cell>
          <cell r="BI371">
            <v>13.839355674417275</v>
          </cell>
          <cell r="BJ371">
            <v>18.380449728342072</v>
          </cell>
          <cell r="BU371">
            <v>7.7577077147169931</v>
          </cell>
          <cell r="BV371">
            <v>11.522967903511651</v>
          </cell>
          <cell r="BW371">
            <v>10.055977276238897</v>
          </cell>
          <cell r="BX371">
            <v>8.6149332270911767</v>
          </cell>
          <cell r="BY371">
            <v>11.497021325386617</v>
          </cell>
        </row>
        <row r="372">
          <cell r="A372">
            <v>39958</v>
          </cell>
          <cell r="BF372">
            <v>12.042724913567932</v>
          </cell>
          <cell r="BG372">
            <v>17.429620749261797</v>
          </cell>
          <cell r="BH372">
            <v>16.109902701379674</v>
          </cell>
          <cell r="BI372">
            <v>13.839355674417275</v>
          </cell>
          <cell r="BJ372">
            <v>18.380449728342072</v>
          </cell>
          <cell r="BU372">
            <v>7.8731466928685805</v>
          </cell>
          <cell r="BV372">
            <v>11.522967903511651</v>
          </cell>
          <cell r="BW372">
            <v>10.055977276238897</v>
          </cell>
          <cell r="BX372">
            <v>8.6149332270911767</v>
          </cell>
          <cell r="BY372">
            <v>11.497021325386617</v>
          </cell>
        </row>
        <row r="373">
          <cell r="A373">
            <v>39959</v>
          </cell>
          <cell r="BF373">
            <v>12.082167803597038</v>
          </cell>
          <cell r="BG373">
            <v>17.429620749261797</v>
          </cell>
          <cell r="BH373">
            <v>16.109902701379674</v>
          </cell>
          <cell r="BI373">
            <v>13.839355674417275</v>
          </cell>
          <cell r="BJ373">
            <v>18.380449728342072</v>
          </cell>
          <cell r="BU373">
            <v>7.8955905331878729</v>
          </cell>
          <cell r="BV373">
            <v>11.522967903511651</v>
          </cell>
          <cell r="BW373">
            <v>10.055977276238897</v>
          </cell>
          <cell r="BX373">
            <v>8.6149332270911767</v>
          </cell>
          <cell r="BY373">
            <v>11.497021325386617</v>
          </cell>
        </row>
        <row r="374">
          <cell r="A374">
            <v>39960</v>
          </cell>
          <cell r="BF374">
            <v>12.330124005714236</v>
          </cell>
          <cell r="BG374">
            <v>17.429620749261797</v>
          </cell>
          <cell r="BH374">
            <v>16.109902701379674</v>
          </cell>
          <cell r="BI374">
            <v>13.839355674417275</v>
          </cell>
          <cell r="BJ374">
            <v>18.380449728342072</v>
          </cell>
          <cell r="BU374">
            <v>8.0366828669998771</v>
          </cell>
          <cell r="BV374">
            <v>11.522967903511651</v>
          </cell>
          <cell r="BW374">
            <v>10.055977276238897</v>
          </cell>
          <cell r="BX374">
            <v>8.6149332270911767</v>
          </cell>
          <cell r="BY374">
            <v>11.497021325386617</v>
          </cell>
        </row>
        <row r="375">
          <cell r="A375">
            <v>39961</v>
          </cell>
          <cell r="BF375">
            <v>12.707690833833469</v>
          </cell>
          <cell r="BG375">
            <v>17.429620749261797</v>
          </cell>
          <cell r="BH375">
            <v>16.109902701379674</v>
          </cell>
          <cell r="BI375">
            <v>13.839355674417275</v>
          </cell>
          <cell r="BJ375">
            <v>18.380449728342072</v>
          </cell>
          <cell r="BU375">
            <v>8.2515263937778762</v>
          </cell>
          <cell r="BV375">
            <v>11.522967903511651</v>
          </cell>
          <cell r="BW375">
            <v>10.055977276238897</v>
          </cell>
          <cell r="BX375">
            <v>8.6149332270911767</v>
          </cell>
          <cell r="BY375">
            <v>11.497021325386617</v>
          </cell>
        </row>
        <row r="376">
          <cell r="A376">
            <v>39962</v>
          </cell>
          <cell r="BF376">
            <v>12.578080771365697</v>
          </cell>
          <cell r="BG376">
            <v>17.429620749261797</v>
          </cell>
          <cell r="BH376">
            <v>16.109902701379674</v>
          </cell>
          <cell r="BI376">
            <v>13.839355674417275</v>
          </cell>
          <cell r="BJ376">
            <v>18.380449728342072</v>
          </cell>
          <cell r="BU376">
            <v>8.1777755214748158</v>
          </cell>
          <cell r="BV376">
            <v>11.522967903511651</v>
          </cell>
          <cell r="BW376">
            <v>10.055977276238897</v>
          </cell>
          <cell r="BX376">
            <v>8.6149332270911767</v>
          </cell>
          <cell r="BY376">
            <v>11.497021325386617</v>
          </cell>
        </row>
        <row r="377">
          <cell r="A377">
            <v>39965</v>
          </cell>
          <cell r="BF377">
            <v>12.68515340811433</v>
          </cell>
          <cell r="BG377">
            <v>17.429620749261797</v>
          </cell>
          <cell r="BH377">
            <v>16.109902701379674</v>
          </cell>
          <cell r="BI377">
            <v>13.839355674417275</v>
          </cell>
          <cell r="BJ377">
            <v>18.380449728342072</v>
          </cell>
          <cell r="BU377">
            <v>8.2387021209196991</v>
          </cell>
          <cell r="BV377">
            <v>11.522967903511651</v>
          </cell>
          <cell r="BW377">
            <v>10.055977276238897</v>
          </cell>
          <cell r="BX377">
            <v>8.6149332270911767</v>
          </cell>
          <cell r="BY377">
            <v>11.497021325386617</v>
          </cell>
        </row>
        <row r="378">
          <cell r="A378">
            <v>39966</v>
          </cell>
          <cell r="BF378">
            <v>12.730237276100793</v>
          </cell>
          <cell r="BG378">
            <v>17.429620749261797</v>
          </cell>
          <cell r="BH378">
            <v>16.109902701379674</v>
          </cell>
          <cell r="BI378">
            <v>13.839355674417275</v>
          </cell>
          <cell r="BJ378">
            <v>18.380449728342072</v>
          </cell>
          <cell r="BU378">
            <v>8.2643557972430521</v>
          </cell>
          <cell r="BV378">
            <v>11.522967903511651</v>
          </cell>
          <cell r="BW378">
            <v>10.055977276238897</v>
          </cell>
          <cell r="BX378">
            <v>8.6149332270911767</v>
          </cell>
          <cell r="BY378">
            <v>11.497021325386617</v>
          </cell>
        </row>
        <row r="379">
          <cell r="A379">
            <v>39967</v>
          </cell>
          <cell r="BF379">
            <v>12.594761096425666</v>
          </cell>
          <cell r="BG379">
            <v>17.429620749261797</v>
          </cell>
          <cell r="BH379">
            <v>16.109902701379674</v>
          </cell>
          <cell r="BI379">
            <v>13.839355674417275</v>
          </cell>
          <cell r="BJ379">
            <v>18.380449728342072</v>
          </cell>
          <cell r="BU379">
            <v>8.1938096303370518</v>
          </cell>
          <cell r="BV379">
            <v>11.522967903511651</v>
          </cell>
          <cell r="BW379">
            <v>10.055977276238897</v>
          </cell>
          <cell r="BX379">
            <v>8.6149332270911767</v>
          </cell>
          <cell r="BY379">
            <v>11.497021325386617</v>
          </cell>
        </row>
        <row r="380">
          <cell r="A380">
            <v>39968</v>
          </cell>
          <cell r="BF380">
            <v>13.219713591590729</v>
          </cell>
          <cell r="BG380">
            <v>17.429620749261797</v>
          </cell>
          <cell r="BH380">
            <v>16.109902701379674</v>
          </cell>
          <cell r="BI380">
            <v>13.839355674417275</v>
          </cell>
          <cell r="BJ380">
            <v>18.380449728342072</v>
          </cell>
          <cell r="BU380">
            <v>8.5497454909270534</v>
          </cell>
          <cell r="BV380">
            <v>11.522967903511651</v>
          </cell>
          <cell r="BW380">
            <v>10.055977276238897</v>
          </cell>
          <cell r="BX380">
            <v>8.6149332270911767</v>
          </cell>
          <cell r="BY380">
            <v>11.497021325386617</v>
          </cell>
        </row>
        <row r="381">
          <cell r="A381">
            <v>39969</v>
          </cell>
          <cell r="BF381">
            <v>13.585673386313539</v>
          </cell>
          <cell r="BG381">
            <v>17.429620749261797</v>
          </cell>
          <cell r="BH381">
            <v>16.109902701379674</v>
          </cell>
          <cell r="BI381">
            <v>13.839355674417275</v>
          </cell>
          <cell r="BJ381">
            <v>18.380449728342072</v>
          </cell>
          <cell r="BU381">
            <v>8.7581744763039353</v>
          </cell>
          <cell r="BV381">
            <v>11.522967903511651</v>
          </cell>
          <cell r="BW381">
            <v>10.055977276238897</v>
          </cell>
          <cell r="BX381">
            <v>8.6149332270911767</v>
          </cell>
          <cell r="BY381">
            <v>11.497021325386617</v>
          </cell>
        </row>
        <row r="382">
          <cell r="A382">
            <v>39972</v>
          </cell>
          <cell r="BF382">
            <v>13.720801628254609</v>
          </cell>
          <cell r="BG382">
            <v>17.429620749261797</v>
          </cell>
          <cell r="BH382">
            <v>16.109902701379674</v>
          </cell>
          <cell r="BI382">
            <v>13.839355674417275</v>
          </cell>
          <cell r="BJ382">
            <v>18.380449728342072</v>
          </cell>
          <cell r="BU382">
            <v>8.8351355052739926</v>
          </cell>
          <cell r="BV382">
            <v>11.522967903511651</v>
          </cell>
          <cell r="BW382">
            <v>10.055977276238897</v>
          </cell>
          <cell r="BX382">
            <v>8.6149332270911767</v>
          </cell>
          <cell r="BY382">
            <v>11.497021325386617</v>
          </cell>
        </row>
        <row r="383">
          <cell r="A383">
            <v>39973</v>
          </cell>
          <cell r="BF383">
            <v>13.743318497749327</v>
          </cell>
          <cell r="BG383">
            <v>17.429620749261797</v>
          </cell>
          <cell r="BH383">
            <v>16.109902701379674</v>
          </cell>
          <cell r="BI383">
            <v>13.839355674417275</v>
          </cell>
          <cell r="BJ383">
            <v>18.380449728342072</v>
          </cell>
          <cell r="BU383">
            <v>8.8479597781321679</v>
          </cell>
          <cell r="BV383">
            <v>11.522967903511651</v>
          </cell>
          <cell r="BW383">
            <v>10.055977276238897</v>
          </cell>
          <cell r="BX383">
            <v>8.6149332270911767</v>
          </cell>
          <cell r="BY383">
            <v>11.497021325386617</v>
          </cell>
        </row>
        <row r="384">
          <cell r="A384">
            <v>39974</v>
          </cell>
          <cell r="BF384">
            <v>13.822140771957086</v>
          </cell>
          <cell r="BG384">
            <v>17.429620749261797</v>
          </cell>
          <cell r="BH384">
            <v>16.109902701379674</v>
          </cell>
          <cell r="BI384">
            <v>13.839355674417275</v>
          </cell>
          <cell r="BJ384">
            <v>18.380449728342072</v>
          </cell>
          <cell r="BU384">
            <v>8.8927005925007521</v>
          </cell>
          <cell r="BV384">
            <v>11.522967903511651</v>
          </cell>
          <cell r="BW384">
            <v>10.055977276238897</v>
          </cell>
          <cell r="BX384">
            <v>8.6149332270911767</v>
          </cell>
          <cell r="BY384">
            <v>11.497021325386617</v>
          </cell>
        </row>
        <row r="385">
          <cell r="A385">
            <v>39975</v>
          </cell>
          <cell r="BF385">
            <v>14.013574418611197</v>
          </cell>
          <cell r="BG385">
            <v>17.429620749261797</v>
          </cell>
          <cell r="BH385">
            <v>16.109902701379674</v>
          </cell>
          <cell r="BI385">
            <v>13.839355674417275</v>
          </cell>
          <cell r="BJ385">
            <v>18.380449728342072</v>
          </cell>
          <cell r="BU385">
            <v>9.0017279795958132</v>
          </cell>
          <cell r="BV385">
            <v>11.522967903511651</v>
          </cell>
          <cell r="BW385">
            <v>10.055977276238897</v>
          </cell>
          <cell r="BX385">
            <v>8.6149332270911767</v>
          </cell>
          <cell r="BY385">
            <v>11.497021325386617</v>
          </cell>
        </row>
        <row r="386">
          <cell r="A386">
            <v>39976</v>
          </cell>
          <cell r="BF386">
            <v>14.278186061307276</v>
          </cell>
          <cell r="BG386">
            <v>17.429620749261797</v>
          </cell>
          <cell r="BH386">
            <v>16.109902701379674</v>
          </cell>
          <cell r="BI386">
            <v>13.839355674417275</v>
          </cell>
          <cell r="BJ386">
            <v>18.380449728342072</v>
          </cell>
          <cell r="BU386">
            <v>9.1524325004693665</v>
          </cell>
          <cell r="BV386">
            <v>11.522967903511651</v>
          </cell>
          <cell r="BW386">
            <v>10.055977276238897</v>
          </cell>
          <cell r="BX386">
            <v>8.6149332270911767</v>
          </cell>
          <cell r="BY386">
            <v>11.497021325386617</v>
          </cell>
        </row>
        <row r="387">
          <cell r="A387">
            <v>39979</v>
          </cell>
          <cell r="BF387">
            <v>14.357295270407436</v>
          </cell>
          <cell r="BG387">
            <v>17.429620749261797</v>
          </cell>
          <cell r="BH387">
            <v>16.109902701379674</v>
          </cell>
          <cell r="BI387">
            <v>13.839355674417275</v>
          </cell>
          <cell r="BJ387">
            <v>18.380449728342072</v>
          </cell>
          <cell r="BU387">
            <v>9.220261651551553</v>
          </cell>
          <cell r="BV387">
            <v>11.522967903511651</v>
          </cell>
          <cell r="BW387">
            <v>10.055977276238897</v>
          </cell>
          <cell r="BX387">
            <v>8.6149332270911767</v>
          </cell>
          <cell r="BY387">
            <v>11.497021325386617</v>
          </cell>
        </row>
        <row r="388">
          <cell r="A388">
            <v>39980</v>
          </cell>
          <cell r="BF388">
            <v>14.2345350757776</v>
          </cell>
          <cell r="BG388">
            <v>17.429620749261797</v>
          </cell>
          <cell r="BH388">
            <v>16.109902701379674</v>
          </cell>
          <cell r="BI388">
            <v>13.839355674417275</v>
          </cell>
          <cell r="BJ388">
            <v>18.380449728342072</v>
          </cell>
          <cell r="BU388">
            <v>9.1501033641131766</v>
          </cell>
          <cell r="BV388">
            <v>11.522967903511651</v>
          </cell>
          <cell r="BW388">
            <v>10.055977276238897</v>
          </cell>
          <cell r="BX388">
            <v>8.6149332270911767</v>
          </cell>
          <cell r="BY388">
            <v>11.497021325386617</v>
          </cell>
        </row>
        <row r="389">
          <cell r="A389">
            <v>39981</v>
          </cell>
          <cell r="BF389">
            <v>13.816036314533891</v>
          </cell>
          <cell r="BG389">
            <v>17.429620749261797</v>
          </cell>
          <cell r="BH389">
            <v>16.109902701379674</v>
          </cell>
          <cell r="BI389">
            <v>13.839355674417275</v>
          </cell>
          <cell r="BJ389">
            <v>18.380449728342072</v>
          </cell>
          <cell r="BU389">
            <v>8.9109284713682229</v>
          </cell>
          <cell r="BV389">
            <v>11.522967903511651</v>
          </cell>
          <cell r="BW389">
            <v>10.055977276238897</v>
          </cell>
          <cell r="BX389">
            <v>8.6149332270911767</v>
          </cell>
          <cell r="BY389">
            <v>11.497021325386617</v>
          </cell>
        </row>
        <row r="390">
          <cell r="A390">
            <v>39982</v>
          </cell>
          <cell r="BF390">
            <v>13.74907930272664</v>
          </cell>
          <cell r="BG390">
            <v>17.429620749261797</v>
          </cell>
          <cell r="BH390">
            <v>16.109902701379674</v>
          </cell>
          <cell r="BI390">
            <v>13.839355674417275</v>
          </cell>
          <cell r="BJ390">
            <v>18.380449728342072</v>
          </cell>
          <cell r="BU390">
            <v>8.8726620830283149</v>
          </cell>
          <cell r="BV390">
            <v>11.522967903511651</v>
          </cell>
          <cell r="BW390">
            <v>10.055977276238897</v>
          </cell>
          <cell r="BX390">
            <v>8.6149332270911767</v>
          </cell>
          <cell r="BY390">
            <v>11.497021325386617</v>
          </cell>
        </row>
        <row r="391">
          <cell r="A391">
            <v>39983</v>
          </cell>
          <cell r="BF391">
            <v>13.949958708123619</v>
          </cell>
          <cell r="BG391">
            <v>17.429620749261797</v>
          </cell>
          <cell r="BH391">
            <v>16.109902701379674</v>
          </cell>
          <cell r="BI391">
            <v>13.839355674417275</v>
          </cell>
          <cell r="BJ391">
            <v>18.380449728342072</v>
          </cell>
          <cell r="BU391">
            <v>8.9874660315458943</v>
          </cell>
          <cell r="BV391">
            <v>11.522967903511651</v>
          </cell>
          <cell r="BW391">
            <v>10.055977276238897</v>
          </cell>
          <cell r="BX391">
            <v>8.6149332270911767</v>
          </cell>
          <cell r="BY391">
            <v>11.497021325386617</v>
          </cell>
        </row>
        <row r="392">
          <cell r="A392">
            <v>39986</v>
          </cell>
          <cell r="BF392">
            <v>14.150830301543722</v>
          </cell>
          <cell r="BG392">
            <v>17.429620749261797</v>
          </cell>
          <cell r="BH392">
            <v>16.109902701379674</v>
          </cell>
          <cell r="BI392">
            <v>13.839355674417275</v>
          </cell>
          <cell r="BJ392">
            <v>18.380449728342072</v>
          </cell>
          <cell r="BU392">
            <v>9.1022655154654739</v>
          </cell>
          <cell r="BV392">
            <v>11.522967903511651</v>
          </cell>
          <cell r="BW392">
            <v>10.055977276238897</v>
          </cell>
          <cell r="BX392">
            <v>8.6149332270911767</v>
          </cell>
          <cell r="BY392">
            <v>11.497021325386617</v>
          </cell>
        </row>
        <row r="393">
          <cell r="A393">
            <v>39987</v>
          </cell>
          <cell r="BF393">
            <v>13.871831127381251</v>
          </cell>
          <cell r="BG393">
            <v>17.429620749261797</v>
          </cell>
          <cell r="BH393">
            <v>16.109902701379674</v>
          </cell>
          <cell r="BI393">
            <v>13.839355674417275</v>
          </cell>
          <cell r="BJ393">
            <v>18.380449728342072</v>
          </cell>
          <cell r="BU393">
            <v>8.9428155869688375</v>
          </cell>
          <cell r="BV393">
            <v>11.522967903511651</v>
          </cell>
          <cell r="BW393">
            <v>10.055977276238897</v>
          </cell>
          <cell r="BX393">
            <v>8.6149332270911767</v>
          </cell>
          <cell r="BY393">
            <v>11.497021325386617</v>
          </cell>
        </row>
        <row r="394">
          <cell r="A394">
            <v>39988</v>
          </cell>
          <cell r="BF394">
            <v>14.206633484366307</v>
          </cell>
          <cell r="BG394">
            <v>17.429620749261797</v>
          </cell>
          <cell r="BH394">
            <v>16.109902701379674</v>
          </cell>
          <cell r="BI394">
            <v>13.839355674417275</v>
          </cell>
          <cell r="BJ394">
            <v>18.380449728342072</v>
          </cell>
          <cell r="BU394">
            <v>9.1341574145639406</v>
          </cell>
          <cell r="BV394">
            <v>11.522967903511651</v>
          </cell>
          <cell r="BW394">
            <v>10.055977276238897</v>
          </cell>
          <cell r="BX394">
            <v>8.6149332270911767</v>
          </cell>
          <cell r="BY394">
            <v>11.497021325386617</v>
          </cell>
        </row>
        <row r="395">
          <cell r="A395">
            <v>39989</v>
          </cell>
          <cell r="BF395">
            <v>14.245697274737491</v>
          </cell>
          <cell r="BG395">
            <v>17.429620749261797</v>
          </cell>
          <cell r="BH395">
            <v>16.109902701379674</v>
          </cell>
          <cell r="BI395">
            <v>13.839355674417275</v>
          </cell>
          <cell r="BJ395">
            <v>18.380449728342072</v>
          </cell>
          <cell r="BU395">
            <v>9.1564826368524699</v>
          </cell>
          <cell r="BV395">
            <v>11.522967903511651</v>
          </cell>
          <cell r="BW395">
            <v>10.055977276238897</v>
          </cell>
          <cell r="BX395">
            <v>8.6149332270911767</v>
          </cell>
          <cell r="BY395">
            <v>11.497021325386617</v>
          </cell>
        </row>
        <row r="396">
          <cell r="A396">
            <v>39990</v>
          </cell>
          <cell r="BF396">
            <v>14.095035488696363</v>
          </cell>
          <cell r="BG396">
            <v>17.429620749261797</v>
          </cell>
          <cell r="BH396">
            <v>16.109902701379674</v>
          </cell>
          <cell r="BI396">
            <v>13.839355674417275</v>
          </cell>
          <cell r="BJ396">
            <v>18.380449728342072</v>
          </cell>
          <cell r="BU396">
            <v>9.0703783998648593</v>
          </cell>
          <cell r="BV396">
            <v>11.522967903511651</v>
          </cell>
          <cell r="BW396">
            <v>10.055977276238897</v>
          </cell>
          <cell r="BX396">
            <v>8.6149332270911767</v>
          </cell>
          <cell r="BY396">
            <v>11.497021325386617</v>
          </cell>
        </row>
        <row r="397">
          <cell r="A397">
            <v>39993</v>
          </cell>
          <cell r="BF397">
            <v>13.927634310203835</v>
          </cell>
          <cell r="BG397">
            <v>17.429620749261797</v>
          </cell>
          <cell r="BH397">
            <v>16.109902701379674</v>
          </cell>
          <cell r="BI397">
            <v>13.839355674417275</v>
          </cell>
          <cell r="BJ397">
            <v>18.380449728342072</v>
          </cell>
          <cell r="BU397">
            <v>8.974707486067306</v>
          </cell>
          <cell r="BV397">
            <v>11.522967903511651</v>
          </cell>
          <cell r="BW397">
            <v>10.055977276238897</v>
          </cell>
          <cell r="BX397">
            <v>8.6149332270911767</v>
          </cell>
          <cell r="BY397">
            <v>11.497021325386617</v>
          </cell>
        </row>
        <row r="398">
          <cell r="A398">
            <v>39994</v>
          </cell>
          <cell r="BF398">
            <v>13.989014686517928</v>
          </cell>
          <cell r="BG398">
            <v>17.429620749261797</v>
          </cell>
          <cell r="BH398">
            <v>16.109902701379674</v>
          </cell>
          <cell r="BI398">
            <v>13.839355674417275</v>
          </cell>
          <cell r="BJ398">
            <v>18.380449728342072</v>
          </cell>
          <cell r="BU398">
            <v>9.0097867892364238</v>
          </cell>
          <cell r="BV398">
            <v>11.522967903511651</v>
          </cell>
          <cell r="BW398">
            <v>10.055977276238897</v>
          </cell>
          <cell r="BX398">
            <v>8.6149332270911767</v>
          </cell>
          <cell r="BY398">
            <v>11.497021325386617</v>
          </cell>
        </row>
        <row r="399">
          <cell r="A399">
            <v>39995</v>
          </cell>
          <cell r="BF399">
            <v>14.167578063970348</v>
          </cell>
          <cell r="BG399">
            <v>17.429620749261797</v>
          </cell>
          <cell r="BH399">
            <v>16.109902701379674</v>
          </cell>
          <cell r="BI399">
            <v>13.839355674417275</v>
          </cell>
          <cell r="BJ399">
            <v>18.380449728342072</v>
          </cell>
          <cell r="BU399">
            <v>9.1118369757732687</v>
          </cell>
          <cell r="BV399">
            <v>11.522967903511651</v>
          </cell>
          <cell r="BW399">
            <v>10.055977276238897</v>
          </cell>
          <cell r="BX399">
            <v>8.6149332270911767</v>
          </cell>
          <cell r="BY399">
            <v>11.497021325386617</v>
          </cell>
        </row>
        <row r="400">
          <cell r="A400">
            <v>39996</v>
          </cell>
          <cell r="BF400">
            <v>15.16639120148356</v>
          </cell>
          <cell r="BG400">
            <v>17.429620749261797</v>
          </cell>
          <cell r="BH400">
            <v>16.109902701379674</v>
          </cell>
          <cell r="BI400">
            <v>13.839355674417275</v>
          </cell>
          <cell r="BJ400">
            <v>18.380449728342072</v>
          </cell>
          <cell r="BU400">
            <v>9.6826654874922262</v>
          </cell>
          <cell r="BV400">
            <v>11.522967903511651</v>
          </cell>
          <cell r="BW400">
            <v>10.055977276238897</v>
          </cell>
          <cell r="BX400">
            <v>8.6149332270911767</v>
          </cell>
          <cell r="BY400">
            <v>11.497021325386617</v>
          </cell>
        </row>
        <row r="401">
          <cell r="A401">
            <v>39997</v>
          </cell>
          <cell r="BF401">
            <v>15.199619316766542</v>
          </cell>
          <cell r="BG401">
            <v>17.429620749261797</v>
          </cell>
          <cell r="BH401">
            <v>16.109902701379674</v>
          </cell>
          <cell r="BI401">
            <v>13.839355674417275</v>
          </cell>
          <cell r="BJ401">
            <v>18.380449728342072</v>
          </cell>
          <cell r="BU401">
            <v>9.6960461887812475</v>
          </cell>
          <cell r="BV401">
            <v>11.522967903511651</v>
          </cell>
          <cell r="BW401">
            <v>10.055977276238897</v>
          </cell>
          <cell r="BX401">
            <v>8.6149332270911767</v>
          </cell>
          <cell r="BY401">
            <v>11.497021325386617</v>
          </cell>
        </row>
        <row r="402">
          <cell r="A402">
            <v>40000</v>
          </cell>
          <cell r="BF402">
            <v>15.321527165933983</v>
          </cell>
          <cell r="BG402">
            <v>17.429620749261797</v>
          </cell>
          <cell r="BH402">
            <v>16.109902701379674</v>
          </cell>
          <cell r="BI402">
            <v>13.839355674417275</v>
          </cell>
          <cell r="BJ402">
            <v>18.380449728342072</v>
          </cell>
          <cell r="BU402">
            <v>9.7657276872719176</v>
          </cell>
          <cell r="BV402">
            <v>11.522967903511651</v>
          </cell>
          <cell r="BW402">
            <v>10.055977276238897</v>
          </cell>
          <cell r="BX402">
            <v>8.6149332270911767</v>
          </cell>
          <cell r="BY402">
            <v>11.497021325386617</v>
          </cell>
        </row>
        <row r="403">
          <cell r="A403">
            <v>40001</v>
          </cell>
          <cell r="BF403">
            <v>15.34368880392473</v>
          </cell>
          <cell r="BG403">
            <v>17.429620749261797</v>
          </cell>
          <cell r="BH403">
            <v>16.109902701379674</v>
          </cell>
          <cell r="BI403">
            <v>13.839355674417275</v>
          </cell>
          <cell r="BJ403">
            <v>18.380449728342072</v>
          </cell>
          <cell r="BU403">
            <v>9.7783950926502374</v>
          </cell>
          <cell r="BV403">
            <v>11.522967903511651</v>
          </cell>
          <cell r="BW403">
            <v>10.055977276238897</v>
          </cell>
          <cell r="BX403">
            <v>8.6149332270911767</v>
          </cell>
          <cell r="BY403">
            <v>11.497021325386617</v>
          </cell>
        </row>
        <row r="404">
          <cell r="A404">
            <v>40002</v>
          </cell>
          <cell r="BF404">
            <v>15.194081400827162</v>
          </cell>
          <cell r="BG404">
            <v>17.429620749261797</v>
          </cell>
          <cell r="BH404">
            <v>16.109902701379674</v>
          </cell>
          <cell r="BI404">
            <v>13.839355674417275</v>
          </cell>
          <cell r="BJ404">
            <v>18.380449728342072</v>
          </cell>
          <cell r="BU404">
            <v>9.6928807627335676</v>
          </cell>
          <cell r="BV404">
            <v>11.522967903511651</v>
          </cell>
          <cell r="BW404">
            <v>10.055977276238897</v>
          </cell>
          <cell r="BX404">
            <v>8.6149332270911767</v>
          </cell>
          <cell r="BY404">
            <v>11.497021325386617</v>
          </cell>
        </row>
        <row r="405">
          <cell r="A405">
            <v>40003</v>
          </cell>
          <cell r="BF405">
            <v>15.17342831415047</v>
          </cell>
          <cell r="BG405">
            <v>17.429620749261797</v>
          </cell>
          <cell r="BH405">
            <v>16.109902701379674</v>
          </cell>
          <cell r="BI405">
            <v>13.839355674417275</v>
          </cell>
          <cell r="BJ405">
            <v>18.380449728342072</v>
          </cell>
          <cell r="BU405">
            <v>9.5542622889015245</v>
          </cell>
          <cell r="BV405">
            <v>11.522967903511651</v>
          </cell>
          <cell r="BW405">
            <v>10.055977276238897</v>
          </cell>
          <cell r="BX405">
            <v>8.6149332270911767</v>
          </cell>
          <cell r="BY405">
            <v>11.497021325386617</v>
          </cell>
        </row>
        <row r="406">
          <cell r="A406">
            <v>40004</v>
          </cell>
          <cell r="BF406">
            <v>15.090395693942098</v>
          </cell>
          <cell r="BG406">
            <v>17.429620749261797</v>
          </cell>
          <cell r="BH406">
            <v>16.109902701379674</v>
          </cell>
          <cell r="BI406">
            <v>13.839355674417275</v>
          </cell>
          <cell r="BJ406">
            <v>18.380449728342072</v>
          </cell>
          <cell r="BU406">
            <v>9.5074183849597755</v>
          </cell>
          <cell r="BV406">
            <v>11.522967903511651</v>
          </cell>
          <cell r="BW406">
            <v>10.055977276238897</v>
          </cell>
          <cell r="BX406">
            <v>8.6149332270911767</v>
          </cell>
          <cell r="BY406">
            <v>11.497021325386617</v>
          </cell>
        </row>
        <row r="407">
          <cell r="A407">
            <v>40007</v>
          </cell>
          <cell r="BF407">
            <v>15.073789059185835</v>
          </cell>
          <cell r="BG407">
            <v>17.429620749261797</v>
          </cell>
          <cell r="BH407">
            <v>16.109902701379674</v>
          </cell>
          <cell r="BI407">
            <v>13.839355674417275</v>
          </cell>
          <cell r="BJ407">
            <v>18.380449728342072</v>
          </cell>
          <cell r="BU407">
            <v>9.4980495417103885</v>
          </cell>
          <cell r="BV407">
            <v>11.522967903511651</v>
          </cell>
          <cell r="BW407">
            <v>10.055977276238897</v>
          </cell>
          <cell r="BX407">
            <v>8.6149332270911767</v>
          </cell>
          <cell r="BY407">
            <v>11.497021325386617</v>
          </cell>
        </row>
        <row r="408">
          <cell r="A408">
            <v>40008</v>
          </cell>
          <cell r="BF408">
            <v>14.599209575110386</v>
          </cell>
          <cell r="BG408">
            <v>17.429620749261797</v>
          </cell>
          <cell r="BH408">
            <v>16.109902701379674</v>
          </cell>
          <cell r="BI408">
            <v>13.839355674417275</v>
          </cell>
          <cell r="BJ408">
            <v>18.380449728342072</v>
          </cell>
          <cell r="BU408">
            <v>9.2436917737856241</v>
          </cell>
          <cell r="BV408">
            <v>11.522967903511651</v>
          </cell>
          <cell r="BW408">
            <v>10.055977276238897</v>
          </cell>
          <cell r="BX408">
            <v>8.6149332270911767</v>
          </cell>
          <cell r="BY408">
            <v>11.497021325386617</v>
          </cell>
        </row>
        <row r="409">
          <cell r="A409">
            <v>40009</v>
          </cell>
          <cell r="BF409">
            <v>14.577259710971807</v>
          </cell>
          <cell r="BG409">
            <v>17.429620749261797</v>
          </cell>
          <cell r="BH409">
            <v>16.109902701379674</v>
          </cell>
          <cell r="BI409">
            <v>13.839355674417275</v>
          </cell>
          <cell r="BJ409">
            <v>18.380449728342072</v>
          </cell>
          <cell r="BU409">
            <v>9.2312778573288092</v>
          </cell>
          <cell r="BV409">
            <v>11.522967903511651</v>
          </cell>
          <cell r="BW409">
            <v>10.055977276238897</v>
          </cell>
          <cell r="BX409">
            <v>8.6149332270911767</v>
          </cell>
          <cell r="BY409">
            <v>11.497021325386617</v>
          </cell>
        </row>
        <row r="410">
          <cell r="A410">
            <v>40010</v>
          </cell>
          <cell r="BF410">
            <v>14.64484873148843</v>
          </cell>
          <cell r="BG410">
            <v>17.429620749261797</v>
          </cell>
          <cell r="BH410">
            <v>16.109902701379674</v>
          </cell>
          <cell r="BI410">
            <v>13.839355674417275</v>
          </cell>
          <cell r="BJ410">
            <v>18.380449728342072</v>
          </cell>
          <cell r="BU410">
            <v>9.2260209748279358</v>
          </cell>
          <cell r="BV410">
            <v>11.522967903511651</v>
          </cell>
          <cell r="BW410">
            <v>10.055977276238897</v>
          </cell>
          <cell r="BX410">
            <v>8.6149332270911767</v>
          </cell>
          <cell r="BY410">
            <v>11.497021325386617</v>
          </cell>
        </row>
        <row r="411">
          <cell r="A411">
            <v>40011</v>
          </cell>
          <cell r="BF411">
            <v>14.962374783123188</v>
          </cell>
          <cell r="BG411">
            <v>17.429620749261797</v>
          </cell>
          <cell r="BH411">
            <v>16.109902701379674</v>
          </cell>
          <cell r="BI411">
            <v>13.839355674417275</v>
          </cell>
          <cell r="BJ411">
            <v>18.380449728342072</v>
          </cell>
          <cell r="BU411">
            <v>9.4060502340492729</v>
          </cell>
          <cell r="BV411">
            <v>11.522967903511651</v>
          </cell>
          <cell r="BW411">
            <v>10.055977276238897</v>
          </cell>
          <cell r="BX411">
            <v>8.6149332270911767</v>
          </cell>
          <cell r="BY411">
            <v>11.497021325386617</v>
          </cell>
        </row>
        <row r="412">
          <cell r="A412">
            <v>40014</v>
          </cell>
          <cell r="BF412">
            <v>14.962374783123188</v>
          </cell>
          <cell r="BG412">
            <v>17.429620749261797</v>
          </cell>
          <cell r="BH412">
            <v>16.109902701379674</v>
          </cell>
          <cell r="BI412">
            <v>13.839355674417275</v>
          </cell>
          <cell r="BJ412">
            <v>18.380449728342072</v>
          </cell>
          <cell r="BU412">
            <v>9.4060502340492729</v>
          </cell>
          <cell r="BV412">
            <v>11.522967903511651</v>
          </cell>
          <cell r="BW412">
            <v>10.055977276238897</v>
          </cell>
          <cell r="BX412">
            <v>8.6149332270911767</v>
          </cell>
          <cell r="BY412">
            <v>11.497021325386617</v>
          </cell>
        </row>
        <row r="413">
          <cell r="A413">
            <v>40015</v>
          </cell>
          <cell r="BF413">
            <v>14.907632612300375</v>
          </cell>
          <cell r="BG413">
            <v>17.429620749261797</v>
          </cell>
          <cell r="BH413">
            <v>16.109902701379674</v>
          </cell>
          <cell r="BI413">
            <v>13.839355674417275</v>
          </cell>
          <cell r="BJ413">
            <v>18.380449728342072</v>
          </cell>
          <cell r="BU413">
            <v>9.3750128044882644</v>
          </cell>
          <cell r="BV413">
            <v>11.522967903511651</v>
          </cell>
          <cell r="BW413">
            <v>10.055977276238897</v>
          </cell>
          <cell r="BX413">
            <v>8.6149332270911767</v>
          </cell>
          <cell r="BY413">
            <v>11.497021325386617</v>
          </cell>
        </row>
        <row r="414">
          <cell r="A414">
            <v>40016</v>
          </cell>
          <cell r="BF414">
            <v>14.973326392619439</v>
          </cell>
          <cell r="BG414">
            <v>17.429620749261797</v>
          </cell>
          <cell r="BH414">
            <v>16.109902701379674</v>
          </cell>
          <cell r="BI414">
            <v>13.839355674417275</v>
          </cell>
          <cell r="BJ414">
            <v>18.380449728342072</v>
          </cell>
          <cell r="BU414">
            <v>9.4122595202944197</v>
          </cell>
          <cell r="BV414">
            <v>11.522967903511651</v>
          </cell>
          <cell r="BW414">
            <v>10.055977276238897</v>
          </cell>
          <cell r="BX414">
            <v>8.6149332270911767</v>
          </cell>
          <cell r="BY414">
            <v>11.497021325386617</v>
          </cell>
        </row>
        <row r="415">
          <cell r="A415">
            <v>40017</v>
          </cell>
          <cell r="BF415">
            <v>15.082818946329775</v>
          </cell>
          <cell r="BG415">
            <v>17.429620749261797</v>
          </cell>
          <cell r="BH415">
            <v>16.109902701379674</v>
          </cell>
          <cell r="BI415">
            <v>13.839355674417275</v>
          </cell>
          <cell r="BJ415">
            <v>18.380449728342072</v>
          </cell>
          <cell r="BU415">
            <v>9.4743390354499155</v>
          </cell>
          <cell r="BV415">
            <v>11.522967903511651</v>
          </cell>
          <cell r="BW415">
            <v>10.055977276238897</v>
          </cell>
          <cell r="BX415">
            <v>8.6149332270911767</v>
          </cell>
          <cell r="BY415">
            <v>11.497021325386617</v>
          </cell>
        </row>
        <row r="416">
          <cell r="A416">
            <v>40018</v>
          </cell>
          <cell r="BF416">
            <v>15.060501971397512</v>
          </cell>
          <cell r="BG416">
            <v>17.429620749261797</v>
          </cell>
          <cell r="BH416">
            <v>16.109902701379674</v>
          </cell>
          <cell r="BI416">
            <v>13.839355674417275</v>
          </cell>
          <cell r="BJ416">
            <v>18.380449728342072</v>
          </cell>
          <cell r="BU416">
            <v>9.4743390354499155</v>
          </cell>
          <cell r="BV416">
            <v>11.522967903511651</v>
          </cell>
          <cell r="BW416">
            <v>10.055977276238897</v>
          </cell>
          <cell r="BX416">
            <v>8.6149332270911767</v>
          </cell>
          <cell r="BY416">
            <v>11.497021325386617</v>
          </cell>
        </row>
        <row r="417">
          <cell r="A417">
            <v>40021</v>
          </cell>
          <cell r="BF417">
            <v>15.093300533679278</v>
          </cell>
          <cell r="BG417">
            <v>17.429620749261797</v>
          </cell>
          <cell r="BH417">
            <v>16.109902701379674</v>
          </cell>
          <cell r="BI417">
            <v>13.839355674417275</v>
          </cell>
          <cell r="BJ417">
            <v>18.380449728342072</v>
          </cell>
          <cell r="BU417">
            <v>9.4929625485541074</v>
          </cell>
          <cell r="BV417">
            <v>11.522967903511651</v>
          </cell>
          <cell r="BW417">
            <v>10.055977276238897</v>
          </cell>
          <cell r="BX417">
            <v>8.6149332270911767</v>
          </cell>
          <cell r="BY417">
            <v>11.497021325386617</v>
          </cell>
        </row>
        <row r="418">
          <cell r="A418">
            <v>40022</v>
          </cell>
          <cell r="BF418">
            <v>14.896510253310534</v>
          </cell>
          <cell r="BG418">
            <v>17.429620749261797</v>
          </cell>
          <cell r="BH418">
            <v>16.109902701379674</v>
          </cell>
          <cell r="BI418">
            <v>13.839355674417275</v>
          </cell>
          <cell r="BJ418">
            <v>18.380449728342072</v>
          </cell>
          <cell r="BU418">
            <v>9.3812220907334112</v>
          </cell>
          <cell r="BV418">
            <v>11.522967903511651</v>
          </cell>
          <cell r="BW418">
            <v>10.055977276238897</v>
          </cell>
          <cell r="BX418">
            <v>8.6149332270911767</v>
          </cell>
          <cell r="BY418">
            <v>11.497021325386617</v>
          </cell>
        </row>
        <row r="419">
          <cell r="A419">
            <v>40023</v>
          </cell>
          <cell r="BF419">
            <v>15.202639278955797</v>
          </cell>
          <cell r="BG419">
            <v>17.429620749261797</v>
          </cell>
          <cell r="BH419">
            <v>16.109902701379674</v>
          </cell>
          <cell r="BI419">
            <v>13.839355674417275</v>
          </cell>
          <cell r="BJ419">
            <v>18.380449728342072</v>
          </cell>
          <cell r="BU419">
            <v>9.5550467197430802</v>
          </cell>
          <cell r="BV419">
            <v>11.522967903511651</v>
          </cell>
          <cell r="BW419">
            <v>10.055977276238897</v>
          </cell>
          <cell r="BX419">
            <v>8.6149332270911767</v>
          </cell>
          <cell r="BY419">
            <v>11.497021325386617</v>
          </cell>
        </row>
        <row r="420">
          <cell r="A420">
            <v>40024</v>
          </cell>
          <cell r="BF420">
            <v>15.311969824318416</v>
          </cell>
          <cell r="BG420">
            <v>17.429620749261797</v>
          </cell>
          <cell r="BH420">
            <v>16.109902701379674</v>
          </cell>
          <cell r="BI420">
            <v>13.839355674417275</v>
          </cell>
          <cell r="BJ420">
            <v>18.380449728342072</v>
          </cell>
          <cell r="BU420">
            <v>9.6171262348985742</v>
          </cell>
          <cell r="BV420">
            <v>11.522967903511651</v>
          </cell>
          <cell r="BW420">
            <v>10.055977276238897</v>
          </cell>
          <cell r="BX420">
            <v>8.6149332270911767</v>
          </cell>
          <cell r="BY420">
            <v>11.497021325386617</v>
          </cell>
        </row>
        <row r="421">
          <cell r="A421">
            <v>40025</v>
          </cell>
          <cell r="BF421">
            <v>15.180768468599304</v>
          </cell>
          <cell r="BG421">
            <v>17.429620749261797</v>
          </cell>
          <cell r="BH421">
            <v>16.109902701379674</v>
          </cell>
          <cell r="BI421">
            <v>13.839355674417275</v>
          </cell>
          <cell r="BJ421">
            <v>18.380449728342072</v>
          </cell>
          <cell r="BU421">
            <v>9.5426281472527865</v>
          </cell>
          <cell r="BV421">
            <v>11.522967903511651</v>
          </cell>
          <cell r="BW421">
            <v>10.055977276238897</v>
          </cell>
          <cell r="BX421">
            <v>8.6149332270911767</v>
          </cell>
          <cell r="BY421">
            <v>11.497021325386617</v>
          </cell>
        </row>
        <row r="422">
          <cell r="A422">
            <v>40028</v>
          </cell>
          <cell r="BF422">
            <v>15.219038560096681</v>
          </cell>
          <cell r="BG422">
            <v>17.429620749261797</v>
          </cell>
          <cell r="BH422">
            <v>16.109902701379674</v>
          </cell>
          <cell r="BI422">
            <v>13.839355674417275</v>
          </cell>
          <cell r="BJ422">
            <v>18.380449728342072</v>
          </cell>
          <cell r="BU422">
            <v>9.5643584762951779</v>
          </cell>
          <cell r="BV422">
            <v>11.522967903511651</v>
          </cell>
          <cell r="BW422">
            <v>10.055977276238897</v>
          </cell>
          <cell r="BX422">
            <v>8.6149332270911767</v>
          </cell>
          <cell r="BY422">
            <v>11.497021325386617</v>
          </cell>
        </row>
        <row r="423">
          <cell r="A423">
            <v>40029</v>
          </cell>
          <cell r="BF423">
            <v>15.158905311495785</v>
          </cell>
          <cell r="BG423">
            <v>17.429620749261797</v>
          </cell>
          <cell r="BH423">
            <v>16.109902701379674</v>
          </cell>
          <cell r="BI423">
            <v>13.839355674417275</v>
          </cell>
          <cell r="BJ423">
            <v>18.380449728342072</v>
          </cell>
          <cell r="BU423">
            <v>9.5302139203937397</v>
          </cell>
          <cell r="BV423">
            <v>11.522967903511651</v>
          </cell>
          <cell r="BW423">
            <v>10.055977276238897</v>
          </cell>
          <cell r="BX423">
            <v>8.6149332270911767</v>
          </cell>
          <cell r="BY423">
            <v>11.497021325386617</v>
          </cell>
        </row>
        <row r="424">
          <cell r="A424">
            <v>40030</v>
          </cell>
          <cell r="BF424">
            <v>14.989442064193197</v>
          </cell>
          <cell r="BG424">
            <v>17.429620749261797</v>
          </cell>
          <cell r="BH424">
            <v>16.109902701379674</v>
          </cell>
          <cell r="BI424">
            <v>13.839355674417275</v>
          </cell>
          <cell r="BJ424">
            <v>18.380449728342072</v>
          </cell>
          <cell r="BU424">
            <v>9.4339901597390412</v>
          </cell>
          <cell r="BV424">
            <v>11.522967903511651</v>
          </cell>
          <cell r="BW424">
            <v>10.055977276238897</v>
          </cell>
          <cell r="BX424">
            <v>8.6149332270911767</v>
          </cell>
          <cell r="BY424">
            <v>11.497021325386617</v>
          </cell>
        </row>
        <row r="425">
          <cell r="A425">
            <v>40031</v>
          </cell>
          <cell r="BF425">
            <v>14.859698481025132</v>
          </cell>
          <cell r="BG425">
            <v>17.429620749261797</v>
          </cell>
          <cell r="BH425">
            <v>16.109902701379674</v>
          </cell>
          <cell r="BI425">
            <v>13.839355674417275</v>
          </cell>
          <cell r="BJ425">
            <v>18.380449728342072</v>
          </cell>
          <cell r="BU425">
            <v>9.3657010479361666</v>
          </cell>
          <cell r="BV425">
            <v>11.522967903511651</v>
          </cell>
          <cell r="BW425">
            <v>10.055977276238897</v>
          </cell>
          <cell r="BX425">
            <v>8.6149332270911767</v>
          </cell>
          <cell r="BY425">
            <v>11.497021325386617</v>
          </cell>
        </row>
        <row r="426">
          <cell r="A426">
            <v>40032</v>
          </cell>
          <cell r="BF426">
            <v>14.815992934359796</v>
          </cell>
          <cell r="BG426">
            <v>17.429620749261797</v>
          </cell>
          <cell r="BH426">
            <v>16.109902701379674</v>
          </cell>
          <cell r="BI426">
            <v>13.839355674417275</v>
          </cell>
          <cell r="BJ426">
            <v>18.380449728342072</v>
          </cell>
          <cell r="BU426">
            <v>9.3408685589890599</v>
          </cell>
          <cell r="BV426">
            <v>11.522967903511651</v>
          </cell>
          <cell r="BW426">
            <v>10.055977276238897</v>
          </cell>
          <cell r="BX426">
            <v>8.6149332270911767</v>
          </cell>
          <cell r="BY426">
            <v>11.497021325386617</v>
          </cell>
        </row>
        <row r="427">
          <cell r="A427">
            <v>40035</v>
          </cell>
          <cell r="BF427">
            <v>15.078220204914262</v>
          </cell>
          <cell r="BG427">
            <v>17.429620749261797</v>
          </cell>
          <cell r="BH427">
            <v>16.109902701379674</v>
          </cell>
          <cell r="BI427">
            <v>13.839355674417275</v>
          </cell>
          <cell r="BJ427">
            <v>18.380449728342072</v>
          </cell>
          <cell r="BU427">
            <v>9.4898600782471565</v>
          </cell>
          <cell r="BV427">
            <v>11.522967903511651</v>
          </cell>
          <cell r="BW427">
            <v>10.055977276238897</v>
          </cell>
          <cell r="BX427">
            <v>8.6149332270911767</v>
          </cell>
          <cell r="BY427">
            <v>11.497021325386617</v>
          </cell>
        </row>
        <row r="428">
          <cell r="A428">
            <v>40036</v>
          </cell>
          <cell r="BF428">
            <v>14.985348171789504</v>
          </cell>
          <cell r="BG428">
            <v>17.429620749261797</v>
          </cell>
          <cell r="BH428">
            <v>16.109902701379674</v>
          </cell>
          <cell r="BI428">
            <v>13.839355674417275</v>
          </cell>
          <cell r="BJ428">
            <v>18.380449728342072</v>
          </cell>
          <cell r="BU428">
            <v>9.4370923196437602</v>
          </cell>
          <cell r="BV428">
            <v>11.522967903511651</v>
          </cell>
          <cell r="BW428">
            <v>10.055977276238897</v>
          </cell>
          <cell r="BX428">
            <v>8.6149332270911767</v>
          </cell>
          <cell r="BY428">
            <v>11.497021325386617</v>
          </cell>
        </row>
        <row r="429">
          <cell r="A429">
            <v>40037</v>
          </cell>
          <cell r="BF429">
            <v>14.887015745183165</v>
          </cell>
          <cell r="BG429">
            <v>17.429620749261797</v>
          </cell>
          <cell r="BH429">
            <v>16.109902701379674</v>
          </cell>
          <cell r="BI429">
            <v>13.839355674417275</v>
          </cell>
          <cell r="BJ429">
            <v>18.380449728342072</v>
          </cell>
          <cell r="BU429">
            <v>9.3812220907334112</v>
          </cell>
          <cell r="BV429">
            <v>11.522967903511651</v>
          </cell>
          <cell r="BW429">
            <v>10.055977276238897</v>
          </cell>
          <cell r="BX429">
            <v>8.6149332270911767</v>
          </cell>
          <cell r="BY429">
            <v>11.497021325386617</v>
          </cell>
        </row>
        <row r="430">
          <cell r="A430">
            <v>40038</v>
          </cell>
          <cell r="BF430">
            <v>14.470924306128241</v>
          </cell>
          <cell r="BG430">
            <v>17.429620749261797</v>
          </cell>
          <cell r="BH430">
            <v>16.109902701379674</v>
          </cell>
          <cell r="BI430">
            <v>13.839355674417275</v>
          </cell>
          <cell r="BJ430">
            <v>18.380449728342072</v>
          </cell>
          <cell r="BU430">
            <v>9.1647165615794215</v>
          </cell>
          <cell r="BV430">
            <v>11.522967903511651</v>
          </cell>
          <cell r="BW430">
            <v>10.055977276238897</v>
          </cell>
          <cell r="BX430">
            <v>8.6149332270911767</v>
          </cell>
          <cell r="BY430">
            <v>11.497021325386617</v>
          </cell>
        </row>
        <row r="431">
          <cell r="A431">
            <v>40039</v>
          </cell>
          <cell r="BF431">
            <v>14.384399410563883</v>
          </cell>
          <cell r="BG431">
            <v>17.429620749261797</v>
          </cell>
          <cell r="BH431">
            <v>16.109902701379674</v>
          </cell>
          <cell r="BI431">
            <v>13.839355674417275</v>
          </cell>
          <cell r="BJ431">
            <v>18.380449728342072</v>
          </cell>
          <cell r="BU431">
            <v>9.1153975620405774</v>
          </cell>
          <cell r="BV431">
            <v>11.522967903511651</v>
          </cell>
          <cell r="BW431">
            <v>10.055977276238897</v>
          </cell>
          <cell r="BX431">
            <v>8.6149332270911767</v>
          </cell>
          <cell r="BY431">
            <v>11.497021325386617</v>
          </cell>
        </row>
        <row r="432">
          <cell r="A432">
            <v>40042</v>
          </cell>
          <cell r="BF432">
            <v>14.400621882139815</v>
          </cell>
          <cell r="BG432">
            <v>17.429620749261797</v>
          </cell>
          <cell r="BH432">
            <v>16.109902701379674</v>
          </cell>
          <cell r="BI432">
            <v>13.839355674417275</v>
          </cell>
          <cell r="BJ432">
            <v>18.380449728342072</v>
          </cell>
          <cell r="BU432">
            <v>9.1246443350410384</v>
          </cell>
          <cell r="BV432">
            <v>11.522967903511651</v>
          </cell>
          <cell r="BW432">
            <v>10.055977276238897</v>
          </cell>
          <cell r="BX432">
            <v>8.6149332270911767</v>
          </cell>
          <cell r="BY432">
            <v>11.497021325386617</v>
          </cell>
        </row>
        <row r="433">
          <cell r="A433">
            <v>40043</v>
          </cell>
          <cell r="BF433">
            <v>14.443884329921993</v>
          </cell>
          <cell r="BG433">
            <v>17.429620749261797</v>
          </cell>
          <cell r="BH433">
            <v>16.109902701379674</v>
          </cell>
          <cell r="BI433">
            <v>13.839355674417275</v>
          </cell>
          <cell r="BJ433">
            <v>18.380449728342072</v>
          </cell>
          <cell r="BU433">
            <v>9.1493038348104587</v>
          </cell>
          <cell r="BV433">
            <v>11.522967903511651</v>
          </cell>
          <cell r="BW433">
            <v>10.055977276238897</v>
          </cell>
          <cell r="BX433">
            <v>8.6149332270911767</v>
          </cell>
          <cell r="BY433">
            <v>11.497021325386617</v>
          </cell>
        </row>
        <row r="434">
          <cell r="A434">
            <v>40044</v>
          </cell>
          <cell r="BF434">
            <v>14.427661858346063</v>
          </cell>
          <cell r="BG434">
            <v>17.429620749261797</v>
          </cell>
          <cell r="BH434">
            <v>16.109902701379674</v>
          </cell>
          <cell r="BI434">
            <v>13.839355674417275</v>
          </cell>
          <cell r="BJ434">
            <v>18.380449728342072</v>
          </cell>
          <cell r="BU434">
            <v>9.1400570618099994</v>
          </cell>
          <cell r="BV434">
            <v>11.522967903511651</v>
          </cell>
          <cell r="BW434">
            <v>10.055977276238897</v>
          </cell>
          <cell r="BX434">
            <v>8.6149332270911767</v>
          </cell>
          <cell r="BY434">
            <v>11.497021325386617</v>
          </cell>
        </row>
        <row r="435">
          <cell r="A435">
            <v>40045</v>
          </cell>
          <cell r="BF435">
            <v>14.487146777704172</v>
          </cell>
          <cell r="BG435">
            <v>17.429620749261797</v>
          </cell>
          <cell r="BH435">
            <v>16.109902701379674</v>
          </cell>
          <cell r="BI435">
            <v>13.839355674417275</v>
          </cell>
          <cell r="BJ435">
            <v>18.380449728342072</v>
          </cell>
          <cell r="BU435">
            <v>9.1739633345798826</v>
          </cell>
          <cell r="BV435">
            <v>11.522967903511651</v>
          </cell>
          <cell r="BW435">
            <v>10.055977276238897</v>
          </cell>
          <cell r="BX435">
            <v>8.6149332270911767</v>
          </cell>
          <cell r="BY435">
            <v>11.497021325386617</v>
          </cell>
        </row>
        <row r="436">
          <cell r="A436">
            <v>40046</v>
          </cell>
          <cell r="BF436">
            <v>14.562853627871133</v>
          </cell>
          <cell r="BG436">
            <v>17.429620749261797</v>
          </cell>
          <cell r="BH436">
            <v>16.109902701379674</v>
          </cell>
          <cell r="BI436">
            <v>13.839355674417275</v>
          </cell>
          <cell r="BJ436">
            <v>18.380449728342072</v>
          </cell>
          <cell r="BU436">
            <v>9.2171160721141856</v>
          </cell>
          <cell r="BV436">
            <v>11.522967903511651</v>
          </cell>
          <cell r="BW436">
            <v>10.055977276238897</v>
          </cell>
          <cell r="BX436">
            <v>8.6149332270911767</v>
          </cell>
          <cell r="BY436">
            <v>11.497021325386617</v>
          </cell>
        </row>
        <row r="437">
          <cell r="A437">
            <v>40049</v>
          </cell>
          <cell r="BF437">
            <v>14.400621882139815</v>
          </cell>
          <cell r="BG437">
            <v>17.429620749261797</v>
          </cell>
          <cell r="BH437">
            <v>16.109902701379674</v>
          </cell>
          <cell r="BI437">
            <v>13.839355674417275</v>
          </cell>
          <cell r="BJ437">
            <v>18.380449728342072</v>
          </cell>
          <cell r="BU437">
            <v>9.1246443350410384</v>
          </cell>
          <cell r="BV437">
            <v>11.522967903511651</v>
          </cell>
          <cell r="BW437">
            <v>10.055977276238897</v>
          </cell>
          <cell r="BX437">
            <v>8.6149332270911767</v>
          </cell>
          <cell r="BY437">
            <v>11.497021325386617</v>
          </cell>
        </row>
        <row r="438">
          <cell r="A438">
            <v>40050</v>
          </cell>
          <cell r="BF438">
            <v>14.222167664832563</v>
          </cell>
          <cell r="BG438">
            <v>17.429620749261797</v>
          </cell>
          <cell r="BH438">
            <v>16.109902701379674</v>
          </cell>
          <cell r="BI438">
            <v>13.839355674417275</v>
          </cell>
          <cell r="BJ438">
            <v>18.380449728342072</v>
          </cell>
          <cell r="BU438">
            <v>9.0229258249674285</v>
          </cell>
          <cell r="BV438">
            <v>11.522967903511651</v>
          </cell>
          <cell r="BW438">
            <v>10.055977276238897</v>
          </cell>
          <cell r="BX438">
            <v>8.6149332270911767</v>
          </cell>
          <cell r="BY438">
            <v>11.497021325386617</v>
          </cell>
        </row>
        <row r="439">
          <cell r="A439">
            <v>40051</v>
          </cell>
          <cell r="BF439">
            <v>14.411439386770132</v>
          </cell>
          <cell r="BG439">
            <v>17.429620749261797</v>
          </cell>
          <cell r="BH439">
            <v>16.109902701379674</v>
          </cell>
          <cell r="BI439">
            <v>13.839355674417275</v>
          </cell>
          <cell r="BJ439">
            <v>18.380449728342072</v>
          </cell>
          <cell r="BU439">
            <v>9.1308102888095366</v>
          </cell>
          <cell r="BV439">
            <v>11.522967903511651</v>
          </cell>
          <cell r="BW439">
            <v>10.055977276238897</v>
          </cell>
          <cell r="BX439">
            <v>8.6149332270911767</v>
          </cell>
          <cell r="BY439">
            <v>11.497021325386617</v>
          </cell>
        </row>
        <row r="440">
          <cell r="A440">
            <v>40052</v>
          </cell>
          <cell r="BF440">
            <v>14.541226730116669</v>
          </cell>
          <cell r="BG440">
            <v>17.429620749261797</v>
          </cell>
          <cell r="BH440">
            <v>16.109902701379674</v>
          </cell>
          <cell r="BI440">
            <v>13.839355674417275</v>
          </cell>
          <cell r="BJ440">
            <v>18.380449728342072</v>
          </cell>
          <cell r="BU440">
            <v>9.2047887881178045</v>
          </cell>
          <cell r="BV440">
            <v>11.522967903511651</v>
          </cell>
          <cell r="BW440">
            <v>10.055977276238897</v>
          </cell>
          <cell r="BX440">
            <v>8.6149332270911767</v>
          </cell>
          <cell r="BY440">
            <v>11.497021325386617</v>
          </cell>
        </row>
        <row r="441">
          <cell r="A441">
            <v>40053</v>
          </cell>
          <cell r="BF441">
            <v>14.438479362976381</v>
          </cell>
          <cell r="BG441">
            <v>17.429620749261797</v>
          </cell>
          <cell r="BH441">
            <v>16.109902701379674</v>
          </cell>
          <cell r="BI441">
            <v>13.839355674417275</v>
          </cell>
          <cell r="BJ441">
            <v>18.380449728342072</v>
          </cell>
          <cell r="BU441">
            <v>9.1462230155784976</v>
          </cell>
          <cell r="BV441">
            <v>11.522967903511651</v>
          </cell>
          <cell r="BW441">
            <v>10.055977276238897</v>
          </cell>
          <cell r="BX441">
            <v>8.6149332270911767</v>
          </cell>
          <cell r="BY441">
            <v>11.497021325386617</v>
          </cell>
        </row>
        <row r="442">
          <cell r="A442">
            <v>40056</v>
          </cell>
          <cell r="BF442">
            <v>14.681822925820274</v>
          </cell>
          <cell r="BG442">
            <v>17.429620749261797</v>
          </cell>
          <cell r="BH442">
            <v>16.109902701379674</v>
          </cell>
          <cell r="BI442">
            <v>13.839355674417275</v>
          </cell>
          <cell r="BJ442">
            <v>18.380449728342072</v>
          </cell>
          <cell r="BU442">
            <v>9.2849283094179107</v>
          </cell>
          <cell r="BV442">
            <v>11.522967903511651</v>
          </cell>
          <cell r="BW442">
            <v>10.055977276238897</v>
          </cell>
          <cell r="BX442">
            <v>8.6149332270911767</v>
          </cell>
          <cell r="BY442">
            <v>11.497021325386617</v>
          </cell>
        </row>
        <row r="443">
          <cell r="A443">
            <v>40057</v>
          </cell>
          <cell r="BF443">
            <v>14.503369249280103</v>
          </cell>
          <cell r="BG443">
            <v>17.429620749261797</v>
          </cell>
          <cell r="BH443">
            <v>16.109902701379674</v>
          </cell>
          <cell r="BI443">
            <v>13.839355674417275</v>
          </cell>
          <cell r="BJ443">
            <v>18.380449728342072</v>
          </cell>
          <cell r="BU443">
            <v>9.1832101075803436</v>
          </cell>
          <cell r="BV443">
            <v>11.522967903511651</v>
          </cell>
          <cell r="BW443">
            <v>10.055977276238897</v>
          </cell>
          <cell r="BX443">
            <v>8.6149332270911767</v>
          </cell>
          <cell r="BY443">
            <v>11.497021325386617</v>
          </cell>
        </row>
        <row r="444">
          <cell r="A444">
            <v>40058</v>
          </cell>
          <cell r="BF444">
            <v>14.530409225486352</v>
          </cell>
          <cell r="BG444">
            <v>17.429620749261797</v>
          </cell>
          <cell r="BH444">
            <v>16.109902701379674</v>
          </cell>
          <cell r="BI444">
            <v>13.839355674417275</v>
          </cell>
          <cell r="BJ444">
            <v>18.380449728342072</v>
          </cell>
          <cell r="BU444">
            <v>9.1983562684050639</v>
          </cell>
          <cell r="BV444">
            <v>11.522967903511651</v>
          </cell>
          <cell r="BW444">
            <v>10.055977276238897</v>
          </cell>
          <cell r="BX444">
            <v>8.6149332270911767</v>
          </cell>
          <cell r="BY444">
            <v>11.497021325386617</v>
          </cell>
        </row>
        <row r="445">
          <cell r="A445">
            <v>40059</v>
          </cell>
          <cell r="BF445">
            <v>14.714267868972136</v>
          </cell>
          <cell r="BG445">
            <v>17.429620749261797</v>
          </cell>
          <cell r="BH445">
            <v>16.109902701379674</v>
          </cell>
          <cell r="BI445">
            <v>13.839355674417275</v>
          </cell>
          <cell r="BJ445">
            <v>18.380449728342072</v>
          </cell>
          <cell r="BU445">
            <v>9.3031522525145487</v>
          </cell>
          <cell r="BV445">
            <v>11.522967903511651</v>
          </cell>
          <cell r="BW445">
            <v>10.055977276238897</v>
          </cell>
          <cell r="BX445">
            <v>8.6149332270911767</v>
          </cell>
          <cell r="BY445">
            <v>11.497021325386617</v>
          </cell>
        </row>
        <row r="446">
          <cell r="A446">
            <v>40060</v>
          </cell>
          <cell r="BF446">
            <v>14.514186753910421</v>
          </cell>
          <cell r="BG446">
            <v>17.429620749261797</v>
          </cell>
          <cell r="BH446">
            <v>16.109902701379674</v>
          </cell>
          <cell r="BI446">
            <v>13.839355674417275</v>
          </cell>
          <cell r="BJ446">
            <v>18.380449728342072</v>
          </cell>
          <cell r="BU446">
            <v>9.1891097633658863</v>
          </cell>
          <cell r="BV446">
            <v>11.522967903511651</v>
          </cell>
          <cell r="BW446">
            <v>10.055977276238897</v>
          </cell>
          <cell r="BX446">
            <v>8.6149332270911767</v>
          </cell>
          <cell r="BY446">
            <v>11.497021325386617</v>
          </cell>
        </row>
        <row r="447">
          <cell r="A447">
            <v>40063</v>
          </cell>
          <cell r="BF447">
            <v>14.411439386770132</v>
          </cell>
          <cell r="BG447">
            <v>17.429620749261797</v>
          </cell>
          <cell r="BH447">
            <v>16.109902701379674</v>
          </cell>
          <cell r="BI447">
            <v>13.839355674417275</v>
          </cell>
          <cell r="BJ447">
            <v>18.380449728342072</v>
          </cell>
          <cell r="BU447">
            <v>9.1305456879980742</v>
          </cell>
          <cell r="BV447">
            <v>11.522967903511651</v>
          </cell>
          <cell r="BW447">
            <v>10.055977276238897</v>
          </cell>
          <cell r="BX447">
            <v>8.6149332270911767</v>
          </cell>
          <cell r="BY447">
            <v>11.497021325386617</v>
          </cell>
        </row>
        <row r="448">
          <cell r="A448">
            <v>40064</v>
          </cell>
          <cell r="BF448">
            <v>14.411439386770132</v>
          </cell>
          <cell r="BG448">
            <v>17.429620749261797</v>
          </cell>
          <cell r="BH448">
            <v>16.109902701379674</v>
          </cell>
          <cell r="BI448">
            <v>13.839355674417275</v>
          </cell>
          <cell r="BJ448">
            <v>18.380449728342072</v>
          </cell>
          <cell r="BU448">
            <v>9.1305456879980742</v>
          </cell>
          <cell r="BV448">
            <v>11.522967903511651</v>
          </cell>
          <cell r="BW448">
            <v>10.055977276238897</v>
          </cell>
          <cell r="BX448">
            <v>8.6149332270911767</v>
          </cell>
          <cell r="BY448">
            <v>11.497021325386617</v>
          </cell>
        </row>
        <row r="449">
          <cell r="A449">
            <v>40065</v>
          </cell>
          <cell r="BF449">
            <v>14.114015871513741</v>
          </cell>
          <cell r="BG449">
            <v>17.429620749261797</v>
          </cell>
          <cell r="BH449">
            <v>16.109902701379674</v>
          </cell>
          <cell r="BI449">
            <v>13.839355674417275</v>
          </cell>
          <cell r="BJ449">
            <v>18.380449728342072</v>
          </cell>
          <cell r="BU449">
            <v>8.9610198534348182</v>
          </cell>
          <cell r="BV449">
            <v>11.522967903511651</v>
          </cell>
          <cell r="BW449">
            <v>10.055977276238897</v>
          </cell>
          <cell r="BX449">
            <v>8.6149332270911767</v>
          </cell>
          <cell r="BY449">
            <v>11.497021325386617</v>
          </cell>
        </row>
        <row r="450">
          <cell r="A450">
            <v>40066</v>
          </cell>
          <cell r="BF450">
            <v>14.205945734023711</v>
          </cell>
          <cell r="BG450">
            <v>17.429620749261797</v>
          </cell>
          <cell r="BH450">
            <v>16.109902701379674</v>
          </cell>
          <cell r="BI450">
            <v>13.839355674417275</v>
          </cell>
          <cell r="BJ450">
            <v>18.380449728342072</v>
          </cell>
          <cell r="BU450">
            <v>9.0134181537166693</v>
          </cell>
          <cell r="BV450">
            <v>11.522967903511651</v>
          </cell>
          <cell r="BW450">
            <v>10.055977276238897</v>
          </cell>
          <cell r="BX450">
            <v>8.6149332270911767</v>
          </cell>
          <cell r="BY450">
            <v>11.497021325386617</v>
          </cell>
        </row>
        <row r="451">
          <cell r="A451">
            <v>40067</v>
          </cell>
          <cell r="BF451">
            <v>13.805782963133204</v>
          </cell>
          <cell r="BG451">
            <v>17.429620749261797</v>
          </cell>
          <cell r="BH451">
            <v>16.109902701379674</v>
          </cell>
          <cell r="BI451">
            <v>13.839355674417275</v>
          </cell>
          <cell r="BJ451">
            <v>18.380449728342072</v>
          </cell>
          <cell r="BU451">
            <v>8.7853328671922348</v>
          </cell>
          <cell r="BV451">
            <v>11.522967903511651</v>
          </cell>
          <cell r="BW451">
            <v>10.055977276238897</v>
          </cell>
          <cell r="BX451">
            <v>8.6149332270911767</v>
          </cell>
          <cell r="BY451">
            <v>11.497021325386617</v>
          </cell>
        </row>
        <row r="452">
          <cell r="A452">
            <v>40070</v>
          </cell>
          <cell r="BF452">
            <v>13.791955671244628</v>
          </cell>
          <cell r="BG452">
            <v>17.429620749261797</v>
          </cell>
          <cell r="BH452">
            <v>16.109902701379674</v>
          </cell>
          <cell r="BI452">
            <v>13.839355674417275</v>
          </cell>
          <cell r="BJ452">
            <v>18.380449728342072</v>
          </cell>
          <cell r="BU452">
            <v>8.7825975217817795</v>
          </cell>
          <cell r="BV452">
            <v>11.522967903511651</v>
          </cell>
          <cell r="BW452">
            <v>10.055977276238897</v>
          </cell>
          <cell r="BX452">
            <v>8.6149332270911767</v>
          </cell>
          <cell r="BY452">
            <v>11.497021325386617</v>
          </cell>
        </row>
        <row r="453">
          <cell r="A453">
            <v>40071</v>
          </cell>
          <cell r="BF453">
            <v>13.85630976506341</v>
          </cell>
          <cell r="BG453">
            <v>17.429620749261797</v>
          </cell>
          <cell r="BH453">
            <v>16.109902701379674</v>
          </cell>
          <cell r="BI453">
            <v>13.839355674417275</v>
          </cell>
          <cell r="BJ453">
            <v>18.380449728342072</v>
          </cell>
          <cell r="BU453">
            <v>8.8193317937614903</v>
          </cell>
          <cell r="BV453">
            <v>11.522967903511651</v>
          </cell>
          <cell r="BW453">
            <v>10.055977276238897</v>
          </cell>
          <cell r="BX453">
            <v>8.6149332270911767</v>
          </cell>
          <cell r="BY453">
            <v>11.497021325386617</v>
          </cell>
        </row>
        <row r="454">
          <cell r="A454">
            <v>40072</v>
          </cell>
          <cell r="BF454">
            <v>13.663264643125794</v>
          </cell>
          <cell r="BG454">
            <v>17.429620749261797</v>
          </cell>
          <cell r="BH454">
            <v>16.109902701379674</v>
          </cell>
          <cell r="BI454">
            <v>13.839355674417275</v>
          </cell>
          <cell r="BJ454">
            <v>18.380449728342072</v>
          </cell>
          <cell r="BU454">
            <v>8.7091387727303538</v>
          </cell>
          <cell r="BV454">
            <v>11.522967903511651</v>
          </cell>
          <cell r="BW454">
            <v>10.055977276238897</v>
          </cell>
          <cell r="BX454">
            <v>8.6149332270911767</v>
          </cell>
          <cell r="BY454">
            <v>11.497021325386617</v>
          </cell>
        </row>
        <row r="455">
          <cell r="A455">
            <v>40073</v>
          </cell>
          <cell r="BF455">
            <v>13.979641660989152</v>
          </cell>
          <cell r="BG455">
            <v>17.429620749261797</v>
          </cell>
          <cell r="BH455">
            <v>16.109902701379674</v>
          </cell>
          <cell r="BI455">
            <v>13.839355674417275</v>
          </cell>
          <cell r="BJ455">
            <v>18.380449728342072</v>
          </cell>
          <cell r="BU455">
            <v>8.889731470609826</v>
          </cell>
          <cell r="BV455">
            <v>11.522967903511651</v>
          </cell>
          <cell r="BW455">
            <v>10.055977276238897</v>
          </cell>
          <cell r="BX455">
            <v>8.6149332270911767</v>
          </cell>
          <cell r="BY455">
            <v>11.497021325386617</v>
          </cell>
        </row>
        <row r="456">
          <cell r="A456">
            <v>40074</v>
          </cell>
          <cell r="BF456">
            <v>13.872396277637003</v>
          </cell>
          <cell r="BG456">
            <v>17.429620749261797</v>
          </cell>
          <cell r="BH456">
            <v>16.109902701379674</v>
          </cell>
          <cell r="BI456">
            <v>13.839355674417275</v>
          </cell>
          <cell r="BJ456">
            <v>18.380449728342072</v>
          </cell>
          <cell r="BU456">
            <v>8.8285142139156374</v>
          </cell>
          <cell r="BV456">
            <v>11.522967903511651</v>
          </cell>
          <cell r="BW456">
            <v>10.055977276238897</v>
          </cell>
          <cell r="BX456">
            <v>8.6149332270911767</v>
          </cell>
          <cell r="BY456">
            <v>11.497021325386617</v>
          </cell>
        </row>
        <row r="457">
          <cell r="A457">
            <v>40077</v>
          </cell>
          <cell r="BF457">
            <v>14.006455017708291</v>
          </cell>
          <cell r="BG457">
            <v>17.429620749261797</v>
          </cell>
          <cell r="BH457">
            <v>16.109902701379674</v>
          </cell>
          <cell r="BI457">
            <v>13.839355674417275</v>
          </cell>
          <cell r="BJ457">
            <v>18.380449728342072</v>
          </cell>
          <cell r="BU457">
            <v>8.9050369326241512</v>
          </cell>
          <cell r="BV457">
            <v>11.522967903511651</v>
          </cell>
          <cell r="BW457">
            <v>10.055977276238897</v>
          </cell>
          <cell r="BX457">
            <v>8.6149332270911767</v>
          </cell>
          <cell r="BY457">
            <v>11.497021325386617</v>
          </cell>
        </row>
        <row r="458">
          <cell r="A458">
            <v>40078</v>
          </cell>
          <cell r="BF458">
            <v>14.102973020679935</v>
          </cell>
          <cell r="BG458">
            <v>17.429620749261797</v>
          </cell>
          <cell r="BH458">
            <v>16.109902701379674</v>
          </cell>
          <cell r="BI458">
            <v>13.839355674417275</v>
          </cell>
          <cell r="BJ458">
            <v>18.380449728342072</v>
          </cell>
          <cell r="BU458">
            <v>8.9601308413672847</v>
          </cell>
          <cell r="BV458">
            <v>11.522967903511651</v>
          </cell>
          <cell r="BW458">
            <v>10.055977276238897</v>
          </cell>
          <cell r="BX458">
            <v>8.6149332270911767</v>
          </cell>
          <cell r="BY458">
            <v>11.497021325386617</v>
          </cell>
        </row>
        <row r="459">
          <cell r="A459">
            <v>40079</v>
          </cell>
          <cell r="BF459">
            <v>14.076167707485201</v>
          </cell>
          <cell r="BG459">
            <v>17.429620749261797</v>
          </cell>
          <cell r="BH459">
            <v>16.109902701379674</v>
          </cell>
          <cell r="BI459">
            <v>13.839355674417275</v>
          </cell>
          <cell r="BJ459">
            <v>18.380449728342072</v>
          </cell>
          <cell r="BU459">
            <v>8.9448299707160785</v>
          </cell>
          <cell r="BV459">
            <v>11.522967903511651</v>
          </cell>
          <cell r="BW459">
            <v>10.055977276238897</v>
          </cell>
          <cell r="BX459">
            <v>8.6149332270911767</v>
          </cell>
          <cell r="BY459">
            <v>11.497021325386617</v>
          </cell>
        </row>
        <row r="460">
          <cell r="A460">
            <v>40080</v>
          </cell>
          <cell r="BF460">
            <v>13.877755409830092</v>
          </cell>
          <cell r="BG460">
            <v>17.429620749261797</v>
          </cell>
          <cell r="BH460">
            <v>16.109902701379674</v>
          </cell>
          <cell r="BI460">
            <v>13.839355674417275</v>
          </cell>
          <cell r="BJ460">
            <v>18.380449728342072</v>
          </cell>
          <cell r="BU460">
            <v>8.8315732861187275</v>
          </cell>
          <cell r="BV460">
            <v>11.522967903511651</v>
          </cell>
          <cell r="BW460">
            <v>10.055977276238897</v>
          </cell>
          <cell r="BX460">
            <v>8.6149332270911767</v>
          </cell>
          <cell r="BY460">
            <v>11.497021325386617</v>
          </cell>
        </row>
        <row r="461">
          <cell r="A461">
            <v>40081</v>
          </cell>
          <cell r="BF461">
            <v>13.926014411315915</v>
          </cell>
          <cell r="BG461">
            <v>17.429620749261797</v>
          </cell>
          <cell r="BH461">
            <v>16.109902701379674</v>
          </cell>
          <cell r="BI461">
            <v>13.839355674417275</v>
          </cell>
          <cell r="BJ461">
            <v>18.380449728342072</v>
          </cell>
          <cell r="BU461">
            <v>8.8591202404902951</v>
          </cell>
          <cell r="BV461">
            <v>11.522967903511651</v>
          </cell>
          <cell r="BW461">
            <v>10.055977276238897</v>
          </cell>
          <cell r="BX461">
            <v>8.6149332270911767</v>
          </cell>
          <cell r="BY461">
            <v>11.497021325386617</v>
          </cell>
        </row>
        <row r="462">
          <cell r="A462">
            <v>40084</v>
          </cell>
          <cell r="BF462">
            <v>14.001087305755837</v>
          </cell>
          <cell r="BG462">
            <v>17.429620749261797</v>
          </cell>
          <cell r="BH462">
            <v>16.109902701379674</v>
          </cell>
          <cell r="BI462">
            <v>13.839355674417275</v>
          </cell>
          <cell r="BJ462">
            <v>18.380449728342072</v>
          </cell>
          <cell r="BU462">
            <v>8.9019729629670632</v>
          </cell>
          <cell r="BV462">
            <v>11.522967903511651</v>
          </cell>
          <cell r="BW462">
            <v>10.055977276238897</v>
          </cell>
          <cell r="BX462">
            <v>8.6149332270911767</v>
          </cell>
          <cell r="BY462">
            <v>11.497021325386617</v>
          </cell>
        </row>
        <row r="463">
          <cell r="A463">
            <v>40085</v>
          </cell>
          <cell r="BF463">
            <v>13.829496408344271</v>
          </cell>
          <cell r="BG463">
            <v>17.429620749261797</v>
          </cell>
          <cell r="BH463">
            <v>16.109902701379674</v>
          </cell>
          <cell r="BI463">
            <v>13.839355674417275</v>
          </cell>
          <cell r="BJ463">
            <v>18.380449728342072</v>
          </cell>
          <cell r="BU463">
            <v>8.8040263317471634</v>
          </cell>
          <cell r="BV463">
            <v>11.522967903511651</v>
          </cell>
          <cell r="BW463">
            <v>10.055977276238897</v>
          </cell>
          <cell r="BX463">
            <v>8.6149332270911767</v>
          </cell>
          <cell r="BY463">
            <v>11.497021325386617</v>
          </cell>
        </row>
        <row r="464">
          <cell r="A464">
            <v>40086</v>
          </cell>
          <cell r="BF464">
            <v>14.11370040106044</v>
          </cell>
          <cell r="BG464">
            <v>17.429620749261797</v>
          </cell>
          <cell r="BH464">
            <v>16.109902701379674</v>
          </cell>
          <cell r="BI464">
            <v>13.839355674417275</v>
          </cell>
          <cell r="BJ464">
            <v>18.380449728342072</v>
          </cell>
          <cell r="BU464">
            <v>8.9662541893183398</v>
          </cell>
          <cell r="BV464">
            <v>11.522967903511651</v>
          </cell>
          <cell r="BW464">
            <v>10.055977276238897</v>
          </cell>
          <cell r="BX464">
            <v>8.6149332270911767</v>
          </cell>
          <cell r="BY464">
            <v>11.497021325386617</v>
          </cell>
        </row>
        <row r="465">
          <cell r="A465">
            <v>40087</v>
          </cell>
          <cell r="BF465">
            <v>14.02860423106395</v>
          </cell>
          <cell r="BG465">
            <v>17.429620749261797</v>
          </cell>
          <cell r="BH465">
            <v>16.109902701379674</v>
          </cell>
          <cell r="BI465">
            <v>13.839355674417275</v>
          </cell>
          <cell r="BJ465">
            <v>18.380449728342072</v>
          </cell>
          <cell r="BU465">
            <v>8.89375736901526</v>
          </cell>
          <cell r="BV465">
            <v>11.522967903511651</v>
          </cell>
          <cell r="BW465">
            <v>10.055977276238897</v>
          </cell>
          <cell r="BX465">
            <v>8.6149332270911767</v>
          </cell>
          <cell r="BY465">
            <v>11.497021325386617</v>
          </cell>
        </row>
        <row r="466">
          <cell r="A466">
            <v>40088</v>
          </cell>
          <cell r="BF466">
            <v>13.901269447071607</v>
          </cell>
          <cell r="BG466">
            <v>17.429620749261797</v>
          </cell>
          <cell r="BH466">
            <v>16.109902701379674</v>
          </cell>
          <cell r="BI466">
            <v>13.839355674417275</v>
          </cell>
          <cell r="BJ466">
            <v>18.380449728342072</v>
          </cell>
          <cell r="BU466">
            <v>8.7373524086505938</v>
          </cell>
          <cell r="BV466">
            <v>11.522967903511651</v>
          </cell>
          <cell r="BW466">
            <v>10.055977276238897</v>
          </cell>
          <cell r="BX466">
            <v>8.6149332270911767</v>
          </cell>
          <cell r="BY466">
            <v>11.497021325386617</v>
          </cell>
        </row>
        <row r="467">
          <cell r="A467">
            <v>40091</v>
          </cell>
          <cell r="BF467">
            <v>14.08933694015435</v>
          </cell>
          <cell r="BG467">
            <v>17.429620749261797</v>
          </cell>
          <cell r="BH467">
            <v>16.109902701379674</v>
          </cell>
          <cell r="BI467">
            <v>13.839355674417275</v>
          </cell>
          <cell r="BJ467">
            <v>18.380449728342072</v>
          </cell>
          <cell r="BU467">
            <v>8.8436392940289874</v>
          </cell>
          <cell r="BV467">
            <v>11.522967903511651</v>
          </cell>
          <cell r="BW467">
            <v>10.055977276238897</v>
          </cell>
          <cell r="BX467">
            <v>8.6149332270911767</v>
          </cell>
          <cell r="BY467">
            <v>11.497021325386617</v>
          </cell>
        </row>
        <row r="468">
          <cell r="A468">
            <v>40092</v>
          </cell>
          <cell r="BF468">
            <v>14.003367220781449</v>
          </cell>
          <cell r="BG468">
            <v>17.429620749261797</v>
          </cell>
          <cell r="BH468">
            <v>16.109902701379674</v>
          </cell>
          <cell r="BI468">
            <v>13.839355674417275</v>
          </cell>
          <cell r="BJ468">
            <v>18.380449728342072</v>
          </cell>
          <cell r="BU468">
            <v>8.7950532595196638</v>
          </cell>
          <cell r="BV468">
            <v>11.522967903511651</v>
          </cell>
          <cell r="BW468">
            <v>10.055977276238897</v>
          </cell>
          <cell r="BX468">
            <v>8.6149332270911767</v>
          </cell>
          <cell r="BY468">
            <v>11.497021325386617</v>
          </cell>
        </row>
        <row r="469">
          <cell r="A469">
            <v>40093</v>
          </cell>
          <cell r="BF469">
            <v>14.062476373347508</v>
          </cell>
          <cell r="BG469">
            <v>17.429620749261797</v>
          </cell>
          <cell r="BH469">
            <v>16.109902701379674</v>
          </cell>
          <cell r="BI469">
            <v>13.839355674417275</v>
          </cell>
          <cell r="BJ469">
            <v>18.380449728342072</v>
          </cell>
          <cell r="BU469">
            <v>8.8284589673356262</v>
          </cell>
          <cell r="BV469">
            <v>11.522967903511651</v>
          </cell>
          <cell r="BW469">
            <v>10.055977276238897</v>
          </cell>
          <cell r="BX469">
            <v>8.6149332270911767</v>
          </cell>
          <cell r="BY469">
            <v>11.497021325386617</v>
          </cell>
        </row>
        <row r="470">
          <cell r="A470">
            <v>40094</v>
          </cell>
          <cell r="BF470">
            <v>14.062476373347508</v>
          </cell>
          <cell r="BG470">
            <v>17.429620749261797</v>
          </cell>
          <cell r="BH470">
            <v>16.109902701379674</v>
          </cell>
          <cell r="BI470">
            <v>13.839355674417275</v>
          </cell>
          <cell r="BJ470">
            <v>18.380449728342072</v>
          </cell>
          <cell r="BU470">
            <v>8.8284589673356262</v>
          </cell>
          <cell r="BV470">
            <v>11.522967903511651</v>
          </cell>
          <cell r="BW470">
            <v>10.055977276238897</v>
          </cell>
          <cell r="BX470">
            <v>8.6149332270911767</v>
          </cell>
          <cell r="BY470">
            <v>11.497021325386617</v>
          </cell>
        </row>
        <row r="471">
          <cell r="A471">
            <v>40095</v>
          </cell>
          <cell r="BF471">
            <v>13.895890563087042</v>
          </cell>
          <cell r="BG471">
            <v>17.429620749261797</v>
          </cell>
          <cell r="BH471">
            <v>16.109902701379674</v>
          </cell>
          <cell r="BI471">
            <v>13.839355674417275</v>
          </cell>
          <cell r="BJ471">
            <v>18.380449728342072</v>
          </cell>
          <cell r="BU471">
            <v>8.73431251687472</v>
          </cell>
          <cell r="BV471">
            <v>11.522967903511651</v>
          </cell>
          <cell r="BW471">
            <v>10.055977276238897</v>
          </cell>
          <cell r="BX471">
            <v>8.6149332270911767</v>
          </cell>
          <cell r="BY471">
            <v>11.497021325386617</v>
          </cell>
        </row>
        <row r="472">
          <cell r="A472">
            <v>40098</v>
          </cell>
          <cell r="BF472">
            <v>13.815291130081947</v>
          </cell>
          <cell r="BG472">
            <v>17.429620749261797</v>
          </cell>
          <cell r="BH472">
            <v>16.109902701379674</v>
          </cell>
          <cell r="BI472">
            <v>13.839355674417275</v>
          </cell>
          <cell r="BJ472">
            <v>18.380449728342072</v>
          </cell>
          <cell r="BU472">
            <v>8.688761515173395</v>
          </cell>
          <cell r="BV472">
            <v>11.522967903511651</v>
          </cell>
          <cell r="BW472">
            <v>10.055977276238897</v>
          </cell>
          <cell r="BX472">
            <v>8.6149332270911767</v>
          </cell>
          <cell r="BY472">
            <v>11.497021325386617</v>
          </cell>
        </row>
        <row r="473">
          <cell r="A473">
            <v>40099</v>
          </cell>
          <cell r="BF473">
            <v>13.864184095364532</v>
          </cell>
          <cell r="BG473">
            <v>17.429620749261797</v>
          </cell>
          <cell r="BH473">
            <v>16.109902701379674</v>
          </cell>
          <cell r="BI473">
            <v>13.839355674417275</v>
          </cell>
          <cell r="BJ473">
            <v>18.380449728342072</v>
          </cell>
          <cell r="BU473">
            <v>8.7282009192369419</v>
          </cell>
          <cell r="BV473">
            <v>11.522967903511651</v>
          </cell>
          <cell r="BW473">
            <v>10.055977276238897</v>
          </cell>
          <cell r="BX473">
            <v>8.6149332270911767</v>
          </cell>
          <cell r="BY473">
            <v>11.497021325386617</v>
          </cell>
        </row>
        <row r="474">
          <cell r="A474">
            <v>40100</v>
          </cell>
          <cell r="BF474">
            <v>14.034750371791878</v>
          </cell>
          <cell r="BG474">
            <v>17.429620749261797</v>
          </cell>
          <cell r="BH474">
            <v>16.109902701379674</v>
          </cell>
          <cell r="BI474">
            <v>13.839355674417275</v>
          </cell>
          <cell r="BJ474">
            <v>18.380449728342072</v>
          </cell>
          <cell r="BU474">
            <v>8.8248180341878033</v>
          </cell>
          <cell r="BV474">
            <v>11.522967903511651</v>
          </cell>
          <cell r="BW474">
            <v>10.055977276238897</v>
          </cell>
          <cell r="BX474">
            <v>8.6149332270911767</v>
          </cell>
          <cell r="BY474">
            <v>11.497021325386617</v>
          </cell>
        </row>
        <row r="475">
          <cell r="A475">
            <v>40101</v>
          </cell>
          <cell r="BF475">
            <v>13.848193640207704</v>
          </cell>
          <cell r="BG475">
            <v>17.429620749261797</v>
          </cell>
          <cell r="BH475">
            <v>16.109902701379674</v>
          </cell>
          <cell r="BI475">
            <v>13.839355674417275</v>
          </cell>
          <cell r="BJ475">
            <v>18.380449728342072</v>
          </cell>
          <cell r="BU475">
            <v>8.7191431401943067</v>
          </cell>
          <cell r="BV475">
            <v>11.522967903511651</v>
          </cell>
          <cell r="BW475">
            <v>10.055977276238897</v>
          </cell>
          <cell r="BX475">
            <v>8.6149332270911767</v>
          </cell>
          <cell r="BY475">
            <v>11.497021325386617</v>
          </cell>
        </row>
        <row r="476">
          <cell r="A476">
            <v>40102</v>
          </cell>
          <cell r="BF476">
            <v>14.050740826948708</v>
          </cell>
          <cell r="BG476">
            <v>17.429620749261797</v>
          </cell>
          <cell r="BH476">
            <v>16.109902701379674</v>
          </cell>
          <cell r="BI476">
            <v>13.839355674417275</v>
          </cell>
          <cell r="BJ476">
            <v>18.380449728342072</v>
          </cell>
          <cell r="BU476">
            <v>8.8338758132304385</v>
          </cell>
          <cell r="BV476">
            <v>11.522967903511651</v>
          </cell>
          <cell r="BW476">
            <v>10.055977276238897</v>
          </cell>
          <cell r="BX476">
            <v>8.6149332270911767</v>
          </cell>
          <cell r="BY476">
            <v>11.497021325386617</v>
          </cell>
        </row>
        <row r="477">
          <cell r="A477">
            <v>40105</v>
          </cell>
          <cell r="BF477">
            <v>14.034750371791878</v>
          </cell>
          <cell r="BG477">
            <v>17.429620749261797</v>
          </cell>
          <cell r="BH477">
            <v>16.109902701379674</v>
          </cell>
          <cell r="BI477">
            <v>13.839355674417275</v>
          </cell>
          <cell r="BJ477">
            <v>18.380449728342072</v>
          </cell>
          <cell r="BU477">
            <v>8.8248180341878033</v>
          </cell>
          <cell r="BV477">
            <v>11.522967903511651</v>
          </cell>
          <cell r="BW477">
            <v>10.055977276238897</v>
          </cell>
          <cell r="BX477">
            <v>8.6149332270911767</v>
          </cell>
          <cell r="BY477">
            <v>11.497021325386617</v>
          </cell>
        </row>
        <row r="478">
          <cell r="A478">
            <v>40106</v>
          </cell>
          <cell r="BF478">
            <v>13.992114666047378</v>
          </cell>
          <cell r="BG478">
            <v>17.429620749261797</v>
          </cell>
          <cell r="BH478">
            <v>16.109902701379674</v>
          </cell>
          <cell r="BI478">
            <v>13.839355674417275</v>
          </cell>
          <cell r="BJ478">
            <v>18.380449728342072</v>
          </cell>
          <cell r="BU478">
            <v>8.8006670767464481</v>
          </cell>
          <cell r="BV478">
            <v>11.522967903511651</v>
          </cell>
          <cell r="BW478">
            <v>10.055977276238897</v>
          </cell>
          <cell r="BX478">
            <v>8.6149332270911767</v>
          </cell>
          <cell r="BY478">
            <v>11.497021325386617</v>
          </cell>
        </row>
        <row r="479">
          <cell r="A479">
            <v>40107</v>
          </cell>
          <cell r="BF479">
            <v>13.98145187512244</v>
          </cell>
          <cell r="BG479">
            <v>17.429620749261797</v>
          </cell>
          <cell r="BH479">
            <v>16.109902701379674</v>
          </cell>
          <cell r="BI479">
            <v>13.839355674417275</v>
          </cell>
          <cell r="BJ479">
            <v>18.380449728342072</v>
          </cell>
          <cell r="BU479">
            <v>8.794627148349873</v>
          </cell>
          <cell r="BV479">
            <v>11.522967903511651</v>
          </cell>
          <cell r="BW479">
            <v>10.055977276238897</v>
          </cell>
          <cell r="BX479">
            <v>8.6149332270911767</v>
          </cell>
          <cell r="BY479">
            <v>11.497021325386617</v>
          </cell>
        </row>
        <row r="480">
          <cell r="A480">
            <v>40108</v>
          </cell>
          <cell r="BF480">
            <v>14.306602501347339</v>
          </cell>
          <cell r="BG480">
            <v>17.429620749261797</v>
          </cell>
          <cell r="BH480">
            <v>16.109902701379674</v>
          </cell>
          <cell r="BI480">
            <v>13.839355674417275</v>
          </cell>
          <cell r="BJ480">
            <v>18.380449728342072</v>
          </cell>
          <cell r="BU480">
            <v>8.9788084301854809</v>
          </cell>
          <cell r="BV480">
            <v>11.522967903511651</v>
          </cell>
          <cell r="BW480">
            <v>10.055977276238897</v>
          </cell>
          <cell r="BX480">
            <v>8.6149332270911767</v>
          </cell>
          <cell r="BY480">
            <v>11.497021325386617</v>
          </cell>
        </row>
        <row r="481">
          <cell r="A481">
            <v>40109</v>
          </cell>
          <cell r="BF481">
            <v>14.434525076536088</v>
          </cell>
          <cell r="BG481">
            <v>17.429620749261797</v>
          </cell>
          <cell r="BH481">
            <v>16.109902701379674</v>
          </cell>
          <cell r="BI481">
            <v>13.839355674417275</v>
          </cell>
          <cell r="BJ481">
            <v>18.380449728342072</v>
          </cell>
          <cell r="BU481">
            <v>9.051270058654497</v>
          </cell>
          <cell r="BV481">
            <v>11.522967903511651</v>
          </cell>
          <cell r="BW481">
            <v>10.055977276238897</v>
          </cell>
          <cell r="BX481">
            <v>8.6149332270911767</v>
          </cell>
          <cell r="BY481">
            <v>11.497021325386617</v>
          </cell>
        </row>
        <row r="482">
          <cell r="A482">
            <v>40112</v>
          </cell>
          <cell r="BF482">
            <v>14.610427012689421</v>
          </cell>
          <cell r="BG482">
            <v>17.429620749261797</v>
          </cell>
          <cell r="BH482">
            <v>16.109902701379674</v>
          </cell>
          <cell r="BI482">
            <v>13.839355674417275</v>
          </cell>
          <cell r="BJ482">
            <v>18.380449728342072</v>
          </cell>
          <cell r="BU482">
            <v>9.1509095532919087</v>
          </cell>
          <cell r="BV482">
            <v>11.522967903511651</v>
          </cell>
          <cell r="BW482">
            <v>10.055977276238897</v>
          </cell>
          <cell r="BX482">
            <v>8.6149332270911767</v>
          </cell>
          <cell r="BY482">
            <v>11.497021325386617</v>
          </cell>
        </row>
        <row r="483">
          <cell r="A483">
            <v>40113</v>
          </cell>
          <cell r="BF483">
            <v>14.759675702760987</v>
          </cell>
          <cell r="BG483">
            <v>17.429620749261797</v>
          </cell>
          <cell r="BH483">
            <v>16.109902701379674</v>
          </cell>
          <cell r="BI483">
            <v>13.839355674417275</v>
          </cell>
          <cell r="BJ483">
            <v>18.380449728342072</v>
          </cell>
          <cell r="BU483">
            <v>9.2354513404901084</v>
          </cell>
          <cell r="BV483">
            <v>11.522967903511651</v>
          </cell>
          <cell r="BW483">
            <v>10.055977276238897</v>
          </cell>
          <cell r="BX483">
            <v>8.6149332270911767</v>
          </cell>
          <cell r="BY483">
            <v>11.497021325386617</v>
          </cell>
        </row>
        <row r="484">
          <cell r="A484">
            <v>40114</v>
          </cell>
          <cell r="BF484">
            <v>14.658405840621063</v>
          </cell>
          <cell r="BG484">
            <v>17.429620749261797</v>
          </cell>
          <cell r="BH484">
            <v>16.109902701379674</v>
          </cell>
          <cell r="BI484">
            <v>13.839355674417275</v>
          </cell>
          <cell r="BJ484">
            <v>18.380449728342072</v>
          </cell>
          <cell r="BU484">
            <v>9.1780871175242709</v>
          </cell>
          <cell r="BV484">
            <v>11.522967903511651</v>
          </cell>
          <cell r="BW484">
            <v>10.055977276238897</v>
          </cell>
          <cell r="BX484">
            <v>8.6149332270911767</v>
          </cell>
          <cell r="BY484">
            <v>11.497021325386617</v>
          </cell>
        </row>
        <row r="485">
          <cell r="A485">
            <v>40115</v>
          </cell>
          <cell r="BF485">
            <v>14.49849435962456</v>
          </cell>
          <cell r="BG485">
            <v>17.429620749261797</v>
          </cell>
          <cell r="BH485">
            <v>16.109902701379674</v>
          </cell>
          <cell r="BI485">
            <v>13.839355674417275</v>
          </cell>
          <cell r="BJ485">
            <v>18.380449728342072</v>
          </cell>
          <cell r="BU485">
            <v>9.0875054019294961</v>
          </cell>
          <cell r="BV485">
            <v>11.522967903511651</v>
          </cell>
          <cell r="BW485">
            <v>10.055977276238897</v>
          </cell>
          <cell r="BX485">
            <v>8.6149332270911767</v>
          </cell>
          <cell r="BY485">
            <v>11.497021325386617</v>
          </cell>
        </row>
        <row r="486">
          <cell r="A486">
            <v>40116</v>
          </cell>
          <cell r="BF486">
            <v>14.381226579866652</v>
          </cell>
          <cell r="BG486">
            <v>17.429620749261797</v>
          </cell>
          <cell r="BH486">
            <v>16.109902701379674</v>
          </cell>
          <cell r="BI486">
            <v>13.839355674417275</v>
          </cell>
          <cell r="BJ486">
            <v>18.380449728342072</v>
          </cell>
          <cell r="BU486">
            <v>9.0210791728165667</v>
          </cell>
          <cell r="BV486">
            <v>11.522967903511651</v>
          </cell>
          <cell r="BW486">
            <v>10.055977276238897</v>
          </cell>
          <cell r="BX486">
            <v>8.6149332270911767</v>
          </cell>
          <cell r="BY486">
            <v>11.497021325386617</v>
          </cell>
        </row>
        <row r="487">
          <cell r="A487">
            <v>40119</v>
          </cell>
          <cell r="BF487">
            <v>14.583773766607655</v>
          </cell>
          <cell r="BG487">
            <v>17.429620749261797</v>
          </cell>
          <cell r="BH487">
            <v>16.109902701379674</v>
          </cell>
          <cell r="BI487">
            <v>13.839355674417275</v>
          </cell>
          <cell r="BJ487">
            <v>18.380449728342072</v>
          </cell>
          <cell r="BU487">
            <v>9.1358118458526985</v>
          </cell>
          <cell r="BV487">
            <v>11.522967903511651</v>
          </cell>
          <cell r="BW487">
            <v>10.055977276238897</v>
          </cell>
          <cell r="BX487">
            <v>8.6149332270911767</v>
          </cell>
          <cell r="BY487">
            <v>11.497021325386617</v>
          </cell>
        </row>
        <row r="488">
          <cell r="A488">
            <v>40120</v>
          </cell>
          <cell r="BF488">
            <v>14.770338493685925</v>
          </cell>
          <cell r="BG488">
            <v>17.429620749261797</v>
          </cell>
          <cell r="BH488">
            <v>16.109902701379674</v>
          </cell>
          <cell r="BI488">
            <v>13.839355674417275</v>
          </cell>
          <cell r="BJ488">
            <v>18.380449728342072</v>
          </cell>
          <cell r="BU488">
            <v>9.2414912688866835</v>
          </cell>
          <cell r="BV488">
            <v>11.522967903511651</v>
          </cell>
          <cell r="BW488">
            <v>10.055977276238897</v>
          </cell>
          <cell r="BX488">
            <v>8.6149332270911767</v>
          </cell>
          <cell r="BY488">
            <v>11.497021325386617</v>
          </cell>
        </row>
        <row r="489">
          <cell r="A489">
            <v>40121</v>
          </cell>
          <cell r="BF489">
            <v>14.866288687088053</v>
          </cell>
          <cell r="BG489">
            <v>17.429620749261797</v>
          </cell>
          <cell r="BH489">
            <v>16.109902701379674</v>
          </cell>
          <cell r="BI489">
            <v>13.839355674417275</v>
          </cell>
          <cell r="BJ489">
            <v>18.380449728342072</v>
          </cell>
          <cell r="BU489">
            <v>9.2958421702469529</v>
          </cell>
          <cell r="BV489">
            <v>11.522967903511651</v>
          </cell>
          <cell r="BW489">
            <v>10.055977276238897</v>
          </cell>
          <cell r="BX489">
            <v>8.6149332270911767</v>
          </cell>
          <cell r="BY489">
            <v>11.497021325386617</v>
          </cell>
        </row>
        <row r="490">
          <cell r="A490">
            <v>40122</v>
          </cell>
          <cell r="BF490">
            <v>14.796991739767691</v>
          </cell>
          <cell r="BG490">
            <v>17.429620749261797</v>
          </cell>
          <cell r="BH490">
            <v>16.109902701379674</v>
          </cell>
          <cell r="BI490">
            <v>13.839355674417275</v>
          </cell>
          <cell r="BJ490">
            <v>18.380449728342072</v>
          </cell>
          <cell r="BU490">
            <v>9.2565889763258955</v>
          </cell>
          <cell r="BV490">
            <v>11.522967903511651</v>
          </cell>
          <cell r="BW490">
            <v>10.055977276238897</v>
          </cell>
          <cell r="BX490">
            <v>8.6149332270911767</v>
          </cell>
          <cell r="BY490">
            <v>11.497021325386617</v>
          </cell>
        </row>
        <row r="491">
          <cell r="A491">
            <v>40123</v>
          </cell>
          <cell r="BF491">
            <v>14.796991739767691</v>
          </cell>
          <cell r="BG491">
            <v>17.429620749261797</v>
          </cell>
          <cell r="BH491">
            <v>16.109902701379674</v>
          </cell>
          <cell r="BI491">
            <v>13.839355674417275</v>
          </cell>
          <cell r="BJ491">
            <v>18.380449728342072</v>
          </cell>
          <cell r="BU491">
            <v>9.2565889763258955</v>
          </cell>
          <cell r="BV491">
            <v>11.522967903511651</v>
          </cell>
          <cell r="BW491">
            <v>10.055977276238897</v>
          </cell>
          <cell r="BX491">
            <v>8.6149332270911767</v>
          </cell>
          <cell r="BY491">
            <v>11.497021325386617</v>
          </cell>
        </row>
        <row r="492">
          <cell r="A492">
            <v>40126</v>
          </cell>
          <cell r="BF492">
            <v>14.759675702760987</v>
          </cell>
          <cell r="BG492">
            <v>17.429620749261797</v>
          </cell>
          <cell r="BH492">
            <v>16.109902701379674</v>
          </cell>
          <cell r="BI492">
            <v>13.839355674417275</v>
          </cell>
          <cell r="BJ492">
            <v>18.380449728342072</v>
          </cell>
          <cell r="BU492">
            <v>9.2354513404901084</v>
          </cell>
          <cell r="BV492">
            <v>11.522967903511651</v>
          </cell>
          <cell r="BW492">
            <v>10.055977276238897</v>
          </cell>
          <cell r="BX492">
            <v>8.6149332270911767</v>
          </cell>
          <cell r="BY492">
            <v>11.497021325386617</v>
          </cell>
        </row>
        <row r="493">
          <cell r="A493">
            <v>40127</v>
          </cell>
          <cell r="BF493">
            <v>14.983548471351865</v>
          </cell>
          <cell r="BG493">
            <v>17.429620749261797</v>
          </cell>
          <cell r="BH493">
            <v>16.109902701379674</v>
          </cell>
          <cell r="BI493">
            <v>13.839355674417275</v>
          </cell>
          <cell r="BJ493">
            <v>18.380449728342072</v>
          </cell>
          <cell r="BU493">
            <v>9.3631256688604587</v>
          </cell>
          <cell r="BV493">
            <v>11.522967903511651</v>
          </cell>
          <cell r="BW493">
            <v>10.055977276238897</v>
          </cell>
          <cell r="BX493">
            <v>8.6149332270911767</v>
          </cell>
          <cell r="BY493">
            <v>11.497021325386617</v>
          </cell>
        </row>
        <row r="494">
          <cell r="A494">
            <v>40128</v>
          </cell>
          <cell r="BF494">
            <v>14.951567561038209</v>
          </cell>
          <cell r="BG494">
            <v>17.429620749261797</v>
          </cell>
          <cell r="BH494">
            <v>16.109902701379674</v>
          </cell>
          <cell r="BI494">
            <v>13.839355674417275</v>
          </cell>
          <cell r="BJ494">
            <v>18.380449728342072</v>
          </cell>
          <cell r="BU494">
            <v>9.3450084432339029</v>
          </cell>
          <cell r="BV494">
            <v>11.522967903511651</v>
          </cell>
          <cell r="BW494">
            <v>10.055977276238897</v>
          </cell>
          <cell r="BX494">
            <v>8.6149332270911767</v>
          </cell>
          <cell r="BY494">
            <v>11.497021325386617</v>
          </cell>
        </row>
        <row r="495">
          <cell r="A495">
            <v>40129</v>
          </cell>
          <cell r="BF495">
            <v>14.914259519525599</v>
          </cell>
          <cell r="BG495">
            <v>17.429620749261797</v>
          </cell>
          <cell r="BH495">
            <v>16.109902701379674</v>
          </cell>
          <cell r="BI495">
            <v>13.839355674417275</v>
          </cell>
          <cell r="BJ495">
            <v>18.380449728342072</v>
          </cell>
          <cell r="BU495">
            <v>9.3238733911312686</v>
          </cell>
          <cell r="BV495">
            <v>11.522967903511651</v>
          </cell>
          <cell r="BW495">
            <v>10.055977276238897</v>
          </cell>
          <cell r="BX495">
            <v>8.6149332270911767</v>
          </cell>
          <cell r="BY495">
            <v>11.497021325386617</v>
          </cell>
        </row>
        <row r="496">
          <cell r="A496">
            <v>40130</v>
          </cell>
          <cell r="BF496">
            <v>14.795365211057396</v>
          </cell>
          <cell r="BG496">
            <v>17.429620749261797</v>
          </cell>
          <cell r="BH496">
            <v>16.109902701379674</v>
          </cell>
          <cell r="BI496">
            <v>13.839355674417275</v>
          </cell>
          <cell r="BJ496">
            <v>18.380449728342072</v>
          </cell>
          <cell r="BU496">
            <v>9.2591947810209252</v>
          </cell>
          <cell r="BV496">
            <v>11.522967903511651</v>
          </cell>
          <cell r="BW496">
            <v>10.055977276238897</v>
          </cell>
          <cell r="BX496">
            <v>8.6149332270911767</v>
          </cell>
          <cell r="BY496">
            <v>11.497021325386617</v>
          </cell>
        </row>
        <row r="497">
          <cell r="A497">
            <v>40133</v>
          </cell>
          <cell r="BF497">
            <v>15.226929627637857</v>
          </cell>
          <cell r="BG497">
            <v>17.429620749261797</v>
          </cell>
          <cell r="BH497">
            <v>16.109902701379674</v>
          </cell>
          <cell r="BI497">
            <v>13.839355674417275</v>
          </cell>
          <cell r="BJ497">
            <v>18.380449728342072</v>
          </cell>
          <cell r="BU497">
            <v>9.495729097005345</v>
          </cell>
          <cell r="BV497">
            <v>11.522967903511651</v>
          </cell>
          <cell r="BW497">
            <v>10.055977276238897</v>
          </cell>
          <cell r="BX497">
            <v>8.6149332270911767</v>
          </cell>
          <cell r="BY497">
            <v>11.497021325386617</v>
          </cell>
        </row>
        <row r="498">
          <cell r="A498">
            <v>40134</v>
          </cell>
          <cell r="BF498">
            <v>15.174073521075767</v>
          </cell>
          <cell r="BG498">
            <v>17.429620749261797</v>
          </cell>
          <cell r="BH498">
            <v>16.109902701379674</v>
          </cell>
          <cell r="BI498">
            <v>13.839355674417275</v>
          </cell>
          <cell r="BJ498">
            <v>18.380449728342072</v>
          </cell>
          <cell r="BU498">
            <v>9.4657793603015588</v>
          </cell>
          <cell r="BV498">
            <v>11.522967903511651</v>
          </cell>
          <cell r="BW498">
            <v>10.055977276238897</v>
          </cell>
          <cell r="BX498">
            <v>8.6149332270911767</v>
          </cell>
          <cell r="BY498">
            <v>11.497021325386617</v>
          </cell>
        </row>
        <row r="499">
          <cell r="A499">
            <v>40135</v>
          </cell>
          <cell r="BF499">
            <v>15.163500819881159</v>
          </cell>
          <cell r="BG499">
            <v>17.429620749261797</v>
          </cell>
          <cell r="BH499">
            <v>16.109902701379674</v>
          </cell>
          <cell r="BI499">
            <v>13.839355674417275</v>
          </cell>
          <cell r="BJ499">
            <v>18.380449728342072</v>
          </cell>
          <cell r="BU499">
            <v>9.4597885744184875</v>
          </cell>
          <cell r="BV499">
            <v>11.522967903511651</v>
          </cell>
          <cell r="BW499">
            <v>10.055977276238897</v>
          </cell>
          <cell r="BX499">
            <v>8.6149332270911767</v>
          </cell>
          <cell r="BY499">
            <v>11.497021325386617</v>
          </cell>
        </row>
        <row r="500">
          <cell r="A500">
            <v>40136</v>
          </cell>
          <cell r="BF500">
            <v>15.491194304567683</v>
          </cell>
          <cell r="BG500">
            <v>17.429620749261797</v>
          </cell>
          <cell r="BH500">
            <v>16.109902701379674</v>
          </cell>
          <cell r="BI500">
            <v>13.839355674417275</v>
          </cell>
          <cell r="BJ500">
            <v>18.380449728342072</v>
          </cell>
          <cell r="BU500">
            <v>9.6454687961423229</v>
          </cell>
          <cell r="BV500">
            <v>11.522967903511651</v>
          </cell>
          <cell r="BW500">
            <v>10.055977276238897</v>
          </cell>
          <cell r="BX500">
            <v>8.6149332270911767</v>
          </cell>
          <cell r="BY500">
            <v>11.497021325386617</v>
          </cell>
        </row>
        <row r="501">
          <cell r="A501">
            <v>40137</v>
          </cell>
          <cell r="BF501">
            <v>15.803024509227461</v>
          </cell>
          <cell r="BG501">
            <v>17.429620749261797</v>
          </cell>
          <cell r="BH501">
            <v>16.109902701379674</v>
          </cell>
          <cell r="BI501">
            <v>13.839355674417275</v>
          </cell>
          <cell r="BJ501">
            <v>18.380449728342072</v>
          </cell>
          <cell r="BU501">
            <v>9.8221604432063607</v>
          </cell>
          <cell r="BV501">
            <v>11.522967903511651</v>
          </cell>
          <cell r="BW501">
            <v>10.055977276238897</v>
          </cell>
          <cell r="BX501">
            <v>8.6149332270911767</v>
          </cell>
          <cell r="BY501">
            <v>11.497021325386617</v>
          </cell>
        </row>
        <row r="502">
          <cell r="A502">
            <v>40140</v>
          </cell>
          <cell r="BF502">
            <v>16.252277631184288</v>
          </cell>
          <cell r="BG502">
            <v>17.429620749261797</v>
          </cell>
          <cell r="BH502">
            <v>16.109902701379674</v>
          </cell>
          <cell r="BI502">
            <v>13.839355674417275</v>
          </cell>
          <cell r="BJ502">
            <v>18.380449728342072</v>
          </cell>
          <cell r="BU502">
            <v>10.076719728615611</v>
          </cell>
          <cell r="BV502">
            <v>11.522967903511651</v>
          </cell>
          <cell r="BW502">
            <v>10.055977276238897</v>
          </cell>
          <cell r="BX502">
            <v>8.6149332270911767</v>
          </cell>
          <cell r="BY502">
            <v>11.497021325386617</v>
          </cell>
        </row>
        <row r="503">
          <cell r="A503">
            <v>40141</v>
          </cell>
          <cell r="BF503">
            <v>15.924584146497766</v>
          </cell>
          <cell r="BG503">
            <v>17.429620749261797</v>
          </cell>
          <cell r="BH503">
            <v>16.109902701379674</v>
          </cell>
          <cell r="BI503">
            <v>13.839355674417275</v>
          </cell>
          <cell r="BJ503">
            <v>18.380449728342072</v>
          </cell>
          <cell r="BU503">
            <v>9.8910395068917776</v>
          </cell>
          <cell r="BV503">
            <v>11.522967903511651</v>
          </cell>
          <cell r="BW503">
            <v>10.055977276238897</v>
          </cell>
          <cell r="BX503">
            <v>8.6149332270911767</v>
          </cell>
          <cell r="BY503">
            <v>11.497021325386617</v>
          </cell>
        </row>
        <row r="504">
          <cell r="A504">
            <v>40142</v>
          </cell>
          <cell r="BF504">
            <v>16.149371418458731</v>
          </cell>
          <cell r="BG504">
            <v>17.429620749261797</v>
          </cell>
          <cell r="BH504">
            <v>16.109902701379674</v>
          </cell>
          <cell r="BI504">
            <v>13.839355674417275</v>
          </cell>
          <cell r="BJ504">
            <v>18.380449728342072</v>
          </cell>
          <cell r="BU504">
            <v>10.022811340570511</v>
          </cell>
          <cell r="BV504">
            <v>11.522967903511651</v>
          </cell>
          <cell r="BW504">
            <v>10.055977276238897</v>
          </cell>
          <cell r="BX504">
            <v>8.6149332270911767</v>
          </cell>
          <cell r="BY504">
            <v>11.497021325386617</v>
          </cell>
        </row>
        <row r="505">
          <cell r="A505">
            <v>40143</v>
          </cell>
          <cell r="BF505">
            <v>16.154651001543883</v>
          </cell>
          <cell r="BG505">
            <v>17.429620749261797</v>
          </cell>
          <cell r="BH505">
            <v>16.109902701379674</v>
          </cell>
          <cell r="BI505">
            <v>13.839355674417275</v>
          </cell>
          <cell r="BJ505">
            <v>18.380449728342072</v>
          </cell>
          <cell r="BU505">
            <v>10.02580433767686</v>
          </cell>
          <cell r="BV505">
            <v>11.522967903511651</v>
          </cell>
          <cell r="BW505">
            <v>10.055977276238897</v>
          </cell>
          <cell r="BX505">
            <v>8.6149332270911767</v>
          </cell>
          <cell r="BY505">
            <v>11.497021325386617</v>
          </cell>
        </row>
        <row r="506">
          <cell r="A506">
            <v>40144</v>
          </cell>
          <cell r="BF506">
            <v>15.842679160617658</v>
          </cell>
          <cell r="BG506">
            <v>17.429620749261797</v>
          </cell>
          <cell r="BH506">
            <v>16.109902701379674</v>
          </cell>
          <cell r="BI506">
            <v>13.839355674417275</v>
          </cell>
          <cell r="BJ506">
            <v>18.380449728342072</v>
          </cell>
          <cell r="BU506">
            <v>9.8551034764958949</v>
          </cell>
          <cell r="BV506">
            <v>11.522967903511651</v>
          </cell>
          <cell r="BW506">
            <v>10.055977276238897</v>
          </cell>
          <cell r="BX506">
            <v>8.6149332270911767</v>
          </cell>
          <cell r="BY506">
            <v>11.497021325386617</v>
          </cell>
        </row>
        <row r="507">
          <cell r="A507">
            <v>40147</v>
          </cell>
          <cell r="BF507">
            <v>15.842679160617658</v>
          </cell>
          <cell r="BG507">
            <v>17.429620749261797</v>
          </cell>
          <cell r="BH507">
            <v>16.109902701379674</v>
          </cell>
          <cell r="BI507">
            <v>13.839355674417275</v>
          </cell>
          <cell r="BJ507">
            <v>18.380449728342072</v>
          </cell>
          <cell r="BU507">
            <v>9.8551034764958949</v>
          </cell>
          <cell r="BV507">
            <v>11.522967903511651</v>
          </cell>
          <cell r="BW507">
            <v>10.055977276238897</v>
          </cell>
          <cell r="BX507">
            <v>8.6149332270911767</v>
          </cell>
          <cell r="BY507">
            <v>11.497021325386617</v>
          </cell>
        </row>
        <row r="508">
          <cell r="A508">
            <v>40148</v>
          </cell>
          <cell r="BF508">
            <v>16.048564867361751</v>
          </cell>
          <cell r="BG508">
            <v>17.429620749261797</v>
          </cell>
          <cell r="BH508">
            <v>16.109902701379674</v>
          </cell>
          <cell r="BI508">
            <v>13.839355674417275</v>
          </cell>
          <cell r="BJ508">
            <v>18.380449728342072</v>
          </cell>
          <cell r="BU508">
            <v>9.9719001423433369</v>
          </cell>
          <cell r="BV508">
            <v>11.522967903511651</v>
          </cell>
          <cell r="BW508">
            <v>10.055977276238897</v>
          </cell>
          <cell r="BX508">
            <v>8.6149332270911767</v>
          </cell>
          <cell r="BY508">
            <v>11.497021325386617</v>
          </cell>
        </row>
        <row r="509">
          <cell r="A509">
            <v>40149</v>
          </cell>
          <cell r="BF509">
            <v>15.847955655272536</v>
          </cell>
          <cell r="BG509">
            <v>17.429620749261797</v>
          </cell>
          <cell r="BH509">
            <v>16.109902701379674</v>
          </cell>
          <cell r="BI509">
            <v>13.839355674417275</v>
          </cell>
          <cell r="BJ509">
            <v>18.380449728342072</v>
          </cell>
          <cell r="BU509">
            <v>9.8580967730816411</v>
          </cell>
          <cell r="BV509">
            <v>11.522967903511651</v>
          </cell>
          <cell r="BW509">
            <v>10.055977276238897</v>
          </cell>
          <cell r="BX509">
            <v>8.6149332270911767</v>
          </cell>
          <cell r="BY509">
            <v>11.497021325386617</v>
          </cell>
        </row>
        <row r="510">
          <cell r="A510">
            <v>40150</v>
          </cell>
          <cell r="BF510">
            <v>15.620956579121025</v>
          </cell>
          <cell r="BG510">
            <v>17.429620749261797</v>
          </cell>
          <cell r="BH510">
            <v>16.109902701379674</v>
          </cell>
          <cell r="BI510">
            <v>13.839355674417275</v>
          </cell>
          <cell r="BJ510">
            <v>18.380449728342072</v>
          </cell>
          <cell r="BU510">
            <v>9.7293227281796302</v>
          </cell>
          <cell r="BV510">
            <v>11.522967903511651</v>
          </cell>
          <cell r="BW510">
            <v>10.055977276238897</v>
          </cell>
          <cell r="BX510">
            <v>8.6149332270911767</v>
          </cell>
          <cell r="BY510">
            <v>11.497021325386617</v>
          </cell>
        </row>
        <row r="511">
          <cell r="A511">
            <v>40151</v>
          </cell>
          <cell r="BF511">
            <v>15.26197122871849</v>
          </cell>
          <cell r="BG511">
            <v>17.429620749261797</v>
          </cell>
          <cell r="BH511">
            <v>16.109902701379674</v>
          </cell>
          <cell r="BI511">
            <v>13.839355674417275</v>
          </cell>
          <cell r="BJ511">
            <v>18.380449728342072</v>
          </cell>
          <cell r="BU511">
            <v>9.5256743415181564</v>
          </cell>
          <cell r="BV511">
            <v>11.522967903511651</v>
          </cell>
          <cell r="BW511">
            <v>10.055977276238897</v>
          </cell>
          <cell r="BX511">
            <v>8.6149332270911767</v>
          </cell>
          <cell r="BY511">
            <v>11.497021325386617</v>
          </cell>
        </row>
        <row r="512">
          <cell r="A512">
            <v>40154</v>
          </cell>
          <cell r="BF512">
            <v>15.388673089613302</v>
          </cell>
          <cell r="BG512">
            <v>17.429620749261797</v>
          </cell>
          <cell r="BH512">
            <v>16.109902701379674</v>
          </cell>
          <cell r="BI512">
            <v>13.839355674417275</v>
          </cell>
          <cell r="BJ512">
            <v>18.380449728342072</v>
          </cell>
          <cell r="BU512">
            <v>9.5975508945008947</v>
          </cell>
          <cell r="BV512">
            <v>11.522967903511651</v>
          </cell>
          <cell r="BW512">
            <v>10.055977276238897</v>
          </cell>
          <cell r="BX512">
            <v>8.6149332270911767</v>
          </cell>
          <cell r="BY512">
            <v>11.497021325386617</v>
          </cell>
        </row>
        <row r="513">
          <cell r="A513">
            <v>40155</v>
          </cell>
          <cell r="BF513">
            <v>15.341162993269105</v>
          </cell>
          <cell r="BG513">
            <v>17.429620749261797</v>
          </cell>
          <cell r="BH513">
            <v>16.109902701379674</v>
          </cell>
          <cell r="BI513">
            <v>13.839355674417275</v>
          </cell>
          <cell r="BJ513">
            <v>18.380449728342072</v>
          </cell>
          <cell r="BU513">
            <v>9.570598946573833</v>
          </cell>
          <cell r="BV513">
            <v>11.522967903511651</v>
          </cell>
          <cell r="BW513">
            <v>10.055977276238897</v>
          </cell>
          <cell r="BX513">
            <v>8.6149332270911767</v>
          </cell>
          <cell r="BY513">
            <v>11.497021325386617</v>
          </cell>
        </row>
        <row r="514">
          <cell r="A514">
            <v>40156</v>
          </cell>
          <cell r="BF514">
            <v>15.314765738418899</v>
          </cell>
          <cell r="BG514">
            <v>17.429620749261797</v>
          </cell>
          <cell r="BH514">
            <v>16.109902701379674</v>
          </cell>
          <cell r="BI514">
            <v>13.839355674417275</v>
          </cell>
          <cell r="BJ514">
            <v>18.380449728342072</v>
          </cell>
          <cell r="BU514">
            <v>9.5556240782219408</v>
          </cell>
          <cell r="BV514">
            <v>11.522967903511651</v>
          </cell>
          <cell r="BW514">
            <v>10.055977276238897</v>
          </cell>
          <cell r="BX514">
            <v>8.6149332270911767</v>
          </cell>
          <cell r="BY514">
            <v>11.497021325386617</v>
          </cell>
        </row>
        <row r="515">
          <cell r="A515">
            <v>40157</v>
          </cell>
          <cell r="BF515">
            <v>15.087758743566054</v>
          </cell>
          <cell r="BG515">
            <v>17.429620749261797</v>
          </cell>
          <cell r="BH515">
            <v>16.109902701379674</v>
          </cell>
          <cell r="BI515">
            <v>13.839355674417275</v>
          </cell>
          <cell r="BJ515">
            <v>18.380449728342072</v>
          </cell>
          <cell r="BU515">
            <v>9.4268455411289551</v>
          </cell>
          <cell r="BV515">
            <v>11.522967903511651</v>
          </cell>
          <cell r="BW515">
            <v>10.055977276238897</v>
          </cell>
          <cell r="BX515">
            <v>8.6149332270911767</v>
          </cell>
          <cell r="BY515">
            <v>11.497021325386617</v>
          </cell>
        </row>
        <row r="516">
          <cell r="A516">
            <v>40158</v>
          </cell>
          <cell r="BF516">
            <v>15.077206282169724</v>
          </cell>
          <cell r="BG516">
            <v>17.429620749261797</v>
          </cell>
          <cell r="BH516">
            <v>16.109902701379674</v>
          </cell>
          <cell r="BI516">
            <v>13.839355674417275</v>
          </cell>
          <cell r="BJ516">
            <v>18.380449728342072</v>
          </cell>
          <cell r="BU516">
            <v>9.4208592474368569</v>
          </cell>
          <cell r="BV516">
            <v>11.522967903511651</v>
          </cell>
          <cell r="BW516">
            <v>10.055977276238897</v>
          </cell>
          <cell r="BX516">
            <v>8.6149332270911767</v>
          </cell>
          <cell r="BY516">
            <v>11.497021325386617</v>
          </cell>
        </row>
        <row r="517">
          <cell r="A517">
            <v>40161</v>
          </cell>
          <cell r="BF517">
            <v>15.077242210004057</v>
          </cell>
          <cell r="BG517">
            <v>17.429620749261797</v>
          </cell>
          <cell r="BH517">
            <v>16.109902701379674</v>
          </cell>
          <cell r="BI517">
            <v>13.839355674417275</v>
          </cell>
          <cell r="BJ517">
            <v>18.380449728342072</v>
          </cell>
          <cell r="BU517">
            <v>9.4239396918744678</v>
          </cell>
          <cell r="BV517">
            <v>11.522967903511651</v>
          </cell>
          <cell r="BW517">
            <v>10.055977276238897</v>
          </cell>
          <cell r="BX517">
            <v>8.6149332270911767</v>
          </cell>
          <cell r="BY517">
            <v>11.497021325386617</v>
          </cell>
        </row>
        <row r="518">
          <cell r="A518">
            <v>40162</v>
          </cell>
          <cell r="BF518">
            <v>15.375745483112228</v>
          </cell>
          <cell r="BG518">
            <v>17.429620749261797</v>
          </cell>
          <cell r="BH518">
            <v>16.109902701379674</v>
          </cell>
          <cell r="BI518">
            <v>13.839355674417275</v>
          </cell>
          <cell r="BJ518">
            <v>18.380449728342072</v>
          </cell>
          <cell r="BU518">
            <v>9.5934569713167299</v>
          </cell>
          <cell r="BV518">
            <v>11.522967903511651</v>
          </cell>
          <cell r="BW518">
            <v>10.055977276238897</v>
          </cell>
          <cell r="BX518">
            <v>8.6149332270911767</v>
          </cell>
          <cell r="BY518">
            <v>11.497021325386617</v>
          </cell>
        </row>
        <row r="519">
          <cell r="A519">
            <v>40163</v>
          </cell>
          <cell r="BF519">
            <v>15.297194029852205</v>
          </cell>
          <cell r="BG519">
            <v>17.429620749261797</v>
          </cell>
          <cell r="BH519">
            <v>16.109902701379674</v>
          </cell>
          <cell r="BI519">
            <v>13.839355674417275</v>
          </cell>
          <cell r="BJ519">
            <v>18.380449728342072</v>
          </cell>
          <cell r="BU519">
            <v>9.5488483192432554</v>
          </cell>
          <cell r="BV519">
            <v>11.522967903511651</v>
          </cell>
          <cell r="BW519">
            <v>10.055977276238897</v>
          </cell>
          <cell r="BX519">
            <v>8.6149332270911767</v>
          </cell>
          <cell r="BY519">
            <v>11.497021325386617</v>
          </cell>
        </row>
        <row r="520">
          <cell r="A520">
            <v>40164</v>
          </cell>
          <cell r="BF520">
            <v>14.993448546741414</v>
          </cell>
          <cell r="BG520">
            <v>17.429620749261797</v>
          </cell>
          <cell r="BH520">
            <v>16.109902701379674</v>
          </cell>
          <cell r="BI520">
            <v>13.839355674417275</v>
          </cell>
          <cell r="BJ520">
            <v>18.380449728342072</v>
          </cell>
          <cell r="BU520">
            <v>9.3763540366724989</v>
          </cell>
          <cell r="BV520">
            <v>11.522967903511651</v>
          </cell>
          <cell r="BW520">
            <v>10.055977276238897</v>
          </cell>
          <cell r="BX520">
            <v>8.6149332270911767</v>
          </cell>
          <cell r="BY520">
            <v>11.497021325386617</v>
          </cell>
        </row>
        <row r="521">
          <cell r="A521">
            <v>40165</v>
          </cell>
          <cell r="BF521">
            <v>14.967262110501558</v>
          </cell>
          <cell r="BG521">
            <v>17.429620749261797</v>
          </cell>
          <cell r="BH521">
            <v>16.109902701379674</v>
          </cell>
          <cell r="BI521">
            <v>13.839355674417275</v>
          </cell>
          <cell r="BJ521">
            <v>18.380449728342072</v>
          </cell>
          <cell r="BU521">
            <v>9.3614829989667907</v>
          </cell>
          <cell r="BV521">
            <v>11.522967903511651</v>
          </cell>
          <cell r="BW521">
            <v>10.055977276238897</v>
          </cell>
          <cell r="BX521">
            <v>8.6149332270911767</v>
          </cell>
          <cell r="BY521">
            <v>11.497021325386617</v>
          </cell>
        </row>
        <row r="522">
          <cell r="A522">
            <v>40168</v>
          </cell>
          <cell r="BF522">
            <v>14.988214715895642</v>
          </cell>
          <cell r="BG522">
            <v>17.429620749261797</v>
          </cell>
          <cell r="BH522">
            <v>16.109902701379674</v>
          </cell>
          <cell r="BI522">
            <v>13.839355674417275</v>
          </cell>
          <cell r="BJ522">
            <v>18.380449728342072</v>
          </cell>
          <cell r="BU522">
            <v>9.3733817919905622</v>
          </cell>
          <cell r="BV522">
            <v>11.522967903511651</v>
          </cell>
          <cell r="BW522">
            <v>10.055977276238897</v>
          </cell>
          <cell r="BX522">
            <v>8.6149332270911767</v>
          </cell>
          <cell r="BY522">
            <v>11.497021325386617</v>
          </cell>
        </row>
        <row r="523">
          <cell r="A523">
            <v>40169</v>
          </cell>
          <cell r="BF523">
            <v>15.271007593612349</v>
          </cell>
          <cell r="BG523">
            <v>17.429620749261797</v>
          </cell>
          <cell r="BH523">
            <v>16.109902701379674</v>
          </cell>
          <cell r="BI523">
            <v>13.839355674417275</v>
          </cell>
          <cell r="BJ523">
            <v>18.380449728342072</v>
          </cell>
          <cell r="BU523">
            <v>9.5339772815375508</v>
          </cell>
          <cell r="BV523">
            <v>11.522967903511651</v>
          </cell>
          <cell r="BW523">
            <v>10.055977276238897</v>
          </cell>
          <cell r="BX523">
            <v>8.6149332270911767</v>
          </cell>
          <cell r="BY523">
            <v>11.497021325386617</v>
          </cell>
        </row>
        <row r="524">
          <cell r="A524">
            <v>40170</v>
          </cell>
          <cell r="BF524">
            <v>15.113896831632758</v>
          </cell>
          <cell r="BG524">
            <v>17.429620749261797</v>
          </cell>
          <cell r="BH524">
            <v>16.109902701379674</v>
          </cell>
          <cell r="BI524">
            <v>13.839355674417275</v>
          </cell>
          <cell r="BJ524">
            <v>18.380449728342072</v>
          </cell>
          <cell r="BU524">
            <v>9.4447555163469552</v>
          </cell>
          <cell r="BV524">
            <v>11.522967903511651</v>
          </cell>
          <cell r="BW524">
            <v>10.055977276238897</v>
          </cell>
          <cell r="BX524">
            <v>8.6149332270911767</v>
          </cell>
          <cell r="BY524">
            <v>11.497021325386617</v>
          </cell>
        </row>
        <row r="525">
          <cell r="A525">
            <v>40171</v>
          </cell>
          <cell r="BF525">
            <v>15.166269704112469</v>
          </cell>
          <cell r="BG525">
            <v>17.429620749261797</v>
          </cell>
          <cell r="BH525">
            <v>16.109902701379674</v>
          </cell>
          <cell r="BI525">
            <v>13.839355674417275</v>
          </cell>
          <cell r="BJ525">
            <v>18.380449728342072</v>
          </cell>
          <cell r="BU525">
            <v>9.474497591758368</v>
          </cell>
          <cell r="BV525">
            <v>11.522967903511651</v>
          </cell>
          <cell r="BW525">
            <v>10.055977276238897</v>
          </cell>
          <cell r="BX525">
            <v>8.6149332270911767</v>
          </cell>
          <cell r="BY525">
            <v>11.497021325386617</v>
          </cell>
        </row>
        <row r="526">
          <cell r="A526">
            <v>40172</v>
          </cell>
          <cell r="BF526">
            <v>15.061531814612591</v>
          </cell>
          <cell r="BG526">
            <v>17.429620749261797</v>
          </cell>
          <cell r="BH526">
            <v>16.109902701379674</v>
          </cell>
          <cell r="BI526">
            <v>13.839355674417275</v>
          </cell>
          <cell r="BJ526">
            <v>18.380449728342072</v>
          </cell>
          <cell r="BU526">
            <v>9.4150179019791906</v>
          </cell>
          <cell r="BV526">
            <v>11.522967903511651</v>
          </cell>
          <cell r="BW526">
            <v>10.055977276238897</v>
          </cell>
          <cell r="BX526">
            <v>8.6149332270911767</v>
          </cell>
          <cell r="BY526">
            <v>11.497021325386617</v>
          </cell>
        </row>
        <row r="527">
          <cell r="A527">
            <v>40175</v>
          </cell>
          <cell r="BF527">
            <v>15.061531814612591</v>
          </cell>
          <cell r="BG527">
            <v>17.429620749261797</v>
          </cell>
          <cell r="BH527">
            <v>16.109902701379674</v>
          </cell>
          <cell r="BI527">
            <v>13.839355674417275</v>
          </cell>
          <cell r="BJ527">
            <v>18.380449728342072</v>
          </cell>
          <cell r="BU527">
            <v>9.4150179019791906</v>
          </cell>
          <cell r="BV527">
            <v>11.522967903511651</v>
          </cell>
          <cell r="BW527">
            <v>10.055977276238897</v>
          </cell>
          <cell r="BX527">
            <v>8.6149332270911767</v>
          </cell>
          <cell r="BY527">
            <v>11.497021325386617</v>
          </cell>
        </row>
        <row r="528">
          <cell r="A528">
            <v>40176</v>
          </cell>
          <cell r="BF528">
            <v>15.506669808851964</v>
          </cell>
          <cell r="BG528">
            <v>17.429620749261797</v>
          </cell>
          <cell r="BH528">
            <v>16.109902701379674</v>
          </cell>
          <cell r="BI528">
            <v>13.839355674417275</v>
          </cell>
          <cell r="BJ528">
            <v>18.380449728342072</v>
          </cell>
          <cell r="BU528">
            <v>9.6689621325877706</v>
          </cell>
          <cell r="BV528">
            <v>11.522967903511651</v>
          </cell>
          <cell r="BW528">
            <v>10.055977276238897</v>
          </cell>
          <cell r="BX528">
            <v>8.6149332270911767</v>
          </cell>
          <cell r="BY528">
            <v>11.497021325386617</v>
          </cell>
        </row>
        <row r="529">
          <cell r="A529">
            <v>40177</v>
          </cell>
          <cell r="BF529">
            <v>15.511912018854582</v>
          </cell>
          <cell r="BG529">
            <v>17.429620749261797</v>
          </cell>
          <cell r="BH529">
            <v>16.109902701379674</v>
          </cell>
          <cell r="BI529">
            <v>13.839355674417275</v>
          </cell>
          <cell r="BJ529">
            <v>18.380449728342072</v>
          </cell>
          <cell r="BU529">
            <v>9.6719394912004759</v>
          </cell>
          <cell r="BV529">
            <v>11.522967903511651</v>
          </cell>
          <cell r="BW529">
            <v>10.055977276238897</v>
          </cell>
          <cell r="BX529">
            <v>8.6149332270911767</v>
          </cell>
          <cell r="BY529">
            <v>11.497021325386617</v>
          </cell>
        </row>
        <row r="530">
          <cell r="A530">
            <v>40178</v>
          </cell>
          <cell r="BF530">
            <v>15.470015187223261</v>
          </cell>
          <cell r="BG530">
            <v>17.429620749261797</v>
          </cell>
          <cell r="BH530">
            <v>16.109902701379674</v>
          </cell>
          <cell r="BI530">
            <v>13.839355674417275</v>
          </cell>
          <cell r="BJ530">
            <v>18.380449728342072</v>
          </cell>
          <cell r="BU530">
            <v>9.4110293855325757</v>
          </cell>
          <cell r="BV530">
            <v>11.522967903511651</v>
          </cell>
          <cell r="BW530">
            <v>10.055977276238897</v>
          </cell>
          <cell r="BX530">
            <v>8.6149332270911767</v>
          </cell>
          <cell r="BY530">
            <v>11.497021325386617</v>
          </cell>
        </row>
        <row r="531">
          <cell r="A531">
            <v>40179</v>
          </cell>
          <cell r="BF531">
            <v>15.59549463397758</v>
          </cell>
          <cell r="BG531">
            <v>17.429620749261797</v>
          </cell>
          <cell r="BH531">
            <v>16.109902701379674</v>
          </cell>
          <cell r="BI531">
            <v>13.839355674417275</v>
          </cell>
          <cell r="BJ531">
            <v>18.380449728342072</v>
          </cell>
          <cell r="BU531">
            <v>9.535089229013078</v>
          </cell>
          <cell r="BV531">
            <v>11.522967903511651</v>
          </cell>
          <cell r="BW531">
            <v>10.055977276238897</v>
          </cell>
          <cell r="BX531">
            <v>8.6149332270911767</v>
          </cell>
          <cell r="BY531">
            <v>11.497021325386617</v>
          </cell>
        </row>
        <row r="532">
          <cell r="A532">
            <v>40182</v>
          </cell>
          <cell r="BF532">
            <v>15.737087799036415</v>
          </cell>
          <cell r="BG532">
            <v>17.429620749261797</v>
          </cell>
          <cell r="BH532">
            <v>16.109902701379674</v>
          </cell>
          <cell r="BI532">
            <v>13.839355674417275</v>
          </cell>
          <cell r="BJ532">
            <v>18.380449728342072</v>
          </cell>
          <cell r="BU532">
            <v>9.7297790429329254</v>
          </cell>
          <cell r="BV532">
            <v>11.522967903511651</v>
          </cell>
          <cell r="BW532">
            <v>10.055977276238897</v>
          </cell>
          <cell r="BX532">
            <v>8.6149332270911767</v>
          </cell>
          <cell r="BY532">
            <v>11.497021325386617</v>
          </cell>
        </row>
        <row r="533">
          <cell r="A533">
            <v>40183</v>
          </cell>
          <cell r="BF533">
            <v>15.543128389413285</v>
          </cell>
          <cell r="BG533">
            <v>17.429620749261797</v>
          </cell>
          <cell r="BH533">
            <v>16.109902701379674</v>
          </cell>
          <cell r="BI533">
            <v>13.839355674417275</v>
          </cell>
          <cell r="BJ533">
            <v>18.380449728342072</v>
          </cell>
          <cell r="BU533">
            <v>9.6177008828494444</v>
          </cell>
          <cell r="BV533">
            <v>11.522967903511651</v>
          </cell>
          <cell r="BW533">
            <v>10.055977276238897</v>
          </cell>
          <cell r="BX533">
            <v>8.6149332270911767</v>
          </cell>
          <cell r="BY533">
            <v>11.497021325386617</v>
          </cell>
        </row>
        <row r="534">
          <cell r="A534">
            <v>40184</v>
          </cell>
          <cell r="BF534">
            <v>15.773786888727889</v>
          </cell>
          <cell r="BG534">
            <v>17.429620749261797</v>
          </cell>
          <cell r="BH534">
            <v>16.109902701379674</v>
          </cell>
          <cell r="BI534">
            <v>13.839355674417275</v>
          </cell>
          <cell r="BJ534">
            <v>18.380449728342072</v>
          </cell>
          <cell r="BU534">
            <v>9.7509853688201353</v>
          </cell>
          <cell r="BV534">
            <v>11.522967903511651</v>
          </cell>
          <cell r="BW534">
            <v>10.055977276238897</v>
          </cell>
          <cell r="BX534">
            <v>8.6149332270911767</v>
          </cell>
          <cell r="BY534">
            <v>11.497021325386617</v>
          </cell>
        </row>
        <row r="535">
          <cell r="A535">
            <v>40185</v>
          </cell>
          <cell r="BF535">
            <v>15.737087799036415</v>
          </cell>
          <cell r="BG535">
            <v>17.429620749261797</v>
          </cell>
          <cell r="BH535">
            <v>16.109902701379674</v>
          </cell>
          <cell r="BI535">
            <v>13.839355674417275</v>
          </cell>
          <cell r="BJ535">
            <v>18.380449728342072</v>
          </cell>
          <cell r="BU535">
            <v>9.7297790429329254</v>
          </cell>
          <cell r="BV535">
            <v>11.522967903511651</v>
          </cell>
          <cell r="BW535">
            <v>10.055977276238897</v>
          </cell>
          <cell r="BX535">
            <v>8.6149332270911767</v>
          </cell>
          <cell r="BY535">
            <v>11.497021325386617</v>
          </cell>
        </row>
        <row r="536">
          <cell r="A536">
            <v>40186</v>
          </cell>
          <cell r="BF536">
            <v>15.558854473828479</v>
          </cell>
          <cell r="BG536">
            <v>17.429620749261797</v>
          </cell>
          <cell r="BH536">
            <v>16.109902701379674</v>
          </cell>
          <cell r="BI536">
            <v>13.839355674417275</v>
          </cell>
          <cell r="BJ536">
            <v>18.380449728342072</v>
          </cell>
          <cell r="BU536">
            <v>9.6267880965607926</v>
          </cell>
          <cell r="BV536">
            <v>11.522967903511651</v>
          </cell>
          <cell r="BW536">
            <v>10.055977276238897</v>
          </cell>
          <cell r="BX536">
            <v>8.6149332270911767</v>
          </cell>
          <cell r="BY536">
            <v>11.497021325386617</v>
          </cell>
        </row>
        <row r="537">
          <cell r="A537">
            <v>40189</v>
          </cell>
          <cell r="BF537">
            <v>15.670093502920816</v>
          </cell>
          <cell r="BG537">
            <v>17.429620749261797</v>
          </cell>
          <cell r="BH537">
            <v>16.109902701379674</v>
          </cell>
          <cell r="BI537">
            <v>13.839355674417275</v>
          </cell>
          <cell r="BJ537">
            <v>18.380449728342072</v>
          </cell>
          <cell r="BU537">
            <v>9.721380611117425</v>
          </cell>
          <cell r="BV537">
            <v>11.522967903511651</v>
          </cell>
          <cell r="BW537">
            <v>10.055977276238897</v>
          </cell>
          <cell r="BX537">
            <v>8.6149332270911767</v>
          </cell>
          <cell r="BY537">
            <v>11.497021325386617</v>
          </cell>
        </row>
        <row r="538">
          <cell r="A538">
            <v>40190</v>
          </cell>
          <cell r="BF538">
            <v>16.138320329115206</v>
          </cell>
          <cell r="BG538">
            <v>17.429620749261797</v>
          </cell>
          <cell r="BH538">
            <v>16.109902701379674</v>
          </cell>
          <cell r="BI538">
            <v>13.839355674417275</v>
          </cell>
          <cell r="BJ538">
            <v>18.380449728342072</v>
          </cell>
          <cell r="BU538">
            <v>9.9929651510873292</v>
          </cell>
          <cell r="BV538">
            <v>11.522967903511651</v>
          </cell>
          <cell r="BW538">
            <v>10.055977276238897</v>
          </cell>
          <cell r="BX538">
            <v>8.6149332270911767</v>
          </cell>
          <cell r="BY538">
            <v>11.497021325386617</v>
          </cell>
        </row>
        <row r="539">
          <cell r="A539">
            <v>40191</v>
          </cell>
          <cell r="BF539">
            <v>16.018663645717975</v>
          </cell>
          <cell r="BG539">
            <v>17.429620749261797</v>
          </cell>
          <cell r="BH539">
            <v>16.109902701379674</v>
          </cell>
          <cell r="BI539">
            <v>13.839355674417275</v>
          </cell>
          <cell r="BJ539">
            <v>18.380449728342072</v>
          </cell>
          <cell r="BU539">
            <v>9.9235609574427954</v>
          </cell>
          <cell r="BV539">
            <v>11.522967903511651</v>
          </cell>
          <cell r="BW539">
            <v>10.055977276238897</v>
          </cell>
          <cell r="BX539">
            <v>8.6149332270911767</v>
          </cell>
          <cell r="BY539">
            <v>11.497021325386617</v>
          </cell>
        </row>
        <row r="540">
          <cell r="A540">
            <v>40192</v>
          </cell>
          <cell r="BF540">
            <v>15.90420691601801</v>
          </cell>
          <cell r="BG540">
            <v>17.429620749261797</v>
          </cell>
          <cell r="BH540">
            <v>16.109902701379674</v>
          </cell>
          <cell r="BI540">
            <v>13.839355674417275</v>
          </cell>
          <cell r="BJ540">
            <v>18.380449728342072</v>
          </cell>
          <cell r="BU540">
            <v>9.8571728811023771</v>
          </cell>
          <cell r="BV540">
            <v>11.522967903511651</v>
          </cell>
          <cell r="BW540">
            <v>10.055977276238897</v>
          </cell>
          <cell r="BX540">
            <v>8.6149332270911767</v>
          </cell>
          <cell r="BY540">
            <v>11.497021325386617</v>
          </cell>
        </row>
        <row r="541">
          <cell r="A541">
            <v>40193</v>
          </cell>
          <cell r="BF541">
            <v>16.008256454746491</v>
          </cell>
          <cell r="BG541">
            <v>17.429620749261797</v>
          </cell>
          <cell r="BH541">
            <v>16.109902701379674</v>
          </cell>
          <cell r="BI541">
            <v>13.839355674417275</v>
          </cell>
          <cell r="BJ541">
            <v>18.380449728342072</v>
          </cell>
          <cell r="BU541">
            <v>9.917524498158004</v>
          </cell>
          <cell r="BV541">
            <v>11.522967903511651</v>
          </cell>
          <cell r="BW541">
            <v>10.055977276238897</v>
          </cell>
          <cell r="BX541">
            <v>8.6149332270911767</v>
          </cell>
          <cell r="BY541">
            <v>11.497021325386617</v>
          </cell>
        </row>
        <row r="542">
          <cell r="A542">
            <v>40196</v>
          </cell>
          <cell r="BF542">
            <v>15.951027829768757</v>
          </cell>
          <cell r="BG542">
            <v>17.429620749261797</v>
          </cell>
          <cell r="BH542">
            <v>16.109902701379674</v>
          </cell>
          <cell r="BI542">
            <v>13.839355674417275</v>
          </cell>
          <cell r="BJ542">
            <v>18.380449728342072</v>
          </cell>
          <cell r="BU542">
            <v>9.8843303091064882</v>
          </cell>
          <cell r="BV542">
            <v>11.522967903511651</v>
          </cell>
          <cell r="BW542">
            <v>10.055977276238897</v>
          </cell>
          <cell r="BX542">
            <v>8.6149332270911767</v>
          </cell>
          <cell r="BY542">
            <v>11.497021325386617</v>
          </cell>
        </row>
        <row r="543">
          <cell r="A543">
            <v>40197</v>
          </cell>
          <cell r="BF543">
            <v>15.662420836076612</v>
          </cell>
          <cell r="BG543">
            <v>17.429620749261797</v>
          </cell>
          <cell r="BH543">
            <v>16.109902701379674</v>
          </cell>
          <cell r="BI543">
            <v>13.839355674417275</v>
          </cell>
          <cell r="BJ543">
            <v>18.380449728342072</v>
          </cell>
          <cell r="BU543">
            <v>9.6124613098873777</v>
          </cell>
          <cell r="BV543">
            <v>11.522967903511651</v>
          </cell>
          <cell r="BW543">
            <v>10.055977276238897</v>
          </cell>
          <cell r="BX543">
            <v>8.6149332270911767</v>
          </cell>
          <cell r="BY543">
            <v>11.497021325386617</v>
          </cell>
        </row>
        <row r="544">
          <cell r="A544">
            <v>40198</v>
          </cell>
          <cell r="BF544">
            <v>15.709242185042902</v>
          </cell>
          <cell r="BG544">
            <v>17.429620749261797</v>
          </cell>
          <cell r="BH544">
            <v>16.109902701379674</v>
          </cell>
          <cell r="BI544">
            <v>13.839355674417275</v>
          </cell>
          <cell r="BJ544">
            <v>18.380449728342072</v>
          </cell>
          <cell r="BU544">
            <v>9.6393272869723532</v>
          </cell>
          <cell r="BV544">
            <v>11.522967903511651</v>
          </cell>
          <cell r="BW544">
            <v>10.055977276238897</v>
          </cell>
          <cell r="BX544">
            <v>8.6149332270911767</v>
          </cell>
          <cell r="BY544">
            <v>11.497021325386617</v>
          </cell>
        </row>
        <row r="545">
          <cell r="A545">
            <v>40199</v>
          </cell>
          <cell r="BF545">
            <v>15.844299527850982</v>
          </cell>
          <cell r="BG545">
            <v>17.429620749261797</v>
          </cell>
          <cell r="BH545">
            <v>16.109902701379674</v>
          </cell>
          <cell r="BI545">
            <v>13.839355674417275</v>
          </cell>
          <cell r="BJ545">
            <v>18.380449728342072</v>
          </cell>
          <cell r="BU545">
            <v>9.7258830652525656</v>
          </cell>
          <cell r="BV545">
            <v>11.522967903511651</v>
          </cell>
          <cell r="BW545">
            <v>10.055977276238897</v>
          </cell>
          <cell r="BX545">
            <v>8.6149332270911767</v>
          </cell>
          <cell r="BY545">
            <v>11.497021325386617</v>
          </cell>
        </row>
        <row r="546">
          <cell r="A546">
            <v>40200</v>
          </cell>
          <cell r="BF546">
            <v>15.787136874298112</v>
          </cell>
          <cell r="BG546">
            <v>17.429620749261797</v>
          </cell>
          <cell r="BH546">
            <v>16.109902701379674</v>
          </cell>
          <cell r="BI546">
            <v>13.839355674417275</v>
          </cell>
          <cell r="BJ546">
            <v>18.380449728342072</v>
          </cell>
          <cell r="BU546">
            <v>9.6930505853853912</v>
          </cell>
          <cell r="BV546">
            <v>11.522967903511651</v>
          </cell>
          <cell r="BW546">
            <v>10.055977276238897</v>
          </cell>
          <cell r="BX546">
            <v>8.6149332270911767</v>
          </cell>
          <cell r="BY546">
            <v>11.497021325386617</v>
          </cell>
        </row>
        <row r="547">
          <cell r="A547">
            <v>40203</v>
          </cell>
          <cell r="BF547">
            <v>15.802726027523379</v>
          </cell>
          <cell r="BG547">
            <v>17.429620749261797</v>
          </cell>
          <cell r="BH547">
            <v>16.109902701379674</v>
          </cell>
          <cell r="BI547">
            <v>13.839355674417275</v>
          </cell>
          <cell r="BJ547">
            <v>18.380449728342072</v>
          </cell>
          <cell r="BU547">
            <v>9.7020045181999599</v>
          </cell>
          <cell r="BV547">
            <v>11.522967903511651</v>
          </cell>
          <cell r="BW547">
            <v>10.055977276238897</v>
          </cell>
          <cell r="BX547">
            <v>8.6149332270911767</v>
          </cell>
          <cell r="BY547">
            <v>11.497021325386617</v>
          </cell>
        </row>
        <row r="548">
          <cell r="A548">
            <v>40204</v>
          </cell>
          <cell r="BF548">
            <v>15.885873028178587</v>
          </cell>
          <cell r="BG548">
            <v>17.429620749261797</v>
          </cell>
          <cell r="BH548">
            <v>16.109902701379674</v>
          </cell>
          <cell r="BI548">
            <v>13.839355674417275</v>
          </cell>
          <cell r="BJ548">
            <v>18.380449728342072</v>
          </cell>
          <cell r="BU548">
            <v>9.7497616123051714</v>
          </cell>
          <cell r="BV548">
            <v>11.522967903511651</v>
          </cell>
          <cell r="BW548">
            <v>10.055977276238897</v>
          </cell>
          <cell r="BX548">
            <v>8.6149332270911767</v>
          </cell>
          <cell r="BY548">
            <v>11.497021325386617</v>
          </cell>
        </row>
        <row r="549">
          <cell r="A549">
            <v>40205</v>
          </cell>
          <cell r="BF549">
            <v>16.098933449853277</v>
          </cell>
          <cell r="BG549">
            <v>17.429620749261797</v>
          </cell>
          <cell r="BH549">
            <v>16.109902701379674</v>
          </cell>
          <cell r="BI549">
            <v>13.839355674417275</v>
          </cell>
          <cell r="BJ549">
            <v>18.380449728342072</v>
          </cell>
          <cell r="BU549">
            <v>9.8721370020105539</v>
          </cell>
          <cell r="BV549">
            <v>11.522967903511651</v>
          </cell>
          <cell r="BW549">
            <v>10.055977276238897</v>
          </cell>
          <cell r="BX549">
            <v>8.6149332270911767</v>
          </cell>
          <cell r="BY549">
            <v>11.497021325386617</v>
          </cell>
        </row>
        <row r="550">
          <cell r="A550">
            <v>40206</v>
          </cell>
          <cell r="BF550">
            <v>16.062553908873866</v>
          </cell>
          <cell r="BG550">
            <v>17.429620749261797</v>
          </cell>
          <cell r="BH550">
            <v>16.109902701379674</v>
          </cell>
          <cell r="BI550">
            <v>13.839355674417275</v>
          </cell>
          <cell r="BJ550">
            <v>18.380449728342072</v>
          </cell>
          <cell r="BU550">
            <v>9.8512417063490449</v>
          </cell>
          <cell r="BV550">
            <v>11.522967903511651</v>
          </cell>
          <cell r="BW550">
            <v>10.055977276238897</v>
          </cell>
          <cell r="BX550">
            <v>8.6149332270911767</v>
          </cell>
          <cell r="BY550">
            <v>11.497021325386617</v>
          </cell>
        </row>
        <row r="551">
          <cell r="A551">
            <v>40207</v>
          </cell>
          <cell r="BF551">
            <v>16.036569561771532</v>
          </cell>
          <cell r="BG551">
            <v>17.429620749261797</v>
          </cell>
          <cell r="BH551">
            <v>16.109902701379674</v>
          </cell>
          <cell r="BI551">
            <v>13.839355674417275</v>
          </cell>
          <cell r="BJ551">
            <v>18.380449728342072</v>
          </cell>
          <cell r="BU551">
            <v>9.8363170921110079</v>
          </cell>
          <cell r="BV551">
            <v>11.522967903511651</v>
          </cell>
          <cell r="BW551">
            <v>10.055977276238897</v>
          </cell>
          <cell r="BX551">
            <v>8.6149332270911767</v>
          </cell>
          <cell r="BY551">
            <v>11.497021325386617</v>
          </cell>
        </row>
        <row r="552">
          <cell r="A552">
            <v>40210</v>
          </cell>
          <cell r="BF552">
            <v>16.187273890200917</v>
          </cell>
          <cell r="BG552">
            <v>17.429620749261797</v>
          </cell>
          <cell r="BH552">
            <v>16.109902701379674</v>
          </cell>
          <cell r="BI552">
            <v>13.839355674417275</v>
          </cell>
          <cell r="BJ552">
            <v>18.380449728342072</v>
          </cell>
          <cell r="BU552">
            <v>9.9228770490324898</v>
          </cell>
          <cell r="BV552">
            <v>11.522967903511651</v>
          </cell>
          <cell r="BW552">
            <v>10.055977276238897</v>
          </cell>
          <cell r="BX552">
            <v>8.6149332270911767</v>
          </cell>
          <cell r="BY552">
            <v>11.497021325386617</v>
          </cell>
        </row>
        <row r="553">
          <cell r="A553">
            <v>40211</v>
          </cell>
          <cell r="BF553">
            <v>16.145700909529076</v>
          </cell>
          <cell r="BG553">
            <v>17.429620749261797</v>
          </cell>
          <cell r="BH553">
            <v>16.109902701379674</v>
          </cell>
          <cell r="BI553">
            <v>13.839355674417275</v>
          </cell>
          <cell r="BJ553">
            <v>18.380449728342072</v>
          </cell>
          <cell r="BU553">
            <v>9.8989988004542599</v>
          </cell>
          <cell r="BV553">
            <v>11.522967903511651</v>
          </cell>
          <cell r="BW553">
            <v>10.055977276238897</v>
          </cell>
          <cell r="BX553">
            <v>8.6149332270911767</v>
          </cell>
          <cell r="BY553">
            <v>11.497021325386617</v>
          </cell>
        </row>
        <row r="554">
          <cell r="A554">
            <v>40212</v>
          </cell>
          <cell r="BF554">
            <v>16.000197815628564</v>
          </cell>
          <cell r="BG554">
            <v>17.429620749261797</v>
          </cell>
          <cell r="BH554">
            <v>16.109902701379674</v>
          </cell>
          <cell r="BI554">
            <v>13.839355674417275</v>
          </cell>
          <cell r="BJ554">
            <v>18.380449728342072</v>
          </cell>
          <cell r="BU554">
            <v>9.8154262735651461</v>
          </cell>
          <cell r="BV554">
            <v>11.522967903511651</v>
          </cell>
          <cell r="BW554">
            <v>10.055977276238897</v>
          </cell>
          <cell r="BX554">
            <v>8.6149332270911767</v>
          </cell>
          <cell r="BY554">
            <v>11.497021325386617</v>
          </cell>
        </row>
        <row r="555">
          <cell r="A555">
            <v>40213</v>
          </cell>
          <cell r="BF555">
            <v>15.974213468526226</v>
          </cell>
          <cell r="BG555">
            <v>17.429620749261797</v>
          </cell>
          <cell r="BH555">
            <v>16.109902701379674</v>
          </cell>
          <cell r="BI555">
            <v>13.839355674417275</v>
          </cell>
          <cell r="BJ555">
            <v>18.380449728342072</v>
          </cell>
          <cell r="BU555">
            <v>9.800501659327109</v>
          </cell>
          <cell r="BV555">
            <v>11.522967903511651</v>
          </cell>
          <cell r="BW555">
            <v>10.055977276238897</v>
          </cell>
          <cell r="BX555">
            <v>8.6149332270911767</v>
          </cell>
          <cell r="BY555">
            <v>11.497021325386617</v>
          </cell>
        </row>
        <row r="556">
          <cell r="A556">
            <v>40214</v>
          </cell>
          <cell r="BF556">
            <v>15.937841722383261</v>
          </cell>
          <cell r="BG556">
            <v>17.429620749261797</v>
          </cell>
          <cell r="BH556">
            <v>16.109902701379674</v>
          </cell>
          <cell r="BI556">
            <v>13.839355674417275</v>
          </cell>
          <cell r="BJ556">
            <v>18.380449728342072</v>
          </cell>
          <cell r="BU556">
            <v>9.7796108407812472</v>
          </cell>
          <cell r="BV556">
            <v>11.522967903511651</v>
          </cell>
          <cell r="BW556">
            <v>10.055977276238897</v>
          </cell>
          <cell r="BX556">
            <v>8.6149332270911767</v>
          </cell>
          <cell r="BY556">
            <v>11.497021325386617</v>
          </cell>
        </row>
        <row r="557">
          <cell r="A557">
            <v>40217</v>
          </cell>
          <cell r="BF557">
            <v>16.140506950180878</v>
          </cell>
          <cell r="BG557">
            <v>17.429620749261797</v>
          </cell>
          <cell r="BH557">
            <v>16.109902701379674</v>
          </cell>
          <cell r="BI557">
            <v>13.839355674417275</v>
          </cell>
          <cell r="BJ557">
            <v>18.380449728342072</v>
          </cell>
          <cell r="BU557">
            <v>9.8960155490631596</v>
          </cell>
          <cell r="BV557">
            <v>11.522967903511651</v>
          </cell>
          <cell r="BW557">
            <v>10.055977276238897</v>
          </cell>
          <cell r="BX557">
            <v>8.6149332270911767</v>
          </cell>
          <cell r="BY557">
            <v>11.497021325386617</v>
          </cell>
        </row>
        <row r="558">
          <cell r="A558">
            <v>40218</v>
          </cell>
          <cell r="BF558">
            <v>16.234041349876716</v>
          </cell>
          <cell r="BG558">
            <v>17.429620749261797</v>
          </cell>
          <cell r="BH558">
            <v>16.109902701379674</v>
          </cell>
          <cell r="BI558">
            <v>13.839355674417275</v>
          </cell>
          <cell r="BJ558">
            <v>18.380449728342072</v>
          </cell>
          <cell r="BU558">
            <v>9.9497388474761959</v>
          </cell>
          <cell r="BV558">
            <v>11.522967903511651</v>
          </cell>
          <cell r="BW558">
            <v>10.055977276238897</v>
          </cell>
          <cell r="BX558">
            <v>8.6149332270911767</v>
          </cell>
          <cell r="BY558">
            <v>11.497021325386617</v>
          </cell>
        </row>
        <row r="559">
          <cell r="A559">
            <v>40219</v>
          </cell>
          <cell r="BF559">
            <v>16.135305195996242</v>
          </cell>
          <cell r="BG559">
            <v>17.429620749261797</v>
          </cell>
          <cell r="BH559">
            <v>16.109902701379674</v>
          </cell>
          <cell r="BI559">
            <v>13.839355674417275</v>
          </cell>
          <cell r="BJ559">
            <v>18.380449728342072</v>
          </cell>
          <cell r="BU559">
            <v>9.8930278205564157</v>
          </cell>
          <cell r="BV559">
            <v>11.522967903511651</v>
          </cell>
          <cell r="BW559">
            <v>10.055977276238897</v>
          </cell>
          <cell r="BX559">
            <v>8.6149332270911767</v>
          </cell>
          <cell r="BY559">
            <v>11.497021325386617</v>
          </cell>
        </row>
        <row r="560">
          <cell r="A560">
            <v>40220</v>
          </cell>
          <cell r="BF560">
            <v>15.857953988726671</v>
          </cell>
          <cell r="BG560">
            <v>17.429620749261797</v>
          </cell>
          <cell r="BH560">
            <v>16.109902701379674</v>
          </cell>
          <cell r="BI560">
            <v>13.839355674417275</v>
          </cell>
          <cell r="BJ560">
            <v>18.380449728342072</v>
          </cell>
          <cell r="BU560">
            <v>9.7405449495339926</v>
          </cell>
          <cell r="BV560">
            <v>11.522967903511651</v>
          </cell>
          <cell r="BW560">
            <v>10.055977276238897</v>
          </cell>
          <cell r="BX560">
            <v>8.6149332270911767</v>
          </cell>
          <cell r="BY560">
            <v>11.497021325386617</v>
          </cell>
        </row>
        <row r="561">
          <cell r="A561">
            <v>40221</v>
          </cell>
          <cell r="BF561">
            <v>15.857953988726671</v>
          </cell>
          <cell r="BG561">
            <v>17.429620749261797</v>
          </cell>
          <cell r="BH561">
            <v>16.109902701379674</v>
          </cell>
          <cell r="BI561">
            <v>13.839355674417275</v>
          </cell>
          <cell r="BJ561">
            <v>18.380449728342072</v>
          </cell>
          <cell r="BU561">
            <v>9.7405449495339926</v>
          </cell>
          <cell r="BV561">
            <v>11.522967903511651</v>
          </cell>
          <cell r="BW561">
            <v>10.055977276238897</v>
          </cell>
          <cell r="BX561">
            <v>8.6149332270911767</v>
          </cell>
          <cell r="BY561">
            <v>11.497021325386617</v>
          </cell>
        </row>
        <row r="562">
          <cell r="A562">
            <v>40224</v>
          </cell>
          <cell r="BF562">
            <v>15.976564264680855</v>
          </cell>
          <cell r="BG562">
            <v>17.429620749261797</v>
          </cell>
          <cell r="BH562">
            <v>16.109902701379674</v>
          </cell>
          <cell r="BI562">
            <v>13.839355674417275</v>
          </cell>
          <cell r="BJ562">
            <v>18.380449728342072</v>
          </cell>
          <cell r="BU562">
            <v>9.8087521023929938</v>
          </cell>
          <cell r="BV562">
            <v>11.522967903511651</v>
          </cell>
          <cell r="BW562">
            <v>10.055977276238897</v>
          </cell>
          <cell r="BX562">
            <v>8.6149332270911767</v>
          </cell>
          <cell r="BY562">
            <v>11.497021325386617</v>
          </cell>
        </row>
        <row r="563">
          <cell r="A563">
            <v>40225</v>
          </cell>
          <cell r="BF563">
            <v>16.017821761754224</v>
          </cell>
          <cell r="BG563">
            <v>17.429620749261797</v>
          </cell>
          <cell r="BH563">
            <v>16.109902701379674</v>
          </cell>
          <cell r="BI563">
            <v>13.839355674417275</v>
          </cell>
          <cell r="BJ563">
            <v>18.380449728342072</v>
          </cell>
          <cell r="BU563">
            <v>9.8324773351928041</v>
          </cell>
          <cell r="BV563">
            <v>11.522967903511651</v>
          </cell>
          <cell r="BW563">
            <v>10.055977276238897</v>
          </cell>
          <cell r="BX563">
            <v>8.6149332270911767</v>
          </cell>
          <cell r="BY563">
            <v>11.497021325386617</v>
          </cell>
        </row>
        <row r="564">
          <cell r="A564">
            <v>40226</v>
          </cell>
          <cell r="BF564">
            <v>15.894049786239938</v>
          </cell>
          <cell r="BG564">
            <v>17.429620749261797</v>
          </cell>
          <cell r="BH564">
            <v>16.109902701379674</v>
          </cell>
          <cell r="BI564">
            <v>13.839355674417275</v>
          </cell>
          <cell r="BJ564">
            <v>18.380449728342072</v>
          </cell>
          <cell r="BU564">
            <v>9.7613019333513638</v>
          </cell>
          <cell r="BV564">
            <v>11.522967903511651</v>
          </cell>
          <cell r="BW564">
            <v>10.055977276238897</v>
          </cell>
          <cell r="BX564">
            <v>8.6149332270911767</v>
          </cell>
          <cell r="BY564">
            <v>11.497021325386617</v>
          </cell>
        </row>
        <row r="565">
          <cell r="A565">
            <v>40227</v>
          </cell>
          <cell r="BF565">
            <v>15.950777426524812</v>
          </cell>
          <cell r="BG565">
            <v>17.429620749261797</v>
          </cell>
          <cell r="BH565">
            <v>16.109902701379674</v>
          </cell>
          <cell r="BI565">
            <v>13.839355674417275</v>
          </cell>
          <cell r="BJ565">
            <v>18.380449728342072</v>
          </cell>
          <cell r="BU565">
            <v>9.7939233129166148</v>
          </cell>
          <cell r="BV565">
            <v>11.522967903511651</v>
          </cell>
          <cell r="BW565">
            <v>10.055977276238897</v>
          </cell>
          <cell r="BX565">
            <v>8.6149332270911767</v>
          </cell>
          <cell r="BY565">
            <v>11.497021325386617</v>
          </cell>
        </row>
        <row r="566">
          <cell r="A566">
            <v>40228</v>
          </cell>
          <cell r="BF566">
            <v>16.053917043561672</v>
          </cell>
          <cell r="BG566">
            <v>17.429620749261797</v>
          </cell>
          <cell r="BH566">
            <v>16.109902701379674</v>
          </cell>
          <cell r="BI566">
            <v>13.839355674417275</v>
          </cell>
          <cell r="BJ566">
            <v>18.380449728342072</v>
          </cell>
          <cell r="BU566">
            <v>9.8532340224521793</v>
          </cell>
          <cell r="BV566">
            <v>11.522967903511651</v>
          </cell>
          <cell r="BW566">
            <v>10.055977276238897</v>
          </cell>
          <cell r="BX566">
            <v>8.6149332270911767</v>
          </cell>
          <cell r="BY566">
            <v>11.497021325386617</v>
          </cell>
        </row>
        <row r="567">
          <cell r="A567">
            <v>40231</v>
          </cell>
          <cell r="BF567">
            <v>16.002351102836897</v>
          </cell>
          <cell r="BG567">
            <v>17.429620749261797</v>
          </cell>
          <cell r="BH567">
            <v>16.109902701379674</v>
          </cell>
          <cell r="BI567">
            <v>13.839355674417275</v>
          </cell>
          <cell r="BJ567">
            <v>18.380449728342072</v>
          </cell>
          <cell r="BU567">
            <v>9.8235808918693692</v>
          </cell>
          <cell r="BV567">
            <v>11.522967903511651</v>
          </cell>
          <cell r="BW567">
            <v>10.055977276238897</v>
          </cell>
          <cell r="BX567">
            <v>8.6149332270911767</v>
          </cell>
          <cell r="BY567">
            <v>11.497021325386617</v>
          </cell>
        </row>
        <row r="568">
          <cell r="A568">
            <v>40232</v>
          </cell>
          <cell r="BF568">
            <v>16.097936082474227</v>
          </cell>
          <cell r="BG568">
            <v>17.429620749261797</v>
          </cell>
          <cell r="BH568">
            <v>16.109902701379674</v>
          </cell>
          <cell r="BI568">
            <v>13.839355674417275</v>
          </cell>
          <cell r="BJ568">
            <v>18.380449728342072</v>
          </cell>
          <cell r="BU568">
            <v>9.845691555040748</v>
          </cell>
          <cell r="BV568">
            <v>11.522967903511651</v>
          </cell>
          <cell r="BW568">
            <v>10.055977276238897</v>
          </cell>
          <cell r="BX568">
            <v>8.6149332270911767</v>
          </cell>
          <cell r="BY568">
            <v>11.497021325386617</v>
          </cell>
        </row>
        <row r="569">
          <cell r="A569">
            <v>40233</v>
          </cell>
          <cell r="BF569">
            <v>16.40205824742268</v>
          </cell>
          <cell r="BG569">
            <v>17.429620749261797</v>
          </cell>
          <cell r="BH569">
            <v>16.109902701379674</v>
          </cell>
          <cell r="BI569">
            <v>13.839355674417275</v>
          </cell>
          <cell r="BJ569">
            <v>18.380449728342072</v>
          </cell>
          <cell r="BU569">
            <v>10.020001287334793</v>
          </cell>
          <cell r="BV569">
            <v>11.522967903511651</v>
          </cell>
          <cell r="BW569">
            <v>10.055977276238897</v>
          </cell>
          <cell r="BX569">
            <v>8.6149332270911767</v>
          </cell>
          <cell r="BY569">
            <v>11.497021325386617</v>
          </cell>
        </row>
        <row r="570">
          <cell r="A570">
            <v>40234</v>
          </cell>
          <cell r="BF570">
            <v>16.396906185567012</v>
          </cell>
          <cell r="BG570">
            <v>17.429620749261797</v>
          </cell>
          <cell r="BH570">
            <v>16.109902701379674</v>
          </cell>
          <cell r="BI570">
            <v>13.839355674417275</v>
          </cell>
          <cell r="BJ570">
            <v>18.380449728342072</v>
          </cell>
          <cell r="BU570">
            <v>10.017048347278692</v>
          </cell>
          <cell r="BV570">
            <v>11.522967903511651</v>
          </cell>
          <cell r="BW570">
            <v>10.055977276238897</v>
          </cell>
          <cell r="BX570">
            <v>8.6149332270911767</v>
          </cell>
          <cell r="BY570">
            <v>11.497021325386617</v>
          </cell>
        </row>
        <row r="571">
          <cell r="A571">
            <v>40235</v>
          </cell>
          <cell r="BF571">
            <v>16.505149484536084</v>
          </cell>
          <cell r="BG571">
            <v>17.429620749261797</v>
          </cell>
          <cell r="BH571">
            <v>16.109902701379674</v>
          </cell>
          <cell r="BI571">
            <v>13.839355674417275</v>
          </cell>
          <cell r="BJ571">
            <v>18.380449728342072</v>
          </cell>
          <cell r="BU571">
            <v>10.011144056601552</v>
          </cell>
          <cell r="BV571">
            <v>11.522967903511651</v>
          </cell>
          <cell r="BW571">
            <v>10.055977276238897</v>
          </cell>
          <cell r="BX571">
            <v>8.6149332270911767</v>
          </cell>
          <cell r="BY571">
            <v>11.497021325386617</v>
          </cell>
        </row>
        <row r="572">
          <cell r="A572">
            <v>40238</v>
          </cell>
          <cell r="BF572">
            <v>16.391746391752577</v>
          </cell>
          <cell r="BG572">
            <v>17.429620749261797</v>
          </cell>
          <cell r="BH572">
            <v>16.109902701379674</v>
          </cell>
          <cell r="BI572">
            <v>13.839355674417275</v>
          </cell>
          <cell r="BJ572">
            <v>18.380449728342072</v>
          </cell>
          <cell r="BU572">
            <v>9.946584445877809</v>
          </cell>
          <cell r="BV572">
            <v>11.522967903511651</v>
          </cell>
          <cell r="BW572">
            <v>10.055977276238897</v>
          </cell>
          <cell r="BX572">
            <v>8.6149332270911767</v>
          </cell>
          <cell r="BY572">
            <v>11.497021325386617</v>
          </cell>
        </row>
        <row r="573">
          <cell r="A573">
            <v>40239</v>
          </cell>
          <cell r="BF573">
            <v>16.613399999999999</v>
          </cell>
          <cell r="BG573">
            <v>17.429620749261797</v>
          </cell>
          <cell r="BH573">
            <v>16.109902701379674</v>
          </cell>
          <cell r="BI573">
            <v>13.839355674417275</v>
          </cell>
          <cell r="BJ573">
            <v>18.380449728342072</v>
          </cell>
          <cell r="BU573">
            <v>10.072770340042839</v>
          </cell>
          <cell r="BV573">
            <v>11.522967903511651</v>
          </cell>
          <cell r="BW573">
            <v>10.055977276238897</v>
          </cell>
          <cell r="BX573">
            <v>8.6149332270911767</v>
          </cell>
          <cell r="BY573">
            <v>11.497021325386617</v>
          </cell>
        </row>
        <row r="574">
          <cell r="A574">
            <v>40240</v>
          </cell>
          <cell r="BF574">
            <v>16.474222680412371</v>
          </cell>
          <cell r="BG574">
            <v>17.429620749261797</v>
          </cell>
          <cell r="BH574">
            <v>16.109902701379674</v>
          </cell>
          <cell r="BI574">
            <v>13.839355674417275</v>
          </cell>
          <cell r="BJ574">
            <v>18.380449728342072</v>
          </cell>
          <cell r="BU574">
            <v>9.9935376370044402</v>
          </cell>
          <cell r="BV574">
            <v>11.522967903511651</v>
          </cell>
          <cell r="BW574">
            <v>10.055977276238897</v>
          </cell>
          <cell r="BX574">
            <v>8.6149332270911767</v>
          </cell>
          <cell r="BY574">
            <v>11.497021325386617</v>
          </cell>
        </row>
        <row r="575">
          <cell r="A575">
            <v>40241</v>
          </cell>
          <cell r="BF575">
            <v>16.556698969072166</v>
          </cell>
          <cell r="BG575">
            <v>17.429620749261797</v>
          </cell>
          <cell r="BH575">
            <v>16.109902701379674</v>
          </cell>
          <cell r="BI575">
            <v>13.839355674417275</v>
          </cell>
          <cell r="BJ575">
            <v>18.380449728342072</v>
          </cell>
          <cell r="BU575">
            <v>10.040490828131075</v>
          </cell>
          <cell r="BV575">
            <v>11.522967903511651</v>
          </cell>
          <cell r="BW575">
            <v>10.055977276238897</v>
          </cell>
          <cell r="BX575">
            <v>8.6149332270911767</v>
          </cell>
          <cell r="BY575">
            <v>11.497021325386617</v>
          </cell>
        </row>
        <row r="576">
          <cell r="A576">
            <v>40242</v>
          </cell>
          <cell r="BF576">
            <v>16.889680703616492</v>
          </cell>
          <cell r="BG576">
            <v>17.429620749261797</v>
          </cell>
          <cell r="BH576">
            <v>16.109902701379674</v>
          </cell>
          <cell r="BI576">
            <v>13.839355674417275</v>
          </cell>
          <cell r="BJ576">
            <v>18.380449728342072</v>
          </cell>
          <cell r="BU576">
            <v>10.234168779951974</v>
          </cell>
          <cell r="BV576">
            <v>11.522967903511651</v>
          </cell>
          <cell r="BW576">
            <v>10.055977276238897</v>
          </cell>
          <cell r="BX576">
            <v>8.6149332270911767</v>
          </cell>
          <cell r="BY576">
            <v>11.497021325386617</v>
          </cell>
        </row>
        <row r="577">
          <cell r="A577">
            <v>40245</v>
          </cell>
          <cell r="BF577">
            <v>16.684808715532416</v>
          </cell>
          <cell r="BG577">
            <v>17.429620749261797</v>
          </cell>
          <cell r="BH577">
            <v>16.109902701379674</v>
          </cell>
          <cell r="BI577">
            <v>13.839355674417275</v>
          </cell>
          <cell r="BJ577">
            <v>18.380449728342072</v>
          </cell>
          <cell r="BU577">
            <v>10.102112709820737</v>
          </cell>
          <cell r="BV577">
            <v>11.522967903511651</v>
          </cell>
          <cell r="BW577">
            <v>10.055977276238897</v>
          </cell>
          <cell r="BX577">
            <v>8.6149332270911767</v>
          </cell>
          <cell r="BY577">
            <v>11.497021325386617</v>
          </cell>
        </row>
        <row r="578">
          <cell r="A578">
            <v>40246</v>
          </cell>
          <cell r="BF578">
            <v>16.457740918309948</v>
          </cell>
          <cell r="BG578">
            <v>17.429620749261797</v>
          </cell>
          <cell r="BH578">
            <v>16.109902701379674</v>
          </cell>
          <cell r="BI578">
            <v>13.839355674417275</v>
          </cell>
          <cell r="BJ578">
            <v>18.380449728342072</v>
          </cell>
          <cell r="BU578">
            <v>9.9729984770250937</v>
          </cell>
          <cell r="BV578">
            <v>11.522967903511651</v>
          </cell>
          <cell r="BW578">
            <v>10.055977276238897</v>
          </cell>
          <cell r="BX578">
            <v>8.6149332270911767</v>
          </cell>
          <cell r="BY578">
            <v>11.497021325386617</v>
          </cell>
        </row>
        <row r="579">
          <cell r="A579">
            <v>40247</v>
          </cell>
          <cell r="BF579">
            <v>16.643529150689741</v>
          </cell>
          <cell r="BG579">
            <v>17.429620749261797</v>
          </cell>
          <cell r="BH579">
            <v>16.109902701379674</v>
          </cell>
          <cell r="BI579">
            <v>13.839355674417275</v>
          </cell>
          <cell r="BJ579">
            <v>18.380449728342072</v>
          </cell>
          <cell r="BU579">
            <v>10.078640516009045</v>
          </cell>
          <cell r="BV579">
            <v>11.522967903511651</v>
          </cell>
          <cell r="BW579">
            <v>10.055977276238897</v>
          </cell>
          <cell r="BX579">
            <v>8.6149332270911767</v>
          </cell>
          <cell r="BY579">
            <v>11.497021325386617</v>
          </cell>
        </row>
        <row r="580">
          <cell r="A580">
            <v>40248</v>
          </cell>
          <cell r="BF580">
            <v>16.839633790750842</v>
          </cell>
          <cell r="BG580">
            <v>17.429620749261797</v>
          </cell>
          <cell r="BH580">
            <v>16.109902701379674</v>
          </cell>
          <cell r="BI580">
            <v>13.839355674417275</v>
          </cell>
          <cell r="BJ580">
            <v>18.380449728342072</v>
          </cell>
          <cell r="BU580">
            <v>10.190148622657688</v>
          </cell>
          <cell r="BV580">
            <v>11.522967903511651</v>
          </cell>
          <cell r="BW580">
            <v>10.055977276238897</v>
          </cell>
          <cell r="BX580">
            <v>8.6149332270911767</v>
          </cell>
          <cell r="BY580">
            <v>11.497021325386617</v>
          </cell>
        </row>
        <row r="581">
          <cell r="A581">
            <v>40249</v>
          </cell>
          <cell r="BF581">
            <v>16.493862279311966</v>
          </cell>
          <cell r="BG581">
            <v>17.429620749261797</v>
          </cell>
          <cell r="BH581">
            <v>16.109902701379674</v>
          </cell>
          <cell r="BI581">
            <v>13.839355674417275</v>
          </cell>
          <cell r="BJ581">
            <v>18.380449728342072</v>
          </cell>
          <cell r="BU581">
            <v>9.9935376370044402</v>
          </cell>
          <cell r="BV581">
            <v>11.522967903511651</v>
          </cell>
          <cell r="BW581">
            <v>10.055977276238897</v>
          </cell>
          <cell r="BX581">
            <v>8.6149332270911767</v>
          </cell>
          <cell r="BY581">
            <v>11.497021325386617</v>
          </cell>
        </row>
        <row r="582">
          <cell r="A582">
            <v>40252</v>
          </cell>
          <cell r="BF582">
            <v>16.397026672498395</v>
          </cell>
          <cell r="BG582">
            <v>17.429620749261797</v>
          </cell>
          <cell r="BH582">
            <v>16.109902701379674</v>
          </cell>
          <cell r="BI582">
            <v>13.839355674417275</v>
          </cell>
          <cell r="BJ582">
            <v>18.380449728342072</v>
          </cell>
          <cell r="BU582">
            <v>9.9506968651686893</v>
          </cell>
          <cell r="BV582">
            <v>11.522967903511651</v>
          </cell>
          <cell r="BW582">
            <v>10.055977276238897</v>
          </cell>
          <cell r="BX582">
            <v>8.6149332270911767</v>
          </cell>
          <cell r="BY582">
            <v>11.497021325386617</v>
          </cell>
        </row>
        <row r="583">
          <cell r="A583">
            <v>40253</v>
          </cell>
          <cell r="BF583">
            <v>15.971728280773386</v>
          </cell>
          <cell r="BG583">
            <v>17.429620749261797</v>
          </cell>
          <cell r="BH583">
            <v>16.109902701379674</v>
          </cell>
          <cell r="BI583">
            <v>13.839355674417275</v>
          </cell>
          <cell r="BJ583">
            <v>18.380449728342072</v>
          </cell>
          <cell r="BU583">
            <v>9.7084616795998571</v>
          </cell>
          <cell r="BV583">
            <v>11.522967903511651</v>
          </cell>
          <cell r="BW583">
            <v>10.055977276238897</v>
          </cell>
          <cell r="BX583">
            <v>8.6149332270911767</v>
          </cell>
          <cell r="BY583">
            <v>11.497021325386617</v>
          </cell>
        </row>
        <row r="584">
          <cell r="A584">
            <v>40254</v>
          </cell>
          <cell r="BF584">
            <v>15.966599085867394</v>
          </cell>
          <cell r="BG584">
            <v>17.429620749261797</v>
          </cell>
          <cell r="BH584">
            <v>16.109902701379674</v>
          </cell>
          <cell r="BI584">
            <v>13.839355674417275</v>
          </cell>
          <cell r="BJ584">
            <v>18.380449728342072</v>
          </cell>
          <cell r="BU584">
            <v>9.7055402684117453</v>
          </cell>
          <cell r="BV584">
            <v>11.522967903511651</v>
          </cell>
          <cell r="BW584">
            <v>10.055977276238897</v>
          </cell>
          <cell r="BX584">
            <v>8.6149332270911767</v>
          </cell>
          <cell r="BY584">
            <v>11.497021325386617</v>
          </cell>
        </row>
        <row r="585">
          <cell r="A585">
            <v>40255</v>
          </cell>
          <cell r="BF585">
            <v>15.131380663807843</v>
          </cell>
          <cell r="BG585">
            <v>17.429620749261797</v>
          </cell>
          <cell r="BH585">
            <v>16.109902701379674</v>
          </cell>
          <cell r="BI585">
            <v>13.839355674417275</v>
          </cell>
          <cell r="BJ585">
            <v>18.380449728342072</v>
          </cell>
          <cell r="BU585">
            <v>9.2298288775515651</v>
          </cell>
          <cell r="BV585">
            <v>11.522967903511651</v>
          </cell>
          <cell r="BW585">
            <v>10.055977276238897</v>
          </cell>
          <cell r="BX585">
            <v>8.6149332270911767</v>
          </cell>
          <cell r="BY585">
            <v>11.497021325386617</v>
          </cell>
        </row>
        <row r="586">
          <cell r="A586">
            <v>40256</v>
          </cell>
          <cell r="BF586">
            <v>15.116008963709458</v>
          </cell>
          <cell r="BG586">
            <v>17.429620749261797</v>
          </cell>
          <cell r="BH586">
            <v>16.109902701379674</v>
          </cell>
          <cell r="BI586">
            <v>13.839355674417275</v>
          </cell>
          <cell r="BJ586">
            <v>18.380449728342072</v>
          </cell>
          <cell r="BU586">
            <v>9.2210736913145848</v>
          </cell>
          <cell r="BV586">
            <v>11.522967903511651</v>
          </cell>
          <cell r="BW586">
            <v>10.055977276238897</v>
          </cell>
          <cell r="BX586">
            <v>8.6149332270911767</v>
          </cell>
          <cell r="BY586">
            <v>11.497021325386617</v>
          </cell>
        </row>
        <row r="587">
          <cell r="A587">
            <v>40259</v>
          </cell>
          <cell r="BF587">
            <v>15.792382727100433</v>
          </cell>
          <cell r="BG587">
            <v>17.429620749261797</v>
          </cell>
          <cell r="BH587">
            <v>16.109902701379674</v>
          </cell>
          <cell r="BI587">
            <v>13.839355674417275</v>
          </cell>
          <cell r="BJ587">
            <v>18.380449728342072</v>
          </cell>
          <cell r="BU587">
            <v>9.6063126841646653</v>
          </cell>
          <cell r="BV587">
            <v>11.522967903511651</v>
          </cell>
          <cell r="BW587">
            <v>10.055977276238897</v>
          </cell>
          <cell r="BX587">
            <v>8.6149332270911767</v>
          </cell>
          <cell r="BY587">
            <v>11.497021325386617</v>
          </cell>
        </row>
        <row r="588">
          <cell r="A588">
            <v>40260</v>
          </cell>
          <cell r="BF588">
            <v>15.782132023394704</v>
          </cell>
          <cell r="BG588">
            <v>17.429620749261797</v>
          </cell>
          <cell r="BH588">
            <v>16.109902701379674</v>
          </cell>
          <cell r="BI588">
            <v>13.839355674417275</v>
          </cell>
          <cell r="BJ588">
            <v>18.380449728342072</v>
          </cell>
          <cell r="BU588">
            <v>9.600474239527486</v>
          </cell>
          <cell r="BV588">
            <v>11.522967903511651</v>
          </cell>
          <cell r="BW588">
            <v>10.055977276238897</v>
          </cell>
          <cell r="BX588">
            <v>8.6149332270911767</v>
          </cell>
          <cell r="BY588">
            <v>11.497021325386617</v>
          </cell>
        </row>
        <row r="589">
          <cell r="A589">
            <v>40261</v>
          </cell>
          <cell r="BF589">
            <v>16.08957934794655</v>
          </cell>
          <cell r="BG589">
            <v>17.429620749261797</v>
          </cell>
          <cell r="BH589">
            <v>16.109902701379674</v>
          </cell>
          <cell r="BI589">
            <v>13.839355674417275</v>
          </cell>
          <cell r="BJ589">
            <v>18.380449728342072</v>
          </cell>
          <cell r="BU589">
            <v>9.7755855523480868</v>
          </cell>
          <cell r="BV589">
            <v>11.522967903511651</v>
          </cell>
          <cell r="BW589">
            <v>10.055977276238897</v>
          </cell>
          <cell r="BX589">
            <v>8.6149332270911767</v>
          </cell>
          <cell r="BY589">
            <v>11.497021325386617</v>
          </cell>
        </row>
        <row r="590">
          <cell r="A590">
            <v>40262</v>
          </cell>
          <cell r="BF590">
            <v>15.802632918399079</v>
          </cell>
          <cell r="BG590">
            <v>17.429620749261797</v>
          </cell>
          <cell r="BH590">
            <v>16.109902701379674</v>
          </cell>
          <cell r="BI590">
            <v>13.839355674417275</v>
          </cell>
          <cell r="BJ590">
            <v>18.380449728342072</v>
          </cell>
          <cell r="BU590">
            <v>9.6121508369525746</v>
          </cell>
          <cell r="BV590">
            <v>11.522967903511651</v>
          </cell>
          <cell r="BW590">
            <v>10.055977276238897</v>
          </cell>
          <cell r="BX590">
            <v>8.6149332270911767</v>
          </cell>
          <cell r="BY590">
            <v>11.497021325386617</v>
          </cell>
        </row>
        <row r="591">
          <cell r="A591">
            <v>40263</v>
          </cell>
          <cell r="BF591">
            <v>15.495185593847232</v>
          </cell>
          <cell r="BG591">
            <v>17.429620749261797</v>
          </cell>
          <cell r="BH591">
            <v>16.109902701379674</v>
          </cell>
          <cell r="BI591">
            <v>13.839355674417275</v>
          </cell>
          <cell r="BJ591">
            <v>18.380449728342072</v>
          </cell>
          <cell r="BU591">
            <v>9.4370395241319738</v>
          </cell>
          <cell r="BV591">
            <v>11.522967903511651</v>
          </cell>
          <cell r="BW591">
            <v>10.055977276238897</v>
          </cell>
          <cell r="BX591">
            <v>8.6149332270911767</v>
          </cell>
          <cell r="BY591">
            <v>11.497021325386617</v>
          </cell>
        </row>
        <row r="592">
          <cell r="A592">
            <v>40266</v>
          </cell>
          <cell r="BF592">
            <v>15.573065822749617</v>
          </cell>
          <cell r="BG592">
            <v>17.429620749261797</v>
          </cell>
          <cell r="BH592">
            <v>16.109902701379674</v>
          </cell>
          <cell r="BI592">
            <v>13.839355674417275</v>
          </cell>
          <cell r="BJ592">
            <v>18.380449728342072</v>
          </cell>
          <cell r="BU592">
            <v>9.4749813884187351</v>
          </cell>
          <cell r="BV592">
            <v>11.522967903511651</v>
          </cell>
          <cell r="BW592">
            <v>10.055977276238897</v>
          </cell>
          <cell r="BX592">
            <v>8.6149332270911767</v>
          </cell>
          <cell r="BY592">
            <v>11.497021325386617</v>
          </cell>
        </row>
        <row r="593">
          <cell r="A593">
            <v>40267</v>
          </cell>
          <cell r="BF593">
            <v>15.33718435309366</v>
          </cell>
          <cell r="BG593">
            <v>17.429620749261797</v>
          </cell>
          <cell r="BH593">
            <v>16.109902701379674</v>
          </cell>
          <cell r="BI593">
            <v>13.839355674417275</v>
          </cell>
          <cell r="BJ593">
            <v>18.380449728342072</v>
          </cell>
          <cell r="BU593">
            <v>9.340728681484693</v>
          </cell>
          <cell r="BV593">
            <v>11.522967903511651</v>
          </cell>
          <cell r="BW593">
            <v>10.055977276238897</v>
          </cell>
          <cell r="BX593">
            <v>8.6149332270911767</v>
          </cell>
          <cell r="BY593">
            <v>11.497021325386617</v>
          </cell>
        </row>
        <row r="594">
          <cell r="A594">
            <v>40268</v>
          </cell>
          <cell r="BF594">
            <v>15.342317260878229</v>
          </cell>
          <cell r="BG594">
            <v>17.429620749261797</v>
          </cell>
          <cell r="BH594">
            <v>16.109902701379674</v>
          </cell>
          <cell r="BI594">
            <v>13.839355674417275</v>
          </cell>
          <cell r="BJ594">
            <v>18.380449728342072</v>
          </cell>
          <cell r="BU594">
            <v>9.3405800213564696</v>
          </cell>
          <cell r="BV594">
            <v>11.522967903511651</v>
          </cell>
          <cell r="BW594">
            <v>10.055977276238897</v>
          </cell>
          <cell r="BX594">
            <v>8.6149332270911767</v>
          </cell>
          <cell r="BY594">
            <v>11.497021325386617</v>
          </cell>
        </row>
        <row r="595">
          <cell r="A595">
            <v>40269</v>
          </cell>
          <cell r="BF595">
            <v>15.050029698394063</v>
          </cell>
          <cell r="BG595">
            <v>17.429620749261797</v>
          </cell>
          <cell r="BH595">
            <v>16.109902701379674</v>
          </cell>
          <cell r="BI595">
            <v>13.839355674417275</v>
          </cell>
          <cell r="BJ595">
            <v>18.380449728342072</v>
          </cell>
          <cell r="BU595">
            <v>8.9924433615149582</v>
          </cell>
          <cell r="BV595">
            <v>11.522967903511651</v>
          </cell>
          <cell r="BW595">
            <v>10.055977276238897</v>
          </cell>
          <cell r="BX595">
            <v>8.6149332270911767</v>
          </cell>
          <cell r="BY595">
            <v>11.497021325386617</v>
          </cell>
        </row>
        <row r="596">
          <cell r="A596">
            <v>40270</v>
          </cell>
          <cell r="BF596">
            <v>15.078290412692187</v>
          </cell>
          <cell r="BG596">
            <v>17.429620749261797</v>
          </cell>
          <cell r="BH596">
            <v>16.109902701379674</v>
          </cell>
          <cell r="BI596">
            <v>13.839355674417275</v>
          </cell>
          <cell r="BJ596">
            <v>18.380449728342072</v>
          </cell>
          <cell r="BU596">
            <v>9.022147401354081</v>
          </cell>
          <cell r="BV596">
            <v>11.522967903511651</v>
          </cell>
          <cell r="BW596">
            <v>10.055977276238897</v>
          </cell>
          <cell r="BX596">
            <v>8.6149332270911767</v>
          </cell>
          <cell r="BY596">
            <v>11.497021325386617</v>
          </cell>
        </row>
        <row r="597">
          <cell r="A597">
            <v>40273</v>
          </cell>
          <cell r="BF597">
            <v>14.946853860297207</v>
          </cell>
          <cell r="BG597">
            <v>17.429620749261797</v>
          </cell>
          <cell r="BH597">
            <v>16.109902701379674</v>
          </cell>
          <cell r="BI597">
            <v>13.839355674417275</v>
          </cell>
          <cell r="BJ597">
            <v>18.380449728342072</v>
          </cell>
          <cell r="BU597">
            <v>8.9875495099487228</v>
          </cell>
          <cell r="BV597">
            <v>11.522967903511651</v>
          </cell>
          <cell r="BW597">
            <v>10.055977276238897</v>
          </cell>
          <cell r="BX597">
            <v>8.6149332270911767</v>
          </cell>
          <cell r="BY597">
            <v>11.497021325386617</v>
          </cell>
        </row>
        <row r="598">
          <cell r="A598">
            <v>40274</v>
          </cell>
          <cell r="BF598">
            <v>14.885744889975332</v>
          </cell>
          <cell r="BG598">
            <v>17.429620749261797</v>
          </cell>
          <cell r="BH598">
            <v>16.109902701379674</v>
          </cell>
          <cell r="BI598">
            <v>13.839355674417275</v>
          </cell>
          <cell r="BJ598">
            <v>18.380449728342072</v>
          </cell>
          <cell r="BU598">
            <v>8.952593795720361</v>
          </cell>
          <cell r="BV598">
            <v>11.522967903511651</v>
          </cell>
          <cell r="BW598">
            <v>10.055977276238897</v>
          </cell>
          <cell r="BX598">
            <v>8.6149332270911767</v>
          </cell>
          <cell r="BY598">
            <v>11.497021325386617</v>
          </cell>
        </row>
        <row r="599">
          <cell r="A599">
            <v>40275</v>
          </cell>
          <cell r="BF599">
            <v>14.814448629830387</v>
          </cell>
          <cell r="BG599">
            <v>17.429620749261797</v>
          </cell>
          <cell r="BH599">
            <v>16.109902701379674</v>
          </cell>
          <cell r="BI599">
            <v>13.839355674417275</v>
          </cell>
          <cell r="BJ599">
            <v>18.380449728342072</v>
          </cell>
          <cell r="BU599">
            <v>8.9095061716859938</v>
          </cell>
          <cell r="BV599">
            <v>11.522967903511651</v>
          </cell>
          <cell r="BW599">
            <v>10.055977276238897</v>
          </cell>
          <cell r="BX599">
            <v>8.6149332270911767</v>
          </cell>
          <cell r="BY599">
            <v>11.497021325386617</v>
          </cell>
        </row>
        <row r="600">
          <cell r="A600">
            <v>40276</v>
          </cell>
          <cell r="BF600">
            <v>15.288059318913712</v>
          </cell>
          <cell r="BG600">
            <v>17.429620749261797</v>
          </cell>
          <cell r="BH600">
            <v>16.109902701379674</v>
          </cell>
          <cell r="BI600">
            <v>13.839355674417275</v>
          </cell>
          <cell r="BJ600">
            <v>18.380449728342072</v>
          </cell>
          <cell r="BU600">
            <v>9.180352148516457</v>
          </cell>
          <cell r="BV600">
            <v>11.522967903511651</v>
          </cell>
          <cell r="BW600">
            <v>10.055977276238897</v>
          </cell>
          <cell r="BX600">
            <v>8.6149332270911767</v>
          </cell>
          <cell r="BY600">
            <v>11.497021325386617</v>
          </cell>
        </row>
        <row r="601">
          <cell r="A601">
            <v>40277</v>
          </cell>
          <cell r="BF601">
            <v>15.145466289361186</v>
          </cell>
          <cell r="BG601">
            <v>17.429620749261797</v>
          </cell>
          <cell r="BH601">
            <v>16.109902701379674</v>
          </cell>
          <cell r="BI601">
            <v>13.839355674417275</v>
          </cell>
          <cell r="BJ601">
            <v>18.380449728342072</v>
          </cell>
          <cell r="BU601">
            <v>9.098806800684212</v>
          </cell>
          <cell r="BV601">
            <v>11.522967903511651</v>
          </cell>
          <cell r="BW601">
            <v>10.055977276238897</v>
          </cell>
          <cell r="BX601">
            <v>8.6149332270911767</v>
          </cell>
          <cell r="BY601">
            <v>11.497021325386617</v>
          </cell>
        </row>
        <row r="602">
          <cell r="A602">
            <v>40280</v>
          </cell>
          <cell r="BF602">
            <v>15.145466289361186</v>
          </cell>
          <cell r="BG602">
            <v>17.429620749261797</v>
          </cell>
          <cell r="BH602">
            <v>16.109902701379674</v>
          </cell>
          <cell r="BI602">
            <v>13.839355674417275</v>
          </cell>
          <cell r="BJ602">
            <v>18.380449728342072</v>
          </cell>
          <cell r="BU602">
            <v>9.098806800684212</v>
          </cell>
          <cell r="BV602">
            <v>11.522967903511651</v>
          </cell>
          <cell r="BW602">
            <v>10.055977276238897</v>
          </cell>
          <cell r="BX602">
            <v>8.6149332270911767</v>
          </cell>
          <cell r="BY602">
            <v>11.497021325386617</v>
          </cell>
        </row>
        <row r="603">
          <cell r="A603">
            <v>40281</v>
          </cell>
          <cell r="BF603">
            <v>14.715411026376136</v>
          </cell>
          <cell r="BG603">
            <v>17.429620749261797</v>
          </cell>
          <cell r="BH603">
            <v>16.109902701379674</v>
          </cell>
          <cell r="BI603">
            <v>13.839355674417275</v>
          </cell>
          <cell r="BJ603">
            <v>18.380449728342072</v>
          </cell>
          <cell r="BU603">
            <v>8.8636078220234076</v>
          </cell>
          <cell r="BV603">
            <v>11.522967903511651</v>
          </cell>
          <cell r="BW603">
            <v>10.055977276238897</v>
          </cell>
          <cell r="BX603">
            <v>8.6149332270911767</v>
          </cell>
          <cell r="BY603">
            <v>11.497021325386617</v>
          </cell>
        </row>
        <row r="604">
          <cell r="A604">
            <v>40282</v>
          </cell>
          <cell r="BF604">
            <v>15.195314944256788</v>
          </cell>
          <cell r="BG604">
            <v>17.429620749261797</v>
          </cell>
          <cell r="BH604">
            <v>16.109902701379674</v>
          </cell>
          <cell r="BI604">
            <v>13.839355674417275</v>
          </cell>
          <cell r="BJ604">
            <v>18.380449728342072</v>
          </cell>
          <cell r="BU604">
            <v>9.1384949872511765</v>
          </cell>
          <cell r="BV604">
            <v>11.522967903511651</v>
          </cell>
          <cell r="BW604">
            <v>10.055977276238897</v>
          </cell>
          <cell r="BX604">
            <v>8.6149332270911767</v>
          </cell>
          <cell r="BY604">
            <v>11.497021325386617</v>
          </cell>
        </row>
        <row r="605">
          <cell r="A605">
            <v>40283</v>
          </cell>
          <cell r="BF605">
            <v>15.387279643423458</v>
          </cell>
          <cell r="BG605">
            <v>17.429620749261797</v>
          </cell>
          <cell r="BH605">
            <v>16.109902701379674</v>
          </cell>
          <cell r="BI605">
            <v>13.839355674417275</v>
          </cell>
          <cell r="BJ605">
            <v>18.380449728342072</v>
          </cell>
          <cell r="BU605">
            <v>9.2484516473483946</v>
          </cell>
          <cell r="BV605">
            <v>11.522967903511651</v>
          </cell>
          <cell r="BW605">
            <v>10.055977276238897</v>
          </cell>
          <cell r="BX605">
            <v>8.6149332270911767</v>
          </cell>
          <cell r="BY605">
            <v>11.497021325386617</v>
          </cell>
        </row>
        <row r="606">
          <cell r="A606">
            <v>40284</v>
          </cell>
          <cell r="BF606">
            <v>14.707834077328622</v>
          </cell>
          <cell r="BG606">
            <v>17.429620749261797</v>
          </cell>
          <cell r="BH606">
            <v>16.109902701379674</v>
          </cell>
          <cell r="BI606">
            <v>13.839355674417275</v>
          </cell>
          <cell r="BJ606">
            <v>18.380449728342072</v>
          </cell>
          <cell r="BU606">
            <v>8.8592677740114123</v>
          </cell>
          <cell r="BV606">
            <v>11.522967903511651</v>
          </cell>
          <cell r="BW606">
            <v>10.055977276238897</v>
          </cell>
          <cell r="BX606">
            <v>8.6149332270911767</v>
          </cell>
          <cell r="BY606">
            <v>11.497021325386617</v>
          </cell>
        </row>
        <row r="607">
          <cell r="A607">
            <v>40287</v>
          </cell>
          <cell r="BF607">
            <v>14.654793918505176</v>
          </cell>
          <cell r="BG607">
            <v>17.429620749261797</v>
          </cell>
          <cell r="BH607">
            <v>16.109902701379674</v>
          </cell>
          <cell r="BI607">
            <v>13.839355674417275</v>
          </cell>
          <cell r="BJ607">
            <v>18.380449728342072</v>
          </cell>
          <cell r="BU607">
            <v>8.8288865698599732</v>
          </cell>
          <cell r="BV607">
            <v>11.522967903511651</v>
          </cell>
          <cell r="BW607">
            <v>10.055977276238897</v>
          </cell>
          <cell r="BX607">
            <v>8.6149332270911767</v>
          </cell>
          <cell r="BY607">
            <v>11.497021325386617</v>
          </cell>
        </row>
        <row r="608">
          <cell r="A608">
            <v>40288</v>
          </cell>
          <cell r="BF608">
            <v>14.649744808182493</v>
          </cell>
          <cell r="BG608">
            <v>17.429620749261797</v>
          </cell>
          <cell r="BH608">
            <v>16.109902701379674</v>
          </cell>
          <cell r="BI608">
            <v>13.839355674417275</v>
          </cell>
          <cell r="BJ608">
            <v>18.380449728342072</v>
          </cell>
          <cell r="BU608">
            <v>8.8259944583938825</v>
          </cell>
          <cell r="BV608">
            <v>11.522967903511651</v>
          </cell>
          <cell r="BW608">
            <v>10.055977276238897</v>
          </cell>
          <cell r="BX608">
            <v>8.6149332270911767</v>
          </cell>
          <cell r="BY608">
            <v>11.497021325386617</v>
          </cell>
        </row>
        <row r="609">
          <cell r="A609">
            <v>40289</v>
          </cell>
          <cell r="BF609">
            <v>14.75645420307349</v>
          </cell>
          <cell r="BG609">
            <v>17.429620749261797</v>
          </cell>
          <cell r="BH609">
            <v>16.109902701379674</v>
          </cell>
          <cell r="BI609">
            <v>13.839355674417275</v>
          </cell>
          <cell r="BJ609">
            <v>18.380449728342072</v>
          </cell>
          <cell r="BU609">
            <v>8.8618729624658457</v>
          </cell>
          <cell r="BV609">
            <v>11.522967903511651</v>
          </cell>
          <cell r="BW609">
            <v>10.055977276238897</v>
          </cell>
          <cell r="BX609">
            <v>8.6149332270911767</v>
          </cell>
          <cell r="BY609">
            <v>11.497021325386617</v>
          </cell>
        </row>
        <row r="610">
          <cell r="A610">
            <v>40290</v>
          </cell>
          <cell r="BF610">
            <v>15.095159200250976</v>
          </cell>
          <cell r="BG610">
            <v>17.429620749261797</v>
          </cell>
          <cell r="BH610">
            <v>16.109902701379674</v>
          </cell>
          <cell r="BI610">
            <v>13.839355674417275</v>
          </cell>
          <cell r="BJ610">
            <v>18.380449728342072</v>
          </cell>
          <cell r="BU610">
            <v>9.0553239365737195</v>
          </cell>
          <cell r="BV610">
            <v>11.522967903511651</v>
          </cell>
          <cell r="BW610">
            <v>10.055977276238897</v>
          </cell>
          <cell r="BX610">
            <v>8.6149332270911767</v>
          </cell>
          <cell r="BY610">
            <v>11.497021325386617</v>
          </cell>
        </row>
        <row r="611">
          <cell r="A611">
            <v>40291</v>
          </cell>
          <cell r="BF611">
            <v>15.140662583098301</v>
          </cell>
          <cell r="BG611">
            <v>17.429620749261797</v>
          </cell>
          <cell r="BH611">
            <v>16.109902701379674</v>
          </cell>
          <cell r="BI611">
            <v>13.839355674417275</v>
          </cell>
          <cell r="BJ611">
            <v>18.380449728342072</v>
          </cell>
          <cell r="BU611">
            <v>9.0813131419600417</v>
          </cell>
          <cell r="BV611">
            <v>11.522967903511651</v>
          </cell>
          <cell r="BW611">
            <v>10.055977276238897</v>
          </cell>
          <cell r="BX611">
            <v>8.6149332270911767</v>
          </cell>
          <cell r="BY611">
            <v>11.497021325386617</v>
          </cell>
        </row>
        <row r="612">
          <cell r="A612">
            <v>40294</v>
          </cell>
          <cell r="BF612">
            <v>15.206376604010455</v>
          </cell>
          <cell r="BG612">
            <v>17.429620749261797</v>
          </cell>
          <cell r="BH612">
            <v>16.109902701379674</v>
          </cell>
          <cell r="BI612">
            <v>13.839355674417275</v>
          </cell>
          <cell r="BJ612">
            <v>18.380449728342072</v>
          </cell>
          <cell r="BU612">
            <v>9.1188456303022214</v>
          </cell>
          <cell r="BV612">
            <v>11.522967903511651</v>
          </cell>
          <cell r="BW612">
            <v>10.055977276238897</v>
          </cell>
          <cell r="BX612">
            <v>8.6149332270911767</v>
          </cell>
          <cell r="BY612">
            <v>11.497021325386617</v>
          </cell>
        </row>
        <row r="613">
          <cell r="A613">
            <v>40295</v>
          </cell>
          <cell r="BF613">
            <v>15.449037215534911</v>
          </cell>
          <cell r="BG613">
            <v>17.429620749261797</v>
          </cell>
          <cell r="BH613">
            <v>16.109902701379674</v>
          </cell>
          <cell r="BI613">
            <v>13.839355674417275</v>
          </cell>
          <cell r="BJ613">
            <v>18.380449728342072</v>
          </cell>
          <cell r="BU613">
            <v>9.2574409627248482</v>
          </cell>
          <cell r="BV613">
            <v>11.522967903511651</v>
          </cell>
          <cell r="BW613">
            <v>10.055977276238897</v>
          </cell>
          <cell r="BX613">
            <v>8.6149332270911767</v>
          </cell>
          <cell r="BY613">
            <v>11.497021325386617</v>
          </cell>
        </row>
        <row r="614">
          <cell r="A614">
            <v>40296</v>
          </cell>
          <cell r="BF614">
            <v>15.474307716937762</v>
          </cell>
          <cell r="BG614">
            <v>17.429620749261797</v>
          </cell>
          <cell r="BH614">
            <v>16.109902701379674</v>
          </cell>
          <cell r="BI614">
            <v>13.839355674417275</v>
          </cell>
          <cell r="BJ614">
            <v>18.380449728342072</v>
          </cell>
          <cell r="BU614">
            <v>9.2718741808743115</v>
          </cell>
          <cell r="BV614">
            <v>11.522967903511651</v>
          </cell>
          <cell r="BW614">
            <v>10.055977276238897</v>
          </cell>
          <cell r="BX614">
            <v>8.6149332270911767</v>
          </cell>
          <cell r="BY614">
            <v>11.497021325386617</v>
          </cell>
        </row>
        <row r="615">
          <cell r="A615">
            <v>40297</v>
          </cell>
          <cell r="BF615">
            <v>15.422497554395274</v>
          </cell>
          <cell r="BG615">
            <v>17.429620749261797</v>
          </cell>
          <cell r="BH615">
            <v>16.109902701379674</v>
          </cell>
          <cell r="BI615">
            <v>13.839355674417275</v>
          </cell>
          <cell r="BJ615">
            <v>18.380449728342072</v>
          </cell>
          <cell r="BU615">
            <v>9.2343416925321335</v>
          </cell>
          <cell r="BV615">
            <v>11.522967903511651</v>
          </cell>
          <cell r="BW615">
            <v>10.055977276238897</v>
          </cell>
          <cell r="BX615">
            <v>8.6149332270911767</v>
          </cell>
          <cell r="BY615">
            <v>11.497021325386617</v>
          </cell>
        </row>
        <row r="616">
          <cell r="A616">
            <v>40298</v>
          </cell>
          <cell r="BF616">
            <v>15.559116208468488</v>
          </cell>
          <cell r="BG616">
            <v>17.429620749261797</v>
          </cell>
          <cell r="BH616">
            <v>16.109902701379674</v>
          </cell>
          <cell r="BI616">
            <v>13.839355674417275</v>
          </cell>
          <cell r="BJ616">
            <v>18.380449728342072</v>
          </cell>
          <cell r="BU616">
            <v>9.3123009354149815</v>
          </cell>
          <cell r="BV616">
            <v>11.522967903511651</v>
          </cell>
          <cell r="BW616">
            <v>10.055977276238897</v>
          </cell>
          <cell r="BX616">
            <v>8.6149332270911767</v>
          </cell>
          <cell r="BY616">
            <v>11.497021325386617</v>
          </cell>
        </row>
        <row r="617">
          <cell r="A617">
            <v>40301</v>
          </cell>
          <cell r="BF617">
            <v>15.498392646316347</v>
          </cell>
          <cell r="BG617">
            <v>17.429620749261797</v>
          </cell>
          <cell r="BH617">
            <v>16.109902701379674</v>
          </cell>
          <cell r="BI617">
            <v>13.839355674417275</v>
          </cell>
          <cell r="BJ617">
            <v>18.380449728342072</v>
          </cell>
          <cell r="BU617">
            <v>9.3584374907492229</v>
          </cell>
          <cell r="BV617">
            <v>11.522967903511651</v>
          </cell>
          <cell r="BW617">
            <v>10.055977276238897</v>
          </cell>
          <cell r="BX617">
            <v>8.6149332270911767</v>
          </cell>
          <cell r="BY617">
            <v>11.497021325386617</v>
          </cell>
        </row>
        <row r="618">
          <cell r="A618">
            <v>40302</v>
          </cell>
          <cell r="BF618">
            <v>15.293421247893678</v>
          </cell>
          <cell r="BG618">
            <v>17.429620749261797</v>
          </cell>
          <cell r="BH618">
            <v>16.109902701379674</v>
          </cell>
          <cell r="BI618">
            <v>13.839355674417275</v>
          </cell>
          <cell r="BJ618">
            <v>18.380449728342072</v>
          </cell>
          <cell r="BU618">
            <v>9.2418907638164374</v>
          </cell>
          <cell r="BV618">
            <v>11.522967903511651</v>
          </cell>
          <cell r="BW618">
            <v>10.055977276238897</v>
          </cell>
          <cell r="BX618">
            <v>8.6149332270911767</v>
          </cell>
          <cell r="BY618">
            <v>11.497021325386617</v>
          </cell>
        </row>
        <row r="619">
          <cell r="A619">
            <v>40303</v>
          </cell>
          <cell r="BF619">
            <v>15.156825632379329</v>
          </cell>
          <cell r="BG619">
            <v>17.429620749261797</v>
          </cell>
          <cell r="BH619">
            <v>16.109902701379674</v>
          </cell>
          <cell r="BI619">
            <v>13.839355674417275</v>
          </cell>
          <cell r="BJ619">
            <v>18.380449728342072</v>
          </cell>
          <cell r="BU619">
            <v>9.1632193775987449</v>
          </cell>
          <cell r="BV619">
            <v>11.522967903511651</v>
          </cell>
          <cell r="BW619">
            <v>10.055977276238897</v>
          </cell>
          <cell r="BX619">
            <v>8.6149332270911767</v>
          </cell>
          <cell r="BY619">
            <v>11.497021325386617</v>
          </cell>
        </row>
        <row r="620">
          <cell r="A620">
            <v>40304</v>
          </cell>
          <cell r="BF620">
            <v>14.843168802699701</v>
          </cell>
          <cell r="BG620">
            <v>17.429620749261797</v>
          </cell>
          <cell r="BH620">
            <v>16.109902701379674</v>
          </cell>
          <cell r="BI620">
            <v>13.839355674417275</v>
          </cell>
          <cell r="BJ620">
            <v>18.380449728342072</v>
          </cell>
          <cell r="BU620">
            <v>8.9825706979568185</v>
          </cell>
          <cell r="BV620">
            <v>11.522967903511651</v>
          </cell>
          <cell r="BW620">
            <v>10.055977276238897</v>
          </cell>
          <cell r="BX620">
            <v>8.6149332270911767</v>
          </cell>
          <cell r="BY620">
            <v>11.497021325386617</v>
          </cell>
        </row>
        <row r="621">
          <cell r="A621">
            <v>40305</v>
          </cell>
          <cell r="BF621">
            <v>14.959524283306797</v>
          </cell>
          <cell r="BG621">
            <v>17.429620749261797</v>
          </cell>
          <cell r="BH621">
            <v>16.109902701379674</v>
          </cell>
          <cell r="BI621">
            <v>13.839355674417275</v>
          </cell>
          <cell r="BJ621">
            <v>18.380449728342072</v>
          </cell>
          <cell r="BU621">
            <v>9.0495849056890165</v>
          </cell>
          <cell r="BV621">
            <v>11.522967903511651</v>
          </cell>
          <cell r="BW621">
            <v>10.055977276238897</v>
          </cell>
          <cell r="BX621">
            <v>8.6149332270911767</v>
          </cell>
          <cell r="BY621">
            <v>11.497021325386617</v>
          </cell>
        </row>
        <row r="622">
          <cell r="A622">
            <v>40308</v>
          </cell>
          <cell r="BF622">
            <v>15.050590219225862</v>
          </cell>
          <cell r="BG622">
            <v>17.429620749261797</v>
          </cell>
          <cell r="BH622">
            <v>16.109902701379674</v>
          </cell>
          <cell r="BI622">
            <v>13.839355674417275</v>
          </cell>
          <cell r="BJ622">
            <v>18.380449728342072</v>
          </cell>
          <cell r="BU622">
            <v>9.1020337591092932</v>
          </cell>
          <cell r="BV622">
            <v>11.522967903511651</v>
          </cell>
          <cell r="BW622">
            <v>10.055977276238897</v>
          </cell>
          <cell r="BX622">
            <v>8.6149332270911767</v>
          </cell>
          <cell r="BY622">
            <v>11.497021325386617</v>
          </cell>
        </row>
        <row r="623">
          <cell r="A623">
            <v>40309</v>
          </cell>
          <cell r="BF623">
            <v>14.539624451940815</v>
          </cell>
          <cell r="BG623">
            <v>17.429620749261797</v>
          </cell>
          <cell r="BH623">
            <v>16.109902701379674</v>
          </cell>
          <cell r="BI623">
            <v>13.839355674417275</v>
          </cell>
          <cell r="BJ623">
            <v>18.380449728342072</v>
          </cell>
          <cell r="BU623">
            <v>8.8077462369898232</v>
          </cell>
          <cell r="BV623">
            <v>11.522967903511651</v>
          </cell>
          <cell r="BW623">
            <v>10.055977276238897</v>
          </cell>
          <cell r="BX623">
            <v>8.6149332270911767</v>
          </cell>
          <cell r="BY623">
            <v>11.497021325386617</v>
          </cell>
        </row>
        <row r="624">
          <cell r="A624">
            <v>40310</v>
          </cell>
          <cell r="BF624">
            <v>14.433389038787348</v>
          </cell>
          <cell r="BG624">
            <v>17.429620749261797</v>
          </cell>
          <cell r="BH624">
            <v>16.109902701379674</v>
          </cell>
          <cell r="BI624">
            <v>13.839355674417275</v>
          </cell>
          <cell r="BJ624">
            <v>18.380449728342072</v>
          </cell>
          <cell r="BU624">
            <v>8.7465606185003715</v>
          </cell>
          <cell r="BV624">
            <v>11.522967903511651</v>
          </cell>
          <cell r="BW624">
            <v>10.055977276238897</v>
          </cell>
          <cell r="BX624">
            <v>8.6149332270911767</v>
          </cell>
          <cell r="BY624">
            <v>11.497021325386617</v>
          </cell>
        </row>
        <row r="625">
          <cell r="A625">
            <v>40311</v>
          </cell>
          <cell r="BF625">
            <v>14.419069510664993</v>
          </cell>
          <cell r="BG625">
            <v>17.429620749261797</v>
          </cell>
          <cell r="BH625">
            <v>16.109902701379674</v>
          </cell>
          <cell r="BI625">
            <v>13.839355674417275</v>
          </cell>
          <cell r="BJ625">
            <v>18.380449728342072</v>
          </cell>
          <cell r="BU625">
            <v>8.7524794591644426</v>
          </cell>
          <cell r="BV625">
            <v>11.522967903511651</v>
          </cell>
          <cell r="BW625">
            <v>10.055977276238897</v>
          </cell>
          <cell r="BX625">
            <v>8.6149332270911767</v>
          </cell>
          <cell r="BY625">
            <v>11.497021325386617</v>
          </cell>
        </row>
        <row r="626">
          <cell r="A626">
            <v>40312</v>
          </cell>
          <cell r="BF626">
            <v>14.30865495608532</v>
          </cell>
          <cell r="BG626">
            <v>17.429620749261797</v>
          </cell>
          <cell r="BH626">
            <v>16.109902701379674</v>
          </cell>
          <cell r="BI626">
            <v>13.839355674417275</v>
          </cell>
          <cell r="BJ626">
            <v>18.380449728342072</v>
          </cell>
          <cell r="BU626">
            <v>8.6887586638004226</v>
          </cell>
          <cell r="BV626">
            <v>11.522967903511651</v>
          </cell>
          <cell r="BW626">
            <v>10.055977276238897</v>
          </cell>
          <cell r="BX626">
            <v>8.6149332270911767</v>
          </cell>
          <cell r="BY626">
            <v>11.497021325386617</v>
          </cell>
        </row>
        <row r="627">
          <cell r="A627">
            <v>40315</v>
          </cell>
          <cell r="BF627">
            <v>14.30865495608532</v>
          </cell>
          <cell r="BG627">
            <v>17.429620749261797</v>
          </cell>
          <cell r="BH627">
            <v>16.109902701379674</v>
          </cell>
          <cell r="BI627">
            <v>13.839355674417275</v>
          </cell>
          <cell r="BJ627">
            <v>18.380449728342072</v>
          </cell>
          <cell r="BU627">
            <v>8.6887586638004226</v>
          </cell>
          <cell r="BV627">
            <v>11.522967903511651</v>
          </cell>
          <cell r="BW627">
            <v>10.055977276238897</v>
          </cell>
          <cell r="BX627">
            <v>8.6149332270911767</v>
          </cell>
          <cell r="BY627">
            <v>11.497021325386617</v>
          </cell>
        </row>
        <row r="628">
          <cell r="A628">
            <v>40316</v>
          </cell>
          <cell r="BF628">
            <v>14.203256210790464</v>
          </cell>
          <cell r="BG628">
            <v>17.429620749261797</v>
          </cell>
          <cell r="BH628">
            <v>16.109902701379674</v>
          </cell>
          <cell r="BI628">
            <v>13.839355674417275</v>
          </cell>
          <cell r="BJ628">
            <v>18.380449728342072</v>
          </cell>
          <cell r="BU628">
            <v>8.6318377097320518</v>
          </cell>
          <cell r="BV628">
            <v>11.522967903511651</v>
          </cell>
          <cell r="BW628">
            <v>10.055977276238897</v>
          </cell>
          <cell r="BX628">
            <v>8.6149332270911767</v>
          </cell>
          <cell r="BY628">
            <v>11.497021325386617</v>
          </cell>
        </row>
        <row r="629">
          <cell r="A629">
            <v>40317</v>
          </cell>
          <cell r="BF629">
            <v>14.389645886088671</v>
          </cell>
          <cell r="BG629">
            <v>17.429620749261797</v>
          </cell>
          <cell r="BH629">
            <v>16.109902701379674</v>
          </cell>
          <cell r="BI629">
            <v>13.839355674417275</v>
          </cell>
          <cell r="BJ629">
            <v>18.380449728342072</v>
          </cell>
          <cell r="BU629">
            <v>8.7265865670315694</v>
          </cell>
          <cell r="BV629">
            <v>11.522967903511651</v>
          </cell>
          <cell r="BW629">
            <v>10.055977276238897</v>
          </cell>
          <cell r="BX629">
            <v>8.6149332270911767</v>
          </cell>
          <cell r="BY629">
            <v>11.497021325386617</v>
          </cell>
        </row>
        <row r="630">
          <cell r="A630">
            <v>40318</v>
          </cell>
          <cell r="BF630">
            <v>14.369544093412115</v>
          </cell>
          <cell r="BG630">
            <v>17.429620749261797</v>
          </cell>
          <cell r="BH630">
            <v>16.109902701379674</v>
          </cell>
          <cell r="BI630">
            <v>13.839355674417275</v>
          </cell>
          <cell r="BJ630">
            <v>18.380449728342072</v>
          </cell>
          <cell r="BU630">
            <v>8.7149981834848731</v>
          </cell>
          <cell r="BV630">
            <v>11.522967903511651</v>
          </cell>
          <cell r="BW630">
            <v>10.055977276238897</v>
          </cell>
          <cell r="BX630">
            <v>8.6149332270911767</v>
          </cell>
          <cell r="BY630">
            <v>11.497021325386617</v>
          </cell>
        </row>
        <row r="631">
          <cell r="A631">
            <v>40319</v>
          </cell>
          <cell r="BF631">
            <v>14.379595240966278</v>
          </cell>
          <cell r="BG631">
            <v>17.429620749261797</v>
          </cell>
          <cell r="BH631">
            <v>16.109902701379674</v>
          </cell>
          <cell r="BI631">
            <v>13.839355674417275</v>
          </cell>
          <cell r="BJ631">
            <v>18.380449728342072</v>
          </cell>
          <cell r="BU631">
            <v>8.7207925200804315</v>
          </cell>
          <cell r="BV631">
            <v>11.522967903511651</v>
          </cell>
          <cell r="BW631">
            <v>10.055977276238897</v>
          </cell>
          <cell r="BX631">
            <v>8.6149332270911767</v>
          </cell>
          <cell r="BY631">
            <v>11.497021325386617</v>
          </cell>
        </row>
        <row r="632">
          <cell r="A632">
            <v>40322</v>
          </cell>
          <cell r="BF632">
            <v>14.334377888982678</v>
          </cell>
          <cell r="BG632">
            <v>17.429620749261797</v>
          </cell>
          <cell r="BH632">
            <v>16.109902701379674</v>
          </cell>
          <cell r="BI632">
            <v>13.839355674417275</v>
          </cell>
          <cell r="BJ632">
            <v>18.380449728342072</v>
          </cell>
          <cell r="BU632">
            <v>8.6947253913331028</v>
          </cell>
          <cell r="BV632">
            <v>11.522967903511651</v>
          </cell>
          <cell r="BW632">
            <v>10.055977276238897</v>
          </cell>
          <cell r="BX632">
            <v>8.6149332270911767</v>
          </cell>
          <cell r="BY632">
            <v>11.497021325386617</v>
          </cell>
        </row>
        <row r="633">
          <cell r="A633">
            <v>40323</v>
          </cell>
          <cell r="BF633">
            <v>14.63081112584911</v>
          </cell>
          <cell r="BG633">
            <v>17.429620749261797</v>
          </cell>
          <cell r="BH633">
            <v>16.109902701379674</v>
          </cell>
          <cell r="BI633">
            <v>13.839355674417275</v>
          </cell>
          <cell r="BJ633">
            <v>18.380449728342072</v>
          </cell>
          <cell r="BU633">
            <v>8.8656147294170129</v>
          </cell>
          <cell r="BV633">
            <v>11.522967903511651</v>
          </cell>
          <cell r="BW633">
            <v>10.055977276238897</v>
          </cell>
          <cell r="BX633">
            <v>8.6149332270911767</v>
          </cell>
          <cell r="BY633">
            <v>11.497021325386617</v>
          </cell>
        </row>
        <row r="634">
          <cell r="A634">
            <v>40324</v>
          </cell>
          <cell r="BF634">
            <v>14.650904879617348</v>
          </cell>
          <cell r="BG634">
            <v>17.429620749261797</v>
          </cell>
          <cell r="BH634">
            <v>16.109902701379674</v>
          </cell>
          <cell r="BI634">
            <v>13.839355674417275</v>
          </cell>
          <cell r="BJ634">
            <v>18.380449728342072</v>
          </cell>
          <cell r="BU634">
            <v>8.8771984786530069</v>
          </cell>
          <cell r="BV634">
            <v>11.522967903511651</v>
          </cell>
          <cell r="BW634">
            <v>10.055977276238897</v>
          </cell>
          <cell r="BX634">
            <v>8.6149332270911767</v>
          </cell>
          <cell r="BY634">
            <v>11.497021325386617</v>
          </cell>
        </row>
        <row r="635">
          <cell r="A635">
            <v>40325</v>
          </cell>
          <cell r="BF635">
            <v>14.550420032959526</v>
          </cell>
          <cell r="BG635">
            <v>17.429620749261797</v>
          </cell>
          <cell r="BH635">
            <v>16.109902701379674</v>
          </cell>
          <cell r="BI635">
            <v>13.839355674417275</v>
          </cell>
          <cell r="BJ635">
            <v>18.380449728342072</v>
          </cell>
          <cell r="BU635">
            <v>8.8192704638516322</v>
          </cell>
          <cell r="BV635">
            <v>11.522967903511651</v>
          </cell>
          <cell r="BW635">
            <v>10.055977276238897</v>
          </cell>
          <cell r="BX635">
            <v>8.6149332270911767</v>
          </cell>
          <cell r="BY635">
            <v>11.497021325386617</v>
          </cell>
        </row>
        <row r="636">
          <cell r="A636">
            <v>40326</v>
          </cell>
          <cell r="BF636">
            <v>14.037504069342862</v>
          </cell>
          <cell r="BG636">
            <v>17.429620749261797</v>
          </cell>
          <cell r="BH636">
            <v>16.109902701379674</v>
          </cell>
          <cell r="BI636">
            <v>13.839355674417275</v>
          </cell>
          <cell r="BJ636">
            <v>18.380449728342072</v>
          </cell>
          <cell r="BU636">
            <v>8.5303833029912646</v>
          </cell>
          <cell r="BV636">
            <v>11.522967903511651</v>
          </cell>
          <cell r="BW636">
            <v>10.055977276238897</v>
          </cell>
          <cell r="BX636">
            <v>8.6149332270911767</v>
          </cell>
          <cell r="BY636">
            <v>11.497021325386617</v>
          </cell>
        </row>
        <row r="637">
          <cell r="A637">
            <v>40329</v>
          </cell>
          <cell r="BF637">
            <v>13.936942342910797</v>
          </cell>
          <cell r="BG637">
            <v>17.429620749261797</v>
          </cell>
          <cell r="BH637">
            <v>16.109902701379674</v>
          </cell>
          <cell r="BI637">
            <v>13.839355674417275</v>
          </cell>
          <cell r="BJ637">
            <v>18.380449728342072</v>
          </cell>
          <cell r="BU637">
            <v>8.4723667205989592</v>
          </cell>
          <cell r="BV637">
            <v>11.522967903511651</v>
          </cell>
          <cell r="BW637">
            <v>10.055977276238897</v>
          </cell>
          <cell r="BX637">
            <v>8.6149332270911767</v>
          </cell>
          <cell r="BY637">
            <v>11.497021325386617</v>
          </cell>
        </row>
        <row r="638">
          <cell r="A638">
            <v>40330</v>
          </cell>
          <cell r="BF638">
            <v>13.881636988221217</v>
          </cell>
          <cell r="BG638">
            <v>17.429620749261797</v>
          </cell>
          <cell r="BH638">
            <v>16.109902701379674</v>
          </cell>
          <cell r="BI638">
            <v>13.839355674417275</v>
          </cell>
          <cell r="BJ638">
            <v>18.380449728342072</v>
          </cell>
          <cell r="BU638">
            <v>8.4404596742412021</v>
          </cell>
          <cell r="BV638">
            <v>11.522967903511651</v>
          </cell>
          <cell r="BW638">
            <v>10.055977276238897</v>
          </cell>
          <cell r="BX638">
            <v>8.6149332270911767</v>
          </cell>
          <cell r="BY638">
            <v>11.497021325386617</v>
          </cell>
        </row>
        <row r="639">
          <cell r="A639">
            <v>40331</v>
          </cell>
          <cell r="BF639">
            <v>13.368811047998765</v>
          </cell>
          <cell r="BG639">
            <v>17.429620749261797</v>
          </cell>
          <cell r="BH639">
            <v>16.109902701379674</v>
          </cell>
          <cell r="BI639">
            <v>13.839355674417275</v>
          </cell>
          <cell r="BJ639">
            <v>18.380449728342072</v>
          </cell>
          <cell r="BU639">
            <v>8.144597525992106</v>
          </cell>
          <cell r="BV639">
            <v>11.522967903511651</v>
          </cell>
          <cell r="BW639">
            <v>10.055977276238897</v>
          </cell>
          <cell r="BX639">
            <v>8.6149332270911767</v>
          </cell>
          <cell r="BY639">
            <v>11.497021325386617</v>
          </cell>
        </row>
        <row r="640">
          <cell r="A640">
            <v>40332</v>
          </cell>
          <cell r="BF640">
            <v>13.51802781556535</v>
          </cell>
          <cell r="BG640">
            <v>17.429620749261797</v>
          </cell>
          <cell r="BH640">
            <v>16.109902701379674</v>
          </cell>
          <cell r="BI640">
            <v>13.839355674417275</v>
          </cell>
          <cell r="BJ640">
            <v>18.380449728342072</v>
          </cell>
          <cell r="BU640">
            <v>8.2287140723050562</v>
          </cell>
          <cell r="BV640">
            <v>11.522967903511651</v>
          </cell>
          <cell r="BW640">
            <v>10.055977276238897</v>
          </cell>
          <cell r="BX640">
            <v>8.6149332270911767</v>
          </cell>
          <cell r="BY640">
            <v>11.497021325386617</v>
          </cell>
        </row>
        <row r="641">
          <cell r="A641">
            <v>40333</v>
          </cell>
          <cell r="BF641">
            <v>13.553234546419205</v>
          </cell>
          <cell r="BG641">
            <v>17.429620749261797</v>
          </cell>
          <cell r="BH641">
            <v>16.109902701379674</v>
          </cell>
          <cell r="BI641">
            <v>13.839355674417275</v>
          </cell>
          <cell r="BJ641">
            <v>18.380449728342072</v>
          </cell>
          <cell r="BU641">
            <v>8.2490205867993058</v>
          </cell>
          <cell r="BV641">
            <v>11.522967903511651</v>
          </cell>
          <cell r="BW641">
            <v>10.055977276238897</v>
          </cell>
          <cell r="BX641">
            <v>8.6149332270911767</v>
          </cell>
          <cell r="BY641">
            <v>11.497021325386617</v>
          </cell>
        </row>
        <row r="642">
          <cell r="A642">
            <v>40336</v>
          </cell>
          <cell r="BF642">
            <v>13.72422006029807</v>
          </cell>
          <cell r="BG642">
            <v>17.429620749261797</v>
          </cell>
          <cell r="BH642">
            <v>16.109902701379674</v>
          </cell>
          <cell r="BI642">
            <v>13.839355674417275</v>
          </cell>
          <cell r="BJ642">
            <v>18.380449728342072</v>
          </cell>
          <cell r="BU642">
            <v>8.347641496258376</v>
          </cell>
          <cell r="BV642">
            <v>11.522967903511651</v>
          </cell>
          <cell r="BW642">
            <v>10.055977276238897</v>
          </cell>
          <cell r="BX642">
            <v>8.6149332270911767</v>
          </cell>
          <cell r="BY642">
            <v>11.497021325386617</v>
          </cell>
        </row>
        <row r="643">
          <cell r="A643">
            <v>40337</v>
          </cell>
          <cell r="BF643">
            <v>13.60855438015947</v>
          </cell>
          <cell r="BG643">
            <v>17.429620749261797</v>
          </cell>
          <cell r="BH643">
            <v>16.109902701379674</v>
          </cell>
          <cell r="BI643">
            <v>13.839355674417275</v>
          </cell>
          <cell r="BJ643">
            <v>18.380449728342072</v>
          </cell>
          <cell r="BU643">
            <v>8.2809279232211175</v>
          </cell>
          <cell r="BV643">
            <v>11.522967903511651</v>
          </cell>
          <cell r="BW643">
            <v>10.055977276238897</v>
          </cell>
          <cell r="BX643">
            <v>8.6149332270911767</v>
          </cell>
          <cell r="BY643">
            <v>11.497021325386617</v>
          </cell>
        </row>
        <row r="644">
          <cell r="A644">
            <v>40338</v>
          </cell>
          <cell r="BF644">
            <v>13.372189463679087</v>
          </cell>
          <cell r="BG644">
            <v>17.429620749261797</v>
          </cell>
          <cell r="BH644">
            <v>16.109902701379674</v>
          </cell>
          <cell r="BI644">
            <v>13.839355674417275</v>
          </cell>
          <cell r="BJ644">
            <v>18.380449728342072</v>
          </cell>
          <cell r="BU644">
            <v>8.144597525992106</v>
          </cell>
          <cell r="BV644">
            <v>11.522967903511651</v>
          </cell>
          <cell r="BW644">
            <v>10.055977276238897</v>
          </cell>
          <cell r="BX644">
            <v>8.6149332270911767</v>
          </cell>
          <cell r="BY644">
            <v>11.497021325386617</v>
          </cell>
        </row>
        <row r="645">
          <cell r="A645">
            <v>40339</v>
          </cell>
          <cell r="BF645">
            <v>13.110677888109109</v>
          </cell>
          <cell r="BG645">
            <v>17.429620749261797</v>
          </cell>
          <cell r="BH645">
            <v>16.109902701379674</v>
          </cell>
          <cell r="BI645">
            <v>13.839355674417275</v>
          </cell>
          <cell r="BJ645">
            <v>18.380449728342072</v>
          </cell>
          <cell r="BU645">
            <v>7.9937630556810317</v>
          </cell>
          <cell r="BV645">
            <v>11.522967903511651</v>
          </cell>
          <cell r="BW645">
            <v>10.055977276238897</v>
          </cell>
          <cell r="BX645">
            <v>8.6149332270911767</v>
          </cell>
          <cell r="BY645">
            <v>11.497021325386617</v>
          </cell>
        </row>
        <row r="646">
          <cell r="A646">
            <v>40340</v>
          </cell>
          <cell r="BF646">
            <v>13.417448722752086</v>
          </cell>
          <cell r="BG646">
            <v>17.429620749261797</v>
          </cell>
          <cell r="BH646">
            <v>16.109902701379674</v>
          </cell>
          <cell r="BI646">
            <v>13.839355674417275</v>
          </cell>
          <cell r="BJ646">
            <v>18.380449728342072</v>
          </cell>
          <cell r="BU646">
            <v>8.1707021309376735</v>
          </cell>
          <cell r="BV646">
            <v>11.522967903511651</v>
          </cell>
          <cell r="BW646">
            <v>10.055977276238897</v>
          </cell>
          <cell r="BX646">
            <v>8.6149332270911767</v>
          </cell>
          <cell r="BY646">
            <v>11.497021325386617</v>
          </cell>
        </row>
        <row r="647">
          <cell r="A647">
            <v>40343</v>
          </cell>
          <cell r="BF647">
            <v>13.682600643614656</v>
          </cell>
          <cell r="BG647">
            <v>17.429620749261797</v>
          </cell>
          <cell r="BH647">
            <v>16.109902701379674</v>
          </cell>
          <cell r="BI647">
            <v>13.839355674417275</v>
          </cell>
          <cell r="BJ647">
            <v>18.380449728342072</v>
          </cell>
          <cell r="BU647">
            <v>8.3350403786288023</v>
          </cell>
          <cell r="BV647">
            <v>11.522967903511651</v>
          </cell>
          <cell r="BW647">
            <v>10.055977276238897</v>
          </cell>
          <cell r="BX647">
            <v>8.6149332270911767</v>
          </cell>
          <cell r="BY647">
            <v>11.497021325386617</v>
          </cell>
        </row>
        <row r="648">
          <cell r="A648">
            <v>40344</v>
          </cell>
          <cell r="BF648">
            <v>13.727532604971241</v>
          </cell>
          <cell r="BG648">
            <v>17.429620749261797</v>
          </cell>
          <cell r="BH648">
            <v>16.109902701379674</v>
          </cell>
          <cell r="BI648">
            <v>13.839355674417275</v>
          </cell>
          <cell r="BJ648">
            <v>18.380449728342072</v>
          </cell>
          <cell r="BU648">
            <v>8.3610016740235285</v>
          </cell>
          <cell r="BV648">
            <v>11.522967903511651</v>
          </cell>
          <cell r="BW648">
            <v>10.055977276238897</v>
          </cell>
          <cell r="BX648">
            <v>8.6149332270911767</v>
          </cell>
          <cell r="BY648">
            <v>11.497021325386617</v>
          </cell>
        </row>
        <row r="649">
          <cell r="A649">
            <v>40345</v>
          </cell>
          <cell r="BF649">
            <v>13.902242163660203</v>
          </cell>
          <cell r="BG649">
            <v>17.429620749261797</v>
          </cell>
          <cell r="BH649">
            <v>16.109902701379674</v>
          </cell>
          <cell r="BI649">
            <v>13.839355674417275</v>
          </cell>
          <cell r="BJ649">
            <v>18.380449728342072</v>
          </cell>
          <cell r="BU649">
            <v>8.4619473332928976</v>
          </cell>
          <cell r="BV649">
            <v>11.522967903511651</v>
          </cell>
          <cell r="BW649">
            <v>10.055977276238897</v>
          </cell>
          <cell r="BX649">
            <v>8.6149332270911767</v>
          </cell>
          <cell r="BY649">
            <v>11.497021325386617</v>
          </cell>
        </row>
        <row r="650">
          <cell r="A650">
            <v>40346</v>
          </cell>
          <cell r="BF650">
            <v>13.862307024171828</v>
          </cell>
          <cell r="BG650">
            <v>17.429620749261797</v>
          </cell>
          <cell r="BH650">
            <v>16.109902701379674</v>
          </cell>
          <cell r="BI650">
            <v>13.839355674417275</v>
          </cell>
          <cell r="BJ650">
            <v>18.380449728342072</v>
          </cell>
          <cell r="BU650">
            <v>8.4388731579935072</v>
          </cell>
          <cell r="BV650">
            <v>11.522967903511651</v>
          </cell>
          <cell r="BW650">
            <v>10.055977276238897</v>
          </cell>
          <cell r="BX650">
            <v>8.6149332270911767</v>
          </cell>
          <cell r="BY650">
            <v>11.497021325386617</v>
          </cell>
        </row>
        <row r="651">
          <cell r="A651">
            <v>40347</v>
          </cell>
          <cell r="BF651">
            <v>13.82237138550045</v>
          </cell>
          <cell r="BG651">
            <v>17.429620749261797</v>
          </cell>
          <cell r="BH651">
            <v>16.109902701379674</v>
          </cell>
          <cell r="BI651">
            <v>13.839355674417275</v>
          </cell>
          <cell r="BJ651">
            <v>18.380449728342072</v>
          </cell>
          <cell r="BU651">
            <v>8.4157986942705314</v>
          </cell>
          <cell r="BV651">
            <v>11.522967903511651</v>
          </cell>
          <cell r="BW651">
            <v>10.055977276238897</v>
          </cell>
          <cell r="BX651">
            <v>8.6149332270911767</v>
          </cell>
          <cell r="BY651">
            <v>11.497021325386617</v>
          </cell>
        </row>
        <row r="652">
          <cell r="A652">
            <v>40350</v>
          </cell>
          <cell r="BF652">
            <v>13.832357042308809</v>
          </cell>
          <cell r="BG652">
            <v>17.429620749261797</v>
          </cell>
          <cell r="BH652">
            <v>16.109902701379674</v>
          </cell>
          <cell r="BI652">
            <v>13.839355674417275</v>
          </cell>
          <cell r="BJ652">
            <v>18.380449728342072</v>
          </cell>
          <cell r="BU652">
            <v>8.4215683196838267</v>
          </cell>
          <cell r="BV652">
            <v>11.522967903511651</v>
          </cell>
          <cell r="BW652">
            <v>10.055977276238897</v>
          </cell>
          <cell r="BX652">
            <v>8.6149332270911767</v>
          </cell>
          <cell r="BY652">
            <v>11.497021325386617</v>
          </cell>
        </row>
        <row r="653">
          <cell r="A653">
            <v>40351</v>
          </cell>
          <cell r="BF653">
            <v>13.847332033240319</v>
          </cell>
          <cell r="BG653">
            <v>17.429620749261797</v>
          </cell>
          <cell r="BH653">
            <v>16.109902701379674</v>
          </cell>
          <cell r="BI653">
            <v>13.839355674417275</v>
          </cell>
          <cell r="BJ653">
            <v>18.380449728342072</v>
          </cell>
          <cell r="BU653">
            <v>8.4302207388386687</v>
          </cell>
          <cell r="BV653">
            <v>11.522967903511651</v>
          </cell>
          <cell r="BW653">
            <v>10.055977276238897</v>
          </cell>
          <cell r="BX653">
            <v>8.6149332270911767</v>
          </cell>
          <cell r="BY653">
            <v>11.497021325386617</v>
          </cell>
        </row>
        <row r="654">
          <cell r="A654">
            <v>40352</v>
          </cell>
          <cell r="BF654">
            <v>13.415043019984173</v>
          </cell>
          <cell r="BG654">
            <v>17.429620749261797</v>
          </cell>
          <cell r="BH654">
            <v>16.109902701379674</v>
          </cell>
          <cell r="BI654">
            <v>13.839355674417275</v>
          </cell>
          <cell r="BJ654">
            <v>18.380449728342072</v>
          </cell>
          <cell r="BU654">
            <v>8.1806079943710657</v>
          </cell>
          <cell r="BV654">
            <v>11.522967903511651</v>
          </cell>
          <cell r="BW654">
            <v>10.055977276238897</v>
          </cell>
          <cell r="BX654">
            <v>8.6149332270911767</v>
          </cell>
          <cell r="BY654">
            <v>11.497021325386617</v>
          </cell>
        </row>
        <row r="655">
          <cell r="A655">
            <v>40353</v>
          </cell>
          <cell r="BF655">
            <v>13.325213602700313</v>
          </cell>
          <cell r="BG655">
            <v>17.429620749261797</v>
          </cell>
          <cell r="BH655">
            <v>16.109902701379674</v>
          </cell>
          <cell r="BI655">
            <v>13.839355674417275</v>
          </cell>
          <cell r="BJ655">
            <v>18.380449728342072</v>
          </cell>
          <cell r="BU655">
            <v>8.1287037175955401</v>
          </cell>
          <cell r="BV655">
            <v>11.522967903511651</v>
          </cell>
          <cell r="BW655">
            <v>10.055977276238897</v>
          </cell>
          <cell r="BX655">
            <v>8.6149332270911767</v>
          </cell>
          <cell r="BY655">
            <v>11.497021325386617</v>
          </cell>
        </row>
        <row r="656">
          <cell r="A656">
            <v>40354</v>
          </cell>
          <cell r="BF656">
            <v>13.305246741062955</v>
          </cell>
          <cell r="BG656">
            <v>17.429620749261797</v>
          </cell>
          <cell r="BH656">
            <v>16.109902701379674</v>
          </cell>
          <cell r="BI656">
            <v>13.839355674417275</v>
          </cell>
          <cell r="BJ656">
            <v>18.380449728342072</v>
          </cell>
          <cell r="BU656">
            <v>8.1171666783482603</v>
          </cell>
          <cell r="BV656">
            <v>11.522967903511651</v>
          </cell>
          <cell r="BW656">
            <v>10.055977276238897</v>
          </cell>
          <cell r="BX656">
            <v>8.6149332270911767</v>
          </cell>
          <cell r="BY656">
            <v>11.497021325386617</v>
          </cell>
        </row>
        <row r="657">
          <cell r="A657">
            <v>40357</v>
          </cell>
          <cell r="BF657">
            <v>13.295270796320176</v>
          </cell>
          <cell r="BG657">
            <v>17.429620749261797</v>
          </cell>
          <cell r="BH657">
            <v>16.109902701379674</v>
          </cell>
          <cell r="BI657">
            <v>13.839355674417275</v>
          </cell>
          <cell r="BJ657">
            <v>18.380449728342072</v>
          </cell>
          <cell r="BU657">
            <v>8.1114024842492363</v>
          </cell>
          <cell r="BV657">
            <v>11.522967903511651</v>
          </cell>
          <cell r="BW657">
            <v>10.055977276238897</v>
          </cell>
          <cell r="BX657">
            <v>8.6149332270911767</v>
          </cell>
          <cell r="BY657">
            <v>11.497021325386617</v>
          </cell>
        </row>
        <row r="658">
          <cell r="A658">
            <v>40358</v>
          </cell>
          <cell r="BF658">
            <v>13.62216227816398</v>
          </cell>
          <cell r="BG658">
            <v>17.429620749261797</v>
          </cell>
          <cell r="BH658">
            <v>16.109902701379674</v>
          </cell>
          <cell r="BI658">
            <v>13.839355674417275</v>
          </cell>
          <cell r="BJ658">
            <v>18.380449728342072</v>
          </cell>
          <cell r="BU658">
            <v>8.3002834373068133</v>
          </cell>
          <cell r="BV658">
            <v>11.522967903511651</v>
          </cell>
          <cell r="BW658">
            <v>10.055977276238897</v>
          </cell>
          <cell r="BX658">
            <v>8.6149332270911767</v>
          </cell>
          <cell r="BY658">
            <v>11.497021325386617</v>
          </cell>
        </row>
        <row r="659">
          <cell r="A659">
            <v>40359</v>
          </cell>
          <cell r="BF659">
            <v>13.659591160442945</v>
          </cell>
          <cell r="BG659">
            <v>17.429620749261797</v>
          </cell>
          <cell r="BH659">
            <v>16.109902701379674</v>
          </cell>
          <cell r="BI659">
            <v>13.839355674417275</v>
          </cell>
          <cell r="BJ659">
            <v>18.380449728342072</v>
          </cell>
          <cell r="BU659">
            <v>8.3219101952659233</v>
          </cell>
          <cell r="BV659">
            <v>11.522967903511651</v>
          </cell>
          <cell r="BW659">
            <v>10.055977276238897</v>
          </cell>
          <cell r="BX659">
            <v>8.6149332270911767</v>
          </cell>
          <cell r="BY659">
            <v>11.497021325386617</v>
          </cell>
        </row>
        <row r="660">
          <cell r="A660">
            <v>40360</v>
          </cell>
          <cell r="BF660">
            <v>13.504879923343934</v>
          </cell>
          <cell r="BG660">
            <v>17.429620749261797</v>
          </cell>
          <cell r="BH660">
            <v>16.109902701379674</v>
          </cell>
          <cell r="BI660">
            <v>13.839355674417275</v>
          </cell>
          <cell r="BJ660">
            <v>18.380449728342072</v>
          </cell>
          <cell r="BU660">
            <v>8.2325165966712035</v>
          </cell>
          <cell r="BV660">
            <v>11.522967903511651</v>
          </cell>
          <cell r="BW660">
            <v>10.055977276238897</v>
          </cell>
          <cell r="BX660">
            <v>8.6149332270911767</v>
          </cell>
          <cell r="BY660">
            <v>11.497021325386617</v>
          </cell>
        </row>
        <row r="661">
          <cell r="A661">
            <v>40361</v>
          </cell>
          <cell r="BF661">
            <v>13.439998103528783</v>
          </cell>
          <cell r="BG661">
            <v>17.429620749261797</v>
          </cell>
          <cell r="BH661">
            <v>16.109902701379674</v>
          </cell>
          <cell r="BI661">
            <v>13.839355674417275</v>
          </cell>
          <cell r="BJ661">
            <v>18.380449728342072</v>
          </cell>
          <cell r="BU661">
            <v>8.1950272748520092</v>
          </cell>
          <cell r="BV661">
            <v>11.522967903511651</v>
          </cell>
          <cell r="BW661">
            <v>10.055977276238897</v>
          </cell>
          <cell r="BX661">
            <v>8.6149332270911767</v>
          </cell>
          <cell r="BY661">
            <v>11.497021325386617</v>
          </cell>
        </row>
        <row r="662">
          <cell r="A662">
            <v>40364</v>
          </cell>
          <cell r="BF662">
            <v>13.410055297148647</v>
          </cell>
          <cell r="BG662">
            <v>17.429620749261797</v>
          </cell>
          <cell r="BH662">
            <v>16.109902701379674</v>
          </cell>
          <cell r="BI662">
            <v>13.839355674417275</v>
          </cell>
          <cell r="BJ662">
            <v>18.380449728342072</v>
          </cell>
          <cell r="BU662">
            <v>8.1301849371215322</v>
          </cell>
          <cell r="BV662">
            <v>11.522967903511651</v>
          </cell>
          <cell r="BW662">
            <v>10.055977276238897</v>
          </cell>
          <cell r="BX662">
            <v>8.6149332270911767</v>
          </cell>
          <cell r="BY662">
            <v>11.497021325386617</v>
          </cell>
        </row>
        <row r="663">
          <cell r="A663">
            <v>40365</v>
          </cell>
          <cell r="BF663">
            <v>13.22789112251345</v>
          </cell>
          <cell r="BG663">
            <v>17.429620749261797</v>
          </cell>
          <cell r="BH663">
            <v>16.109902701379674</v>
          </cell>
          <cell r="BI663">
            <v>13.839355674417275</v>
          </cell>
          <cell r="BJ663">
            <v>18.380449728342072</v>
          </cell>
          <cell r="BU663">
            <v>8.0255406800033633</v>
          </cell>
          <cell r="BV663">
            <v>11.522967903511651</v>
          </cell>
          <cell r="BW663">
            <v>10.055977276238897</v>
          </cell>
          <cell r="BX663">
            <v>8.6149332270911767</v>
          </cell>
          <cell r="BY663">
            <v>11.497021325386617</v>
          </cell>
        </row>
        <row r="664">
          <cell r="A664">
            <v>40366</v>
          </cell>
          <cell r="BF664">
            <v>13.3032048404327</v>
          </cell>
          <cell r="BG664">
            <v>17.429620749261797</v>
          </cell>
          <cell r="BH664">
            <v>16.109902701379674</v>
          </cell>
          <cell r="BI664">
            <v>13.839355674417275</v>
          </cell>
          <cell r="BJ664">
            <v>18.380449728342072</v>
          </cell>
          <cell r="BU664">
            <v>8.0728474207769718</v>
          </cell>
          <cell r="BV664">
            <v>11.522967903511651</v>
          </cell>
          <cell r="BW664">
            <v>10.055977276238897</v>
          </cell>
          <cell r="BX664">
            <v>8.6149332270911767</v>
          </cell>
          <cell r="BY664">
            <v>11.497021325386617</v>
          </cell>
        </row>
        <row r="665">
          <cell r="A665">
            <v>40367</v>
          </cell>
          <cell r="BF665">
            <v>12.644167857737678</v>
          </cell>
          <cell r="BG665">
            <v>17.429620749261797</v>
          </cell>
          <cell r="BH665">
            <v>16.109902701379674</v>
          </cell>
          <cell r="BI665">
            <v>13.839355674417275</v>
          </cell>
          <cell r="BJ665">
            <v>18.380449728342072</v>
          </cell>
          <cell r="BU665">
            <v>7.8036279502513057</v>
          </cell>
          <cell r="BV665">
            <v>11.522967903511651</v>
          </cell>
          <cell r="BW665">
            <v>10.055977276238897</v>
          </cell>
          <cell r="BX665">
            <v>8.6149332270911767</v>
          </cell>
          <cell r="BY665">
            <v>11.497021325386617</v>
          </cell>
        </row>
        <row r="666">
          <cell r="A666">
            <v>40368</v>
          </cell>
          <cell r="BF666">
            <v>12.677758248782924</v>
          </cell>
          <cell r="BG666">
            <v>17.429620749261797</v>
          </cell>
          <cell r="BH666">
            <v>16.109902701379674</v>
          </cell>
          <cell r="BI666">
            <v>13.839355674417275</v>
          </cell>
          <cell r="BJ666">
            <v>18.380449728342072</v>
          </cell>
          <cell r="BU666">
            <v>7.8197369975842674</v>
          </cell>
          <cell r="BV666">
            <v>11.522967903511651</v>
          </cell>
          <cell r="BW666">
            <v>10.055977276238897</v>
          </cell>
          <cell r="BX666">
            <v>8.6149332270911767</v>
          </cell>
          <cell r="BY666">
            <v>11.497021325386617</v>
          </cell>
        </row>
        <row r="667">
          <cell r="A667">
            <v>40371</v>
          </cell>
          <cell r="BF667">
            <v>12.662771630583673</v>
          </cell>
          <cell r="BG667">
            <v>17.429620749261797</v>
          </cell>
          <cell r="BH667">
            <v>16.109902701379674</v>
          </cell>
          <cell r="BI667">
            <v>13.839355674417275</v>
          </cell>
          <cell r="BJ667">
            <v>18.380449728342072</v>
          </cell>
          <cell r="BU667">
            <v>7.8163046148336583</v>
          </cell>
          <cell r="BV667">
            <v>11.522967903511651</v>
          </cell>
          <cell r="BW667">
            <v>10.055977276238897</v>
          </cell>
          <cell r="BX667">
            <v>8.6149332270911767</v>
          </cell>
          <cell r="BY667">
            <v>11.497021325386617</v>
          </cell>
        </row>
        <row r="668">
          <cell r="A668">
            <v>40372</v>
          </cell>
          <cell r="BF668">
            <v>12.617834744748405</v>
          </cell>
          <cell r="BG668">
            <v>17.429620749261797</v>
          </cell>
          <cell r="BH668">
            <v>16.109902701379674</v>
          </cell>
          <cell r="BI668">
            <v>13.839355674417275</v>
          </cell>
          <cell r="BJ668">
            <v>18.380449728342072</v>
          </cell>
          <cell r="BU668">
            <v>7.7904204472710363</v>
          </cell>
          <cell r="BV668">
            <v>11.522967903511651</v>
          </cell>
          <cell r="BW668">
            <v>10.055977276238897</v>
          </cell>
          <cell r="BX668">
            <v>8.6149332270911767</v>
          </cell>
          <cell r="BY668">
            <v>11.497021325386617</v>
          </cell>
        </row>
        <row r="669">
          <cell r="A669">
            <v>40373</v>
          </cell>
          <cell r="BF669">
            <v>12.741267706709182</v>
          </cell>
          <cell r="BG669">
            <v>17.429620749261797</v>
          </cell>
          <cell r="BH669">
            <v>16.109902701379674</v>
          </cell>
          <cell r="BI669">
            <v>13.839355674417275</v>
          </cell>
          <cell r="BJ669">
            <v>18.380449728342072</v>
          </cell>
          <cell r="BU669">
            <v>7.8690446518545292</v>
          </cell>
          <cell r="BV669">
            <v>11.522967903511651</v>
          </cell>
          <cell r="BW669">
            <v>10.055977276238897</v>
          </cell>
          <cell r="BX669">
            <v>8.6149332270911767</v>
          </cell>
          <cell r="BY669">
            <v>11.497021325386617</v>
          </cell>
        </row>
        <row r="670">
          <cell r="A670">
            <v>40374</v>
          </cell>
          <cell r="BF670">
            <v>12.984190167162316</v>
          </cell>
          <cell r="BG670">
            <v>17.429620749261797</v>
          </cell>
          <cell r="BH670">
            <v>16.109902701379674</v>
          </cell>
          <cell r="BI670">
            <v>13.839355674417275</v>
          </cell>
          <cell r="BJ670">
            <v>18.380449728342072</v>
          </cell>
          <cell r="BU670">
            <v>8.0156108660257193</v>
          </cell>
          <cell r="BV670">
            <v>11.522967903511651</v>
          </cell>
          <cell r="BW670">
            <v>10.055977276238897</v>
          </cell>
          <cell r="BX670">
            <v>8.6149332270911767</v>
          </cell>
          <cell r="BY670">
            <v>11.497021325386617</v>
          </cell>
        </row>
        <row r="671">
          <cell r="A671">
            <v>40375</v>
          </cell>
          <cell r="BF671">
            <v>13.113094628713567</v>
          </cell>
          <cell r="BG671">
            <v>17.429620749261797</v>
          </cell>
          <cell r="BH671">
            <v>16.109902701379674</v>
          </cell>
          <cell r="BI671">
            <v>13.839355674417275</v>
          </cell>
          <cell r="BJ671">
            <v>18.380449728342072</v>
          </cell>
          <cell r="BU671">
            <v>8.089997931072638</v>
          </cell>
          <cell r="BV671">
            <v>11.522967903511651</v>
          </cell>
          <cell r="BW671">
            <v>10.055977276238897</v>
          </cell>
          <cell r="BX671">
            <v>8.6149332270911767</v>
          </cell>
          <cell r="BY671">
            <v>11.497021325386617</v>
          </cell>
        </row>
        <row r="672">
          <cell r="A672">
            <v>40378</v>
          </cell>
          <cell r="BF672">
            <v>13.113094628713567</v>
          </cell>
          <cell r="BG672">
            <v>17.429620749261797</v>
          </cell>
          <cell r="BH672">
            <v>16.109902701379674</v>
          </cell>
          <cell r="BI672">
            <v>13.839355674417275</v>
          </cell>
          <cell r="BJ672">
            <v>18.380449728342072</v>
          </cell>
          <cell r="BU672">
            <v>8.089997931072638</v>
          </cell>
          <cell r="BV672">
            <v>11.522967903511651</v>
          </cell>
          <cell r="BW672">
            <v>10.055977276238897</v>
          </cell>
          <cell r="BX672">
            <v>8.6149332270911767</v>
          </cell>
          <cell r="BY672">
            <v>11.497021325386617</v>
          </cell>
        </row>
        <row r="673">
          <cell r="A673">
            <v>40379</v>
          </cell>
          <cell r="BF673">
            <v>12.95940765492611</v>
          </cell>
          <cell r="BG673">
            <v>17.429620749261797</v>
          </cell>
          <cell r="BH673">
            <v>16.109902701379674</v>
          </cell>
          <cell r="BI673">
            <v>13.839355674417275</v>
          </cell>
          <cell r="BJ673">
            <v>18.380449728342072</v>
          </cell>
          <cell r="BU673">
            <v>8.0013095895023483</v>
          </cell>
          <cell r="BV673">
            <v>11.522967903511651</v>
          </cell>
          <cell r="BW673">
            <v>10.055977276238897</v>
          </cell>
          <cell r="BX673">
            <v>8.6149332270911767</v>
          </cell>
          <cell r="BY673">
            <v>11.497021325386617</v>
          </cell>
        </row>
        <row r="674">
          <cell r="A674">
            <v>40380</v>
          </cell>
          <cell r="BF674">
            <v>13.007937256407251</v>
          </cell>
          <cell r="BG674">
            <v>17.429620749261797</v>
          </cell>
          <cell r="BH674">
            <v>16.109902701379674</v>
          </cell>
          <cell r="BI674">
            <v>13.839355674417275</v>
          </cell>
          <cell r="BJ674">
            <v>18.380449728342072</v>
          </cell>
          <cell r="BU674">
            <v>8.027056922502215</v>
          </cell>
          <cell r="BV674">
            <v>11.522967903511651</v>
          </cell>
          <cell r="BW674">
            <v>10.055977276238897</v>
          </cell>
          <cell r="BX674">
            <v>8.6149332270911767</v>
          </cell>
          <cell r="BY674">
            <v>11.497021325386617</v>
          </cell>
        </row>
        <row r="675">
          <cell r="A675">
            <v>40381</v>
          </cell>
          <cell r="BF675">
            <v>13.09719909428906</v>
          </cell>
          <cell r="BG675">
            <v>17.429620749261797</v>
          </cell>
          <cell r="BH675">
            <v>16.109902701379674</v>
          </cell>
          <cell r="BI675">
            <v>13.839355674417275</v>
          </cell>
          <cell r="BJ675">
            <v>18.380449728342072</v>
          </cell>
          <cell r="BU675">
            <v>8.078551874596144</v>
          </cell>
          <cell r="BV675">
            <v>11.522967903511651</v>
          </cell>
          <cell r="BW675">
            <v>10.055977276238897</v>
          </cell>
          <cell r="BX675">
            <v>8.6149332270911767</v>
          </cell>
          <cell r="BY675">
            <v>11.497021325386617</v>
          </cell>
        </row>
        <row r="676">
          <cell r="A676">
            <v>40382</v>
          </cell>
          <cell r="BF676">
            <v>13.201345426580012</v>
          </cell>
          <cell r="BG676">
            <v>17.429620749261797</v>
          </cell>
          <cell r="BH676">
            <v>16.109902701379674</v>
          </cell>
          <cell r="BI676">
            <v>13.839355674417275</v>
          </cell>
          <cell r="BJ676">
            <v>18.380449728342072</v>
          </cell>
          <cell r="BU676">
            <v>8.1386336578009875</v>
          </cell>
          <cell r="BV676">
            <v>11.522967903511651</v>
          </cell>
          <cell r="BW676">
            <v>10.055977276238897</v>
          </cell>
          <cell r="BX676">
            <v>8.6149332270911767</v>
          </cell>
          <cell r="BY676">
            <v>11.497021325386617</v>
          </cell>
        </row>
        <row r="677">
          <cell r="A677">
            <v>40385</v>
          </cell>
          <cell r="BF677">
            <v>13.374911902166588</v>
          </cell>
          <cell r="BG677">
            <v>17.429620749261797</v>
          </cell>
          <cell r="BH677">
            <v>16.109902701379674</v>
          </cell>
          <cell r="BI677">
            <v>13.839355674417275</v>
          </cell>
          <cell r="BJ677">
            <v>18.380449728342072</v>
          </cell>
          <cell r="BU677">
            <v>8.2387637644348768</v>
          </cell>
          <cell r="BV677">
            <v>11.522967903511651</v>
          </cell>
          <cell r="BW677">
            <v>10.055977276238897</v>
          </cell>
          <cell r="BX677">
            <v>8.6149332270911767</v>
          </cell>
          <cell r="BY677">
            <v>11.497021325386617</v>
          </cell>
        </row>
        <row r="678">
          <cell r="A678">
            <v>40386</v>
          </cell>
          <cell r="BF678">
            <v>13.444340476074757</v>
          </cell>
          <cell r="BG678">
            <v>17.429620749261797</v>
          </cell>
          <cell r="BH678">
            <v>16.109902701379674</v>
          </cell>
          <cell r="BI678">
            <v>13.839355674417275</v>
          </cell>
          <cell r="BJ678">
            <v>18.380449728342072</v>
          </cell>
          <cell r="BU678">
            <v>8.2788169514652061</v>
          </cell>
          <cell r="BV678">
            <v>11.522967903511651</v>
          </cell>
          <cell r="BW678">
            <v>10.055977276238897</v>
          </cell>
          <cell r="BX678">
            <v>8.6149332270911767</v>
          </cell>
          <cell r="BY678">
            <v>11.497021325386617</v>
          </cell>
        </row>
        <row r="679">
          <cell r="A679">
            <v>40387</v>
          </cell>
          <cell r="BF679">
            <v>13.657589348996934</v>
          </cell>
          <cell r="BG679">
            <v>17.429620749261797</v>
          </cell>
          <cell r="BH679">
            <v>16.109902701379674</v>
          </cell>
          <cell r="BI679">
            <v>13.839355674417275</v>
          </cell>
          <cell r="BJ679">
            <v>18.380449728342072</v>
          </cell>
          <cell r="BU679">
            <v>8.4018397432404743</v>
          </cell>
          <cell r="BV679">
            <v>11.522967903511651</v>
          </cell>
          <cell r="BW679">
            <v>10.055977276238897</v>
          </cell>
          <cell r="BX679">
            <v>8.6149332270911767</v>
          </cell>
          <cell r="BY679">
            <v>11.497021325386617</v>
          </cell>
        </row>
        <row r="680">
          <cell r="A680">
            <v>40388</v>
          </cell>
          <cell r="BF680">
            <v>13.697263811638372</v>
          </cell>
          <cell r="BG680">
            <v>17.429620749261797</v>
          </cell>
          <cell r="BH680">
            <v>16.109902701379674</v>
          </cell>
          <cell r="BI680">
            <v>13.839355674417275</v>
          </cell>
          <cell r="BJ680">
            <v>18.380449728342072</v>
          </cell>
          <cell r="BU680">
            <v>8.4247278508747616</v>
          </cell>
          <cell r="BV680">
            <v>11.522967903511651</v>
          </cell>
          <cell r="BW680">
            <v>10.055977276238897</v>
          </cell>
          <cell r="BX680">
            <v>8.6149332270911767</v>
          </cell>
          <cell r="BY680">
            <v>11.497021325386617</v>
          </cell>
        </row>
        <row r="681">
          <cell r="A681">
            <v>40389</v>
          </cell>
          <cell r="BF681">
            <v>13.533623584900377</v>
          </cell>
          <cell r="BG681">
            <v>17.429620749261797</v>
          </cell>
          <cell r="BH681">
            <v>16.109902701379674</v>
          </cell>
          <cell r="BI681">
            <v>13.839355674417275</v>
          </cell>
          <cell r="BJ681">
            <v>18.380449728342072</v>
          </cell>
          <cell r="BU681">
            <v>8.3145309654877941</v>
          </cell>
          <cell r="BV681">
            <v>11.522967903511651</v>
          </cell>
          <cell r="BW681">
            <v>10.055977276238897</v>
          </cell>
          <cell r="BX681">
            <v>8.6149332270911767</v>
          </cell>
          <cell r="BY681">
            <v>11.497021325386617</v>
          </cell>
        </row>
        <row r="682">
          <cell r="A682">
            <v>40392</v>
          </cell>
          <cell r="BF682">
            <v>13.818109641444796</v>
          </cell>
          <cell r="BG682">
            <v>17.429620749261797</v>
          </cell>
          <cell r="BH682">
            <v>16.109902701379674</v>
          </cell>
          <cell r="BI682">
            <v>13.839355674417275</v>
          </cell>
          <cell r="BJ682">
            <v>18.380449728342072</v>
          </cell>
          <cell r="BU682">
            <v>8.4733395802873073</v>
          </cell>
          <cell r="BV682">
            <v>11.522967903511651</v>
          </cell>
          <cell r="BW682">
            <v>10.055977276238897</v>
          </cell>
          <cell r="BX682">
            <v>8.6149332270911767</v>
          </cell>
          <cell r="BY682">
            <v>11.497021325386617</v>
          </cell>
        </row>
        <row r="683">
          <cell r="A683">
            <v>40393</v>
          </cell>
          <cell r="BF683">
            <v>13.912687052863413</v>
          </cell>
          <cell r="BG683">
            <v>17.429620749261797</v>
          </cell>
          <cell r="BH683">
            <v>16.109902701379674</v>
          </cell>
          <cell r="BI683">
            <v>13.839355674417275</v>
          </cell>
          <cell r="BJ683">
            <v>18.380449728342072</v>
          </cell>
          <cell r="BU683">
            <v>8.5277530115769249</v>
          </cell>
          <cell r="BV683">
            <v>11.522967903511651</v>
          </cell>
          <cell r="BW683">
            <v>10.055977276238897</v>
          </cell>
          <cell r="BX683">
            <v>8.6149332270911767</v>
          </cell>
          <cell r="BY683">
            <v>11.497021325386617</v>
          </cell>
        </row>
        <row r="684">
          <cell r="A684">
            <v>40394</v>
          </cell>
          <cell r="BF684">
            <v>13.823084858690557</v>
          </cell>
          <cell r="BG684">
            <v>17.429620749261797</v>
          </cell>
          <cell r="BH684">
            <v>16.109902701379674</v>
          </cell>
          <cell r="BI684">
            <v>13.839355674417275</v>
          </cell>
          <cell r="BJ684">
            <v>18.380449728342072</v>
          </cell>
          <cell r="BU684">
            <v>8.4762019830290676</v>
          </cell>
          <cell r="BV684">
            <v>11.522967903511651</v>
          </cell>
          <cell r="BW684">
            <v>10.055977276238897</v>
          </cell>
          <cell r="BX684">
            <v>8.6149332270911767</v>
          </cell>
          <cell r="BY684">
            <v>11.497021325386617</v>
          </cell>
        </row>
        <row r="685">
          <cell r="A685">
            <v>40395</v>
          </cell>
          <cell r="BF685">
            <v>13.668776965168652</v>
          </cell>
          <cell r="BG685">
            <v>17.429620749261797</v>
          </cell>
          <cell r="BH685">
            <v>16.109902701379674</v>
          </cell>
          <cell r="BI685">
            <v>13.839355674417275</v>
          </cell>
          <cell r="BJ685">
            <v>18.380449728342072</v>
          </cell>
          <cell r="BU685">
            <v>8.3874236813642469</v>
          </cell>
          <cell r="BV685">
            <v>11.522967903511651</v>
          </cell>
          <cell r="BW685">
            <v>10.055977276238897</v>
          </cell>
          <cell r="BX685">
            <v>8.6149332270911767</v>
          </cell>
          <cell r="BY685">
            <v>11.497021325386617</v>
          </cell>
        </row>
        <row r="686">
          <cell r="A686">
            <v>40396</v>
          </cell>
          <cell r="BF686">
            <v>13.987349657721911</v>
          </cell>
          <cell r="BG686">
            <v>17.429620749261797</v>
          </cell>
          <cell r="BH686">
            <v>16.109902701379674</v>
          </cell>
          <cell r="BI686">
            <v>13.839355674417275</v>
          </cell>
          <cell r="BJ686">
            <v>18.380449728342072</v>
          </cell>
          <cell r="BU686">
            <v>8.5707088131624634</v>
          </cell>
          <cell r="BV686">
            <v>11.522967903511651</v>
          </cell>
          <cell r="BW686">
            <v>10.055977276238897</v>
          </cell>
          <cell r="BX686">
            <v>8.6149332270911767</v>
          </cell>
          <cell r="BY686">
            <v>11.497021325386617</v>
          </cell>
        </row>
        <row r="687">
          <cell r="A687">
            <v>40399</v>
          </cell>
          <cell r="BF687">
            <v>13.952509697195117</v>
          </cell>
          <cell r="BG687">
            <v>17.429620749261797</v>
          </cell>
          <cell r="BH687">
            <v>16.109902701379674</v>
          </cell>
          <cell r="BI687">
            <v>13.839355674417275</v>
          </cell>
          <cell r="BJ687">
            <v>18.380449728342072</v>
          </cell>
          <cell r="BU687">
            <v>8.5506642616165678</v>
          </cell>
          <cell r="BV687">
            <v>11.522967903511651</v>
          </cell>
          <cell r="BW687">
            <v>10.055977276238897</v>
          </cell>
          <cell r="BX687">
            <v>8.6149332270911767</v>
          </cell>
          <cell r="BY687">
            <v>11.497021325386617</v>
          </cell>
        </row>
        <row r="688">
          <cell r="A688">
            <v>40400</v>
          </cell>
          <cell r="BF688">
            <v>14.106817590717021</v>
          </cell>
          <cell r="BG688">
            <v>17.429620749261797</v>
          </cell>
          <cell r="BH688">
            <v>16.109902701379674</v>
          </cell>
          <cell r="BI688">
            <v>13.839355674417275</v>
          </cell>
          <cell r="BJ688">
            <v>18.380449728342072</v>
          </cell>
          <cell r="BU688">
            <v>8.6394425632813885</v>
          </cell>
          <cell r="BV688">
            <v>11.522967903511651</v>
          </cell>
          <cell r="BW688">
            <v>10.055977276238897</v>
          </cell>
          <cell r="BX688">
            <v>8.6149332270911767</v>
          </cell>
          <cell r="BY688">
            <v>11.497021325386617</v>
          </cell>
        </row>
        <row r="689">
          <cell r="A689">
            <v>40401</v>
          </cell>
          <cell r="BF689">
            <v>14.161572357803937</v>
          </cell>
          <cell r="BG689">
            <v>17.429620749261797</v>
          </cell>
          <cell r="BH689">
            <v>16.109902701379674</v>
          </cell>
          <cell r="BI689">
            <v>13.839355674417275</v>
          </cell>
          <cell r="BJ689">
            <v>18.380449728342072</v>
          </cell>
          <cell r="BU689">
            <v>8.6709447445313668</v>
          </cell>
          <cell r="BV689">
            <v>11.522967903511651</v>
          </cell>
          <cell r="BW689">
            <v>10.055977276238897</v>
          </cell>
          <cell r="BX689">
            <v>8.6149332270911767</v>
          </cell>
          <cell r="BY689">
            <v>11.497021325386617</v>
          </cell>
        </row>
        <row r="690">
          <cell r="A690">
            <v>40402</v>
          </cell>
          <cell r="BF690">
            <v>14.261124986468317</v>
          </cell>
          <cell r="BG690">
            <v>17.429620749261797</v>
          </cell>
          <cell r="BH690">
            <v>16.109902701379674</v>
          </cell>
          <cell r="BI690">
            <v>13.839355674417275</v>
          </cell>
          <cell r="BJ690">
            <v>18.380449728342072</v>
          </cell>
          <cell r="BU690">
            <v>8.7282205785627429</v>
          </cell>
          <cell r="BV690">
            <v>11.522967903511651</v>
          </cell>
          <cell r="BW690">
            <v>10.055977276238897</v>
          </cell>
          <cell r="BX690">
            <v>8.6149332270911767</v>
          </cell>
          <cell r="BY690">
            <v>11.497021325386617</v>
          </cell>
        </row>
        <row r="691">
          <cell r="A691">
            <v>40403</v>
          </cell>
          <cell r="BF691">
            <v>14.174463694021634</v>
          </cell>
          <cell r="BG691">
            <v>17.429620749261797</v>
          </cell>
          <cell r="BH691">
            <v>16.109902701379674</v>
          </cell>
          <cell r="BI691">
            <v>13.839355674417275</v>
          </cell>
          <cell r="BJ691">
            <v>18.380449728342072</v>
          </cell>
          <cell r="BU691">
            <v>8.6744831286927742</v>
          </cell>
          <cell r="BV691">
            <v>11.522967903511651</v>
          </cell>
          <cell r="BW691">
            <v>10.055977276238897</v>
          </cell>
          <cell r="BX691">
            <v>8.6149332270911767</v>
          </cell>
          <cell r="BY691">
            <v>11.497021325386617</v>
          </cell>
        </row>
        <row r="692">
          <cell r="A692">
            <v>40406</v>
          </cell>
          <cell r="BF692">
            <v>13.84286142036639</v>
          </cell>
          <cell r="BG692">
            <v>17.429620749261797</v>
          </cell>
          <cell r="BH692">
            <v>16.109902701379674</v>
          </cell>
          <cell r="BI692">
            <v>13.839355674417275</v>
          </cell>
          <cell r="BJ692">
            <v>18.380449728342072</v>
          </cell>
          <cell r="BU692">
            <v>8.4837210057997279</v>
          </cell>
          <cell r="BV692">
            <v>11.522967903511651</v>
          </cell>
          <cell r="BW692">
            <v>10.055977276238897</v>
          </cell>
          <cell r="BX692">
            <v>8.6149332270911767</v>
          </cell>
          <cell r="BY692">
            <v>11.497021325386617</v>
          </cell>
        </row>
        <row r="693">
          <cell r="A693">
            <v>40407</v>
          </cell>
          <cell r="BF693">
            <v>14.169509560586677</v>
          </cell>
          <cell r="BG693">
            <v>17.429620749261797</v>
          </cell>
          <cell r="BH693">
            <v>16.109902701379674</v>
          </cell>
          <cell r="BI693">
            <v>13.839355674417275</v>
          </cell>
          <cell r="BJ693">
            <v>18.380449728342072</v>
          </cell>
          <cell r="BU693">
            <v>8.6716331451847282</v>
          </cell>
          <cell r="BV693">
            <v>11.522967903511651</v>
          </cell>
          <cell r="BW693">
            <v>10.055977276238897</v>
          </cell>
          <cell r="BX693">
            <v>8.6149332270911767</v>
          </cell>
          <cell r="BY693">
            <v>11.497021325386617</v>
          </cell>
        </row>
        <row r="694">
          <cell r="A694">
            <v>40408</v>
          </cell>
          <cell r="BF694">
            <v>14.011139623911491</v>
          </cell>
          <cell r="BG694">
            <v>17.429620749261797</v>
          </cell>
          <cell r="BH694">
            <v>16.109902701379674</v>
          </cell>
          <cell r="BI694">
            <v>13.839355674417275</v>
          </cell>
          <cell r="BJ694">
            <v>18.380449728342072</v>
          </cell>
          <cell r="BU694">
            <v>8.5805270590002731</v>
          </cell>
          <cell r="BV694">
            <v>11.522967903511651</v>
          </cell>
          <cell r="BW694">
            <v>10.055977276238897</v>
          </cell>
          <cell r="BX694">
            <v>8.6149332270911767</v>
          </cell>
          <cell r="BY694">
            <v>11.497021325386617</v>
          </cell>
        </row>
        <row r="695">
          <cell r="A695">
            <v>40409</v>
          </cell>
          <cell r="BF695">
            <v>14.055680302494142</v>
          </cell>
          <cell r="BG695">
            <v>17.429620749261797</v>
          </cell>
          <cell r="BH695">
            <v>16.109902701379674</v>
          </cell>
          <cell r="BI695">
            <v>13.839355674417275</v>
          </cell>
          <cell r="BJ695">
            <v>18.380449728342072</v>
          </cell>
          <cell r="BU695">
            <v>8.6061501474907853</v>
          </cell>
          <cell r="BV695">
            <v>11.522967903511651</v>
          </cell>
          <cell r="BW695">
            <v>10.055977276238897</v>
          </cell>
          <cell r="BX695">
            <v>8.6149332270911767</v>
          </cell>
          <cell r="BY695">
            <v>11.497021325386617</v>
          </cell>
        </row>
        <row r="696">
          <cell r="A696">
            <v>40410</v>
          </cell>
          <cell r="BF696">
            <v>14.164563345846522</v>
          </cell>
          <cell r="BG696">
            <v>17.429620749261797</v>
          </cell>
          <cell r="BH696">
            <v>16.109902701379674</v>
          </cell>
          <cell r="BI696">
            <v>13.839355674417275</v>
          </cell>
          <cell r="BJ696">
            <v>18.380449728342072</v>
          </cell>
          <cell r="BU696">
            <v>8.6687877170948777</v>
          </cell>
          <cell r="BV696">
            <v>11.522967903511651</v>
          </cell>
          <cell r="BW696">
            <v>10.055977276238897</v>
          </cell>
          <cell r="BX696">
            <v>8.6149332270911767</v>
          </cell>
          <cell r="BY696">
            <v>11.497021325386617</v>
          </cell>
        </row>
        <row r="697">
          <cell r="A697">
            <v>40413</v>
          </cell>
          <cell r="BF697">
            <v>14.055680302494142</v>
          </cell>
          <cell r="BG697">
            <v>17.429620749261797</v>
          </cell>
          <cell r="BH697">
            <v>16.109902701379674</v>
          </cell>
          <cell r="BI697">
            <v>13.839355674417275</v>
          </cell>
          <cell r="BJ697">
            <v>18.380449728342072</v>
          </cell>
          <cell r="BU697">
            <v>8.6061501474907853</v>
          </cell>
          <cell r="BV697">
            <v>11.522967903511651</v>
          </cell>
          <cell r="BW697">
            <v>10.055977276238897</v>
          </cell>
          <cell r="BX697">
            <v>8.6149332270911767</v>
          </cell>
          <cell r="BY697">
            <v>11.497021325386617</v>
          </cell>
        </row>
        <row r="698">
          <cell r="A698">
            <v>40414</v>
          </cell>
          <cell r="BF698">
            <v>14.007027776402435</v>
          </cell>
          <cell r="BG698">
            <v>17.429620749261797</v>
          </cell>
          <cell r="BH698">
            <v>16.109902701379674</v>
          </cell>
          <cell r="BI698">
            <v>13.839355674417275</v>
          </cell>
          <cell r="BJ698">
            <v>18.380449728342072</v>
          </cell>
          <cell r="BU698">
            <v>8.5848461414189448</v>
          </cell>
          <cell r="BV698">
            <v>11.522967903511651</v>
          </cell>
          <cell r="BW698">
            <v>10.055977276238897</v>
          </cell>
          <cell r="BX698">
            <v>8.6149332270911767</v>
          </cell>
          <cell r="BY698">
            <v>11.497021325386617</v>
          </cell>
        </row>
        <row r="699">
          <cell r="A699">
            <v>40415</v>
          </cell>
          <cell r="BF699">
            <v>14.068912939591799</v>
          </cell>
          <cell r="BG699">
            <v>17.429620749261797</v>
          </cell>
          <cell r="BH699">
            <v>16.109902701379674</v>
          </cell>
          <cell r="BI699">
            <v>13.839355674417275</v>
          </cell>
          <cell r="BJ699">
            <v>18.380449728342072</v>
          </cell>
          <cell r="BU699">
            <v>8.6190502544884371</v>
          </cell>
          <cell r="BV699">
            <v>11.522967903511651</v>
          </cell>
          <cell r="BW699">
            <v>10.055977276238897</v>
          </cell>
          <cell r="BX699">
            <v>8.6149332270911767</v>
          </cell>
          <cell r="BY699">
            <v>11.497021325386617</v>
          </cell>
        </row>
        <row r="700">
          <cell r="A700">
            <v>40416</v>
          </cell>
          <cell r="BF700">
            <v>14.039201325182175</v>
          </cell>
          <cell r="BG700">
            <v>17.429620749261797</v>
          </cell>
          <cell r="BH700">
            <v>16.109902701379674</v>
          </cell>
          <cell r="BI700">
            <v>13.839355674417275</v>
          </cell>
          <cell r="BJ700">
            <v>18.380449728342072</v>
          </cell>
          <cell r="BU700">
            <v>8.6019480554306149</v>
          </cell>
          <cell r="BV700">
            <v>11.522967903511651</v>
          </cell>
          <cell r="BW700">
            <v>10.055977276238897</v>
          </cell>
          <cell r="BX700">
            <v>8.6149332270911767</v>
          </cell>
          <cell r="BY700">
            <v>11.497021325386617</v>
          </cell>
        </row>
        <row r="701">
          <cell r="A701">
            <v>40417</v>
          </cell>
          <cell r="BF701">
            <v>14.11348729414736</v>
          </cell>
          <cell r="BG701">
            <v>17.429620749261797</v>
          </cell>
          <cell r="BH701">
            <v>16.109902701379674</v>
          </cell>
          <cell r="BI701">
            <v>13.839355674417275</v>
          </cell>
          <cell r="BJ701">
            <v>18.380449728342072</v>
          </cell>
          <cell r="BU701">
            <v>8.6447075437213048</v>
          </cell>
          <cell r="BV701">
            <v>11.522967903511651</v>
          </cell>
          <cell r="BW701">
            <v>10.055977276238897</v>
          </cell>
          <cell r="BX701">
            <v>8.6149332270911767</v>
          </cell>
          <cell r="BY701">
            <v>11.497021325386617</v>
          </cell>
        </row>
        <row r="702">
          <cell r="A702">
            <v>40420</v>
          </cell>
          <cell r="BF702">
            <v>14.026785436074476</v>
          </cell>
          <cell r="BG702">
            <v>17.429620749261797</v>
          </cell>
          <cell r="BH702">
            <v>16.109902701379674</v>
          </cell>
          <cell r="BI702">
            <v>13.839355674417275</v>
          </cell>
          <cell r="BJ702">
            <v>18.380449728342072</v>
          </cell>
          <cell r="BU702">
            <v>8.6047970917248726</v>
          </cell>
          <cell r="BV702">
            <v>11.522967903511651</v>
          </cell>
          <cell r="BW702">
            <v>10.055977276238897</v>
          </cell>
          <cell r="BX702">
            <v>8.6149332270911767</v>
          </cell>
          <cell r="BY702">
            <v>11.497021325386617</v>
          </cell>
        </row>
        <row r="703">
          <cell r="A703">
            <v>40421</v>
          </cell>
          <cell r="BF703">
            <v>13.586336533802692</v>
          </cell>
          <cell r="BG703">
            <v>17.429620749261797</v>
          </cell>
          <cell r="BH703">
            <v>16.109902701379674</v>
          </cell>
          <cell r="BI703">
            <v>13.839355674417275</v>
          </cell>
          <cell r="BJ703">
            <v>18.380449728342072</v>
          </cell>
          <cell r="BU703">
            <v>8.327567793369214</v>
          </cell>
          <cell r="BV703">
            <v>11.522967903511651</v>
          </cell>
          <cell r="BW703">
            <v>10.055977276238897</v>
          </cell>
          <cell r="BX703">
            <v>8.6149332270911767</v>
          </cell>
          <cell r="BY703">
            <v>11.497021325386617</v>
          </cell>
        </row>
        <row r="704">
          <cell r="A704">
            <v>40422</v>
          </cell>
          <cell r="BF704">
            <v>13.670384946257824</v>
          </cell>
          <cell r="BG704">
            <v>17.429620749261797</v>
          </cell>
          <cell r="BH704">
            <v>16.109902701379674</v>
          </cell>
          <cell r="BI704">
            <v>13.839355674417275</v>
          </cell>
          <cell r="BJ704">
            <v>18.380449728342072</v>
          </cell>
          <cell r="BU704">
            <v>8.3758719846800318</v>
          </cell>
          <cell r="BV704">
            <v>11.522967903511651</v>
          </cell>
          <cell r="BW704">
            <v>10.055977276238897</v>
          </cell>
          <cell r="BX704">
            <v>8.6149332270911767</v>
          </cell>
          <cell r="BY704">
            <v>11.497021325386617</v>
          </cell>
        </row>
        <row r="705">
          <cell r="A705">
            <v>40423</v>
          </cell>
          <cell r="BF705">
            <v>13.709938594496249</v>
          </cell>
          <cell r="BG705">
            <v>17.429620749261797</v>
          </cell>
          <cell r="BH705">
            <v>16.109902701379674</v>
          </cell>
          <cell r="BI705">
            <v>13.839355674417275</v>
          </cell>
          <cell r="BJ705">
            <v>18.380449728342072</v>
          </cell>
          <cell r="BU705">
            <v>8.3986042045487839</v>
          </cell>
          <cell r="BV705">
            <v>11.522967903511651</v>
          </cell>
          <cell r="BW705">
            <v>10.055977276238897</v>
          </cell>
          <cell r="BX705">
            <v>8.6149332270911767</v>
          </cell>
          <cell r="BY705">
            <v>11.497021325386617</v>
          </cell>
        </row>
        <row r="706">
          <cell r="A706">
            <v>40424</v>
          </cell>
          <cell r="BF706">
            <v>13.803877643848079</v>
          </cell>
          <cell r="BG706">
            <v>17.429620749261797</v>
          </cell>
          <cell r="BH706">
            <v>16.109902701379674</v>
          </cell>
          <cell r="BI706">
            <v>13.839355674417275</v>
          </cell>
          <cell r="BJ706">
            <v>18.380449728342072</v>
          </cell>
          <cell r="BU706">
            <v>8.452592729482193</v>
          </cell>
          <cell r="BV706">
            <v>11.522967903511651</v>
          </cell>
          <cell r="BW706">
            <v>10.055977276238897</v>
          </cell>
          <cell r="BX706">
            <v>8.6149332270911767</v>
          </cell>
          <cell r="BY706">
            <v>11.497021325386617</v>
          </cell>
        </row>
        <row r="707">
          <cell r="A707">
            <v>40427</v>
          </cell>
          <cell r="BF707">
            <v>13.784096864462924</v>
          </cell>
          <cell r="BG707">
            <v>17.429620749261797</v>
          </cell>
          <cell r="BH707">
            <v>16.109902701379674</v>
          </cell>
          <cell r="BI707">
            <v>13.839355674417275</v>
          </cell>
          <cell r="BJ707">
            <v>18.380449728342072</v>
          </cell>
          <cell r="BU707">
            <v>8.4412243463826595</v>
          </cell>
          <cell r="BV707">
            <v>11.522967903511651</v>
          </cell>
          <cell r="BW707">
            <v>10.055977276238897</v>
          </cell>
          <cell r="BX707">
            <v>8.6149332270911767</v>
          </cell>
          <cell r="BY707">
            <v>11.497021325386617</v>
          </cell>
        </row>
        <row r="708">
          <cell r="A708">
            <v>40428</v>
          </cell>
          <cell r="BF708">
            <v>13.784096864462924</v>
          </cell>
          <cell r="BG708">
            <v>17.429620749261797</v>
          </cell>
          <cell r="BH708">
            <v>16.109902701379674</v>
          </cell>
          <cell r="BI708">
            <v>13.839355674417275</v>
          </cell>
          <cell r="BJ708">
            <v>18.380449728342072</v>
          </cell>
          <cell r="BU708">
            <v>8.4412243463826595</v>
          </cell>
          <cell r="BV708">
            <v>11.522967903511651</v>
          </cell>
          <cell r="BW708">
            <v>10.055977276238897</v>
          </cell>
          <cell r="BX708">
            <v>8.6149332270911767</v>
          </cell>
          <cell r="BY708">
            <v>11.497021325386617</v>
          </cell>
        </row>
        <row r="709">
          <cell r="A709">
            <v>40429</v>
          </cell>
          <cell r="BF709">
            <v>13.734660489859689</v>
          </cell>
          <cell r="BG709">
            <v>17.429620749261797</v>
          </cell>
          <cell r="BH709">
            <v>16.109902701379674</v>
          </cell>
          <cell r="BI709">
            <v>13.839355674417275</v>
          </cell>
          <cell r="BJ709">
            <v>18.380449728342072</v>
          </cell>
          <cell r="BU709">
            <v>8.4128123392216345</v>
          </cell>
          <cell r="BV709">
            <v>11.522967903511651</v>
          </cell>
          <cell r="BW709">
            <v>10.055977276238897</v>
          </cell>
          <cell r="BX709">
            <v>8.6149332270911767</v>
          </cell>
          <cell r="BY709">
            <v>11.497021325386617</v>
          </cell>
        </row>
        <row r="710">
          <cell r="A710">
            <v>40430</v>
          </cell>
          <cell r="BF710">
            <v>13.670384946257824</v>
          </cell>
          <cell r="BG710">
            <v>17.429620749261797</v>
          </cell>
          <cell r="BH710">
            <v>16.109902701379674</v>
          </cell>
          <cell r="BI710">
            <v>13.839355674417275</v>
          </cell>
          <cell r="BJ710">
            <v>18.380449728342072</v>
          </cell>
          <cell r="BU710">
            <v>8.3758719846800318</v>
          </cell>
          <cell r="BV710">
            <v>11.522967903511651</v>
          </cell>
          <cell r="BW710">
            <v>10.055977276238897</v>
          </cell>
          <cell r="BX710">
            <v>8.6149332270911767</v>
          </cell>
          <cell r="BY710">
            <v>11.497021325386617</v>
          </cell>
        </row>
        <row r="711">
          <cell r="A711">
            <v>40431</v>
          </cell>
          <cell r="BF711">
            <v>13.670384946257824</v>
          </cell>
          <cell r="BG711">
            <v>17.429620749261797</v>
          </cell>
          <cell r="BH711">
            <v>16.109902701379674</v>
          </cell>
          <cell r="BI711">
            <v>13.839355674417275</v>
          </cell>
          <cell r="BJ711">
            <v>18.380449728342072</v>
          </cell>
          <cell r="BU711">
            <v>8.3758719846800318</v>
          </cell>
          <cell r="BV711">
            <v>11.522967903511651</v>
          </cell>
          <cell r="BW711">
            <v>10.055977276238897</v>
          </cell>
          <cell r="BX711">
            <v>8.6149332270911767</v>
          </cell>
          <cell r="BY711">
            <v>11.497021325386617</v>
          </cell>
        </row>
        <row r="712">
          <cell r="A712">
            <v>40434</v>
          </cell>
          <cell r="BF712">
            <v>13.633156516254843</v>
          </cell>
          <cell r="BG712">
            <v>17.429620749261797</v>
          </cell>
          <cell r="BH712">
            <v>16.109902701379674</v>
          </cell>
          <cell r="BI712">
            <v>13.839355674417275</v>
          </cell>
          <cell r="BJ712">
            <v>18.380449728342072</v>
          </cell>
          <cell r="BU712">
            <v>8.3596954649676398</v>
          </cell>
          <cell r="BV712">
            <v>11.522967903511651</v>
          </cell>
          <cell r="BW712">
            <v>10.055977276238897</v>
          </cell>
          <cell r="BX712">
            <v>8.6149332270911767</v>
          </cell>
          <cell r="BY712">
            <v>11.497021325386617</v>
          </cell>
        </row>
        <row r="713">
          <cell r="A713">
            <v>40435</v>
          </cell>
          <cell r="BF713">
            <v>13.780437370671644</v>
          </cell>
          <cell r="BG713">
            <v>17.429620749261797</v>
          </cell>
          <cell r="BH713">
            <v>16.109902701379674</v>
          </cell>
          <cell r="BI713">
            <v>13.839355674417275</v>
          </cell>
          <cell r="BJ713">
            <v>18.380449728342072</v>
          </cell>
          <cell r="BU713">
            <v>8.4444304384892419</v>
          </cell>
          <cell r="BV713">
            <v>11.522967903511651</v>
          </cell>
          <cell r="BW713">
            <v>10.055977276238897</v>
          </cell>
          <cell r="BX713">
            <v>8.6149332270911767</v>
          </cell>
          <cell r="BY713">
            <v>11.497021325386617</v>
          </cell>
        </row>
        <row r="714">
          <cell r="A714">
            <v>40436</v>
          </cell>
          <cell r="BF714">
            <v>13.731340806945077</v>
          </cell>
          <cell r="BG714">
            <v>17.429620749261797</v>
          </cell>
          <cell r="BH714">
            <v>16.109902701379674</v>
          </cell>
          <cell r="BI714">
            <v>13.839355674417275</v>
          </cell>
          <cell r="BJ714">
            <v>18.380449728342072</v>
          </cell>
          <cell r="BU714">
            <v>8.4161837526328505</v>
          </cell>
          <cell r="BV714">
            <v>11.522967903511651</v>
          </cell>
          <cell r="BW714">
            <v>10.055977276238897</v>
          </cell>
          <cell r="BX714">
            <v>8.6149332270911767</v>
          </cell>
          <cell r="BY714">
            <v>11.497021325386617</v>
          </cell>
        </row>
        <row r="715">
          <cell r="A715">
            <v>40437</v>
          </cell>
          <cell r="BF715">
            <v>13.844260399766691</v>
          </cell>
          <cell r="BG715">
            <v>17.429620749261797</v>
          </cell>
          <cell r="BH715">
            <v>16.109902701379674</v>
          </cell>
          <cell r="BI715">
            <v>13.839355674417275</v>
          </cell>
          <cell r="BJ715">
            <v>18.380449728342072</v>
          </cell>
          <cell r="BU715">
            <v>8.4811496896224057</v>
          </cell>
          <cell r="BV715">
            <v>11.522967903511651</v>
          </cell>
          <cell r="BW715">
            <v>10.055977276238897</v>
          </cell>
          <cell r="BX715">
            <v>8.6149332270911767</v>
          </cell>
          <cell r="BY715">
            <v>11.497021325386617</v>
          </cell>
        </row>
        <row r="716">
          <cell r="A716">
            <v>40438</v>
          </cell>
          <cell r="BF716">
            <v>13.888442741459771</v>
          </cell>
          <cell r="BG716">
            <v>17.429620749261797</v>
          </cell>
          <cell r="BH716">
            <v>16.109902701379674</v>
          </cell>
          <cell r="BI716">
            <v>13.839355674417275</v>
          </cell>
          <cell r="BJ716">
            <v>18.380449728342072</v>
          </cell>
          <cell r="BU716">
            <v>8.5065690801352467</v>
          </cell>
          <cell r="BV716">
            <v>11.522967903511651</v>
          </cell>
          <cell r="BW716">
            <v>10.055977276238897</v>
          </cell>
          <cell r="BX716">
            <v>8.6149332270911767</v>
          </cell>
          <cell r="BY716">
            <v>11.497021325386617</v>
          </cell>
        </row>
        <row r="717">
          <cell r="A717">
            <v>40441</v>
          </cell>
          <cell r="BF717">
            <v>13.827076332450194</v>
          </cell>
          <cell r="BG717">
            <v>17.429620749261797</v>
          </cell>
          <cell r="BH717">
            <v>16.109902701379674</v>
          </cell>
          <cell r="BI717">
            <v>13.839355674417275</v>
          </cell>
          <cell r="BJ717">
            <v>18.380449728342072</v>
          </cell>
          <cell r="BU717">
            <v>8.471263194226772</v>
          </cell>
          <cell r="BV717">
            <v>11.522967903511651</v>
          </cell>
          <cell r="BW717">
            <v>10.055977276238897</v>
          </cell>
          <cell r="BX717">
            <v>8.6149332270911767</v>
          </cell>
          <cell r="BY717">
            <v>11.497021325386617</v>
          </cell>
        </row>
        <row r="718">
          <cell r="A718">
            <v>40442</v>
          </cell>
          <cell r="BF718">
            <v>13.851058994645644</v>
          </cell>
          <cell r="BG718">
            <v>17.429620749261797</v>
          </cell>
          <cell r="BH718">
            <v>16.109902701379674</v>
          </cell>
          <cell r="BI718">
            <v>13.839355674417275</v>
          </cell>
          <cell r="BJ718">
            <v>18.380449728342072</v>
          </cell>
          <cell r="BU718">
            <v>8.4867955244498035</v>
          </cell>
          <cell r="BV718">
            <v>11.522967903511651</v>
          </cell>
          <cell r="BW718">
            <v>10.055977276238897</v>
          </cell>
          <cell r="BX718">
            <v>8.6149332270911767</v>
          </cell>
          <cell r="BY718">
            <v>11.497021325386617</v>
          </cell>
        </row>
        <row r="719">
          <cell r="A719">
            <v>40443</v>
          </cell>
          <cell r="BF719">
            <v>13.998308291744152</v>
          </cell>
          <cell r="BG719">
            <v>17.429620749261797</v>
          </cell>
          <cell r="BH719">
            <v>16.109902701379674</v>
          </cell>
          <cell r="BI719">
            <v>13.839355674417275</v>
          </cell>
          <cell r="BJ719">
            <v>18.380449728342072</v>
          </cell>
          <cell r="BU719">
            <v>8.5715307804184953</v>
          </cell>
          <cell r="BV719">
            <v>11.522967903511651</v>
          </cell>
          <cell r="BW719">
            <v>10.055977276238897</v>
          </cell>
          <cell r="BX719">
            <v>8.6149332270911767</v>
          </cell>
          <cell r="BY719">
            <v>11.497021325386617</v>
          </cell>
        </row>
        <row r="720">
          <cell r="A720">
            <v>40444</v>
          </cell>
          <cell r="BF720">
            <v>14.189729334860644</v>
          </cell>
          <cell r="BG720">
            <v>17.429620749261797</v>
          </cell>
          <cell r="BH720">
            <v>16.109902701379674</v>
          </cell>
          <cell r="BI720">
            <v>13.839355674417275</v>
          </cell>
          <cell r="BJ720">
            <v>18.380449728342072</v>
          </cell>
          <cell r="BU720">
            <v>8.6816848620058522</v>
          </cell>
          <cell r="BV720">
            <v>11.522967903511651</v>
          </cell>
          <cell r="BW720">
            <v>10.055977276238897</v>
          </cell>
          <cell r="BX720">
            <v>8.6149332270911767</v>
          </cell>
          <cell r="BY720">
            <v>11.497021325386617</v>
          </cell>
        </row>
        <row r="721">
          <cell r="A721">
            <v>40445</v>
          </cell>
          <cell r="BF721">
            <v>14.042480528586584</v>
          </cell>
          <cell r="BG721">
            <v>17.429620749261797</v>
          </cell>
          <cell r="BH721">
            <v>16.109902701379674</v>
          </cell>
          <cell r="BI721">
            <v>13.839355674417275</v>
          </cell>
          <cell r="BJ721">
            <v>18.380449728342072</v>
          </cell>
          <cell r="BU721">
            <v>8.5969613126206639</v>
          </cell>
          <cell r="BV721">
            <v>11.522967903511651</v>
          </cell>
          <cell r="BW721">
            <v>10.055977276238897</v>
          </cell>
          <cell r="BX721">
            <v>8.6149332270911767</v>
          </cell>
          <cell r="BY721">
            <v>11.497021325386617</v>
          </cell>
        </row>
        <row r="722">
          <cell r="A722">
            <v>40448</v>
          </cell>
          <cell r="BF722">
            <v>13.983584049188526</v>
          </cell>
          <cell r="BG722">
            <v>17.429620749261797</v>
          </cell>
          <cell r="BH722">
            <v>16.109902701379674</v>
          </cell>
          <cell r="BI722">
            <v>13.839355674417275</v>
          </cell>
          <cell r="BJ722">
            <v>18.380449728342072</v>
          </cell>
          <cell r="BU722">
            <v>8.5630690293459502</v>
          </cell>
          <cell r="BV722">
            <v>11.522967903511651</v>
          </cell>
          <cell r="BW722">
            <v>10.055977276238897</v>
          </cell>
          <cell r="BX722">
            <v>8.6149332270911767</v>
          </cell>
          <cell r="BY722">
            <v>11.497021325386617</v>
          </cell>
        </row>
        <row r="723">
          <cell r="A723">
            <v>40449</v>
          </cell>
          <cell r="BF723">
            <v>13.79706830558538</v>
          </cell>
          <cell r="BG723">
            <v>17.429620749261797</v>
          </cell>
          <cell r="BH723">
            <v>16.109902701379674</v>
          </cell>
          <cell r="BI723">
            <v>13.839355674417275</v>
          </cell>
          <cell r="BJ723">
            <v>18.380449728342072</v>
          </cell>
          <cell r="BU723">
            <v>8.4557375813205464</v>
          </cell>
          <cell r="BV723">
            <v>11.522967903511651</v>
          </cell>
          <cell r="BW723">
            <v>10.055977276238897</v>
          </cell>
          <cell r="BX723">
            <v>8.6149332270911767</v>
          </cell>
          <cell r="BY723">
            <v>11.497021325386617</v>
          </cell>
        </row>
        <row r="724">
          <cell r="A724">
            <v>40450</v>
          </cell>
          <cell r="BF724">
            <v>13.85597214735013</v>
          </cell>
          <cell r="BG724">
            <v>17.429620749261797</v>
          </cell>
          <cell r="BH724">
            <v>16.109902701379674</v>
          </cell>
          <cell r="BI724">
            <v>13.839355674417275</v>
          </cell>
          <cell r="BJ724">
            <v>18.380449728342072</v>
          </cell>
          <cell r="BU724">
            <v>8.4896341013072014</v>
          </cell>
          <cell r="BV724">
            <v>11.522967903511651</v>
          </cell>
          <cell r="BW724">
            <v>10.055977276238897</v>
          </cell>
          <cell r="BX724">
            <v>8.6149332270911767</v>
          </cell>
          <cell r="BY724">
            <v>11.497021325386617</v>
          </cell>
        </row>
        <row r="725">
          <cell r="A725">
            <v>40451</v>
          </cell>
          <cell r="BF725">
            <v>14.017945196179816</v>
          </cell>
          <cell r="BG725">
            <v>17.429620749261797</v>
          </cell>
          <cell r="BH725">
            <v>16.109902701379674</v>
          </cell>
          <cell r="BI725">
            <v>13.839355674417275</v>
          </cell>
          <cell r="BJ725">
            <v>18.380449728342072</v>
          </cell>
          <cell r="BU725">
            <v>8.5828423288602043</v>
          </cell>
          <cell r="BV725">
            <v>11.522967903511651</v>
          </cell>
          <cell r="BW725">
            <v>10.055977276238897</v>
          </cell>
          <cell r="BX725">
            <v>8.6149332270911767</v>
          </cell>
          <cell r="BY725">
            <v>11.497021325386617</v>
          </cell>
        </row>
        <row r="726">
          <cell r="A726">
            <v>40452</v>
          </cell>
          <cell r="BF726">
            <v>14.071936376064526</v>
          </cell>
          <cell r="BG726">
            <v>17.429620749261797</v>
          </cell>
          <cell r="BH726">
            <v>16.109902701379674</v>
          </cell>
          <cell r="BI726">
            <v>13.839355674417275</v>
          </cell>
          <cell r="BJ726">
            <v>18.380449728342072</v>
          </cell>
          <cell r="BU726">
            <v>8.6139118321936916</v>
          </cell>
          <cell r="BV726">
            <v>11.522967903511651</v>
          </cell>
          <cell r="BW726">
            <v>10.055977276238897</v>
          </cell>
          <cell r="BX726">
            <v>8.6149332270911767</v>
          </cell>
          <cell r="BY726">
            <v>11.497021325386617</v>
          </cell>
        </row>
        <row r="727">
          <cell r="A727">
            <v>40455</v>
          </cell>
          <cell r="BF727">
            <v>14.263357419181018</v>
          </cell>
          <cell r="BG727">
            <v>17.429620749261797</v>
          </cell>
          <cell r="BH727">
            <v>16.109902701379674</v>
          </cell>
          <cell r="BI727">
            <v>13.839355674417275</v>
          </cell>
          <cell r="BJ727">
            <v>18.380449728342072</v>
          </cell>
          <cell r="BU727">
            <v>8.7239087286674142</v>
          </cell>
          <cell r="BV727">
            <v>11.522967903511651</v>
          </cell>
          <cell r="BW727">
            <v>10.055977276238897</v>
          </cell>
          <cell r="BX727">
            <v>8.6149332270911767</v>
          </cell>
          <cell r="BY727">
            <v>11.497021325386617</v>
          </cell>
        </row>
        <row r="728">
          <cell r="A728">
            <v>40456</v>
          </cell>
          <cell r="BF728">
            <v>14.253538966963186</v>
          </cell>
          <cell r="BG728">
            <v>17.429620749261797</v>
          </cell>
          <cell r="BH728">
            <v>16.109902701379674</v>
          </cell>
          <cell r="BI728">
            <v>13.839355674417275</v>
          </cell>
          <cell r="BJ728">
            <v>18.380449728342072</v>
          </cell>
          <cell r="BU728">
            <v>8.62761181638799</v>
          </cell>
          <cell r="BV728">
            <v>11.522967903511651</v>
          </cell>
          <cell r="BW728">
            <v>10.055977276238897</v>
          </cell>
          <cell r="BX728">
            <v>8.6149332270911767</v>
          </cell>
          <cell r="BY728">
            <v>11.497021325386617</v>
          </cell>
        </row>
        <row r="729">
          <cell r="A729">
            <v>40457</v>
          </cell>
          <cell r="BF729">
            <v>14.771648763423782</v>
          </cell>
          <cell r="BG729">
            <v>17.429620749261797</v>
          </cell>
          <cell r="BH729">
            <v>16.109902701379674</v>
          </cell>
          <cell r="BI729">
            <v>13.839355674417275</v>
          </cell>
          <cell r="BJ729">
            <v>18.380449728342072</v>
          </cell>
          <cell r="BU729">
            <v>8.9248014980905523</v>
          </cell>
          <cell r="BV729">
            <v>11.522967903511651</v>
          </cell>
          <cell r="BW729">
            <v>10.055977276238897</v>
          </cell>
          <cell r="BX729">
            <v>8.6149332270911767</v>
          </cell>
          <cell r="BY729">
            <v>11.497021325386617</v>
          </cell>
        </row>
        <row r="730">
          <cell r="A730">
            <v>40458</v>
          </cell>
          <cell r="BF730">
            <v>14.771648763423782</v>
          </cell>
          <cell r="BG730">
            <v>17.429620749261797</v>
          </cell>
          <cell r="BH730">
            <v>16.109902701379674</v>
          </cell>
          <cell r="BI730">
            <v>13.839355674417275</v>
          </cell>
          <cell r="BJ730">
            <v>18.380449728342072</v>
          </cell>
          <cell r="BU730">
            <v>8.9248014980905523</v>
          </cell>
          <cell r="BV730">
            <v>11.522967903511651</v>
          </cell>
          <cell r="BW730">
            <v>10.055977276238897</v>
          </cell>
          <cell r="BX730">
            <v>8.6149332270911767</v>
          </cell>
          <cell r="BY730">
            <v>11.497021325386617</v>
          </cell>
        </row>
        <row r="731">
          <cell r="A731">
            <v>40459</v>
          </cell>
          <cell r="BF731">
            <v>14.727614162490458</v>
          </cell>
          <cell r="BG731">
            <v>17.429620749261797</v>
          </cell>
          <cell r="BH731">
            <v>16.109902701379674</v>
          </cell>
          <cell r="BI731">
            <v>13.839355674417275</v>
          </cell>
          <cell r="BJ731">
            <v>18.380449728342072</v>
          </cell>
          <cell r="BU731">
            <v>8.8995218975922032</v>
          </cell>
          <cell r="BV731">
            <v>11.522967903511651</v>
          </cell>
          <cell r="BW731">
            <v>10.055977276238897</v>
          </cell>
          <cell r="BX731">
            <v>8.6149332270911767</v>
          </cell>
          <cell r="BY731">
            <v>11.497021325386617</v>
          </cell>
        </row>
        <row r="732">
          <cell r="A732">
            <v>40462</v>
          </cell>
          <cell r="BF732">
            <v>14.595503998924992</v>
          </cell>
          <cell r="BG732">
            <v>17.429620749261797</v>
          </cell>
          <cell r="BH732">
            <v>16.109902701379674</v>
          </cell>
          <cell r="BI732">
            <v>13.839355674417275</v>
          </cell>
          <cell r="BJ732">
            <v>18.380449728342072</v>
          </cell>
          <cell r="BU732">
            <v>8.823679444477591</v>
          </cell>
          <cell r="BV732">
            <v>11.522967903511651</v>
          </cell>
          <cell r="BW732">
            <v>10.055977276238897</v>
          </cell>
          <cell r="BX732">
            <v>8.6149332270911767</v>
          </cell>
          <cell r="BY732">
            <v>11.497021325386617</v>
          </cell>
        </row>
        <row r="733">
          <cell r="A733">
            <v>40463</v>
          </cell>
          <cell r="BF733">
            <v>14.546579437196</v>
          </cell>
          <cell r="BG733">
            <v>17.429620749261797</v>
          </cell>
          <cell r="BH733">
            <v>16.109902701379674</v>
          </cell>
          <cell r="BI733">
            <v>13.839355674417275</v>
          </cell>
          <cell r="BJ733">
            <v>18.380449728342072</v>
          </cell>
          <cell r="BU733">
            <v>8.7955925912110349</v>
          </cell>
          <cell r="BV733">
            <v>11.522967903511651</v>
          </cell>
          <cell r="BW733">
            <v>10.055977276238897</v>
          </cell>
          <cell r="BX733">
            <v>8.6149332270911767</v>
          </cell>
          <cell r="BY733">
            <v>11.497021325386617</v>
          </cell>
        </row>
        <row r="734">
          <cell r="A734">
            <v>40464</v>
          </cell>
          <cell r="BF734">
            <v>14.697141709598904</v>
          </cell>
          <cell r="BG734">
            <v>17.429620749261797</v>
          </cell>
          <cell r="BH734">
            <v>16.109902701379674</v>
          </cell>
          <cell r="BI734">
            <v>13.839355674417275</v>
          </cell>
          <cell r="BJ734">
            <v>18.380449728342072</v>
          </cell>
          <cell r="BU734">
            <v>8.8878162528860987</v>
          </cell>
          <cell r="BV734">
            <v>11.522967903511651</v>
          </cell>
          <cell r="BW734">
            <v>10.055977276238897</v>
          </cell>
          <cell r="BX734">
            <v>8.6149332270911767</v>
          </cell>
          <cell r="BY734">
            <v>11.497021325386617</v>
          </cell>
        </row>
        <row r="735">
          <cell r="A735">
            <v>40465</v>
          </cell>
          <cell r="BF735">
            <v>14.77322320368571</v>
          </cell>
          <cell r="BG735">
            <v>17.429620749261797</v>
          </cell>
          <cell r="BH735">
            <v>16.109902701379674</v>
          </cell>
          <cell r="BI735">
            <v>13.839355674417275</v>
          </cell>
          <cell r="BJ735">
            <v>18.380449728342072</v>
          </cell>
          <cell r="BU735">
            <v>8.8455271912549307</v>
          </cell>
          <cell r="BV735">
            <v>11.522967903511651</v>
          </cell>
          <cell r="BW735">
            <v>10.055977276238897</v>
          </cell>
          <cell r="BX735">
            <v>8.6149332270911767</v>
          </cell>
          <cell r="BY735">
            <v>11.497021325386617</v>
          </cell>
        </row>
        <row r="736">
          <cell r="A736">
            <v>40466</v>
          </cell>
          <cell r="BF736">
            <v>14.831536626101171</v>
          </cell>
          <cell r="BG736">
            <v>17.429620749261797</v>
          </cell>
          <cell r="BH736">
            <v>16.109902701379674</v>
          </cell>
          <cell r="BI736">
            <v>13.839355674417275</v>
          </cell>
          <cell r="BJ736">
            <v>18.380449728342072</v>
          </cell>
          <cell r="BU736">
            <v>8.8786981334848729</v>
          </cell>
          <cell r="BV736">
            <v>11.522967903511651</v>
          </cell>
          <cell r="BW736">
            <v>10.055977276238897</v>
          </cell>
          <cell r="BX736">
            <v>8.6149332270911767</v>
          </cell>
          <cell r="BY736">
            <v>11.497021325386617</v>
          </cell>
        </row>
        <row r="737">
          <cell r="A737">
            <v>40469</v>
          </cell>
          <cell r="BF737">
            <v>14.588555933346994</v>
          </cell>
          <cell r="BG737">
            <v>17.429620749261797</v>
          </cell>
          <cell r="BH737">
            <v>16.109902701379674</v>
          </cell>
          <cell r="BI737">
            <v>13.839355674417275</v>
          </cell>
          <cell r="BJ737">
            <v>18.380449728342072</v>
          </cell>
          <cell r="BU737">
            <v>8.7404812669645633</v>
          </cell>
          <cell r="BV737">
            <v>11.522967903511651</v>
          </cell>
          <cell r="BW737">
            <v>10.055977276238897</v>
          </cell>
          <cell r="BX737">
            <v>8.6149332270911767</v>
          </cell>
          <cell r="BY737">
            <v>11.497021325386617</v>
          </cell>
        </row>
        <row r="738">
          <cell r="A738">
            <v>40470</v>
          </cell>
          <cell r="BF738">
            <v>14.569120393694972</v>
          </cell>
          <cell r="BG738">
            <v>17.429620749261797</v>
          </cell>
          <cell r="BH738">
            <v>16.109902701379674</v>
          </cell>
          <cell r="BI738">
            <v>13.839355674417275</v>
          </cell>
          <cell r="BJ738">
            <v>18.380449728342072</v>
          </cell>
          <cell r="BU738">
            <v>8.7294255762453368</v>
          </cell>
          <cell r="BV738">
            <v>11.522967903511651</v>
          </cell>
          <cell r="BW738">
            <v>10.055977276238897</v>
          </cell>
          <cell r="BX738">
            <v>8.6149332270911767</v>
          </cell>
          <cell r="BY738">
            <v>11.497021325386617</v>
          </cell>
        </row>
        <row r="739">
          <cell r="A739">
            <v>40471</v>
          </cell>
          <cell r="BF739">
            <v>14.408752164554443</v>
          </cell>
          <cell r="BG739">
            <v>17.429620749261797</v>
          </cell>
          <cell r="BH739">
            <v>16.109902701379674</v>
          </cell>
          <cell r="BI739">
            <v>13.839355674417275</v>
          </cell>
          <cell r="BJ739">
            <v>18.380449728342072</v>
          </cell>
          <cell r="BU739">
            <v>8.6382018914744663</v>
          </cell>
          <cell r="BV739">
            <v>11.522967903511651</v>
          </cell>
          <cell r="BW739">
            <v>10.055977276238897</v>
          </cell>
          <cell r="BX739">
            <v>8.6149332270911767</v>
          </cell>
          <cell r="BY739">
            <v>11.497021325386617</v>
          </cell>
        </row>
        <row r="740">
          <cell r="A740">
            <v>40472</v>
          </cell>
          <cell r="BF740">
            <v>14.389309821443025</v>
          </cell>
          <cell r="BG740">
            <v>17.429620749261797</v>
          </cell>
          <cell r="BH740">
            <v>16.109902701379674</v>
          </cell>
          <cell r="BI740">
            <v>13.839355674417275</v>
          </cell>
          <cell r="BJ740">
            <v>18.380449728342072</v>
          </cell>
          <cell r="BU740">
            <v>8.6271423306829771</v>
          </cell>
          <cell r="BV740">
            <v>11.522967903511651</v>
          </cell>
          <cell r="BW740">
            <v>10.055977276238897</v>
          </cell>
          <cell r="BX740">
            <v>8.6149332270911767</v>
          </cell>
          <cell r="BY740">
            <v>11.497021325386617</v>
          </cell>
        </row>
        <row r="741">
          <cell r="A741">
            <v>40473</v>
          </cell>
          <cell r="BF741">
            <v>14.480808264365031</v>
          </cell>
          <cell r="BG741">
            <v>17.429620749261797</v>
          </cell>
          <cell r="BH741">
            <v>16.109902701379674</v>
          </cell>
          <cell r="BI741">
            <v>13.839355674417275</v>
          </cell>
          <cell r="BJ741">
            <v>18.380449728342072</v>
          </cell>
          <cell r="BU741">
            <v>8.6529411499080755</v>
          </cell>
          <cell r="BV741">
            <v>11.522967903511651</v>
          </cell>
          <cell r="BW741">
            <v>10.055977276238897</v>
          </cell>
          <cell r="BX741">
            <v>8.6149332270911767</v>
          </cell>
          <cell r="BY741">
            <v>11.497021325386617</v>
          </cell>
        </row>
        <row r="742">
          <cell r="A742">
            <v>40476</v>
          </cell>
          <cell r="BF742">
            <v>14.436995422930282</v>
          </cell>
          <cell r="BG742">
            <v>17.429620749261797</v>
          </cell>
          <cell r="BH742">
            <v>16.109902701379674</v>
          </cell>
          <cell r="BI742">
            <v>13.839355674417275</v>
          </cell>
          <cell r="BJ742">
            <v>18.380449728342072</v>
          </cell>
          <cell r="BU742">
            <v>8.6280961292582585</v>
          </cell>
          <cell r="BV742">
            <v>11.522967903511651</v>
          </cell>
          <cell r="BW742">
            <v>10.055977276238897</v>
          </cell>
          <cell r="BX742">
            <v>8.6149332270911767</v>
          </cell>
          <cell r="BY742">
            <v>11.497021325386617</v>
          </cell>
        </row>
        <row r="743">
          <cell r="A743">
            <v>40477</v>
          </cell>
          <cell r="BF743">
            <v>14.673069590628613</v>
          </cell>
          <cell r="BG743">
            <v>17.429620749261797</v>
          </cell>
          <cell r="BH743">
            <v>16.109902701379674</v>
          </cell>
          <cell r="BI743">
            <v>13.839355674417275</v>
          </cell>
          <cell r="BJ743">
            <v>18.380449728342072</v>
          </cell>
          <cell r="BU743">
            <v>8.76196709903064</v>
          </cell>
          <cell r="BV743">
            <v>11.522967903511651</v>
          </cell>
          <cell r="BW743">
            <v>10.055977276238897</v>
          </cell>
          <cell r="BX743">
            <v>8.6149332270911767</v>
          </cell>
          <cell r="BY743">
            <v>11.497021325386617</v>
          </cell>
        </row>
        <row r="744">
          <cell r="A744">
            <v>40478</v>
          </cell>
          <cell r="BF744">
            <v>14.738785202156803</v>
          </cell>
          <cell r="BG744">
            <v>17.429620749261797</v>
          </cell>
          <cell r="BH744">
            <v>16.109902701379674</v>
          </cell>
          <cell r="BI744">
            <v>13.839355674417275</v>
          </cell>
          <cell r="BJ744">
            <v>18.380449728342072</v>
          </cell>
          <cell r="BU744">
            <v>8.7992325598399983</v>
          </cell>
          <cell r="BV744">
            <v>11.522967903511651</v>
          </cell>
          <cell r="BW744">
            <v>10.055977276238897</v>
          </cell>
          <cell r="BX744">
            <v>8.6149332270911767</v>
          </cell>
          <cell r="BY744">
            <v>11.497021325386617</v>
          </cell>
        </row>
        <row r="745">
          <cell r="A745">
            <v>40479</v>
          </cell>
          <cell r="BF745">
            <v>15.050305111037261</v>
          </cell>
          <cell r="BG745">
            <v>17.429620749261797</v>
          </cell>
          <cell r="BH745">
            <v>16.109902701379674</v>
          </cell>
          <cell r="BI745">
            <v>13.839355674417275</v>
          </cell>
          <cell r="BJ745">
            <v>18.380449728342072</v>
          </cell>
          <cell r="BU745">
            <v>8.9758866711806427</v>
          </cell>
          <cell r="BV745">
            <v>11.522967903511651</v>
          </cell>
          <cell r="BW745">
            <v>10.055977276238897</v>
          </cell>
          <cell r="BX745">
            <v>8.6149332270911767</v>
          </cell>
          <cell r="BY745">
            <v>11.497021325386617</v>
          </cell>
        </row>
        <row r="746">
          <cell r="A746">
            <v>40480</v>
          </cell>
          <cell r="BF746">
            <v>15.035703102058347</v>
          </cell>
          <cell r="BG746">
            <v>17.429620749261797</v>
          </cell>
          <cell r="BH746">
            <v>16.109902701379674</v>
          </cell>
          <cell r="BI746">
            <v>13.839355674417275</v>
          </cell>
          <cell r="BJ746">
            <v>18.380449728342072</v>
          </cell>
          <cell r="BU746">
            <v>8.9676062857335967</v>
          </cell>
          <cell r="BV746">
            <v>11.522967903511651</v>
          </cell>
          <cell r="BW746">
            <v>10.055977276238897</v>
          </cell>
          <cell r="BX746">
            <v>8.6149332270911767</v>
          </cell>
          <cell r="BY746">
            <v>11.497021325386617</v>
          </cell>
        </row>
        <row r="747">
          <cell r="A747">
            <v>40483</v>
          </cell>
          <cell r="BF747">
            <v>15.077448914541948</v>
          </cell>
          <cell r="BG747">
            <v>17.429620749261797</v>
          </cell>
          <cell r="BH747">
            <v>16.109902701379674</v>
          </cell>
          <cell r="BI747">
            <v>13.839355674417275</v>
          </cell>
          <cell r="BJ747">
            <v>18.380449728342072</v>
          </cell>
          <cell r="BU747">
            <v>8.9931380492412529</v>
          </cell>
          <cell r="BV747">
            <v>11.522967903511651</v>
          </cell>
          <cell r="BW747">
            <v>10.055977276238897</v>
          </cell>
          <cell r="BX747">
            <v>8.6149332270911767</v>
          </cell>
          <cell r="BY747">
            <v>11.497021325386617</v>
          </cell>
        </row>
        <row r="748">
          <cell r="A748">
            <v>40484</v>
          </cell>
          <cell r="BF748">
            <v>15.0956936867682</v>
          </cell>
          <cell r="BG748">
            <v>17.429620749261797</v>
          </cell>
          <cell r="BH748">
            <v>16.109902701379674</v>
          </cell>
          <cell r="BI748">
            <v>13.839355674417275</v>
          </cell>
          <cell r="BJ748">
            <v>18.380449728342072</v>
          </cell>
          <cell r="BU748">
            <v>9.0034863918791768</v>
          </cell>
          <cell r="BV748">
            <v>11.522967903511651</v>
          </cell>
          <cell r="BW748">
            <v>10.055977276238897</v>
          </cell>
          <cell r="BX748">
            <v>8.6149332270911767</v>
          </cell>
          <cell r="BY748">
            <v>11.497021325386617</v>
          </cell>
        </row>
        <row r="749">
          <cell r="A749">
            <v>40485</v>
          </cell>
          <cell r="BF749">
            <v>15.085965672129946</v>
          </cell>
          <cell r="BG749">
            <v>17.429620749261797</v>
          </cell>
          <cell r="BH749">
            <v>16.109902701379674</v>
          </cell>
          <cell r="BI749">
            <v>13.839355674417275</v>
          </cell>
          <cell r="BJ749">
            <v>18.380449728342072</v>
          </cell>
          <cell r="BU749">
            <v>8.9968223717055533</v>
          </cell>
          <cell r="BV749">
            <v>11.522967903511651</v>
          </cell>
          <cell r="BW749">
            <v>10.055977276238897</v>
          </cell>
          <cell r="BX749">
            <v>8.6149332270911767</v>
          </cell>
          <cell r="BY749">
            <v>11.497021325386617</v>
          </cell>
        </row>
        <row r="750">
          <cell r="A750">
            <v>40486</v>
          </cell>
          <cell r="BF750">
            <v>14.988631021613363</v>
          </cell>
          <cell r="BG750">
            <v>17.429620749261797</v>
          </cell>
          <cell r="BH750">
            <v>16.109902701379674</v>
          </cell>
          <cell r="BI750">
            <v>13.839355674417275</v>
          </cell>
          <cell r="BJ750">
            <v>18.380449728342072</v>
          </cell>
          <cell r="BU750">
            <v>8.9416216830997666</v>
          </cell>
          <cell r="BV750">
            <v>11.522967903511651</v>
          </cell>
          <cell r="BW750">
            <v>10.055977276238897</v>
          </cell>
          <cell r="BX750">
            <v>8.6149332270911767</v>
          </cell>
          <cell r="BY750">
            <v>11.497021325386617</v>
          </cell>
        </row>
        <row r="751">
          <cell r="A751">
            <v>40487</v>
          </cell>
          <cell r="BF751">
            <v>14.988631021613363</v>
          </cell>
          <cell r="BG751">
            <v>17.429620749261797</v>
          </cell>
          <cell r="BH751">
            <v>16.109902701379674</v>
          </cell>
          <cell r="BI751">
            <v>13.839355674417275</v>
          </cell>
          <cell r="BJ751">
            <v>18.380449728342072</v>
          </cell>
          <cell r="BU751">
            <v>8.9416216830997666</v>
          </cell>
          <cell r="BV751">
            <v>11.522967903511651</v>
          </cell>
          <cell r="BW751">
            <v>10.055977276238897</v>
          </cell>
          <cell r="BX751">
            <v>8.6149332270911767</v>
          </cell>
          <cell r="BY751">
            <v>11.497021325386617</v>
          </cell>
        </row>
        <row r="752">
          <cell r="A752">
            <v>40490</v>
          </cell>
          <cell r="BF752">
            <v>14.905902505731726</v>
          </cell>
          <cell r="BG752">
            <v>17.429620749261797</v>
          </cell>
          <cell r="BH752">
            <v>16.109902701379674</v>
          </cell>
          <cell r="BI752">
            <v>13.839355674417275</v>
          </cell>
          <cell r="BJ752">
            <v>18.380449728342072</v>
          </cell>
          <cell r="BU752">
            <v>8.8947044648248301</v>
          </cell>
          <cell r="BV752">
            <v>11.522967903511651</v>
          </cell>
          <cell r="BW752">
            <v>10.055977276238897</v>
          </cell>
          <cell r="BX752">
            <v>8.6149332270911767</v>
          </cell>
          <cell r="BY752">
            <v>11.497021325386617</v>
          </cell>
        </row>
        <row r="753">
          <cell r="A753">
            <v>40491</v>
          </cell>
          <cell r="BF753">
            <v>15.017828691561636</v>
          </cell>
          <cell r="BG753">
            <v>17.429620749261797</v>
          </cell>
          <cell r="BH753">
            <v>16.109902701379674</v>
          </cell>
          <cell r="BI753">
            <v>13.839355674417275</v>
          </cell>
          <cell r="BJ753">
            <v>18.380449728342072</v>
          </cell>
          <cell r="BU753">
            <v>8.9581803441549539</v>
          </cell>
          <cell r="BV753">
            <v>11.522967903511651</v>
          </cell>
          <cell r="BW753">
            <v>10.055977276238897</v>
          </cell>
          <cell r="BX753">
            <v>8.6149332270911767</v>
          </cell>
          <cell r="BY753">
            <v>11.497021325386617</v>
          </cell>
        </row>
        <row r="754">
          <cell r="A754">
            <v>40492</v>
          </cell>
          <cell r="BF754">
            <v>15.032434826196582</v>
          </cell>
          <cell r="BG754">
            <v>17.429620749261797</v>
          </cell>
          <cell r="BH754">
            <v>16.109902701379674</v>
          </cell>
          <cell r="BI754">
            <v>13.839355674417275</v>
          </cell>
          <cell r="BJ754">
            <v>18.380449728342072</v>
          </cell>
          <cell r="BU754">
            <v>8.9664638144858024</v>
          </cell>
          <cell r="BV754">
            <v>11.522967903511651</v>
          </cell>
          <cell r="BW754">
            <v>10.055977276238897</v>
          </cell>
          <cell r="BX754">
            <v>8.6149332270911767</v>
          </cell>
          <cell r="BY754">
            <v>11.497021325386617</v>
          </cell>
        </row>
        <row r="755">
          <cell r="A755">
            <v>40493</v>
          </cell>
          <cell r="BF755">
            <v>14.978903493619162</v>
          </cell>
          <cell r="BG755">
            <v>17.429620749261797</v>
          </cell>
          <cell r="BH755">
            <v>16.109902701379674</v>
          </cell>
          <cell r="BI755">
            <v>13.839355674417275</v>
          </cell>
          <cell r="BJ755">
            <v>18.380449728342072</v>
          </cell>
          <cell r="BU755">
            <v>8.936104981279172</v>
          </cell>
          <cell r="BV755">
            <v>11.522967903511651</v>
          </cell>
          <cell r="BW755">
            <v>10.055977276238897</v>
          </cell>
          <cell r="BX755">
            <v>8.6149332270911767</v>
          </cell>
          <cell r="BY755">
            <v>11.497021325386617</v>
          </cell>
        </row>
        <row r="756">
          <cell r="A756">
            <v>40494</v>
          </cell>
          <cell r="BF756">
            <v>14.905902505731726</v>
          </cell>
          <cell r="BG756">
            <v>17.429620749261797</v>
          </cell>
          <cell r="BH756">
            <v>16.109902701379674</v>
          </cell>
          <cell r="BI756">
            <v>13.839355674417275</v>
          </cell>
          <cell r="BJ756">
            <v>18.380449728342072</v>
          </cell>
          <cell r="BU756">
            <v>8.8947044648248301</v>
          </cell>
          <cell r="BV756">
            <v>11.522967903511651</v>
          </cell>
          <cell r="BW756">
            <v>10.055977276238897</v>
          </cell>
          <cell r="BX756">
            <v>8.6149332270911767</v>
          </cell>
          <cell r="BY756">
            <v>11.497021325386617</v>
          </cell>
        </row>
        <row r="757">
          <cell r="A757">
            <v>40497</v>
          </cell>
          <cell r="BF757">
            <v>14.97944060304471</v>
          </cell>
          <cell r="BG757">
            <v>17.429620749261797</v>
          </cell>
          <cell r="BH757">
            <v>16.109902701379674</v>
          </cell>
          <cell r="BI757">
            <v>13.839355674417275</v>
          </cell>
          <cell r="BJ757">
            <v>18.380449728342072</v>
          </cell>
          <cell r="BU757">
            <v>8.9384451792305839</v>
          </cell>
          <cell r="BV757">
            <v>11.522967903511651</v>
          </cell>
          <cell r="BW757">
            <v>10.055977276238897</v>
          </cell>
          <cell r="BX757">
            <v>8.6149332270911767</v>
          </cell>
          <cell r="BY757">
            <v>11.497021325386617</v>
          </cell>
        </row>
        <row r="758">
          <cell r="A758">
            <v>40498</v>
          </cell>
          <cell r="BF758">
            <v>14.993941034446923</v>
          </cell>
          <cell r="BG758">
            <v>17.429620749261797</v>
          </cell>
          <cell r="BH758">
            <v>16.109902701379674</v>
          </cell>
          <cell r="BI758">
            <v>13.839355674417275</v>
          </cell>
          <cell r="BJ758">
            <v>18.380449728342072</v>
          </cell>
          <cell r="BU758">
            <v>8.9466733144537667</v>
          </cell>
          <cell r="BV758">
            <v>11.522967903511651</v>
          </cell>
          <cell r="BW758">
            <v>10.055977276238897</v>
          </cell>
          <cell r="BX758">
            <v>8.6149332270911767</v>
          </cell>
          <cell r="BY758">
            <v>11.497021325386617</v>
          </cell>
        </row>
        <row r="759">
          <cell r="A759">
            <v>40499</v>
          </cell>
          <cell r="BF759">
            <v>14.993941034446923</v>
          </cell>
          <cell r="BG759">
            <v>17.429620749261797</v>
          </cell>
          <cell r="BH759">
            <v>16.109902701379674</v>
          </cell>
          <cell r="BI759">
            <v>13.839355674417275</v>
          </cell>
          <cell r="BJ759">
            <v>18.380449728342072</v>
          </cell>
          <cell r="BU759">
            <v>8.9466733144537667</v>
          </cell>
          <cell r="BV759">
            <v>11.522967903511651</v>
          </cell>
          <cell r="BW759">
            <v>10.055977276238897</v>
          </cell>
          <cell r="BX759">
            <v>8.6149332270911767</v>
          </cell>
          <cell r="BY759">
            <v>11.497021325386617</v>
          </cell>
        </row>
        <row r="760">
          <cell r="A760">
            <v>40500</v>
          </cell>
          <cell r="BF760">
            <v>15.03744184528974</v>
          </cell>
          <cell r="BG760">
            <v>17.429620749261797</v>
          </cell>
          <cell r="BH760">
            <v>16.109902701379674</v>
          </cell>
          <cell r="BI760">
            <v>13.839355674417275</v>
          </cell>
          <cell r="BJ760">
            <v>18.380449728342072</v>
          </cell>
          <cell r="BU760">
            <v>8.9713574458429939</v>
          </cell>
          <cell r="BV760">
            <v>11.522967903511651</v>
          </cell>
          <cell r="BW760">
            <v>10.055977276238897</v>
          </cell>
          <cell r="BX760">
            <v>8.6149332270911767</v>
          </cell>
          <cell r="BY760">
            <v>11.497021325386617</v>
          </cell>
        </row>
        <row r="761">
          <cell r="A761">
            <v>40501</v>
          </cell>
          <cell r="BF761">
            <v>15.027779885781129</v>
          </cell>
          <cell r="BG761">
            <v>17.429620749261797</v>
          </cell>
          <cell r="BH761">
            <v>16.109902701379674</v>
          </cell>
          <cell r="BI761">
            <v>13.839355674417275</v>
          </cell>
          <cell r="BJ761">
            <v>18.380449728342072</v>
          </cell>
          <cell r="BU761">
            <v>8.9658748565908137</v>
          </cell>
          <cell r="BV761">
            <v>11.522967903511651</v>
          </cell>
          <cell r="BW761">
            <v>10.055977276238897</v>
          </cell>
          <cell r="BX761">
            <v>8.6149332270911767</v>
          </cell>
          <cell r="BY761">
            <v>11.497021325386617</v>
          </cell>
        </row>
        <row r="762">
          <cell r="A762">
            <v>40504</v>
          </cell>
          <cell r="BF762">
            <v>15.080963403613731</v>
          </cell>
          <cell r="BG762">
            <v>17.429620749261797</v>
          </cell>
          <cell r="BH762">
            <v>16.109902701379674</v>
          </cell>
          <cell r="BI762">
            <v>13.839355674417275</v>
          </cell>
          <cell r="BJ762">
            <v>18.380449728342072</v>
          </cell>
          <cell r="BU762">
            <v>8.9981008738506318</v>
          </cell>
          <cell r="BV762">
            <v>11.522967903511651</v>
          </cell>
          <cell r="BW762">
            <v>10.055977276238897</v>
          </cell>
          <cell r="BX762">
            <v>8.6149332270911767</v>
          </cell>
          <cell r="BY762">
            <v>11.497021325386617</v>
          </cell>
        </row>
        <row r="763">
          <cell r="A763">
            <v>40505</v>
          </cell>
          <cell r="BF763">
            <v>15.193317643875071</v>
          </cell>
          <cell r="BG763">
            <v>17.429620749261797</v>
          </cell>
          <cell r="BH763">
            <v>16.109902701379674</v>
          </cell>
          <cell r="BI763">
            <v>13.839355674417275</v>
          </cell>
          <cell r="BJ763">
            <v>18.380449728342072</v>
          </cell>
          <cell r="BU763">
            <v>9.0618704989421133</v>
          </cell>
          <cell r="BV763">
            <v>11.522967903511651</v>
          </cell>
          <cell r="BW763">
            <v>10.055977276238897</v>
          </cell>
          <cell r="BX763">
            <v>8.6149332270911767</v>
          </cell>
          <cell r="BY763">
            <v>11.497021325386617</v>
          </cell>
        </row>
        <row r="764">
          <cell r="A764">
            <v>40506</v>
          </cell>
          <cell r="BF764">
            <v>15.217481503675103</v>
          </cell>
          <cell r="BG764">
            <v>17.429620749261797</v>
          </cell>
          <cell r="BH764">
            <v>16.109902701379674</v>
          </cell>
          <cell r="BI764">
            <v>13.839355674417275</v>
          </cell>
          <cell r="BJ764">
            <v>18.380449728342072</v>
          </cell>
          <cell r="BU764">
            <v>9.0755853376222237</v>
          </cell>
          <cell r="BV764">
            <v>11.522967903511651</v>
          </cell>
          <cell r="BW764">
            <v>10.055977276238897</v>
          </cell>
          <cell r="BX764">
            <v>8.6149332270911767</v>
          </cell>
          <cell r="BY764">
            <v>11.497021325386617</v>
          </cell>
        </row>
        <row r="765">
          <cell r="A765">
            <v>40507</v>
          </cell>
          <cell r="BF765">
            <v>15.212651437905023</v>
          </cell>
          <cell r="BG765">
            <v>17.429620749261797</v>
          </cell>
          <cell r="BH765">
            <v>16.109902701379674</v>
          </cell>
          <cell r="BI765">
            <v>13.839355674417275</v>
          </cell>
          <cell r="BJ765">
            <v>18.380449728342072</v>
          </cell>
          <cell r="BU765">
            <v>9.0728439058559758</v>
          </cell>
          <cell r="BV765">
            <v>11.522967903511651</v>
          </cell>
          <cell r="BW765">
            <v>10.055977276238897</v>
          </cell>
          <cell r="BX765">
            <v>8.6149332270911767</v>
          </cell>
          <cell r="BY765">
            <v>11.497021325386617</v>
          </cell>
        </row>
        <row r="766">
          <cell r="A766">
            <v>40508</v>
          </cell>
          <cell r="BF766">
            <v>15.173990615319935</v>
          </cell>
          <cell r="BG766">
            <v>17.429620749261797</v>
          </cell>
          <cell r="BH766">
            <v>16.109902701379674</v>
          </cell>
          <cell r="BI766">
            <v>13.839355674417275</v>
          </cell>
          <cell r="BJ766">
            <v>18.380449728342072</v>
          </cell>
          <cell r="BU766">
            <v>9.0509009319526825</v>
          </cell>
          <cell r="BV766">
            <v>11.522967903511651</v>
          </cell>
          <cell r="BW766">
            <v>10.055977276238897</v>
          </cell>
          <cell r="BX766">
            <v>8.6149332270911767</v>
          </cell>
          <cell r="BY766">
            <v>11.497021325386617</v>
          </cell>
        </row>
        <row r="767">
          <cell r="A767">
            <v>40511</v>
          </cell>
          <cell r="BF767">
            <v>15.173990615319935</v>
          </cell>
          <cell r="BG767">
            <v>17.429620749261797</v>
          </cell>
          <cell r="BH767">
            <v>16.109902701379674</v>
          </cell>
          <cell r="BI767">
            <v>13.839355674417275</v>
          </cell>
          <cell r="BJ767">
            <v>18.380449728342072</v>
          </cell>
          <cell r="BU767">
            <v>9.0509009319526825</v>
          </cell>
          <cell r="BV767">
            <v>11.522967903511651</v>
          </cell>
          <cell r="BW767">
            <v>10.055977276238897</v>
          </cell>
          <cell r="BX767">
            <v>8.6149332270911767</v>
          </cell>
          <cell r="BY767">
            <v>11.497021325386617</v>
          </cell>
        </row>
        <row r="768">
          <cell r="A768">
            <v>40512</v>
          </cell>
          <cell r="BF768">
            <v>15.294802665597079</v>
          </cell>
          <cell r="BG768">
            <v>17.429620749261797</v>
          </cell>
          <cell r="BH768">
            <v>16.109902701379674</v>
          </cell>
          <cell r="BI768">
            <v>13.839355674417275</v>
          </cell>
          <cell r="BJ768">
            <v>18.380449728342072</v>
          </cell>
          <cell r="BU768">
            <v>9.1194710111485016</v>
          </cell>
          <cell r="BV768">
            <v>11.522967903511651</v>
          </cell>
          <cell r="BW768">
            <v>10.055977276238897</v>
          </cell>
          <cell r="BX768">
            <v>8.6149332270911767</v>
          </cell>
          <cell r="BY768">
            <v>11.497021325386617</v>
          </cell>
        </row>
        <row r="769">
          <cell r="A769">
            <v>40513</v>
          </cell>
          <cell r="BF769">
            <v>15.169161032798057</v>
          </cell>
          <cell r="BG769">
            <v>17.429620749261797</v>
          </cell>
          <cell r="BH769">
            <v>16.109902701379674</v>
          </cell>
          <cell r="BI769">
            <v>13.839355674417275</v>
          </cell>
          <cell r="BJ769">
            <v>18.380449728342072</v>
          </cell>
          <cell r="BU769">
            <v>9.0481597744667468</v>
          </cell>
          <cell r="BV769">
            <v>11.522967903511651</v>
          </cell>
          <cell r="BW769">
            <v>10.055977276238897</v>
          </cell>
          <cell r="BX769">
            <v>8.6149332270911767</v>
          </cell>
          <cell r="BY769">
            <v>11.497021325386617</v>
          </cell>
        </row>
        <row r="770">
          <cell r="A770">
            <v>40514</v>
          </cell>
          <cell r="BF770">
            <v>15.111166416183016</v>
          </cell>
          <cell r="BG770">
            <v>17.429620749261797</v>
          </cell>
          <cell r="BH770">
            <v>16.109902701379674</v>
          </cell>
          <cell r="BI770">
            <v>13.839355674417275</v>
          </cell>
          <cell r="BJ770">
            <v>18.380449728342072</v>
          </cell>
          <cell r="BU770">
            <v>9.0152433936495857</v>
          </cell>
          <cell r="BV770">
            <v>11.522967903511651</v>
          </cell>
          <cell r="BW770">
            <v>10.055977276238897</v>
          </cell>
          <cell r="BX770">
            <v>8.6149332270911767</v>
          </cell>
          <cell r="BY770">
            <v>11.497021325386617</v>
          </cell>
        </row>
        <row r="771">
          <cell r="A771">
            <v>40515</v>
          </cell>
          <cell r="BF771">
            <v>15.241645363475135</v>
          </cell>
          <cell r="BG771">
            <v>17.429620749261797</v>
          </cell>
          <cell r="BH771">
            <v>16.109902701379674</v>
          </cell>
          <cell r="BI771">
            <v>13.839355674417275</v>
          </cell>
          <cell r="BJ771">
            <v>18.380449728342072</v>
          </cell>
          <cell r="BU771">
            <v>9.0893001763023413</v>
          </cell>
          <cell r="BV771">
            <v>11.522967903511651</v>
          </cell>
          <cell r="BW771">
            <v>10.055977276238897</v>
          </cell>
          <cell r="BX771">
            <v>8.6149332270911767</v>
          </cell>
          <cell r="BY771">
            <v>11.497021325386617</v>
          </cell>
        </row>
        <row r="772">
          <cell r="A772">
            <v>40518</v>
          </cell>
          <cell r="BF772">
            <v>15.270638805797045</v>
          </cell>
          <cell r="BG772">
            <v>17.429620749261797</v>
          </cell>
          <cell r="BH772">
            <v>16.109902701379674</v>
          </cell>
          <cell r="BI772">
            <v>13.839355674417275</v>
          </cell>
          <cell r="BJ772">
            <v>18.380449728342072</v>
          </cell>
          <cell r="BU772">
            <v>9.1057561724683858</v>
          </cell>
          <cell r="BV772">
            <v>11.522967903511651</v>
          </cell>
          <cell r="BW772">
            <v>10.055977276238897</v>
          </cell>
          <cell r="BX772">
            <v>8.6149332270911767</v>
          </cell>
          <cell r="BY772">
            <v>11.497021325386617</v>
          </cell>
        </row>
        <row r="773">
          <cell r="A773">
            <v>40519</v>
          </cell>
          <cell r="BF773">
            <v>15.850535197382728</v>
          </cell>
          <cell r="BG773">
            <v>17.429620749261797</v>
          </cell>
          <cell r="BH773">
            <v>16.109902701379674</v>
          </cell>
          <cell r="BI773">
            <v>13.839355674417275</v>
          </cell>
          <cell r="BJ773">
            <v>18.380449728342072</v>
          </cell>
          <cell r="BU773">
            <v>9.4117546122714515</v>
          </cell>
          <cell r="BV773">
            <v>11.522967903511651</v>
          </cell>
          <cell r="BW773">
            <v>10.055977276238897</v>
          </cell>
          <cell r="BX773">
            <v>8.6149332270911767</v>
          </cell>
          <cell r="BY773">
            <v>11.497021325386617</v>
          </cell>
        </row>
        <row r="774">
          <cell r="A774">
            <v>40520</v>
          </cell>
          <cell r="BF774">
            <v>15.923026776782827</v>
          </cell>
          <cell r="BG774">
            <v>17.429620749261797</v>
          </cell>
          <cell r="BH774">
            <v>16.109902701379674</v>
          </cell>
          <cell r="BI774">
            <v>13.839355674417275</v>
          </cell>
          <cell r="BJ774">
            <v>18.380449728342072</v>
          </cell>
          <cell r="BU774">
            <v>9.4527982299094369</v>
          </cell>
          <cell r="BV774">
            <v>11.522967903511651</v>
          </cell>
          <cell r="BW774">
            <v>10.055977276238897</v>
          </cell>
          <cell r="BX774">
            <v>8.6149332270911767</v>
          </cell>
          <cell r="BY774">
            <v>11.497021325386617</v>
          </cell>
        </row>
        <row r="775">
          <cell r="A775">
            <v>40521</v>
          </cell>
          <cell r="BF775">
            <v>15.976862490186312</v>
          </cell>
          <cell r="BG775">
            <v>17.429620749261797</v>
          </cell>
          <cell r="BH775">
            <v>16.109902701379674</v>
          </cell>
          <cell r="BI775">
            <v>13.839355674417275</v>
          </cell>
          <cell r="BJ775">
            <v>18.380449728342072</v>
          </cell>
          <cell r="BU775">
            <v>9.4993112654929028</v>
          </cell>
          <cell r="BV775">
            <v>11.522967903511651</v>
          </cell>
          <cell r="BW775">
            <v>10.055977276238897</v>
          </cell>
          <cell r="BX775">
            <v>8.6149332270911767</v>
          </cell>
          <cell r="BY775">
            <v>11.497021325386617</v>
          </cell>
        </row>
        <row r="776">
          <cell r="A776">
            <v>40522</v>
          </cell>
          <cell r="BF776">
            <v>15.909327435271871</v>
          </cell>
          <cell r="BG776">
            <v>17.429620749261797</v>
          </cell>
          <cell r="BH776">
            <v>16.109902701379674</v>
          </cell>
          <cell r="BI776">
            <v>13.839355674417275</v>
          </cell>
          <cell r="BJ776">
            <v>18.380449728342072</v>
          </cell>
          <cell r="BU776">
            <v>9.4610061873354709</v>
          </cell>
          <cell r="BV776">
            <v>11.522967903511651</v>
          </cell>
          <cell r="BW776">
            <v>10.055977276238897</v>
          </cell>
          <cell r="BX776">
            <v>8.6149332270911767</v>
          </cell>
          <cell r="BY776">
            <v>11.497021325386617</v>
          </cell>
        </row>
        <row r="777">
          <cell r="A777">
            <v>40525</v>
          </cell>
          <cell r="BF777">
            <v>15.947919860009479</v>
          </cell>
          <cell r="BG777">
            <v>17.429620749261797</v>
          </cell>
          <cell r="BH777">
            <v>16.109902701379674</v>
          </cell>
          <cell r="BI777">
            <v>13.839355674417275</v>
          </cell>
          <cell r="BJ777">
            <v>18.380449728342072</v>
          </cell>
          <cell r="BU777">
            <v>9.4828953506408347</v>
          </cell>
          <cell r="BV777">
            <v>11.522967903511651</v>
          </cell>
          <cell r="BW777">
            <v>10.055977276238897</v>
          </cell>
          <cell r="BX777">
            <v>8.6149332270911767</v>
          </cell>
          <cell r="BY777">
            <v>11.497021325386617</v>
          </cell>
        </row>
        <row r="778">
          <cell r="A778">
            <v>40526</v>
          </cell>
          <cell r="BF778">
            <v>15.964668660388906</v>
          </cell>
          <cell r="BG778">
            <v>17.429620749261797</v>
          </cell>
          <cell r="BH778">
            <v>16.109902701379674</v>
          </cell>
          <cell r="BI778">
            <v>13.839355674417275</v>
          </cell>
          <cell r="BJ778">
            <v>18.380449728342072</v>
          </cell>
          <cell r="BU778">
            <v>9.494438914644185</v>
          </cell>
          <cell r="BV778">
            <v>11.522967903511651</v>
          </cell>
          <cell r="BW778">
            <v>10.055977276238897</v>
          </cell>
          <cell r="BX778">
            <v>8.6149332270911767</v>
          </cell>
          <cell r="BY778">
            <v>11.497021325386617</v>
          </cell>
        </row>
        <row r="779">
          <cell r="A779">
            <v>40527</v>
          </cell>
          <cell r="BF779">
            <v>15.940710632335739</v>
          </cell>
          <cell r="BG779">
            <v>17.429620749261797</v>
          </cell>
          <cell r="BH779">
            <v>16.109902701379674</v>
          </cell>
          <cell r="BI779">
            <v>13.839355674417275</v>
          </cell>
          <cell r="BJ779">
            <v>18.380449728342072</v>
          </cell>
          <cell r="BU779">
            <v>9.4808430449940388</v>
          </cell>
          <cell r="BV779">
            <v>11.522967903511651</v>
          </cell>
          <cell r="BW779">
            <v>10.055977276238897</v>
          </cell>
          <cell r="BX779">
            <v>8.6149332270911767</v>
          </cell>
          <cell r="BY779">
            <v>11.497021325386617</v>
          </cell>
        </row>
        <row r="780">
          <cell r="A780">
            <v>40528</v>
          </cell>
          <cell r="BF780">
            <v>15.897590206547264</v>
          </cell>
          <cell r="BG780">
            <v>17.429620749261797</v>
          </cell>
          <cell r="BH780">
            <v>16.109902701379674</v>
          </cell>
          <cell r="BI780">
            <v>13.839355674417275</v>
          </cell>
          <cell r="BJ780">
            <v>18.380449728342072</v>
          </cell>
          <cell r="BU780">
            <v>9.4563727635928405</v>
          </cell>
          <cell r="BV780">
            <v>11.522967903511651</v>
          </cell>
          <cell r="BW780">
            <v>10.055977276238897</v>
          </cell>
          <cell r="BX780">
            <v>8.6149332270911767</v>
          </cell>
          <cell r="BY780">
            <v>11.497021325386617</v>
          </cell>
        </row>
        <row r="781">
          <cell r="A781">
            <v>40529</v>
          </cell>
          <cell r="BF781">
            <v>15.998211241232424</v>
          </cell>
          <cell r="BG781">
            <v>17.429620749261797</v>
          </cell>
          <cell r="BH781">
            <v>16.109902701379674</v>
          </cell>
          <cell r="BI781">
            <v>13.839355674417275</v>
          </cell>
          <cell r="BJ781">
            <v>18.380449728342072</v>
          </cell>
          <cell r="BU781">
            <v>9.5134738934774123</v>
          </cell>
          <cell r="BV781">
            <v>11.522967903511651</v>
          </cell>
          <cell r="BW781">
            <v>10.055977276238897</v>
          </cell>
          <cell r="BX781">
            <v>8.6149332270911767</v>
          </cell>
          <cell r="BY781">
            <v>11.497021325386617</v>
          </cell>
        </row>
        <row r="782">
          <cell r="A782">
            <v>40532</v>
          </cell>
          <cell r="BF782">
            <v>16.113198085071396</v>
          </cell>
          <cell r="BG782">
            <v>17.429620749261797</v>
          </cell>
          <cell r="BH782">
            <v>16.109902701379674</v>
          </cell>
          <cell r="BI782">
            <v>13.839355674417275</v>
          </cell>
          <cell r="BJ782">
            <v>18.380449728342072</v>
          </cell>
          <cell r="BU782">
            <v>9.5787274334117924</v>
          </cell>
          <cell r="BV782">
            <v>11.522967903511651</v>
          </cell>
          <cell r="BW782">
            <v>10.055977276238897</v>
          </cell>
          <cell r="BX782">
            <v>8.6149332270911767</v>
          </cell>
          <cell r="BY782">
            <v>11.497021325386617</v>
          </cell>
        </row>
        <row r="783">
          <cell r="A783">
            <v>40533</v>
          </cell>
          <cell r="BF783">
            <v>16.170698693968081</v>
          </cell>
          <cell r="BG783">
            <v>17.429620749261797</v>
          </cell>
          <cell r="BH783">
            <v>16.109902701379674</v>
          </cell>
          <cell r="BI783">
            <v>13.839355674417275</v>
          </cell>
          <cell r="BJ783">
            <v>18.380449728342072</v>
          </cell>
          <cell r="BU783">
            <v>9.6113582818951624</v>
          </cell>
          <cell r="BV783">
            <v>11.522967903511651</v>
          </cell>
          <cell r="BW783">
            <v>10.055977276238897</v>
          </cell>
          <cell r="BX783">
            <v>8.6149332270911767</v>
          </cell>
          <cell r="BY783">
            <v>11.497021325386617</v>
          </cell>
        </row>
        <row r="784">
          <cell r="A784">
            <v>40534</v>
          </cell>
          <cell r="BF784">
            <v>16.156318031728059</v>
          </cell>
          <cell r="BG784">
            <v>17.429620749261797</v>
          </cell>
          <cell r="BH784">
            <v>16.109902701379674</v>
          </cell>
          <cell r="BI784">
            <v>13.839355674417275</v>
          </cell>
          <cell r="BJ784">
            <v>18.380449728342072</v>
          </cell>
          <cell r="BU784">
            <v>9.6031974429119131</v>
          </cell>
          <cell r="BV784">
            <v>11.522967903511651</v>
          </cell>
          <cell r="BW784">
            <v>10.055977276238897</v>
          </cell>
          <cell r="BX784">
            <v>8.6149332270911767</v>
          </cell>
          <cell r="BY784">
            <v>11.497021325386617</v>
          </cell>
        </row>
        <row r="785">
          <cell r="A785">
            <v>40535</v>
          </cell>
          <cell r="BF785">
            <v>16.146740665914916</v>
          </cell>
          <cell r="BG785">
            <v>17.429620749261797</v>
          </cell>
          <cell r="BH785">
            <v>16.109902701379674</v>
          </cell>
          <cell r="BI785">
            <v>13.839355674417275</v>
          </cell>
          <cell r="BJ785">
            <v>18.380449728342072</v>
          </cell>
          <cell r="BU785">
            <v>9.5977624122450163</v>
          </cell>
          <cell r="BV785">
            <v>11.522967903511651</v>
          </cell>
          <cell r="BW785">
            <v>10.055977276238897</v>
          </cell>
          <cell r="BX785">
            <v>8.6149332270911767</v>
          </cell>
          <cell r="BY785">
            <v>11.497021325386617</v>
          </cell>
        </row>
        <row r="786">
          <cell r="A786">
            <v>40536</v>
          </cell>
          <cell r="BF786">
            <v>16.256939066413221</v>
          </cell>
          <cell r="BG786">
            <v>17.429620749261797</v>
          </cell>
          <cell r="BH786">
            <v>16.109902701379674</v>
          </cell>
          <cell r="BI786">
            <v>13.839355674417275</v>
          </cell>
          <cell r="BJ786">
            <v>18.380449728342072</v>
          </cell>
          <cell r="BU786">
            <v>9.6602985727964885</v>
          </cell>
          <cell r="BV786">
            <v>11.522967903511651</v>
          </cell>
          <cell r="BW786">
            <v>10.055977276238897</v>
          </cell>
          <cell r="BX786">
            <v>8.6149332270911767</v>
          </cell>
          <cell r="BY786">
            <v>11.497021325386617</v>
          </cell>
        </row>
        <row r="787">
          <cell r="A787">
            <v>40539</v>
          </cell>
          <cell r="BF787">
            <v>16.237777147809727</v>
          </cell>
          <cell r="BG787">
            <v>17.429620749261797</v>
          </cell>
          <cell r="BH787">
            <v>16.109902701379674</v>
          </cell>
          <cell r="BI787">
            <v>13.839355674417275</v>
          </cell>
          <cell r="BJ787">
            <v>18.380449728342072</v>
          </cell>
          <cell r="BU787">
            <v>9.6494244329465086</v>
          </cell>
          <cell r="BV787">
            <v>11.522967903511651</v>
          </cell>
          <cell r="BW787">
            <v>10.055977276238897</v>
          </cell>
          <cell r="BX787">
            <v>8.6149332270911767</v>
          </cell>
          <cell r="BY787">
            <v>11.497021325386617</v>
          </cell>
        </row>
        <row r="788">
          <cell r="A788">
            <v>40540</v>
          </cell>
          <cell r="BF788">
            <v>16.271312541676046</v>
          </cell>
          <cell r="BG788">
            <v>17.429620749261797</v>
          </cell>
          <cell r="BH788">
            <v>16.109902701379674</v>
          </cell>
          <cell r="BI788">
            <v>13.839355674417275</v>
          </cell>
          <cell r="BJ788">
            <v>18.380449728342072</v>
          </cell>
          <cell r="BU788">
            <v>9.6684553332635534</v>
          </cell>
          <cell r="BV788">
            <v>11.522967903511651</v>
          </cell>
          <cell r="BW788">
            <v>10.055977276238897</v>
          </cell>
          <cell r="BX788">
            <v>8.6149332270911767</v>
          </cell>
          <cell r="BY788">
            <v>11.497021325386617</v>
          </cell>
        </row>
        <row r="789">
          <cell r="A789">
            <v>40541</v>
          </cell>
          <cell r="BF789">
            <v>16.367137466911529</v>
          </cell>
          <cell r="BG789">
            <v>17.429620749261797</v>
          </cell>
          <cell r="BH789">
            <v>16.109902701379674</v>
          </cell>
          <cell r="BI789">
            <v>13.839355674417275</v>
          </cell>
          <cell r="BJ789">
            <v>18.380449728342072</v>
          </cell>
          <cell r="BU789">
            <v>9.7228347333479554</v>
          </cell>
          <cell r="BV789">
            <v>11.522967903511651</v>
          </cell>
          <cell r="BW789">
            <v>10.055977276238897</v>
          </cell>
          <cell r="BX789">
            <v>8.6149332270911767</v>
          </cell>
          <cell r="BY789">
            <v>11.497021325386617</v>
          </cell>
        </row>
        <row r="790">
          <cell r="A790">
            <v>40542</v>
          </cell>
          <cell r="BF790">
            <v>16.462962392147009</v>
          </cell>
          <cell r="BG790">
            <v>17.429620749261797</v>
          </cell>
          <cell r="BH790">
            <v>16.109902701379674</v>
          </cell>
          <cell r="BI790">
            <v>13.839355674417275</v>
          </cell>
          <cell r="BJ790">
            <v>18.380449728342072</v>
          </cell>
          <cell r="BU790">
            <v>9.7811462822980726</v>
          </cell>
          <cell r="BV790">
            <v>11.522967903511651</v>
          </cell>
          <cell r="BW790">
            <v>10.055977276238897</v>
          </cell>
          <cell r="BX790">
            <v>8.6149332270911767</v>
          </cell>
          <cell r="BY790">
            <v>11.497021325386617</v>
          </cell>
        </row>
        <row r="791">
          <cell r="A791">
            <v>40543</v>
          </cell>
          <cell r="BF791">
            <v>16.36143935591976</v>
          </cell>
          <cell r="BG791">
            <v>17.429620749261797</v>
          </cell>
          <cell r="BH791">
            <v>16.109902701379674</v>
          </cell>
          <cell r="BI791">
            <v>13.839355674417275</v>
          </cell>
          <cell r="BJ791">
            <v>18.380449728342072</v>
          </cell>
          <cell r="BU791">
            <v>9.687986066310545</v>
          </cell>
          <cell r="BV791">
            <v>11.522967903511651</v>
          </cell>
          <cell r="BW791">
            <v>10.055977276238897</v>
          </cell>
          <cell r="BX791">
            <v>8.6149332270911767</v>
          </cell>
          <cell r="BY791">
            <v>11.497021325386617</v>
          </cell>
        </row>
        <row r="792">
          <cell r="A792">
            <v>40546</v>
          </cell>
          <cell r="BF792">
            <v>16.393133930569242</v>
          </cell>
          <cell r="BG792">
            <v>17.429620749261797</v>
          </cell>
          <cell r="BH792">
            <v>16.109902701379674</v>
          </cell>
          <cell r="BI792">
            <v>13.839355674417275</v>
          </cell>
          <cell r="BJ792">
            <v>18.380449728342072</v>
          </cell>
          <cell r="BU792">
            <v>9.7158569723603989</v>
          </cell>
          <cell r="BV792">
            <v>11.522967903511651</v>
          </cell>
          <cell r="BW792">
            <v>10.055977276238897</v>
          </cell>
          <cell r="BX792">
            <v>8.6149332270911767</v>
          </cell>
          <cell r="BY792">
            <v>11.497021325386617</v>
          </cell>
        </row>
        <row r="793">
          <cell r="A793">
            <v>40547</v>
          </cell>
          <cell r="BF793">
            <v>15.666962403502955</v>
          </cell>
          <cell r="BG793">
            <v>17.429620749261797</v>
          </cell>
          <cell r="BH793">
            <v>16.109902701379674</v>
          </cell>
          <cell r="BI793">
            <v>13.839355674417275</v>
          </cell>
          <cell r="BJ793">
            <v>18.380449728342072</v>
          </cell>
          <cell r="BU793">
            <v>9.2312846723517534</v>
          </cell>
          <cell r="BV793">
            <v>11.522967903511651</v>
          </cell>
          <cell r="BW793">
            <v>10.055977276238897</v>
          </cell>
          <cell r="BX793">
            <v>8.6149332270911767</v>
          </cell>
          <cell r="BY793">
            <v>11.497021325386617</v>
          </cell>
        </row>
        <row r="794">
          <cell r="A794">
            <v>40548</v>
          </cell>
          <cell r="BF794">
            <v>15.946509366264793</v>
          </cell>
          <cell r="BG794">
            <v>17.429620749261797</v>
          </cell>
          <cell r="BH794">
            <v>16.109902701379674</v>
          </cell>
          <cell r="BI794">
            <v>13.839355674417275</v>
          </cell>
          <cell r="BJ794">
            <v>18.380449728342072</v>
          </cell>
          <cell r="BU794">
            <v>9.3843248182862045</v>
          </cell>
          <cell r="BV794">
            <v>11.522967903511651</v>
          </cell>
          <cell r="BW794">
            <v>10.055977276238897</v>
          </cell>
          <cell r="BX794">
            <v>8.6149332270911767</v>
          </cell>
          <cell r="BY794">
            <v>11.497021325386617</v>
          </cell>
        </row>
        <row r="795">
          <cell r="A795">
            <v>40549</v>
          </cell>
          <cell r="BF795">
            <v>15.87979874560769</v>
          </cell>
          <cell r="BG795">
            <v>17.429620749261797</v>
          </cell>
          <cell r="BH795">
            <v>16.109902701379674</v>
          </cell>
          <cell r="BI795">
            <v>13.839355674417275</v>
          </cell>
          <cell r="BJ795">
            <v>18.380449728342072</v>
          </cell>
          <cell r="BU795">
            <v>9.2713690682122802</v>
          </cell>
          <cell r="BV795">
            <v>11.522967903511651</v>
          </cell>
          <cell r="BW795">
            <v>10.055977276238897</v>
          </cell>
          <cell r="BX795">
            <v>8.6149332270911767</v>
          </cell>
          <cell r="BY795">
            <v>11.497021325386617</v>
          </cell>
        </row>
        <row r="796">
          <cell r="A796">
            <v>40550</v>
          </cell>
          <cell r="BF796">
            <v>16.249793910625218</v>
          </cell>
          <cell r="BG796">
            <v>17.429620749261797</v>
          </cell>
          <cell r="BH796">
            <v>16.109902701379674</v>
          </cell>
          <cell r="BI796">
            <v>13.839355674417275</v>
          </cell>
          <cell r="BJ796">
            <v>18.380449728342072</v>
          </cell>
          <cell r="BU796">
            <v>9.4839288617895754</v>
          </cell>
          <cell r="BV796">
            <v>11.522967903511651</v>
          </cell>
          <cell r="BW796">
            <v>10.055977276238897</v>
          </cell>
          <cell r="BX796">
            <v>8.6149332270911767</v>
          </cell>
          <cell r="BY796">
            <v>11.497021325386617</v>
          </cell>
        </row>
        <row r="797">
          <cell r="A797">
            <v>40553</v>
          </cell>
          <cell r="BF797">
            <v>16.408345745283796</v>
          </cell>
          <cell r="BG797">
            <v>17.429620749261797</v>
          </cell>
          <cell r="BH797">
            <v>16.109902701379674</v>
          </cell>
          <cell r="BI797">
            <v>13.839355674417275</v>
          </cell>
          <cell r="BJ797">
            <v>18.380449728342072</v>
          </cell>
          <cell r="BU797">
            <v>9.5643327940374956</v>
          </cell>
          <cell r="BV797">
            <v>11.522967903511651</v>
          </cell>
          <cell r="BW797">
            <v>10.055977276238897</v>
          </cell>
          <cell r="BX797">
            <v>8.6149332270911767</v>
          </cell>
          <cell r="BY797">
            <v>11.497021325386617</v>
          </cell>
        </row>
        <row r="798">
          <cell r="A798">
            <v>40554</v>
          </cell>
          <cell r="BF798">
            <v>16.069619431856893</v>
          </cell>
          <cell r="BG798">
            <v>17.429620749261797</v>
          </cell>
          <cell r="BH798">
            <v>16.109902701379674</v>
          </cell>
          <cell r="BI798">
            <v>13.839355674417275</v>
          </cell>
          <cell r="BJ798">
            <v>18.380449728342072</v>
          </cell>
          <cell r="BU798">
            <v>9.3813028946977042</v>
          </cell>
          <cell r="BV798">
            <v>11.522967903511651</v>
          </cell>
          <cell r="BW798">
            <v>10.055977276238897</v>
          </cell>
          <cell r="BX798">
            <v>8.6149332270911767</v>
          </cell>
          <cell r="BY798">
            <v>11.497021325386617</v>
          </cell>
        </row>
        <row r="799">
          <cell r="A799">
            <v>40555</v>
          </cell>
          <cell r="BF799">
            <v>16.059867891485251</v>
          </cell>
          <cell r="BG799">
            <v>17.429620749261797</v>
          </cell>
          <cell r="BH799">
            <v>16.109902701379674</v>
          </cell>
          <cell r="BI799">
            <v>13.839355674417275</v>
          </cell>
          <cell r="BJ799">
            <v>18.380449728342072</v>
          </cell>
          <cell r="BU799">
            <v>9.3757158855032525</v>
          </cell>
          <cell r="BV799">
            <v>11.522967903511651</v>
          </cell>
          <cell r="BW799">
            <v>10.055977276238897</v>
          </cell>
          <cell r="BX799">
            <v>8.6149332270911767</v>
          </cell>
          <cell r="BY799">
            <v>11.497021325386617</v>
          </cell>
        </row>
        <row r="800">
          <cell r="A800">
            <v>40556</v>
          </cell>
          <cell r="BF800">
            <v>16.273300224898286</v>
          </cell>
          <cell r="BG800">
            <v>17.429620749261797</v>
          </cell>
          <cell r="BH800">
            <v>16.109902701379674</v>
          </cell>
          <cell r="BI800">
            <v>13.839355674417275</v>
          </cell>
          <cell r="BJ800">
            <v>18.380449728342072</v>
          </cell>
          <cell r="BU800">
            <v>9.4962327299755529</v>
          </cell>
          <cell r="BV800">
            <v>11.522967903511651</v>
          </cell>
          <cell r="BW800">
            <v>10.055977276238897</v>
          </cell>
          <cell r="BX800">
            <v>8.6149332270911767</v>
          </cell>
          <cell r="BY800">
            <v>11.497021325386617</v>
          </cell>
        </row>
        <row r="801">
          <cell r="A801">
            <v>40557</v>
          </cell>
          <cell r="BF801">
            <v>16.215974495447551</v>
          </cell>
          <cell r="BG801">
            <v>17.429620749261797</v>
          </cell>
          <cell r="BH801">
            <v>16.109902701379674</v>
          </cell>
          <cell r="BI801">
            <v>13.839355674417275</v>
          </cell>
          <cell r="BJ801">
            <v>18.380449728342072</v>
          </cell>
          <cell r="BU801">
            <v>9.4727394087372829</v>
          </cell>
          <cell r="BV801">
            <v>11.522967903511651</v>
          </cell>
          <cell r="BW801">
            <v>10.055977276238897</v>
          </cell>
          <cell r="BX801">
            <v>8.6149332270911767</v>
          </cell>
          <cell r="BY801">
            <v>11.497021325386617</v>
          </cell>
        </row>
        <row r="802">
          <cell r="A802">
            <v>40560</v>
          </cell>
          <cell r="BF802">
            <v>16.06474341774841</v>
          </cell>
          <cell r="BG802">
            <v>17.429620749261797</v>
          </cell>
          <cell r="BH802">
            <v>16.109902701379674</v>
          </cell>
          <cell r="BI802">
            <v>13.839355674417275</v>
          </cell>
          <cell r="BJ802">
            <v>18.380449728342072</v>
          </cell>
          <cell r="BU802">
            <v>9.3872623864901801</v>
          </cell>
          <cell r="BV802">
            <v>11.522967903511651</v>
          </cell>
          <cell r="BW802">
            <v>10.055977276238897</v>
          </cell>
          <cell r="BX802">
            <v>8.6149332270911767</v>
          </cell>
          <cell r="BY802">
            <v>11.497021325386617</v>
          </cell>
        </row>
        <row r="803">
          <cell r="A803">
            <v>40561</v>
          </cell>
          <cell r="BF803">
            <v>16.294031212346031</v>
          </cell>
          <cell r="BG803">
            <v>17.429620749261797</v>
          </cell>
          <cell r="BH803">
            <v>16.109902701379674</v>
          </cell>
          <cell r="BI803">
            <v>13.839355674417275</v>
          </cell>
          <cell r="BJ803">
            <v>18.380449728342072</v>
          </cell>
          <cell r="BU803">
            <v>9.5168576933410645</v>
          </cell>
          <cell r="BV803">
            <v>11.522967903511651</v>
          </cell>
          <cell r="BW803">
            <v>10.055977276238897</v>
          </cell>
          <cell r="BX803">
            <v>8.6149332270911767</v>
          </cell>
          <cell r="BY803">
            <v>11.497021325386617</v>
          </cell>
        </row>
        <row r="804">
          <cell r="A804">
            <v>40562</v>
          </cell>
          <cell r="BF804">
            <v>16.035474161273477</v>
          </cell>
          <cell r="BG804">
            <v>17.429620749261797</v>
          </cell>
          <cell r="BH804">
            <v>16.109902701379674</v>
          </cell>
          <cell r="BI804">
            <v>13.839355674417275</v>
          </cell>
          <cell r="BJ804">
            <v>18.380449728342072</v>
          </cell>
          <cell r="BU804">
            <v>9.3707191671669587</v>
          </cell>
          <cell r="BV804">
            <v>11.522967903511651</v>
          </cell>
          <cell r="BW804">
            <v>10.055977276238897</v>
          </cell>
          <cell r="BX804">
            <v>8.6149332270911767</v>
          </cell>
          <cell r="BY804">
            <v>11.497021325386617</v>
          </cell>
        </row>
        <row r="805">
          <cell r="A805">
            <v>40563</v>
          </cell>
          <cell r="BF805">
            <v>15.820820750990654</v>
          </cell>
          <cell r="BG805">
            <v>17.429620749261797</v>
          </cell>
          <cell r="BH805">
            <v>16.109902701379674</v>
          </cell>
          <cell r="BI805">
            <v>13.839355674417275</v>
          </cell>
          <cell r="BJ805">
            <v>18.380449728342072</v>
          </cell>
          <cell r="BU805">
            <v>9.2493953321106321</v>
          </cell>
          <cell r="BV805">
            <v>11.522967903511651</v>
          </cell>
          <cell r="BW805">
            <v>10.055977276238897</v>
          </cell>
          <cell r="BX805">
            <v>8.6149332270911767</v>
          </cell>
          <cell r="BY805">
            <v>11.497021325386617</v>
          </cell>
        </row>
        <row r="806">
          <cell r="A806">
            <v>40564</v>
          </cell>
          <cell r="BF806">
            <v>15.620802700713293</v>
          </cell>
          <cell r="BG806">
            <v>17.429620749261797</v>
          </cell>
          <cell r="BH806">
            <v>16.109902701379674</v>
          </cell>
          <cell r="BI806">
            <v>13.839355674417275</v>
          </cell>
          <cell r="BJ806">
            <v>18.380449728342072</v>
          </cell>
          <cell r="BU806">
            <v>9.1363435203170749</v>
          </cell>
          <cell r="BV806">
            <v>11.522967903511651</v>
          </cell>
          <cell r="BW806">
            <v>10.055977276238897</v>
          </cell>
          <cell r="BX806">
            <v>8.6149332270911767</v>
          </cell>
          <cell r="BY806">
            <v>11.497021325386617</v>
          </cell>
        </row>
        <row r="807">
          <cell r="A807">
            <v>40567</v>
          </cell>
          <cell r="BF807">
            <v>15.459812764962507</v>
          </cell>
          <cell r="BG807">
            <v>17.429620749261797</v>
          </cell>
          <cell r="BH807">
            <v>16.109902701379674</v>
          </cell>
          <cell r="BI807">
            <v>13.839355674417275</v>
          </cell>
          <cell r="BJ807">
            <v>18.380449728342072</v>
          </cell>
          <cell r="BU807">
            <v>9.0453507129583546</v>
          </cell>
          <cell r="BV807">
            <v>11.522967903511651</v>
          </cell>
          <cell r="BW807">
            <v>10.055977276238897</v>
          </cell>
          <cell r="BX807">
            <v>8.6149332270911767</v>
          </cell>
          <cell r="BY807">
            <v>11.497021325386617</v>
          </cell>
        </row>
        <row r="808">
          <cell r="A808">
            <v>40568</v>
          </cell>
          <cell r="BF808">
            <v>15.325658225317742</v>
          </cell>
          <cell r="BG808">
            <v>17.429620749261797</v>
          </cell>
          <cell r="BH808">
            <v>16.109902701379674</v>
          </cell>
          <cell r="BI808">
            <v>13.839355674417275</v>
          </cell>
          <cell r="BJ808">
            <v>18.380449728342072</v>
          </cell>
          <cell r="BU808">
            <v>8.9695254874542556</v>
          </cell>
          <cell r="BV808">
            <v>11.522967903511651</v>
          </cell>
          <cell r="BW808">
            <v>10.055977276238897</v>
          </cell>
          <cell r="BX808">
            <v>8.6149332270911767</v>
          </cell>
          <cell r="BY808">
            <v>11.497021325386617</v>
          </cell>
        </row>
        <row r="809">
          <cell r="A809">
            <v>40569</v>
          </cell>
          <cell r="BF809">
            <v>15.328099891211988</v>
          </cell>
          <cell r="BG809">
            <v>17.429620749261797</v>
          </cell>
          <cell r="BH809">
            <v>16.109902701379674</v>
          </cell>
          <cell r="BI809">
            <v>13.839355674417275</v>
          </cell>
          <cell r="BJ809">
            <v>18.380449728342072</v>
          </cell>
          <cell r="BU809">
            <v>8.9709055366685977</v>
          </cell>
          <cell r="BV809">
            <v>11.522967903511651</v>
          </cell>
          <cell r="BW809">
            <v>10.055977276238897</v>
          </cell>
          <cell r="BX809">
            <v>8.6149332270911767</v>
          </cell>
          <cell r="BY809">
            <v>11.497021325386617</v>
          </cell>
        </row>
        <row r="810">
          <cell r="A810">
            <v>40570</v>
          </cell>
          <cell r="BF810">
            <v>15.396241404536983</v>
          </cell>
          <cell r="BG810">
            <v>17.429620749261797</v>
          </cell>
          <cell r="BH810">
            <v>16.109902701379674</v>
          </cell>
          <cell r="BI810">
            <v>13.839355674417275</v>
          </cell>
          <cell r="BJ810">
            <v>18.380449728342072</v>
          </cell>
          <cell r="BU810">
            <v>9.0122083843066072</v>
          </cell>
          <cell r="BV810">
            <v>11.522967903511651</v>
          </cell>
          <cell r="BW810">
            <v>10.055977276238897</v>
          </cell>
          <cell r="BX810">
            <v>8.6149332270911767</v>
          </cell>
          <cell r="BY810">
            <v>11.497021325386617</v>
          </cell>
        </row>
        <row r="811">
          <cell r="A811">
            <v>40571</v>
          </cell>
          <cell r="BF811">
            <v>15.396241404536983</v>
          </cell>
          <cell r="BG811">
            <v>17.429620749261797</v>
          </cell>
          <cell r="BH811">
            <v>16.109902701379674</v>
          </cell>
          <cell r="BI811">
            <v>13.839355674417275</v>
          </cell>
          <cell r="BJ811">
            <v>18.380449728342072</v>
          </cell>
          <cell r="BU811">
            <v>9.0122083843066072</v>
          </cell>
          <cell r="BV811">
            <v>11.522967903511651</v>
          </cell>
          <cell r="BW811">
            <v>10.055977276238897</v>
          </cell>
          <cell r="BX811">
            <v>8.6149332270911767</v>
          </cell>
          <cell r="BY811">
            <v>11.497021325386617</v>
          </cell>
        </row>
        <row r="812">
          <cell r="A812">
            <v>40574</v>
          </cell>
          <cell r="BF812">
            <v>15.484028285785467</v>
          </cell>
          <cell r="BG812">
            <v>17.429620749261797</v>
          </cell>
          <cell r="BH812">
            <v>16.109902701379674</v>
          </cell>
          <cell r="BI812">
            <v>13.839355674417275</v>
          </cell>
          <cell r="BJ812">
            <v>18.380449728342072</v>
          </cell>
          <cell r="BU812">
            <v>9.0618421477324187</v>
          </cell>
          <cell r="BV812">
            <v>11.522967903511651</v>
          </cell>
          <cell r="BW812">
            <v>10.055977276238897</v>
          </cell>
          <cell r="BX812">
            <v>8.6149332270911767</v>
          </cell>
          <cell r="BY812">
            <v>11.497021325386617</v>
          </cell>
        </row>
        <row r="813">
          <cell r="A813">
            <v>40575</v>
          </cell>
          <cell r="BF813">
            <v>15.332839795173406</v>
          </cell>
          <cell r="BG813">
            <v>17.429620749261797</v>
          </cell>
          <cell r="BH813">
            <v>16.109902701379674</v>
          </cell>
          <cell r="BI813">
            <v>13.839355674417275</v>
          </cell>
          <cell r="BJ813">
            <v>18.380449728342072</v>
          </cell>
          <cell r="BU813">
            <v>8.9763617927064292</v>
          </cell>
          <cell r="BV813">
            <v>11.522967903511651</v>
          </cell>
          <cell r="BW813">
            <v>10.055977276238897</v>
          </cell>
          <cell r="BX813">
            <v>8.6149332270911767</v>
          </cell>
          <cell r="BY813">
            <v>11.497021325386617</v>
          </cell>
        </row>
        <row r="814">
          <cell r="A814">
            <v>40576</v>
          </cell>
          <cell r="BF814">
            <v>15.254815410876887</v>
          </cell>
          <cell r="BG814">
            <v>17.429620749261797</v>
          </cell>
          <cell r="BH814">
            <v>16.109902701379674</v>
          </cell>
          <cell r="BI814">
            <v>13.839355674417275</v>
          </cell>
          <cell r="BJ814">
            <v>18.380449728342072</v>
          </cell>
          <cell r="BU814">
            <v>8.9322476406082778</v>
          </cell>
          <cell r="BV814">
            <v>11.522967903511651</v>
          </cell>
          <cell r="BW814">
            <v>10.055977276238897</v>
          </cell>
          <cell r="BX814">
            <v>8.6149332270911767</v>
          </cell>
          <cell r="BY814">
            <v>11.497021325386617</v>
          </cell>
        </row>
        <row r="815">
          <cell r="A815">
            <v>40577</v>
          </cell>
          <cell r="BF815">
            <v>15.376736893442127</v>
          </cell>
          <cell r="BG815">
            <v>17.429620749261797</v>
          </cell>
          <cell r="BH815">
            <v>16.109902701379674</v>
          </cell>
          <cell r="BI815">
            <v>13.839355674417275</v>
          </cell>
          <cell r="BJ815">
            <v>18.380449728342072</v>
          </cell>
          <cell r="BU815">
            <v>9.0011807424123909</v>
          </cell>
          <cell r="BV815">
            <v>11.522967903511651</v>
          </cell>
          <cell r="BW815">
            <v>10.055977276238897</v>
          </cell>
          <cell r="BX815">
            <v>8.6149332270911767</v>
          </cell>
          <cell r="BY815">
            <v>11.497021325386617</v>
          </cell>
        </row>
        <row r="816">
          <cell r="A816">
            <v>40578</v>
          </cell>
          <cell r="BF816">
            <v>15.362106803220227</v>
          </cell>
          <cell r="BG816">
            <v>17.429620749261797</v>
          </cell>
          <cell r="BH816">
            <v>16.109902701379674</v>
          </cell>
          <cell r="BI816">
            <v>13.839355674417275</v>
          </cell>
          <cell r="BJ816">
            <v>18.380449728342072</v>
          </cell>
          <cell r="BU816">
            <v>8.9929090459283056</v>
          </cell>
          <cell r="BV816">
            <v>11.522967903511651</v>
          </cell>
          <cell r="BW816">
            <v>10.055977276238897</v>
          </cell>
          <cell r="BX816">
            <v>8.6149332270911767</v>
          </cell>
          <cell r="BY816">
            <v>11.497021325386617</v>
          </cell>
        </row>
        <row r="817">
          <cell r="A817">
            <v>40581</v>
          </cell>
          <cell r="BF817">
            <v>15.512068276031751</v>
          </cell>
          <cell r="BG817">
            <v>17.429620749261797</v>
          </cell>
          <cell r="BH817">
            <v>16.109902701379674</v>
          </cell>
          <cell r="BI817">
            <v>13.839355674417275</v>
          </cell>
          <cell r="BJ817">
            <v>18.380449728342072</v>
          </cell>
          <cell r="BU817">
            <v>9.0776956582177348</v>
          </cell>
          <cell r="BV817">
            <v>11.522967903511651</v>
          </cell>
          <cell r="BW817">
            <v>10.055977276238897</v>
          </cell>
          <cell r="BX817">
            <v>8.6149332270911767</v>
          </cell>
          <cell r="BY817">
            <v>11.497021325386617</v>
          </cell>
        </row>
        <row r="818">
          <cell r="A818">
            <v>40582</v>
          </cell>
          <cell r="BF818">
            <v>15.640084369667461</v>
          </cell>
          <cell r="BG818">
            <v>17.429620749261797</v>
          </cell>
          <cell r="BH818">
            <v>16.109902701379674</v>
          </cell>
          <cell r="BI818">
            <v>13.839355674417275</v>
          </cell>
          <cell r="BJ818">
            <v>18.380449728342072</v>
          </cell>
          <cell r="BU818">
            <v>9.1500745879148333</v>
          </cell>
          <cell r="BV818">
            <v>11.522967903511651</v>
          </cell>
          <cell r="BW818">
            <v>10.055977276238897</v>
          </cell>
          <cell r="BX818">
            <v>8.6149332270911767</v>
          </cell>
          <cell r="BY818">
            <v>11.497021325386617</v>
          </cell>
        </row>
        <row r="819">
          <cell r="A819">
            <v>40583</v>
          </cell>
          <cell r="BF819">
            <v>15.67909973177427</v>
          </cell>
          <cell r="BG819">
            <v>17.429620749261797</v>
          </cell>
          <cell r="BH819">
            <v>16.109902701379674</v>
          </cell>
          <cell r="BI819">
            <v>13.839355674417275</v>
          </cell>
          <cell r="BJ819">
            <v>18.380449728342072</v>
          </cell>
          <cell r="BU819">
            <v>9.1721334562245556</v>
          </cell>
          <cell r="BV819">
            <v>11.522967903511651</v>
          </cell>
          <cell r="BW819">
            <v>10.055977276238897</v>
          </cell>
          <cell r="BX819">
            <v>8.6149332270911767</v>
          </cell>
          <cell r="BY819">
            <v>11.497021325386617</v>
          </cell>
        </row>
        <row r="820">
          <cell r="A820">
            <v>40584</v>
          </cell>
          <cell r="BF820">
            <v>15.698604242869127</v>
          </cell>
          <cell r="BG820">
            <v>17.429620749261797</v>
          </cell>
          <cell r="BH820">
            <v>16.109902701379674</v>
          </cell>
          <cell r="BI820">
            <v>13.839355674417275</v>
          </cell>
          <cell r="BJ820">
            <v>18.380449728342072</v>
          </cell>
          <cell r="BU820">
            <v>9.1831610981187701</v>
          </cell>
          <cell r="BV820">
            <v>11.522967903511651</v>
          </cell>
          <cell r="BW820">
            <v>10.055977276238897</v>
          </cell>
          <cell r="BX820">
            <v>8.6149332270911767</v>
          </cell>
          <cell r="BY820">
            <v>11.497021325386617</v>
          </cell>
        </row>
        <row r="821">
          <cell r="A821">
            <v>40585</v>
          </cell>
          <cell r="BF821">
            <v>15.900286060019363</v>
          </cell>
          <cell r="BG821">
            <v>17.429620749261797</v>
          </cell>
          <cell r="BH821">
            <v>16.109902701379674</v>
          </cell>
          <cell r="BI821">
            <v>13.839355674417275</v>
          </cell>
          <cell r="BJ821">
            <v>18.380449728342072</v>
          </cell>
          <cell r="BU821">
            <v>9.3050325576919626</v>
          </cell>
          <cell r="BV821">
            <v>11.522967903511651</v>
          </cell>
          <cell r="BW821">
            <v>10.055977276238897</v>
          </cell>
          <cell r="BX821">
            <v>8.6149332270911767</v>
          </cell>
          <cell r="BY821">
            <v>11.497021325386617</v>
          </cell>
        </row>
        <row r="822">
          <cell r="A822">
            <v>40588</v>
          </cell>
          <cell r="BF822">
            <v>15.963212003872219</v>
          </cell>
          <cell r="BG822">
            <v>17.429620749261797</v>
          </cell>
          <cell r="BH822">
            <v>16.109902701379674</v>
          </cell>
          <cell r="BI822">
            <v>13.839355674417275</v>
          </cell>
          <cell r="BJ822">
            <v>18.380449728342072</v>
          </cell>
          <cell r="BU822">
            <v>9.3406490581023167</v>
          </cell>
          <cell r="BV822">
            <v>11.522967903511651</v>
          </cell>
          <cell r="BW822">
            <v>10.055977276238897</v>
          </cell>
          <cell r="BX822">
            <v>8.6149332270911767</v>
          </cell>
          <cell r="BY822">
            <v>11.497021325386617</v>
          </cell>
        </row>
        <row r="823">
          <cell r="A823">
            <v>40589</v>
          </cell>
          <cell r="BF823">
            <v>16.001935140367863</v>
          </cell>
          <cell r="BG823">
            <v>17.429620749261797</v>
          </cell>
          <cell r="BH823">
            <v>16.109902701379674</v>
          </cell>
          <cell r="BI823">
            <v>13.839355674417275</v>
          </cell>
          <cell r="BJ823">
            <v>18.380449728342072</v>
          </cell>
          <cell r="BU823">
            <v>9.3625666094721005</v>
          </cell>
          <cell r="BV823">
            <v>11.522967903511651</v>
          </cell>
          <cell r="BW823">
            <v>10.055977276238897</v>
          </cell>
          <cell r="BX823">
            <v>8.6149332270911767</v>
          </cell>
          <cell r="BY823">
            <v>11.497021325386617</v>
          </cell>
        </row>
        <row r="824">
          <cell r="A824">
            <v>40590</v>
          </cell>
          <cell r="BF824">
            <v>16.118096805421104</v>
          </cell>
          <cell r="BG824">
            <v>17.429620749261797</v>
          </cell>
          <cell r="BH824">
            <v>16.109902701379674</v>
          </cell>
          <cell r="BI824">
            <v>13.839355674417275</v>
          </cell>
          <cell r="BJ824">
            <v>18.380449728342072</v>
          </cell>
          <cell r="BU824">
            <v>9.428314880180773</v>
          </cell>
          <cell r="BV824">
            <v>11.522967903511651</v>
          </cell>
          <cell r="BW824">
            <v>10.055977276238897</v>
          </cell>
          <cell r="BX824">
            <v>8.6149332270911767</v>
          </cell>
          <cell r="BY824">
            <v>11.497021325386617</v>
          </cell>
        </row>
        <row r="825">
          <cell r="A825">
            <v>40591</v>
          </cell>
          <cell r="BF825">
            <v>16.12777976766699</v>
          </cell>
          <cell r="BG825">
            <v>17.429620749261797</v>
          </cell>
          <cell r="BH825">
            <v>16.109902701379674</v>
          </cell>
          <cell r="BI825">
            <v>13.839355674417275</v>
          </cell>
          <cell r="BJ825">
            <v>18.380449728342072</v>
          </cell>
          <cell r="BU825">
            <v>9.4337955008546661</v>
          </cell>
          <cell r="BV825">
            <v>11.522967903511651</v>
          </cell>
          <cell r="BW825">
            <v>10.055977276238897</v>
          </cell>
          <cell r="BX825">
            <v>8.6149332270911767</v>
          </cell>
          <cell r="BY825">
            <v>11.497021325386617</v>
          </cell>
        </row>
        <row r="826">
          <cell r="A826">
            <v>40592</v>
          </cell>
          <cell r="BF826">
            <v>15.977732333010652</v>
          </cell>
          <cell r="BG826">
            <v>17.429620749261797</v>
          </cell>
          <cell r="BH826">
            <v>16.109902701379674</v>
          </cell>
          <cell r="BI826">
            <v>13.839355674417275</v>
          </cell>
          <cell r="BJ826">
            <v>18.380449728342072</v>
          </cell>
          <cell r="BU826">
            <v>9.3488676604315373</v>
          </cell>
          <cell r="BV826">
            <v>11.522967903511651</v>
          </cell>
          <cell r="BW826">
            <v>10.055977276238897</v>
          </cell>
          <cell r="BX826">
            <v>8.6149332270911767</v>
          </cell>
          <cell r="BY826">
            <v>11.497021325386617</v>
          </cell>
        </row>
        <row r="827">
          <cell r="A827">
            <v>40595</v>
          </cell>
          <cell r="BF827">
            <v>16.007984027105522</v>
          </cell>
          <cell r="BG827">
            <v>17.429620749261797</v>
          </cell>
          <cell r="BH827">
            <v>16.109902701379674</v>
          </cell>
          <cell r="BI827">
            <v>13.839355674417275</v>
          </cell>
          <cell r="BJ827">
            <v>18.380449728342072</v>
          </cell>
          <cell r="BU827">
            <v>9.3659903193727096</v>
          </cell>
          <cell r="BV827">
            <v>11.522967903511651</v>
          </cell>
          <cell r="BW827">
            <v>10.055977276238897</v>
          </cell>
          <cell r="BX827">
            <v>8.6149332270911767</v>
          </cell>
          <cell r="BY827">
            <v>11.497021325386617</v>
          </cell>
        </row>
        <row r="828">
          <cell r="A828">
            <v>40596</v>
          </cell>
          <cell r="BF828">
            <v>15.948691674733787</v>
          </cell>
          <cell r="BG828">
            <v>17.429620749261797</v>
          </cell>
          <cell r="BH828">
            <v>16.109902701379674</v>
          </cell>
          <cell r="BI828">
            <v>13.839355674417275</v>
          </cell>
          <cell r="BJ828">
            <v>18.380449728342072</v>
          </cell>
          <cell r="BU828">
            <v>9.3324304557730979</v>
          </cell>
          <cell r="BV828">
            <v>11.522967903511651</v>
          </cell>
          <cell r="BW828">
            <v>10.055977276238897</v>
          </cell>
          <cell r="BX828">
            <v>8.6149332270911767</v>
          </cell>
          <cell r="BY828">
            <v>11.497021325386617</v>
          </cell>
        </row>
        <row r="829">
          <cell r="A829">
            <v>40597</v>
          </cell>
          <cell r="BF829">
            <v>16.060015972894483</v>
          </cell>
          <cell r="BG829">
            <v>17.429620749261797</v>
          </cell>
          <cell r="BH829">
            <v>16.109902701379674</v>
          </cell>
          <cell r="BI829">
            <v>13.839355674417275</v>
          </cell>
          <cell r="BJ829">
            <v>18.380449728342072</v>
          </cell>
          <cell r="BU829">
            <v>9.3954407448264394</v>
          </cell>
          <cell r="BV829">
            <v>11.522967903511651</v>
          </cell>
          <cell r="BW829">
            <v>10.055977276238897</v>
          </cell>
          <cell r="BX829">
            <v>8.6149332270911767</v>
          </cell>
          <cell r="BY829">
            <v>11.497021325386617</v>
          </cell>
        </row>
        <row r="830">
          <cell r="A830">
            <v>40598</v>
          </cell>
          <cell r="BF830">
            <v>16.108421587608905</v>
          </cell>
          <cell r="BG830">
            <v>17.429620749261797</v>
          </cell>
          <cell r="BH830">
            <v>16.109902701379674</v>
          </cell>
          <cell r="BI830">
            <v>13.839355674417275</v>
          </cell>
          <cell r="BJ830">
            <v>18.380449728342072</v>
          </cell>
          <cell r="BU830">
            <v>9.4228386429075712</v>
          </cell>
          <cell r="BV830">
            <v>11.522967903511651</v>
          </cell>
          <cell r="BW830">
            <v>10.055977276238897</v>
          </cell>
          <cell r="BX830">
            <v>8.6149332270911767</v>
          </cell>
          <cell r="BY830">
            <v>11.497021325386617</v>
          </cell>
        </row>
        <row r="831">
          <cell r="A831">
            <v>40599</v>
          </cell>
          <cell r="BF831">
            <v>16.166502420135529</v>
          </cell>
          <cell r="BG831">
            <v>17.429620749261797</v>
          </cell>
          <cell r="BH831">
            <v>16.109902701379674</v>
          </cell>
          <cell r="BI831">
            <v>13.839355674417275</v>
          </cell>
          <cell r="BJ831">
            <v>18.380449728342072</v>
          </cell>
          <cell r="BU831">
            <v>9.4557127782619084</v>
          </cell>
          <cell r="BV831">
            <v>11.522967903511651</v>
          </cell>
          <cell r="BW831">
            <v>10.055977276238897</v>
          </cell>
          <cell r="BX831">
            <v>8.6149332270911767</v>
          </cell>
          <cell r="BY831">
            <v>11.497021325386617</v>
          </cell>
        </row>
        <row r="832">
          <cell r="A832">
            <v>40602</v>
          </cell>
          <cell r="BF832">
            <v>15.924488867376574</v>
          </cell>
          <cell r="BG832">
            <v>17.429620749261797</v>
          </cell>
          <cell r="BH832">
            <v>16.109902701379674</v>
          </cell>
          <cell r="BI832">
            <v>13.839355674417275</v>
          </cell>
          <cell r="BJ832">
            <v>18.380449728342072</v>
          </cell>
          <cell r="BU832">
            <v>9.3187315067325294</v>
          </cell>
          <cell r="BV832">
            <v>11.522967903511651</v>
          </cell>
          <cell r="BW832">
            <v>10.055977276238897</v>
          </cell>
          <cell r="BX832">
            <v>8.6149332270911767</v>
          </cell>
          <cell r="BY832">
            <v>11.497021325386617</v>
          </cell>
        </row>
        <row r="833">
          <cell r="A833">
            <v>40603</v>
          </cell>
          <cell r="BF833">
            <v>16.011610358180061</v>
          </cell>
          <cell r="BG833">
            <v>17.429620749261797</v>
          </cell>
          <cell r="BH833">
            <v>16.109902701379674</v>
          </cell>
          <cell r="BI833">
            <v>13.839355674417275</v>
          </cell>
          <cell r="BJ833">
            <v>18.380449728342072</v>
          </cell>
          <cell r="BU833">
            <v>9.3680428467453059</v>
          </cell>
          <cell r="BV833">
            <v>11.522967903511651</v>
          </cell>
          <cell r="BW833">
            <v>10.055977276238897</v>
          </cell>
          <cell r="BX833">
            <v>8.6149332270911767</v>
          </cell>
          <cell r="BY833">
            <v>11.497021325386617</v>
          </cell>
        </row>
        <row r="834">
          <cell r="A834">
            <v>40604</v>
          </cell>
          <cell r="BF834">
            <v>16.171340271055183</v>
          </cell>
          <cell r="BG834">
            <v>17.429620749261797</v>
          </cell>
          <cell r="BH834">
            <v>16.109902701379674</v>
          </cell>
          <cell r="BI834">
            <v>13.839355674417275</v>
          </cell>
          <cell r="BJ834">
            <v>18.380449728342072</v>
          </cell>
          <cell r="BU834">
            <v>9.4584510338797809</v>
          </cell>
          <cell r="BV834">
            <v>11.522967903511651</v>
          </cell>
          <cell r="BW834">
            <v>10.055977276238897</v>
          </cell>
          <cell r="BX834">
            <v>8.6149332270911767</v>
          </cell>
          <cell r="BY834">
            <v>11.497021325386617</v>
          </cell>
        </row>
        <row r="835">
          <cell r="A835">
            <v>40605</v>
          </cell>
          <cell r="BF835">
            <v>16.329021462244846</v>
          </cell>
          <cell r="BG835">
            <v>17.429620749261797</v>
          </cell>
          <cell r="BH835">
            <v>16.109902701379674</v>
          </cell>
          <cell r="BI835">
            <v>13.839355674417275</v>
          </cell>
          <cell r="BJ835">
            <v>18.380449728342072</v>
          </cell>
          <cell r="BU835">
            <v>9.5954323054091635</v>
          </cell>
          <cell r="BV835">
            <v>11.522967903511651</v>
          </cell>
          <cell r="BW835">
            <v>10.055977276238897</v>
          </cell>
          <cell r="BX835">
            <v>8.6149332270911767</v>
          </cell>
          <cell r="BY835">
            <v>11.497021325386617</v>
          </cell>
        </row>
        <row r="836">
          <cell r="A836">
            <v>40606</v>
          </cell>
          <cell r="BF836">
            <v>16.329021462244846</v>
          </cell>
          <cell r="BG836">
            <v>17.429620749261797</v>
          </cell>
          <cell r="BH836">
            <v>16.109902701379674</v>
          </cell>
          <cell r="BI836">
            <v>13.839355674417275</v>
          </cell>
          <cell r="BJ836">
            <v>18.380449728342072</v>
          </cell>
          <cell r="BU836">
            <v>9.5954323054091635</v>
          </cell>
          <cell r="BV836">
            <v>11.522967903511651</v>
          </cell>
          <cell r="BW836">
            <v>10.055977276238897</v>
          </cell>
          <cell r="BX836">
            <v>8.6149332270911767</v>
          </cell>
          <cell r="BY836">
            <v>11.497021325386617</v>
          </cell>
        </row>
        <row r="837">
          <cell r="A837">
            <v>40609</v>
          </cell>
          <cell r="BF837">
            <v>16.247160598458109</v>
          </cell>
          <cell r="BG837">
            <v>17.429620749261797</v>
          </cell>
          <cell r="BH837">
            <v>16.109902701379674</v>
          </cell>
          <cell r="BI837">
            <v>13.839355674417275</v>
          </cell>
          <cell r="BJ837">
            <v>18.380449728342072</v>
          </cell>
          <cell r="BU837">
            <v>9.5488592210142578</v>
          </cell>
          <cell r="BV837">
            <v>11.522967903511651</v>
          </cell>
          <cell r="BW837">
            <v>10.055977276238897</v>
          </cell>
          <cell r="BX837">
            <v>8.6149332270911767</v>
          </cell>
          <cell r="BY837">
            <v>11.497021325386617</v>
          </cell>
        </row>
        <row r="838">
          <cell r="A838">
            <v>40610</v>
          </cell>
          <cell r="BF838">
            <v>16.276051563320124</v>
          </cell>
          <cell r="BG838">
            <v>17.429620749261797</v>
          </cell>
          <cell r="BH838">
            <v>16.109902701379674</v>
          </cell>
          <cell r="BI838">
            <v>13.839355674417275</v>
          </cell>
          <cell r="BJ838">
            <v>18.380449728342072</v>
          </cell>
          <cell r="BU838">
            <v>9.5652961517101538</v>
          </cell>
          <cell r="BV838">
            <v>11.522967903511651</v>
          </cell>
          <cell r="BW838">
            <v>10.055977276238897</v>
          </cell>
          <cell r="BX838">
            <v>8.6149332270911767</v>
          </cell>
          <cell r="BY838">
            <v>11.497021325386617</v>
          </cell>
        </row>
        <row r="839">
          <cell r="A839">
            <v>40611</v>
          </cell>
          <cell r="BF839">
            <v>16.381991361169565</v>
          </cell>
          <cell r="BG839">
            <v>17.429620749261797</v>
          </cell>
          <cell r="BH839">
            <v>16.109902701379674</v>
          </cell>
          <cell r="BI839">
            <v>13.839355674417275</v>
          </cell>
          <cell r="BJ839">
            <v>18.380449728342072</v>
          </cell>
          <cell r="BU839">
            <v>9.6255684591081696</v>
          </cell>
          <cell r="BV839">
            <v>11.522967903511651</v>
          </cell>
          <cell r="BW839">
            <v>10.055977276238897</v>
          </cell>
          <cell r="BX839">
            <v>8.6149332270911767</v>
          </cell>
          <cell r="BY839">
            <v>11.497021325386617</v>
          </cell>
        </row>
        <row r="840">
          <cell r="A840">
            <v>40612</v>
          </cell>
          <cell r="BF840">
            <v>16.64202689883323</v>
          </cell>
          <cell r="BG840">
            <v>17.429620749261797</v>
          </cell>
          <cell r="BH840">
            <v>16.109902701379674</v>
          </cell>
          <cell r="BI840">
            <v>13.839355674417275</v>
          </cell>
          <cell r="BJ840">
            <v>18.380449728342072</v>
          </cell>
          <cell r="BU840">
            <v>9.7735104240602428</v>
          </cell>
          <cell r="BV840">
            <v>11.522967903511651</v>
          </cell>
          <cell r="BW840">
            <v>10.055977276238897</v>
          </cell>
          <cell r="BX840">
            <v>8.6149332270911767</v>
          </cell>
          <cell r="BY840">
            <v>11.497021325386617</v>
          </cell>
        </row>
        <row r="841">
          <cell r="A841">
            <v>40613</v>
          </cell>
          <cell r="BF841">
            <v>16.714255033298503</v>
          </cell>
          <cell r="BG841">
            <v>17.429620749261797</v>
          </cell>
          <cell r="BH841">
            <v>16.109902701379674</v>
          </cell>
          <cell r="BI841">
            <v>13.839355674417275</v>
          </cell>
          <cell r="BJ841">
            <v>18.380449728342072</v>
          </cell>
          <cell r="BU841">
            <v>9.814603161743797</v>
          </cell>
          <cell r="BV841">
            <v>11.522967903511651</v>
          </cell>
          <cell r="BW841">
            <v>10.055977276238897</v>
          </cell>
          <cell r="BX841">
            <v>8.6149332270911767</v>
          </cell>
          <cell r="BY841">
            <v>11.497021325386617</v>
          </cell>
        </row>
        <row r="842">
          <cell r="A842">
            <v>40616</v>
          </cell>
          <cell r="BF842">
            <v>16.925282018417519</v>
          </cell>
          <cell r="BG842">
            <v>17.429620749261797</v>
          </cell>
          <cell r="BH842">
            <v>16.109902701379674</v>
          </cell>
          <cell r="BI842">
            <v>13.839355674417275</v>
          </cell>
          <cell r="BJ842">
            <v>18.380449728342072</v>
          </cell>
          <cell r="BU842">
            <v>9.9579773800297193</v>
          </cell>
          <cell r="BV842">
            <v>11.522967903511651</v>
          </cell>
          <cell r="BW842">
            <v>10.055977276238897</v>
          </cell>
          <cell r="BX842">
            <v>8.6149332270911767</v>
          </cell>
          <cell r="BY842">
            <v>11.497021325386617</v>
          </cell>
        </row>
        <row r="843">
          <cell r="A843">
            <v>40617</v>
          </cell>
          <cell r="BF843">
            <v>16.82968736494735</v>
          </cell>
          <cell r="BG843">
            <v>17.429620749261797</v>
          </cell>
          <cell r="BH843">
            <v>16.109902701379674</v>
          </cell>
          <cell r="BI843">
            <v>13.839355674417275</v>
          </cell>
          <cell r="BJ843">
            <v>18.380449728342072</v>
          </cell>
          <cell r="BU843">
            <v>9.9034507091881014</v>
          </cell>
          <cell r="BV843">
            <v>11.522967903511651</v>
          </cell>
          <cell r="BW843">
            <v>10.055977276238897</v>
          </cell>
          <cell r="BX843">
            <v>8.6149332270911767</v>
          </cell>
          <cell r="BY843">
            <v>11.497021325386617</v>
          </cell>
        </row>
        <row r="844">
          <cell r="A844">
            <v>40618</v>
          </cell>
          <cell r="BF844">
            <v>16.748431646608466</v>
          </cell>
          <cell r="BG844">
            <v>17.429620749261797</v>
          </cell>
          <cell r="BH844">
            <v>16.109902701379674</v>
          </cell>
          <cell r="BI844">
            <v>13.839355674417275</v>
          </cell>
          <cell r="BJ844">
            <v>18.380449728342072</v>
          </cell>
          <cell r="BU844">
            <v>9.857102889022137</v>
          </cell>
          <cell r="BV844">
            <v>11.522967903511651</v>
          </cell>
          <cell r="BW844">
            <v>10.055977276238897</v>
          </cell>
          <cell r="BX844">
            <v>8.6149332270911767</v>
          </cell>
          <cell r="BY844">
            <v>11.497021325386617</v>
          </cell>
        </row>
        <row r="845">
          <cell r="A845">
            <v>40619</v>
          </cell>
          <cell r="BF845">
            <v>16.609820187744447</v>
          </cell>
          <cell r="BG845">
            <v>17.429620749261797</v>
          </cell>
          <cell r="BH845">
            <v>16.109902701379674</v>
          </cell>
          <cell r="BI845">
            <v>13.839355674417275</v>
          </cell>
          <cell r="BJ845">
            <v>18.380449728342072</v>
          </cell>
          <cell r="BU845">
            <v>9.7780396661535764</v>
          </cell>
          <cell r="BV845">
            <v>11.522967903511651</v>
          </cell>
          <cell r="BW845">
            <v>10.055977276238897</v>
          </cell>
          <cell r="BX845">
            <v>8.6149332270911767</v>
          </cell>
          <cell r="BY845">
            <v>11.497021325386617</v>
          </cell>
        </row>
        <row r="846">
          <cell r="A846">
            <v>40620</v>
          </cell>
          <cell r="BF846">
            <v>16.75320858309642</v>
          </cell>
          <cell r="BG846">
            <v>17.429620749261797</v>
          </cell>
          <cell r="BH846">
            <v>16.109902701379674</v>
          </cell>
          <cell r="BI846">
            <v>13.839355674417275</v>
          </cell>
          <cell r="BJ846">
            <v>18.380449728342072</v>
          </cell>
          <cell r="BU846">
            <v>9.8598276276351715</v>
          </cell>
          <cell r="BV846">
            <v>11.522967903511651</v>
          </cell>
          <cell r="BW846">
            <v>10.055977276238897</v>
          </cell>
          <cell r="BX846">
            <v>8.6149332270911767</v>
          </cell>
          <cell r="BY846">
            <v>11.497021325386617</v>
          </cell>
        </row>
        <row r="847">
          <cell r="A847">
            <v>40623</v>
          </cell>
          <cell r="BF847">
            <v>16.987421865137165</v>
          </cell>
          <cell r="BG847">
            <v>17.429620749261797</v>
          </cell>
          <cell r="BH847">
            <v>16.109902701379674</v>
          </cell>
          <cell r="BI847">
            <v>13.839355674417275</v>
          </cell>
          <cell r="BJ847">
            <v>18.380449728342072</v>
          </cell>
          <cell r="BU847">
            <v>9.9934216109070029</v>
          </cell>
          <cell r="BV847">
            <v>11.522967903511651</v>
          </cell>
          <cell r="BW847">
            <v>10.055977276238897</v>
          </cell>
          <cell r="BX847">
            <v>8.6149332270911767</v>
          </cell>
          <cell r="BY847">
            <v>11.497021325386617</v>
          </cell>
        </row>
        <row r="848">
          <cell r="A848">
            <v>40624</v>
          </cell>
          <cell r="BF848">
            <v>17.06390016900766</v>
          </cell>
          <cell r="BG848">
            <v>17.429620749261797</v>
          </cell>
          <cell r="BH848">
            <v>16.109902701379674</v>
          </cell>
          <cell r="BI848">
            <v>13.839355674417275</v>
          </cell>
          <cell r="BJ848">
            <v>18.380449728342072</v>
          </cell>
          <cell r="BU848">
            <v>10.037044419822493</v>
          </cell>
          <cell r="BV848">
            <v>11.522967903511651</v>
          </cell>
          <cell r="BW848">
            <v>10.055977276238897</v>
          </cell>
          <cell r="BX848">
            <v>8.6149332270911767</v>
          </cell>
          <cell r="BY848">
            <v>11.497021325386617</v>
          </cell>
        </row>
        <row r="849">
          <cell r="A849">
            <v>40625</v>
          </cell>
          <cell r="BF849">
            <v>16.977860344474269</v>
          </cell>
          <cell r="BG849">
            <v>17.429620749261797</v>
          </cell>
          <cell r="BH849">
            <v>16.109902701379674</v>
          </cell>
          <cell r="BI849">
            <v>13.839355674417275</v>
          </cell>
          <cell r="BJ849">
            <v>18.380449728342072</v>
          </cell>
          <cell r="BU849">
            <v>9.9879677714818342</v>
          </cell>
          <cell r="BV849">
            <v>11.522967903511651</v>
          </cell>
          <cell r="BW849">
            <v>10.055977276238897</v>
          </cell>
          <cell r="BX849">
            <v>8.6149332270911767</v>
          </cell>
          <cell r="BY849">
            <v>11.497021325386617</v>
          </cell>
        </row>
        <row r="850">
          <cell r="A850">
            <v>40626</v>
          </cell>
          <cell r="BF850">
            <v>17.154717885989875</v>
          </cell>
          <cell r="BG850">
            <v>17.429620749261797</v>
          </cell>
          <cell r="BH850">
            <v>16.109902701379674</v>
          </cell>
          <cell r="BI850">
            <v>13.839355674417275</v>
          </cell>
          <cell r="BJ850">
            <v>18.380449728342072</v>
          </cell>
          <cell r="BU850">
            <v>10.088846352051071</v>
          </cell>
          <cell r="BV850">
            <v>11.522967903511651</v>
          </cell>
          <cell r="BW850">
            <v>10.055977276238897</v>
          </cell>
          <cell r="BX850">
            <v>8.6149332270911767</v>
          </cell>
          <cell r="BY850">
            <v>11.497021325386617</v>
          </cell>
        </row>
        <row r="851">
          <cell r="A851">
            <v>40627</v>
          </cell>
          <cell r="BF851">
            <v>17.035222776725526</v>
          </cell>
          <cell r="BG851">
            <v>17.429620749261797</v>
          </cell>
          <cell r="BH851">
            <v>16.109902701379674</v>
          </cell>
          <cell r="BI851">
            <v>13.839355674417275</v>
          </cell>
          <cell r="BJ851">
            <v>18.380449728342072</v>
          </cell>
          <cell r="BU851">
            <v>10.020686991108638</v>
          </cell>
          <cell r="BV851">
            <v>11.522967903511651</v>
          </cell>
          <cell r="BW851">
            <v>10.055977276238897</v>
          </cell>
          <cell r="BX851">
            <v>8.6149332270911767</v>
          </cell>
          <cell r="BY851">
            <v>11.497021325386617</v>
          </cell>
        </row>
        <row r="852">
          <cell r="A852">
            <v>40630</v>
          </cell>
          <cell r="BF852">
            <v>17.154717885989875</v>
          </cell>
          <cell r="BG852">
            <v>17.429620749261797</v>
          </cell>
          <cell r="BH852">
            <v>16.109902701379674</v>
          </cell>
          <cell r="BI852">
            <v>13.839355674417275</v>
          </cell>
          <cell r="BJ852">
            <v>18.380449728342072</v>
          </cell>
          <cell r="BU852">
            <v>10.088846352051071</v>
          </cell>
          <cell r="BV852">
            <v>11.522967903511651</v>
          </cell>
          <cell r="BW852">
            <v>10.055977276238897</v>
          </cell>
          <cell r="BX852">
            <v>8.6149332270911767</v>
          </cell>
          <cell r="BY852">
            <v>11.497021325386617</v>
          </cell>
        </row>
        <row r="853">
          <cell r="A853">
            <v>40631</v>
          </cell>
          <cell r="BF853">
            <v>17.302890387536358</v>
          </cell>
          <cell r="BG853">
            <v>17.429620749261797</v>
          </cell>
          <cell r="BH853">
            <v>16.109902701379674</v>
          </cell>
          <cell r="BI853">
            <v>13.839355674417275</v>
          </cell>
          <cell r="BJ853">
            <v>18.380449728342072</v>
          </cell>
          <cell r="BU853">
            <v>10.173363141707359</v>
          </cell>
          <cell r="BV853">
            <v>11.522967903511651</v>
          </cell>
          <cell r="BW853">
            <v>10.055977276238897</v>
          </cell>
          <cell r="BX853">
            <v>8.6149332270911767</v>
          </cell>
          <cell r="BY853">
            <v>11.497021325386617</v>
          </cell>
        </row>
        <row r="854">
          <cell r="A854">
            <v>40632</v>
          </cell>
          <cell r="BF854">
            <v>17.551434957021392</v>
          </cell>
          <cell r="BG854">
            <v>17.429620749261797</v>
          </cell>
          <cell r="BH854">
            <v>16.109902701379674</v>
          </cell>
          <cell r="BI854">
            <v>13.839355674417275</v>
          </cell>
          <cell r="BJ854">
            <v>18.380449728342072</v>
          </cell>
          <cell r="BU854">
            <v>10.315131613455737</v>
          </cell>
          <cell r="BV854">
            <v>11.522967903511651</v>
          </cell>
          <cell r="BW854">
            <v>10.055977276238897</v>
          </cell>
          <cell r="BX854">
            <v>8.6149332270911767</v>
          </cell>
          <cell r="BY854">
            <v>11.497021325386617</v>
          </cell>
        </row>
        <row r="855">
          <cell r="A855">
            <v>40633</v>
          </cell>
          <cell r="BF855">
            <v>17.589674347946858</v>
          </cell>
          <cell r="BG855">
            <v>17.429620749261797</v>
          </cell>
          <cell r="BH855">
            <v>16.109902701379674</v>
          </cell>
          <cell r="BI855">
            <v>13.839355674417275</v>
          </cell>
          <cell r="BJ855">
            <v>18.380449728342072</v>
          </cell>
          <cell r="BU855">
            <v>10.336943154232202</v>
          </cell>
          <cell r="BV855">
            <v>11.522967903511651</v>
          </cell>
          <cell r="BW855">
            <v>10.055977276238897</v>
          </cell>
          <cell r="BX855">
            <v>8.6149332270911767</v>
          </cell>
          <cell r="BY855">
            <v>11.497021325386617</v>
          </cell>
        </row>
        <row r="856">
          <cell r="A856">
            <v>40634</v>
          </cell>
          <cell r="BF856">
            <v>17.106916974401514</v>
          </cell>
          <cell r="BG856">
            <v>17.429620749261797</v>
          </cell>
          <cell r="BH856">
            <v>16.109902701379674</v>
          </cell>
          <cell r="BI856">
            <v>13.839355674417275</v>
          </cell>
          <cell r="BJ856">
            <v>18.380449728342072</v>
          </cell>
          <cell r="BU856">
            <v>10.061580971849438</v>
          </cell>
          <cell r="BV856">
            <v>11.522967903511651</v>
          </cell>
          <cell r="BW856">
            <v>10.055977276238897</v>
          </cell>
          <cell r="BX856">
            <v>8.6149332270911767</v>
          </cell>
          <cell r="BY856">
            <v>11.497021325386617</v>
          </cell>
        </row>
        <row r="857">
          <cell r="A857">
            <v>40637</v>
          </cell>
          <cell r="BF857">
            <v>16.935745761587363</v>
          </cell>
          <cell r="BG857">
            <v>17.429620749261797</v>
          </cell>
          <cell r="BH857">
            <v>16.109902701379674</v>
          </cell>
          <cell r="BI857">
            <v>13.839355674417275</v>
          </cell>
          <cell r="BJ857">
            <v>18.380449728342072</v>
          </cell>
          <cell r="BU857">
            <v>9.9594959426322305</v>
          </cell>
          <cell r="BV857">
            <v>11.522967903511651</v>
          </cell>
          <cell r="BW857">
            <v>10.055977276238897</v>
          </cell>
          <cell r="BX857">
            <v>8.6149332270911767</v>
          </cell>
          <cell r="BY857">
            <v>11.497021325386617</v>
          </cell>
        </row>
        <row r="858">
          <cell r="A858">
            <v>40638</v>
          </cell>
          <cell r="BF858">
            <v>16.821158470086221</v>
          </cell>
          <cell r="BG858">
            <v>17.429620749261797</v>
          </cell>
          <cell r="BH858">
            <v>16.109902701379674</v>
          </cell>
          <cell r="BI858">
            <v>13.839355674417275</v>
          </cell>
          <cell r="BJ858">
            <v>18.380449728342072</v>
          </cell>
          <cell r="BU858">
            <v>9.8941630234162208</v>
          </cell>
          <cell r="BV858">
            <v>11.522967903511651</v>
          </cell>
          <cell r="BW858">
            <v>10.055977276238897</v>
          </cell>
          <cell r="BX858">
            <v>8.6149332270911767</v>
          </cell>
          <cell r="BY858">
            <v>11.497021325386617</v>
          </cell>
        </row>
        <row r="859">
          <cell r="A859">
            <v>40639</v>
          </cell>
          <cell r="BF859">
            <v>16.773408911046833</v>
          </cell>
          <cell r="BG859">
            <v>17.429620749261797</v>
          </cell>
          <cell r="BH859">
            <v>16.109902701379674</v>
          </cell>
          <cell r="BI859">
            <v>13.839355674417275</v>
          </cell>
          <cell r="BJ859">
            <v>18.380449728342072</v>
          </cell>
          <cell r="BU859">
            <v>9.866743290219711</v>
          </cell>
          <cell r="BV859">
            <v>11.522967903511651</v>
          </cell>
          <cell r="BW859">
            <v>10.055977276238897</v>
          </cell>
          <cell r="BX859">
            <v>8.6149332270911767</v>
          </cell>
          <cell r="BY859">
            <v>11.497021325386617</v>
          </cell>
        </row>
        <row r="860">
          <cell r="A860">
            <v>40640</v>
          </cell>
          <cell r="BF860">
            <v>16.818926689220312</v>
          </cell>
          <cell r="BG860">
            <v>17.429620749261797</v>
          </cell>
          <cell r="BH860">
            <v>16.109902701379674</v>
          </cell>
          <cell r="BI860">
            <v>13.839355674417275</v>
          </cell>
          <cell r="BJ860">
            <v>18.380449728342072</v>
          </cell>
          <cell r="BU860">
            <v>9.9475979893273916</v>
          </cell>
          <cell r="BV860">
            <v>11.522967903511651</v>
          </cell>
          <cell r="BW860">
            <v>10.055977276238897</v>
          </cell>
          <cell r="BX860">
            <v>8.6149332270911767</v>
          </cell>
          <cell r="BY860">
            <v>11.497021325386617</v>
          </cell>
        </row>
        <row r="861">
          <cell r="A861">
            <v>40641</v>
          </cell>
          <cell r="BF861">
            <v>17.359496722839534</v>
          </cell>
          <cell r="BG861">
            <v>17.429620749261797</v>
          </cell>
          <cell r="BH861">
            <v>16.109902701379674</v>
          </cell>
          <cell r="BI861">
            <v>13.839355674417275</v>
          </cell>
          <cell r="BJ861">
            <v>18.380449728342072</v>
          </cell>
          <cell r="BU861">
            <v>10.267173280597811</v>
          </cell>
          <cell r="BV861">
            <v>11.522967903511651</v>
          </cell>
          <cell r="BW861">
            <v>10.055977276238897</v>
          </cell>
          <cell r="BX861">
            <v>8.6149332270911767</v>
          </cell>
          <cell r="BY861">
            <v>11.497021325386617</v>
          </cell>
        </row>
        <row r="862">
          <cell r="A862">
            <v>40644</v>
          </cell>
          <cell r="BF862">
            <v>17.42989625236622</v>
          </cell>
          <cell r="BG862">
            <v>17.429620749261797</v>
          </cell>
          <cell r="BH862">
            <v>16.109902701379674</v>
          </cell>
          <cell r="BI862">
            <v>13.839355674417275</v>
          </cell>
          <cell r="BJ862">
            <v>18.380449728342072</v>
          </cell>
          <cell r="BU862">
            <v>10.267173280597811</v>
          </cell>
          <cell r="BV862">
            <v>11.522967903511651</v>
          </cell>
          <cell r="BW862">
            <v>10.055977276238897</v>
          </cell>
          <cell r="BX862">
            <v>8.6149332270911767</v>
          </cell>
          <cell r="BY862">
            <v>11.497021325386617</v>
          </cell>
        </row>
        <row r="863">
          <cell r="A863">
            <v>40645</v>
          </cell>
          <cell r="BF863">
            <v>17.174158889354576</v>
          </cell>
          <cell r="BG863">
            <v>17.429620749261797</v>
          </cell>
          <cell r="BH863">
            <v>16.109902701379674</v>
          </cell>
          <cell r="BI863">
            <v>13.839355674417275</v>
          </cell>
          <cell r="BJ863">
            <v>18.380449728342072</v>
          </cell>
          <cell r="BU863">
            <v>10.121145833408731</v>
          </cell>
          <cell r="BV863">
            <v>11.522967903511651</v>
          </cell>
          <cell r="BW863">
            <v>10.055977276238897</v>
          </cell>
          <cell r="BX863">
            <v>8.6149332270911767</v>
          </cell>
          <cell r="BY863">
            <v>11.497021325386617</v>
          </cell>
        </row>
        <row r="864">
          <cell r="A864">
            <v>40646</v>
          </cell>
          <cell r="BF864">
            <v>16.738180019539527</v>
          </cell>
          <cell r="BG864">
            <v>17.429620749261797</v>
          </cell>
          <cell r="BH864">
            <v>16.109902701379674</v>
          </cell>
          <cell r="BI864">
            <v>13.839355674417275</v>
          </cell>
          <cell r="BJ864">
            <v>18.380449728342072</v>
          </cell>
          <cell r="BU864">
            <v>9.8563117728556708</v>
          </cell>
          <cell r="BV864">
            <v>11.522967903511651</v>
          </cell>
          <cell r="BW864">
            <v>10.055977276238897</v>
          </cell>
          <cell r="BX864">
            <v>8.6149332270911767</v>
          </cell>
          <cell r="BY864">
            <v>11.497021325386617</v>
          </cell>
        </row>
        <row r="865">
          <cell r="A865">
            <v>40647</v>
          </cell>
          <cell r="BF865">
            <v>16.500753564408367</v>
          </cell>
          <cell r="BG865">
            <v>17.429620749261797</v>
          </cell>
          <cell r="BH865">
            <v>16.109902701379674</v>
          </cell>
          <cell r="BI865">
            <v>13.839355674417275</v>
          </cell>
          <cell r="BJ865">
            <v>18.380449728342072</v>
          </cell>
          <cell r="BU865">
            <v>9.7209411849281828</v>
          </cell>
          <cell r="BV865">
            <v>11.522967903511651</v>
          </cell>
          <cell r="BW865">
            <v>10.055977276238897</v>
          </cell>
          <cell r="BX865">
            <v>8.6149332270911767</v>
          </cell>
          <cell r="BY865">
            <v>11.497021325386617</v>
          </cell>
        </row>
        <row r="866">
          <cell r="A866">
            <v>40648</v>
          </cell>
          <cell r="BF866">
            <v>16.208925546255522</v>
          </cell>
          <cell r="BG866">
            <v>17.429620749261797</v>
          </cell>
          <cell r="BH866">
            <v>16.109902701379674</v>
          </cell>
          <cell r="BI866">
            <v>13.839355674417275</v>
          </cell>
          <cell r="BJ866">
            <v>18.380449728342072</v>
          </cell>
          <cell r="BU866">
            <v>9.5545531117488913</v>
          </cell>
          <cell r="BV866">
            <v>11.522967903511651</v>
          </cell>
          <cell r="BW866">
            <v>10.055977276238897</v>
          </cell>
          <cell r="BX866">
            <v>8.6149332270911767</v>
          </cell>
          <cell r="BY866">
            <v>11.497021325386617</v>
          </cell>
        </row>
        <row r="867">
          <cell r="A867">
            <v>40651</v>
          </cell>
          <cell r="BF867">
            <v>15.977054554896535</v>
          </cell>
          <cell r="BG867">
            <v>17.429620749261797</v>
          </cell>
          <cell r="BH867">
            <v>16.109902701379674</v>
          </cell>
          <cell r="BI867">
            <v>13.839355674417275</v>
          </cell>
          <cell r="BJ867">
            <v>18.380449728342072</v>
          </cell>
          <cell r="BU867">
            <v>9.4248281940242098</v>
          </cell>
          <cell r="BV867">
            <v>11.522967903511651</v>
          </cell>
          <cell r="BW867">
            <v>10.055977276238897</v>
          </cell>
          <cell r="BX867">
            <v>8.6149332270911767</v>
          </cell>
          <cell r="BY867">
            <v>11.497021325386617</v>
          </cell>
        </row>
        <row r="868">
          <cell r="A868">
            <v>40652</v>
          </cell>
          <cell r="BF868">
            <v>15.90782608695819</v>
          </cell>
          <cell r="BG868">
            <v>17.429620749261797</v>
          </cell>
          <cell r="BH868">
            <v>16.109902701379674</v>
          </cell>
          <cell r="BI868">
            <v>13.839355674417275</v>
          </cell>
          <cell r="BJ868">
            <v>18.380449728342072</v>
          </cell>
          <cell r="BU868">
            <v>9.3853462926943223</v>
          </cell>
          <cell r="BV868">
            <v>11.522967903511651</v>
          </cell>
          <cell r="BW868">
            <v>10.055977276238897</v>
          </cell>
          <cell r="BX868">
            <v>8.6149332270911767</v>
          </cell>
          <cell r="BY868">
            <v>11.497021325386617</v>
          </cell>
        </row>
        <row r="869">
          <cell r="A869">
            <v>40653</v>
          </cell>
          <cell r="BF869">
            <v>15.685297993597967</v>
          </cell>
          <cell r="BG869">
            <v>17.429620749261797</v>
          </cell>
          <cell r="BH869">
            <v>16.109902701379674</v>
          </cell>
          <cell r="BI869">
            <v>13.839355674417275</v>
          </cell>
          <cell r="BJ869">
            <v>18.380449728342072</v>
          </cell>
          <cell r="BU869">
            <v>9.2584356085953914</v>
          </cell>
          <cell r="BV869">
            <v>11.522967903511651</v>
          </cell>
          <cell r="BW869">
            <v>10.055977276238897</v>
          </cell>
          <cell r="BX869">
            <v>8.6149332270911767</v>
          </cell>
          <cell r="BY869">
            <v>11.497021325386617</v>
          </cell>
        </row>
        <row r="870">
          <cell r="A870">
            <v>40654</v>
          </cell>
          <cell r="BF870">
            <v>16.086108567639084</v>
          </cell>
          <cell r="BG870">
            <v>17.429620749261797</v>
          </cell>
          <cell r="BH870">
            <v>16.109902701379674</v>
          </cell>
          <cell r="BI870">
            <v>13.839355674417275</v>
          </cell>
          <cell r="BJ870">
            <v>18.380449728342072</v>
          </cell>
          <cell r="BU870">
            <v>9.4868719070112757</v>
          </cell>
          <cell r="BV870">
            <v>11.522967903511651</v>
          </cell>
          <cell r="BW870">
            <v>10.055977276238897</v>
          </cell>
          <cell r="BX870">
            <v>8.6149332270911767</v>
          </cell>
          <cell r="BY870">
            <v>11.497021325386617</v>
          </cell>
        </row>
        <row r="871">
          <cell r="A871">
            <v>40655</v>
          </cell>
          <cell r="BF871">
            <v>15.868527253173678</v>
          </cell>
          <cell r="BG871">
            <v>17.429620749261797</v>
          </cell>
          <cell r="BH871">
            <v>16.109902701379674</v>
          </cell>
          <cell r="BI871">
            <v>13.839355674417275</v>
          </cell>
          <cell r="BJ871">
            <v>18.380449728342072</v>
          </cell>
          <cell r="BU871">
            <v>9.3627844810371421</v>
          </cell>
          <cell r="BV871">
            <v>11.522967903511651</v>
          </cell>
          <cell r="BW871">
            <v>10.055977276238897</v>
          </cell>
          <cell r="BX871">
            <v>8.6149332270911767</v>
          </cell>
          <cell r="BY871">
            <v>11.497021325386617</v>
          </cell>
        </row>
        <row r="872">
          <cell r="A872">
            <v>40658</v>
          </cell>
          <cell r="BF872">
            <v>15.873469293566151</v>
          </cell>
          <cell r="BG872">
            <v>17.429620749261797</v>
          </cell>
          <cell r="BH872">
            <v>16.109902701379674</v>
          </cell>
          <cell r="BI872">
            <v>13.839355674417275</v>
          </cell>
          <cell r="BJ872">
            <v>18.380449728342072</v>
          </cell>
          <cell r="BU872">
            <v>9.365602944896823</v>
          </cell>
          <cell r="BV872">
            <v>11.522967903511651</v>
          </cell>
          <cell r="BW872">
            <v>10.055977276238897</v>
          </cell>
          <cell r="BX872">
            <v>8.6149332270911767</v>
          </cell>
          <cell r="BY872">
            <v>11.497021325386617</v>
          </cell>
        </row>
        <row r="873">
          <cell r="A873">
            <v>40659</v>
          </cell>
          <cell r="BF873">
            <v>16.056432094748025</v>
          </cell>
          <cell r="BG873">
            <v>17.429620749261797</v>
          </cell>
          <cell r="BH873">
            <v>16.109902701379674</v>
          </cell>
          <cell r="BI873">
            <v>13.839355674417275</v>
          </cell>
          <cell r="BJ873">
            <v>18.380449728342072</v>
          </cell>
          <cell r="BU873">
            <v>9.469947305089045</v>
          </cell>
          <cell r="BV873">
            <v>11.522967903511651</v>
          </cell>
          <cell r="BW873">
            <v>10.055977276238897</v>
          </cell>
          <cell r="BX873">
            <v>8.6149332270911767</v>
          </cell>
          <cell r="BY873">
            <v>11.497021325386617</v>
          </cell>
        </row>
        <row r="874">
          <cell r="A874">
            <v>40660</v>
          </cell>
          <cell r="BF874">
            <v>15.705341020074256</v>
          </cell>
          <cell r="BG874">
            <v>17.429620749261797</v>
          </cell>
          <cell r="BH874">
            <v>16.109902701379674</v>
          </cell>
          <cell r="BI874">
            <v>13.839355674417275</v>
          </cell>
          <cell r="BJ874">
            <v>18.380449728342072</v>
          </cell>
          <cell r="BU874">
            <v>9.2697187705487458</v>
          </cell>
          <cell r="BV874">
            <v>11.522967903511651</v>
          </cell>
          <cell r="BW874">
            <v>10.055977276238897</v>
          </cell>
          <cell r="BX874">
            <v>8.6149332270911767</v>
          </cell>
          <cell r="BY874">
            <v>11.497021325386617</v>
          </cell>
        </row>
        <row r="875">
          <cell r="A875">
            <v>40661</v>
          </cell>
          <cell r="BF875">
            <v>15.843800732686924</v>
          </cell>
          <cell r="BG875">
            <v>17.429620749261797</v>
          </cell>
          <cell r="BH875">
            <v>16.109902701379674</v>
          </cell>
          <cell r="BI875">
            <v>13.839355674417275</v>
          </cell>
          <cell r="BJ875">
            <v>18.380449728342072</v>
          </cell>
          <cell r="BU875">
            <v>9.3486828552241121</v>
          </cell>
          <cell r="BV875">
            <v>11.522967903511651</v>
          </cell>
          <cell r="BW875">
            <v>10.055977276238897</v>
          </cell>
          <cell r="BX875">
            <v>8.6149332270911767</v>
          </cell>
          <cell r="BY875">
            <v>11.497021325386617</v>
          </cell>
        </row>
        <row r="876">
          <cell r="A876">
            <v>40662</v>
          </cell>
          <cell r="BF876">
            <v>15.799297149616976</v>
          </cell>
          <cell r="BG876">
            <v>17.429620749261797</v>
          </cell>
          <cell r="BH876">
            <v>16.109902701379674</v>
          </cell>
          <cell r="BI876">
            <v>13.839355674417275</v>
          </cell>
          <cell r="BJ876">
            <v>18.380449728342072</v>
          </cell>
          <cell r="BU876">
            <v>9.3233022976916615</v>
          </cell>
          <cell r="BV876">
            <v>11.522967903511651</v>
          </cell>
          <cell r="BW876">
            <v>10.055977276238897</v>
          </cell>
          <cell r="BX876">
            <v>8.6149332270911767</v>
          </cell>
          <cell r="BY876">
            <v>11.497021325386617</v>
          </cell>
        </row>
        <row r="877">
          <cell r="A877">
            <v>40665</v>
          </cell>
          <cell r="BF877">
            <v>15.898195814052904</v>
          </cell>
          <cell r="BG877">
            <v>17.429620749261797</v>
          </cell>
          <cell r="BH877">
            <v>16.109902701379674</v>
          </cell>
          <cell r="BI877">
            <v>13.839355674417275</v>
          </cell>
          <cell r="BJ877">
            <v>18.380449728342072</v>
          </cell>
          <cell r="BU877">
            <v>9.3797045707098494</v>
          </cell>
          <cell r="BV877">
            <v>11.522967903511651</v>
          </cell>
          <cell r="BW877">
            <v>10.055977276238897</v>
          </cell>
          <cell r="BX877">
            <v>8.6149332270911767</v>
          </cell>
          <cell r="BY877">
            <v>11.497021325386617</v>
          </cell>
        </row>
        <row r="878">
          <cell r="A878">
            <v>40666</v>
          </cell>
          <cell r="BF878">
            <v>16.224568280251752</v>
          </cell>
          <cell r="BG878">
            <v>17.429620749261797</v>
          </cell>
          <cell r="BH878">
            <v>16.109902701379674</v>
          </cell>
          <cell r="BI878">
            <v>13.839355674417275</v>
          </cell>
          <cell r="BJ878">
            <v>18.380449728342072</v>
          </cell>
          <cell r="BU878">
            <v>9.5658359916866491</v>
          </cell>
          <cell r="BV878">
            <v>11.522967903511651</v>
          </cell>
          <cell r="BW878">
            <v>10.055977276238897</v>
          </cell>
          <cell r="BX878">
            <v>8.6149332270911767</v>
          </cell>
          <cell r="BY878">
            <v>11.497021325386617</v>
          </cell>
        </row>
        <row r="879">
          <cell r="A879">
            <v>40667</v>
          </cell>
          <cell r="BF879">
            <v>15.967425917609608</v>
          </cell>
          <cell r="BG879">
            <v>17.429620749261797</v>
          </cell>
          <cell r="BH879">
            <v>16.109902701379674</v>
          </cell>
          <cell r="BI879">
            <v>13.839355674417275</v>
          </cell>
          <cell r="BJ879">
            <v>18.380449728342072</v>
          </cell>
          <cell r="BU879">
            <v>9.41918675405533</v>
          </cell>
          <cell r="BV879">
            <v>11.522967903511651</v>
          </cell>
          <cell r="BW879">
            <v>10.055977276238897</v>
          </cell>
          <cell r="BX879">
            <v>8.6149332270911767</v>
          </cell>
          <cell r="BY879">
            <v>11.497021325386617</v>
          </cell>
        </row>
        <row r="880">
          <cell r="A880">
            <v>40668</v>
          </cell>
          <cell r="BF880">
            <v>15.908088301350418</v>
          </cell>
          <cell r="BG880">
            <v>17.429620749261797</v>
          </cell>
          <cell r="BH880">
            <v>16.109902701379674</v>
          </cell>
          <cell r="BI880">
            <v>13.839355674417275</v>
          </cell>
          <cell r="BJ880">
            <v>18.380449728342072</v>
          </cell>
          <cell r="BU880">
            <v>9.3853462926943223</v>
          </cell>
          <cell r="BV880">
            <v>11.522967903511651</v>
          </cell>
          <cell r="BW880">
            <v>10.055977276238897</v>
          </cell>
          <cell r="BX880">
            <v>8.6149332270911767</v>
          </cell>
          <cell r="BY880">
            <v>11.497021325386617</v>
          </cell>
        </row>
        <row r="881">
          <cell r="A881">
            <v>40669</v>
          </cell>
          <cell r="BF881">
            <v>15.648002373908449</v>
          </cell>
          <cell r="BG881">
            <v>17.429620749261797</v>
          </cell>
          <cell r="BH881">
            <v>16.109902701379674</v>
          </cell>
          <cell r="BI881">
            <v>13.839355674417275</v>
          </cell>
          <cell r="BJ881">
            <v>18.380449728342072</v>
          </cell>
          <cell r="BU881">
            <v>9.0226234227186044</v>
          </cell>
          <cell r="BV881">
            <v>11.522967903511651</v>
          </cell>
          <cell r="BW881">
            <v>10.055977276238897</v>
          </cell>
          <cell r="BX881">
            <v>8.6149332270911767</v>
          </cell>
          <cell r="BY881">
            <v>11.497021325386617</v>
          </cell>
        </row>
        <row r="882">
          <cell r="A882">
            <v>40672</v>
          </cell>
          <cell r="BF882">
            <v>15.870014474526913</v>
          </cell>
          <cell r="BG882">
            <v>17.429620749261797</v>
          </cell>
          <cell r="BH882">
            <v>16.109902701379674</v>
          </cell>
          <cell r="BI882">
            <v>13.839355674417275</v>
          </cell>
          <cell r="BJ882">
            <v>18.380449728342072</v>
          </cell>
          <cell r="BU882">
            <v>9.1409900591198365</v>
          </cell>
          <cell r="BV882">
            <v>11.522967903511651</v>
          </cell>
          <cell r="BW882">
            <v>10.055977276238897</v>
          </cell>
          <cell r="BX882">
            <v>8.6149332270911767</v>
          </cell>
          <cell r="BY882">
            <v>11.497021325386617</v>
          </cell>
        </row>
        <row r="883">
          <cell r="A883">
            <v>40673</v>
          </cell>
          <cell r="BF883">
            <v>16.092697993774756</v>
          </cell>
          <cell r="BG883">
            <v>17.429620749261797</v>
          </cell>
          <cell r="BH883">
            <v>16.109902701379674</v>
          </cell>
          <cell r="BI883">
            <v>13.839355674417275</v>
          </cell>
          <cell r="BJ883">
            <v>18.380449728342072</v>
          </cell>
          <cell r="BU883">
            <v>9.2648633111975336</v>
          </cell>
          <cell r="BV883">
            <v>11.522967903511651</v>
          </cell>
          <cell r="BW883">
            <v>10.055977276238897</v>
          </cell>
          <cell r="BX883">
            <v>8.6149332270911767</v>
          </cell>
          <cell r="BY883">
            <v>11.497021325386617</v>
          </cell>
        </row>
        <row r="884">
          <cell r="A884">
            <v>40674</v>
          </cell>
          <cell r="BF884">
            <v>16.11249617518056</v>
          </cell>
          <cell r="BG884">
            <v>17.429620749261797</v>
          </cell>
          <cell r="BH884">
            <v>16.109902701379674</v>
          </cell>
          <cell r="BI884">
            <v>13.839355674417275</v>
          </cell>
          <cell r="BJ884">
            <v>18.380449728342072</v>
          </cell>
          <cell r="BU884">
            <v>9.2758765425504652</v>
          </cell>
          <cell r="BV884">
            <v>11.522967903511651</v>
          </cell>
          <cell r="BW884">
            <v>10.055977276238897</v>
          </cell>
          <cell r="BX884">
            <v>8.6149332270911767</v>
          </cell>
          <cell r="BY884">
            <v>11.497021325386617</v>
          </cell>
        </row>
        <row r="885">
          <cell r="A885">
            <v>40675</v>
          </cell>
          <cell r="BF885">
            <v>16.275799501022348</v>
          </cell>
          <cell r="BG885">
            <v>17.429620749261797</v>
          </cell>
          <cell r="BH885">
            <v>16.109902701379674</v>
          </cell>
          <cell r="BI885">
            <v>13.839355674417275</v>
          </cell>
          <cell r="BJ885">
            <v>18.380449728342072</v>
          </cell>
          <cell r="BU885">
            <v>9.3652851466588345</v>
          </cell>
          <cell r="BV885">
            <v>11.522967903511651</v>
          </cell>
          <cell r="BW885">
            <v>10.055977276238897</v>
          </cell>
          <cell r="BX885">
            <v>8.6149332270911767</v>
          </cell>
          <cell r="BY885">
            <v>11.497021325386617</v>
          </cell>
        </row>
        <row r="886">
          <cell r="A886">
            <v>40676</v>
          </cell>
          <cell r="BF886">
            <v>16.576201093872523</v>
          </cell>
          <cell r="BG886">
            <v>17.429620749261797</v>
          </cell>
          <cell r="BH886">
            <v>16.109902701379674</v>
          </cell>
          <cell r="BI886">
            <v>13.839355674417275</v>
          </cell>
          <cell r="BJ886">
            <v>18.380449728342072</v>
          </cell>
          <cell r="BU886">
            <v>9.5520775531046258</v>
          </cell>
          <cell r="BV886">
            <v>11.522967903511651</v>
          </cell>
          <cell r="BW886">
            <v>10.055977276238897</v>
          </cell>
          <cell r="BX886">
            <v>8.6149332270911767</v>
          </cell>
          <cell r="BY886">
            <v>11.497021325386617</v>
          </cell>
        </row>
        <row r="887">
          <cell r="A887">
            <v>40679</v>
          </cell>
          <cell r="BF887">
            <v>16.576201093872523</v>
          </cell>
          <cell r="BG887">
            <v>17.429620749261797</v>
          </cell>
          <cell r="BH887">
            <v>16.109902701379674</v>
          </cell>
          <cell r="BI887">
            <v>13.839355674417275</v>
          </cell>
          <cell r="BJ887">
            <v>18.380449728342072</v>
          </cell>
          <cell r="BU887">
            <v>9.5520775531046258</v>
          </cell>
          <cell r="BV887">
            <v>11.522967903511651</v>
          </cell>
          <cell r="BW887">
            <v>10.055977276238897</v>
          </cell>
          <cell r="BX887">
            <v>8.6149332270911767</v>
          </cell>
          <cell r="BY887">
            <v>11.497021325386617</v>
          </cell>
        </row>
        <row r="888">
          <cell r="A888">
            <v>40680</v>
          </cell>
          <cell r="BF888">
            <v>16.541844612180839</v>
          </cell>
          <cell r="BG888">
            <v>17.429620749261797</v>
          </cell>
          <cell r="BH888">
            <v>16.109902701379674</v>
          </cell>
          <cell r="BI888">
            <v>13.839355674417275</v>
          </cell>
          <cell r="BJ888">
            <v>18.380449728342072</v>
          </cell>
          <cell r="BU888">
            <v>9.5329242326335883</v>
          </cell>
          <cell r="BV888">
            <v>11.522967903511651</v>
          </cell>
          <cell r="BW888">
            <v>10.055977276238897</v>
          </cell>
          <cell r="BX888">
            <v>8.6149332270911767</v>
          </cell>
          <cell r="BY888">
            <v>11.497021325386617</v>
          </cell>
        </row>
        <row r="889">
          <cell r="A889">
            <v>40681</v>
          </cell>
          <cell r="BF889">
            <v>16.605650979319012</v>
          </cell>
          <cell r="BG889">
            <v>17.429620749261797</v>
          </cell>
          <cell r="BH889">
            <v>16.109902701379674</v>
          </cell>
          <cell r="BI889">
            <v>13.839355674417275</v>
          </cell>
          <cell r="BJ889">
            <v>18.380449728342072</v>
          </cell>
          <cell r="BU889">
            <v>9.568495505875628</v>
          </cell>
          <cell r="BV889">
            <v>11.522967903511651</v>
          </cell>
          <cell r="BW889">
            <v>10.055977276238897</v>
          </cell>
          <cell r="BX889">
            <v>8.6149332270911767</v>
          </cell>
          <cell r="BY889">
            <v>11.497021325386617</v>
          </cell>
        </row>
        <row r="890">
          <cell r="A890">
            <v>40682</v>
          </cell>
          <cell r="BF890">
            <v>16.708734168361143</v>
          </cell>
          <cell r="BG890">
            <v>17.429620749261797</v>
          </cell>
          <cell r="BH890">
            <v>16.109902701379674</v>
          </cell>
          <cell r="BI890">
            <v>13.839355674417275</v>
          </cell>
          <cell r="BJ890">
            <v>18.380449728342072</v>
          </cell>
          <cell r="BU890">
            <v>9.625963129383134</v>
          </cell>
          <cell r="BV890">
            <v>11.522967903511651</v>
          </cell>
          <cell r="BW890">
            <v>10.055977276238897</v>
          </cell>
          <cell r="BX890">
            <v>8.6149332270911767</v>
          </cell>
          <cell r="BY890">
            <v>11.497021325386617</v>
          </cell>
        </row>
        <row r="891">
          <cell r="A891">
            <v>40683</v>
          </cell>
          <cell r="BF891">
            <v>16.468211799441161</v>
          </cell>
          <cell r="BG891">
            <v>17.429620749261797</v>
          </cell>
          <cell r="BH891">
            <v>16.109902701379674</v>
          </cell>
          <cell r="BI891">
            <v>13.839355674417275</v>
          </cell>
          <cell r="BJ891">
            <v>18.380449728342072</v>
          </cell>
          <cell r="BU891">
            <v>9.491874835543312</v>
          </cell>
          <cell r="BV891">
            <v>11.522967903511651</v>
          </cell>
          <cell r="BW891">
            <v>10.055977276238897</v>
          </cell>
          <cell r="BX891">
            <v>8.6149332270911767</v>
          </cell>
          <cell r="BY891">
            <v>11.497021325386617</v>
          </cell>
        </row>
        <row r="892">
          <cell r="A892">
            <v>40686</v>
          </cell>
          <cell r="BF892">
            <v>16.124614095174518</v>
          </cell>
          <cell r="BG892">
            <v>17.429620749261797</v>
          </cell>
          <cell r="BH892">
            <v>16.109902701379674</v>
          </cell>
          <cell r="BI892">
            <v>13.839355674417275</v>
          </cell>
          <cell r="BJ892">
            <v>18.380449728342072</v>
          </cell>
          <cell r="BU892">
            <v>9.3003232965356357</v>
          </cell>
          <cell r="BV892">
            <v>11.522967903511651</v>
          </cell>
          <cell r="BW892">
            <v>10.055977276238897</v>
          </cell>
          <cell r="BX892">
            <v>8.6149332270911767</v>
          </cell>
          <cell r="BY892">
            <v>11.497021325386617</v>
          </cell>
        </row>
        <row r="893">
          <cell r="A893">
            <v>40687</v>
          </cell>
          <cell r="BF893">
            <v>16.217878201454653</v>
          </cell>
          <cell r="BG893">
            <v>17.429620749261797</v>
          </cell>
          <cell r="BH893">
            <v>16.109902701379674</v>
          </cell>
          <cell r="BI893">
            <v>13.839355674417275</v>
          </cell>
          <cell r="BJ893">
            <v>18.380449728342072</v>
          </cell>
          <cell r="BU893">
            <v>9.3538641061414562</v>
          </cell>
          <cell r="BV893">
            <v>11.522967903511651</v>
          </cell>
          <cell r="BW893">
            <v>10.055977276238897</v>
          </cell>
          <cell r="BX893">
            <v>8.6149332270911767</v>
          </cell>
          <cell r="BY893">
            <v>11.497021325386617</v>
          </cell>
        </row>
        <row r="894">
          <cell r="A894">
            <v>40688</v>
          </cell>
          <cell r="BF894">
            <v>16.335686087792041</v>
          </cell>
          <cell r="BG894">
            <v>17.429620749261797</v>
          </cell>
          <cell r="BH894">
            <v>16.109902701379674</v>
          </cell>
          <cell r="BI894">
            <v>13.839355674417275</v>
          </cell>
          <cell r="BJ894">
            <v>18.380449728342072</v>
          </cell>
          <cell r="BU894">
            <v>9.4195514344300708</v>
          </cell>
          <cell r="BV894">
            <v>11.522967903511651</v>
          </cell>
          <cell r="BW894">
            <v>10.055977276238897</v>
          </cell>
          <cell r="BX894">
            <v>8.6149332270911767</v>
          </cell>
          <cell r="BY894">
            <v>11.497021325386617</v>
          </cell>
        </row>
        <row r="895">
          <cell r="A895">
            <v>40689</v>
          </cell>
          <cell r="BF895">
            <v>16.109889397879254</v>
          </cell>
          <cell r="BG895">
            <v>17.429620749261797</v>
          </cell>
          <cell r="BH895">
            <v>16.109902701379674</v>
          </cell>
          <cell r="BI895">
            <v>13.839355674417275</v>
          </cell>
          <cell r="BJ895">
            <v>18.380449728342072</v>
          </cell>
          <cell r="BU895">
            <v>9.2936517026047625</v>
          </cell>
          <cell r="BV895">
            <v>11.522967903511651</v>
          </cell>
          <cell r="BW895">
            <v>10.055977276238897</v>
          </cell>
          <cell r="BX895">
            <v>8.6149332270911767</v>
          </cell>
          <cell r="BY895">
            <v>11.497021325386617</v>
          </cell>
        </row>
        <row r="896">
          <cell r="A896">
            <v>40690</v>
          </cell>
          <cell r="BF896">
            <v>16.104983292490026</v>
          </cell>
          <cell r="BG896">
            <v>17.429620749261797</v>
          </cell>
          <cell r="BH896">
            <v>16.109902701379674</v>
          </cell>
          <cell r="BI896">
            <v>13.839355674417275</v>
          </cell>
          <cell r="BJ896">
            <v>18.380449728342072</v>
          </cell>
          <cell r="BU896">
            <v>9.2924696695109326</v>
          </cell>
          <cell r="BV896">
            <v>11.522967903511651</v>
          </cell>
          <cell r="BW896">
            <v>10.055977276238897</v>
          </cell>
          <cell r="BX896">
            <v>8.6149332270911767</v>
          </cell>
          <cell r="BY896">
            <v>11.497021325386617</v>
          </cell>
        </row>
        <row r="897">
          <cell r="A897">
            <v>40693</v>
          </cell>
          <cell r="BF897">
            <v>15.800647684448334</v>
          </cell>
          <cell r="BG897">
            <v>17.429620749261797</v>
          </cell>
          <cell r="BH897">
            <v>16.109902701379674</v>
          </cell>
          <cell r="BI897">
            <v>13.839355674417275</v>
          </cell>
          <cell r="BJ897">
            <v>18.380449728342072</v>
          </cell>
          <cell r="BU897">
            <v>9.1227488463139075</v>
          </cell>
          <cell r="BV897">
            <v>11.522967903511651</v>
          </cell>
          <cell r="BW897">
            <v>10.055977276238897</v>
          </cell>
          <cell r="BX897">
            <v>8.6149332270911767</v>
          </cell>
          <cell r="BY897">
            <v>11.497021325386617</v>
          </cell>
        </row>
        <row r="898">
          <cell r="A898">
            <v>40694</v>
          </cell>
          <cell r="BF898">
            <v>15.859555309036782</v>
          </cell>
          <cell r="BG898">
            <v>17.429620749261797</v>
          </cell>
          <cell r="BH898">
            <v>16.109902701379674</v>
          </cell>
          <cell r="BI898">
            <v>13.839355674417275</v>
          </cell>
          <cell r="BJ898">
            <v>18.380449728342072</v>
          </cell>
          <cell r="BU898">
            <v>9.1556002454717849</v>
          </cell>
          <cell r="BV898">
            <v>11.522967903511651</v>
          </cell>
          <cell r="BW898">
            <v>10.055977276238897</v>
          </cell>
          <cell r="BX898">
            <v>8.6149332270911767</v>
          </cell>
          <cell r="BY898">
            <v>11.497021325386617</v>
          </cell>
        </row>
        <row r="899">
          <cell r="A899">
            <v>40695</v>
          </cell>
          <cell r="BF899">
            <v>15.854641840808046</v>
          </cell>
          <cell r="BG899">
            <v>17.429620749261797</v>
          </cell>
          <cell r="BH899">
            <v>16.109902701379674</v>
          </cell>
          <cell r="BI899">
            <v>13.839355674417275</v>
          </cell>
          <cell r="BJ899">
            <v>18.380449728342072</v>
          </cell>
          <cell r="BU899">
            <v>9.1528601196025203</v>
          </cell>
          <cell r="BV899">
            <v>11.522967903511651</v>
          </cell>
          <cell r="BW899">
            <v>10.055977276238897</v>
          </cell>
          <cell r="BX899">
            <v>8.6149332270911767</v>
          </cell>
          <cell r="BY899">
            <v>11.497021325386617</v>
          </cell>
        </row>
        <row r="900">
          <cell r="A900">
            <v>40696</v>
          </cell>
          <cell r="BF900">
            <v>16.080439021576804</v>
          </cell>
          <cell r="BG900">
            <v>17.429620749261797</v>
          </cell>
          <cell r="BH900">
            <v>16.109902701379674</v>
          </cell>
          <cell r="BI900">
            <v>13.839355674417275</v>
          </cell>
          <cell r="BJ900">
            <v>18.380449728342072</v>
          </cell>
          <cell r="BU900">
            <v>9.2787819058904759</v>
          </cell>
          <cell r="BV900">
            <v>11.522967903511651</v>
          </cell>
          <cell r="BW900">
            <v>10.055977276238897</v>
          </cell>
          <cell r="BX900">
            <v>8.6149332270911767</v>
          </cell>
          <cell r="BY900">
            <v>11.497021325386617</v>
          </cell>
        </row>
        <row r="901">
          <cell r="A901">
            <v>40697</v>
          </cell>
          <cell r="BF901">
            <v>16.069538166379829</v>
          </cell>
          <cell r="BG901">
            <v>17.429620749261797</v>
          </cell>
          <cell r="BH901">
            <v>16.109902701379674</v>
          </cell>
          <cell r="BI901">
            <v>13.839355674417275</v>
          </cell>
          <cell r="BJ901">
            <v>18.380449728342072</v>
          </cell>
          <cell r="BU901">
            <v>9.2760458861039297</v>
          </cell>
          <cell r="BV901">
            <v>11.522967903511651</v>
          </cell>
          <cell r="BW901">
            <v>10.055977276238897</v>
          </cell>
          <cell r="BX901">
            <v>8.6149332270911767</v>
          </cell>
          <cell r="BY901">
            <v>11.497021325386617</v>
          </cell>
        </row>
        <row r="902">
          <cell r="A902">
            <v>40700</v>
          </cell>
          <cell r="BF902">
            <v>15.946869936102118</v>
          </cell>
          <cell r="BG902">
            <v>17.429620749261797</v>
          </cell>
          <cell r="BH902">
            <v>16.109902701379674</v>
          </cell>
          <cell r="BI902">
            <v>13.839355674417275</v>
          </cell>
          <cell r="BJ902">
            <v>18.380449728342072</v>
          </cell>
          <cell r="BU902">
            <v>9.2076111740843558</v>
          </cell>
          <cell r="BV902">
            <v>11.522967903511651</v>
          </cell>
          <cell r="BW902">
            <v>10.055977276238897</v>
          </cell>
          <cell r="BX902">
            <v>8.6149332270911767</v>
          </cell>
          <cell r="BY902">
            <v>11.497021325386617</v>
          </cell>
        </row>
        <row r="903">
          <cell r="A903">
            <v>40701</v>
          </cell>
          <cell r="BF903">
            <v>15.573954100001595</v>
          </cell>
          <cell r="BG903">
            <v>17.429620749261797</v>
          </cell>
          <cell r="BH903">
            <v>16.109902701379674</v>
          </cell>
          <cell r="BI903">
            <v>13.839355674417275</v>
          </cell>
          <cell r="BJ903">
            <v>18.380449728342072</v>
          </cell>
          <cell r="BU903">
            <v>8.9995671858952182</v>
          </cell>
          <cell r="BV903">
            <v>11.522967903511651</v>
          </cell>
          <cell r="BW903">
            <v>10.055977276238897</v>
          </cell>
          <cell r="BX903">
            <v>8.6149332270911767</v>
          </cell>
          <cell r="BY903">
            <v>11.497021325386617</v>
          </cell>
        </row>
        <row r="904">
          <cell r="A904">
            <v>40702</v>
          </cell>
          <cell r="BF904">
            <v>15.184318890422038</v>
          </cell>
          <cell r="BG904">
            <v>17.429620749261797</v>
          </cell>
          <cell r="BH904">
            <v>16.109902701379674</v>
          </cell>
          <cell r="BI904">
            <v>13.839355674417275</v>
          </cell>
          <cell r="BJ904">
            <v>18.380449728342072</v>
          </cell>
          <cell r="BU904">
            <v>8.7532038650578414</v>
          </cell>
          <cell r="BV904">
            <v>11.522967903511651</v>
          </cell>
          <cell r="BW904">
            <v>10.055977276238897</v>
          </cell>
          <cell r="BX904">
            <v>8.6149332270911767</v>
          </cell>
          <cell r="BY904">
            <v>11.497021325386617</v>
          </cell>
        </row>
        <row r="905">
          <cell r="A905">
            <v>40703</v>
          </cell>
          <cell r="BF905">
            <v>15.179390386956452</v>
          </cell>
          <cell r="BG905">
            <v>17.429620749261797</v>
          </cell>
          <cell r="BH905">
            <v>16.109902701379674</v>
          </cell>
          <cell r="BI905">
            <v>13.839355674417275</v>
          </cell>
          <cell r="BJ905">
            <v>18.380449728342072</v>
          </cell>
          <cell r="BU905">
            <v>8.7504637391885787</v>
          </cell>
          <cell r="BV905">
            <v>11.522967903511651</v>
          </cell>
          <cell r="BW905">
            <v>10.055977276238897</v>
          </cell>
          <cell r="BX905">
            <v>8.6149332270911767</v>
          </cell>
          <cell r="BY905">
            <v>11.497021325386617</v>
          </cell>
        </row>
        <row r="906">
          <cell r="A906">
            <v>40704</v>
          </cell>
          <cell r="BF906">
            <v>15.184318890422038</v>
          </cell>
          <cell r="BG906">
            <v>17.429620749261797</v>
          </cell>
          <cell r="BH906">
            <v>16.109902701379674</v>
          </cell>
          <cell r="BI906">
            <v>13.839355674417275</v>
          </cell>
          <cell r="BJ906">
            <v>18.380449728342072</v>
          </cell>
          <cell r="BU906">
            <v>8.7532038650578414</v>
          </cell>
          <cell r="BV906">
            <v>11.522967903511651</v>
          </cell>
          <cell r="BW906">
            <v>10.055977276238897</v>
          </cell>
          <cell r="BX906">
            <v>8.6149332270911767</v>
          </cell>
          <cell r="BY906">
            <v>11.497021325386617</v>
          </cell>
        </row>
        <row r="907">
          <cell r="A907">
            <v>40707</v>
          </cell>
          <cell r="BF907">
            <v>14.626997842987096</v>
          </cell>
          <cell r="BG907">
            <v>17.429620749261797</v>
          </cell>
          <cell r="BH907">
            <v>16.109902701379674</v>
          </cell>
          <cell r="BI907">
            <v>13.839355674417275</v>
          </cell>
          <cell r="BJ907">
            <v>18.380449728342072</v>
          </cell>
          <cell r="BU907">
            <v>8.4740146871020698</v>
          </cell>
          <cell r="BV907">
            <v>11.522967903511651</v>
          </cell>
          <cell r="BW907">
            <v>10.055977276238897</v>
          </cell>
          <cell r="BX907">
            <v>8.6149332270911767</v>
          </cell>
          <cell r="BY907">
            <v>11.497021325386617</v>
          </cell>
        </row>
        <row r="908">
          <cell r="A908">
            <v>40708</v>
          </cell>
          <cell r="BF908">
            <v>14.475601318629097</v>
          </cell>
          <cell r="BG908">
            <v>17.429620749261797</v>
          </cell>
          <cell r="BH908">
            <v>16.109902701379674</v>
          </cell>
          <cell r="BI908">
            <v>13.839355674417275</v>
          </cell>
          <cell r="BJ908">
            <v>18.380449728342072</v>
          </cell>
          <cell r="BU908">
            <v>8.3895110887589261</v>
          </cell>
          <cell r="BV908">
            <v>11.522967903511651</v>
          </cell>
          <cell r="BW908">
            <v>10.055977276238897</v>
          </cell>
          <cell r="BX908">
            <v>8.6149332270911767</v>
          </cell>
          <cell r="BY908">
            <v>11.497021325386617</v>
          </cell>
        </row>
        <row r="909">
          <cell r="A909">
            <v>40709</v>
          </cell>
          <cell r="BF909">
            <v>14.309546050223236</v>
          </cell>
          <cell r="BG909">
            <v>17.429620749261797</v>
          </cell>
          <cell r="BH909">
            <v>16.109902701379674</v>
          </cell>
          <cell r="BI909">
            <v>13.839355674417275</v>
          </cell>
          <cell r="BJ909">
            <v>18.380449728342072</v>
          </cell>
          <cell r="BU909">
            <v>8.2968255547703738</v>
          </cell>
          <cell r="BV909">
            <v>11.522967903511651</v>
          </cell>
          <cell r="BW909">
            <v>10.055977276238897</v>
          </cell>
          <cell r="BX909">
            <v>8.6149332270911767</v>
          </cell>
          <cell r="BY909">
            <v>11.497021325386617</v>
          </cell>
        </row>
        <row r="910">
          <cell r="A910">
            <v>40710</v>
          </cell>
          <cell r="BF910">
            <v>13.865125554516872</v>
          </cell>
          <cell r="BG910">
            <v>17.429620749261797</v>
          </cell>
          <cell r="BH910">
            <v>16.109902701379674</v>
          </cell>
          <cell r="BI910">
            <v>13.839355674417275</v>
          </cell>
          <cell r="BJ910">
            <v>18.380449728342072</v>
          </cell>
          <cell r="BU910">
            <v>8.0487674753403109</v>
          </cell>
          <cell r="BV910">
            <v>11.522967903511651</v>
          </cell>
          <cell r="BW910">
            <v>10.055977276238897</v>
          </cell>
          <cell r="BX910">
            <v>8.6149332270911767</v>
          </cell>
          <cell r="BY910">
            <v>11.497021325386617</v>
          </cell>
        </row>
        <row r="911">
          <cell r="A911">
            <v>40711</v>
          </cell>
          <cell r="BF911">
            <v>14.182570021571562</v>
          </cell>
          <cell r="BG911">
            <v>17.429620749261797</v>
          </cell>
          <cell r="BH911">
            <v>16.109902701379674</v>
          </cell>
          <cell r="BI911">
            <v>13.839355674417275</v>
          </cell>
          <cell r="BJ911">
            <v>18.380449728342072</v>
          </cell>
          <cell r="BU911">
            <v>8.2259525187486453</v>
          </cell>
          <cell r="BV911">
            <v>11.522967903511651</v>
          </cell>
          <cell r="BW911">
            <v>10.055977276238897</v>
          </cell>
          <cell r="BX911">
            <v>8.6149332270911767</v>
          </cell>
          <cell r="BY911">
            <v>11.497021325386617</v>
          </cell>
        </row>
        <row r="912">
          <cell r="A912">
            <v>40714</v>
          </cell>
          <cell r="BF912">
            <v>13.435348174678809</v>
          </cell>
          <cell r="BG912">
            <v>17.429620749261797</v>
          </cell>
          <cell r="BH912">
            <v>16.109902701379674</v>
          </cell>
          <cell r="BI912">
            <v>13.839355674417275</v>
          </cell>
          <cell r="BJ912">
            <v>18.380449728342072</v>
          </cell>
          <cell r="BU912">
            <v>7.8088826085191521</v>
          </cell>
          <cell r="BV912">
            <v>11.522967903511651</v>
          </cell>
          <cell r="BW912">
            <v>10.055977276238897</v>
          </cell>
          <cell r="BX912">
            <v>8.6149332270911767</v>
          </cell>
          <cell r="BY912">
            <v>11.497021325386617</v>
          </cell>
        </row>
        <row r="913">
          <cell r="A913">
            <v>40715</v>
          </cell>
          <cell r="BF913">
            <v>13.86023686459786</v>
          </cell>
          <cell r="BG913">
            <v>17.429620749261797</v>
          </cell>
          <cell r="BH913">
            <v>16.109902701379674</v>
          </cell>
          <cell r="BI913">
            <v>13.839355674417275</v>
          </cell>
          <cell r="BJ913">
            <v>18.380449728342072</v>
          </cell>
          <cell r="BU913">
            <v>8.0661579298646728</v>
          </cell>
          <cell r="BV913">
            <v>11.522967903511651</v>
          </cell>
          <cell r="BW913">
            <v>10.055977276238897</v>
          </cell>
          <cell r="BX913">
            <v>8.6149332270911767</v>
          </cell>
          <cell r="BY913">
            <v>11.497021325386617</v>
          </cell>
        </row>
        <row r="914">
          <cell r="A914">
            <v>40716</v>
          </cell>
          <cell r="BF914">
            <v>13.259530666233877</v>
          </cell>
          <cell r="BG914">
            <v>17.429620749261797</v>
          </cell>
          <cell r="BH914">
            <v>16.109902701379674</v>
          </cell>
          <cell r="BI914">
            <v>13.839355674417275</v>
          </cell>
          <cell r="BJ914">
            <v>18.380449728342072</v>
          </cell>
          <cell r="BU914">
            <v>7.7300289100418986</v>
          </cell>
          <cell r="BV914">
            <v>11.522967903511651</v>
          </cell>
          <cell r="BW914">
            <v>10.055977276238897</v>
          </cell>
          <cell r="BX914">
            <v>8.6149332270911767</v>
          </cell>
          <cell r="BY914">
            <v>11.497021325386617</v>
          </cell>
        </row>
        <row r="915">
          <cell r="A915">
            <v>40717</v>
          </cell>
          <cell r="BF915">
            <v>13.976339725564006</v>
          </cell>
          <cell r="BG915">
            <v>17.429620749261797</v>
          </cell>
          <cell r="BH915">
            <v>16.109902701379674</v>
          </cell>
          <cell r="BI915">
            <v>13.839355674417275</v>
          </cell>
          <cell r="BJ915">
            <v>18.380449728342072</v>
          </cell>
          <cell r="BU915">
            <v>8.1153498887005195</v>
          </cell>
          <cell r="BV915">
            <v>11.522967903511651</v>
          </cell>
          <cell r="BW915">
            <v>10.055977276238897</v>
          </cell>
          <cell r="BX915">
            <v>8.6149332270911767</v>
          </cell>
          <cell r="BY915">
            <v>11.497021325386617</v>
          </cell>
        </row>
        <row r="916">
          <cell r="A916">
            <v>40718</v>
          </cell>
          <cell r="BF916">
            <v>14.21452681866827</v>
          </cell>
          <cell r="BG916">
            <v>17.429620749261797</v>
          </cell>
          <cell r="BH916">
            <v>16.109902701379674</v>
          </cell>
          <cell r="BI916">
            <v>13.839355674417275</v>
          </cell>
          <cell r="BJ916">
            <v>18.380449728342072</v>
          </cell>
          <cell r="BU916">
            <v>8.2688113531551295</v>
          </cell>
          <cell r="BV916">
            <v>11.522967903511651</v>
          </cell>
          <cell r="BW916">
            <v>10.055977276238897</v>
          </cell>
          <cell r="BX916">
            <v>8.6149332270911767</v>
          </cell>
          <cell r="BY916">
            <v>11.497021325386617</v>
          </cell>
        </row>
        <row r="917">
          <cell r="A917">
            <v>40721</v>
          </cell>
          <cell r="BF917">
            <v>14.478843160482706</v>
          </cell>
          <cell r="BG917">
            <v>17.429620749261797</v>
          </cell>
          <cell r="BH917">
            <v>16.109902701379674</v>
          </cell>
          <cell r="BI917">
            <v>13.839355674417275</v>
          </cell>
          <cell r="BJ917">
            <v>18.380449728342072</v>
          </cell>
          <cell r="BU917">
            <v>8.4167776235328091</v>
          </cell>
          <cell r="BV917">
            <v>11.522967903511651</v>
          </cell>
          <cell r="BW917">
            <v>10.055977276238897</v>
          </cell>
          <cell r="BX917">
            <v>8.6149332270911767</v>
          </cell>
          <cell r="BY917">
            <v>11.497021325386617</v>
          </cell>
        </row>
        <row r="918">
          <cell r="A918">
            <v>40722</v>
          </cell>
          <cell r="BF918">
            <v>14.297737618578214</v>
          </cell>
          <cell r="BG918">
            <v>17.429620749261797</v>
          </cell>
          <cell r="BH918">
            <v>16.109902701379674</v>
          </cell>
          <cell r="BI918">
            <v>13.839355674417275</v>
          </cell>
          <cell r="BJ918">
            <v>18.380449728342072</v>
          </cell>
          <cell r="BU918">
            <v>8.3153933829808224</v>
          </cell>
          <cell r="BV918">
            <v>11.522967903511651</v>
          </cell>
          <cell r="BW918">
            <v>10.055977276238897</v>
          </cell>
          <cell r="BX918">
            <v>8.6149332270911767</v>
          </cell>
          <cell r="BY918">
            <v>11.497021325386617</v>
          </cell>
        </row>
        <row r="919">
          <cell r="A919">
            <v>40723</v>
          </cell>
          <cell r="BF919">
            <v>14.341788955350973</v>
          </cell>
          <cell r="BG919">
            <v>17.429620749261797</v>
          </cell>
          <cell r="BH919">
            <v>16.109902701379674</v>
          </cell>
          <cell r="BI919">
            <v>13.839355674417275</v>
          </cell>
          <cell r="BJ919">
            <v>18.380449728342072</v>
          </cell>
          <cell r="BU919">
            <v>8.3400536516674695</v>
          </cell>
          <cell r="BV919">
            <v>11.522967903511651</v>
          </cell>
          <cell r="BW919">
            <v>10.055977276238897</v>
          </cell>
          <cell r="BX919">
            <v>8.6149332270911767</v>
          </cell>
          <cell r="BY919">
            <v>11.497021325386617</v>
          </cell>
        </row>
        <row r="920">
          <cell r="A920">
            <v>40724</v>
          </cell>
          <cell r="BF920">
            <v>13.656518419173359</v>
          </cell>
          <cell r="BG920">
            <v>17.429620749261797</v>
          </cell>
          <cell r="BH920">
            <v>16.109902701379674</v>
          </cell>
          <cell r="BI920">
            <v>13.839355674417275</v>
          </cell>
          <cell r="BJ920">
            <v>18.380449728342072</v>
          </cell>
          <cell r="BU920">
            <v>7.9564340663559401</v>
          </cell>
          <cell r="BV920">
            <v>11.522967903511651</v>
          </cell>
          <cell r="BW920">
            <v>10.055977276238897</v>
          </cell>
          <cell r="BX920">
            <v>8.6149332270911767</v>
          </cell>
          <cell r="BY920">
            <v>11.497021325386617</v>
          </cell>
        </row>
        <row r="921">
          <cell r="A921">
            <v>40725</v>
          </cell>
          <cell r="BF921">
            <v>13.612467082400601</v>
          </cell>
          <cell r="BG921">
            <v>17.429620749261797</v>
          </cell>
          <cell r="BH921">
            <v>16.109902701379674</v>
          </cell>
          <cell r="BI921">
            <v>13.839355674417275</v>
          </cell>
          <cell r="BJ921">
            <v>18.380449728342072</v>
          </cell>
          <cell r="BU921">
            <v>7.9313933476105136</v>
          </cell>
          <cell r="BV921">
            <v>11.522967903511651</v>
          </cell>
          <cell r="BW921">
            <v>10.055977276238897</v>
          </cell>
          <cell r="BX921">
            <v>8.6149332270911767</v>
          </cell>
          <cell r="BY921">
            <v>11.497021325386617</v>
          </cell>
        </row>
        <row r="922">
          <cell r="A922">
            <v>40728</v>
          </cell>
          <cell r="BF922">
            <v>13.563516040295436</v>
          </cell>
          <cell r="BG922">
            <v>17.429620749261797</v>
          </cell>
          <cell r="BH922">
            <v>16.109902701379674</v>
          </cell>
          <cell r="BI922">
            <v>13.839355674417275</v>
          </cell>
          <cell r="BJ922">
            <v>18.380449728342072</v>
          </cell>
          <cell r="BU922">
            <v>7.9039915015349642</v>
          </cell>
          <cell r="BV922">
            <v>11.522967903511651</v>
          </cell>
          <cell r="BW922">
            <v>10.055977276238897</v>
          </cell>
          <cell r="BX922">
            <v>8.6149332270911767</v>
          </cell>
          <cell r="BY922">
            <v>11.497021325386617</v>
          </cell>
        </row>
        <row r="923">
          <cell r="A923">
            <v>40729</v>
          </cell>
          <cell r="BF923">
            <v>14.212480410083698</v>
          </cell>
          <cell r="BG923">
            <v>17.429620749261797</v>
          </cell>
          <cell r="BH923">
            <v>16.109902701379674</v>
          </cell>
          <cell r="BI923">
            <v>13.839355674417275</v>
          </cell>
          <cell r="BJ923">
            <v>18.380449728342072</v>
          </cell>
          <cell r="BU923">
            <v>8.2607197549128717</v>
          </cell>
          <cell r="BV923">
            <v>11.522967903511651</v>
          </cell>
          <cell r="BW923">
            <v>10.055977276238897</v>
          </cell>
          <cell r="BX923">
            <v>8.6149332270911767</v>
          </cell>
          <cell r="BY923">
            <v>11.497021325386617</v>
          </cell>
        </row>
        <row r="924">
          <cell r="A924">
            <v>40730</v>
          </cell>
          <cell r="BF924">
            <v>14.604344195858923</v>
          </cell>
          <cell r="BG924">
            <v>17.429620749261797</v>
          </cell>
          <cell r="BH924">
            <v>16.109902701379674</v>
          </cell>
          <cell r="BI924">
            <v>13.839355674417275</v>
          </cell>
          <cell r="BJ924">
            <v>18.380449728342072</v>
          </cell>
          <cell r="BU924">
            <v>8.5464480191200067</v>
          </cell>
          <cell r="BV924">
            <v>11.522967903511651</v>
          </cell>
          <cell r="BW924">
            <v>10.055977276238897</v>
          </cell>
          <cell r="BX924">
            <v>8.6149332270911767</v>
          </cell>
          <cell r="BY924">
            <v>11.497021325386617</v>
          </cell>
        </row>
        <row r="925">
          <cell r="A925">
            <v>40731</v>
          </cell>
          <cell r="BF925">
            <v>13.123276440289663</v>
          </cell>
          <cell r="BG925">
            <v>17.429620749261797</v>
          </cell>
          <cell r="BH925">
            <v>16.109902701379674</v>
          </cell>
          <cell r="BI925">
            <v>13.839355674417275</v>
          </cell>
          <cell r="BJ925">
            <v>18.380449728342072</v>
          </cell>
          <cell r="BU925">
            <v>7.7920503012115354</v>
          </cell>
          <cell r="BV925">
            <v>11.522967903511651</v>
          </cell>
          <cell r="BW925">
            <v>10.055977276238897</v>
          </cell>
          <cell r="BX925">
            <v>8.6149332270911767</v>
          </cell>
          <cell r="BY925">
            <v>11.497021325386617</v>
          </cell>
        </row>
        <row r="926">
          <cell r="A926">
            <v>40732</v>
          </cell>
          <cell r="BF926">
            <v>13.381698419896937</v>
          </cell>
          <cell r="BG926">
            <v>17.429620749261797</v>
          </cell>
          <cell r="BH926">
            <v>16.109902701379674</v>
          </cell>
          <cell r="BI926">
            <v>13.839355674417275</v>
          </cell>
          <cell r="BJ926">
            <v>18.380449728342072</v>
          </cell>
          <cell r="BU926">
            <v>7.9961621331811799</v>
          </cell>
          <cell r="BV926">
            <v>11.522967903511651</v>
          </cell>
          <cell r="BW926">
            <v>10.055977276238897</v>
          </cell>
          <cell r="BX926">
            <v>8.6149332270911767</v>
          </cell>
          <cell r="BY926">
            <v>11.497021325386617</v>
          </cell>
        </row>
        <row r="927">
          <cell r="A927">
            <v>40735</v>
          </cell>
          <cell r="BF927">
            <v>14.010269450934356</v>
          </cell>
          <cell r="BG927">
            <v>17.429620749261797</v>
          </cell>
          <cell r="BH927">
            <v>16.109902701379674</v>
          </cell>
          <cell r="BI927">
            <v>13.839355674417275</v>
          </cell>
          <cell r="BJ927">
            <v>18.380449728342072</v>
          </cell>
          <cell r="BU927">
            <v>8.3551542953146463</v>
          </cell>
          <cell r="BV927">
            <v>11.522967903511651</v>
          </cell>
          <cell r="BW927">
            <v>10.055977276238897</v>
          </cell>
          <cell r="BX927">
            <v>8.6149332270911767</v>
          </cell>
          <cell r="BY927">
            <v>11.497021325386617</v>
          </cell>
        </row>
        <row r="928">
          <cell r="A928">
            <v>40736</v>
          </cell>
          <cell r="BF928">
            <v>14.24717387207934</v>
          </cell>
          <cell r="BG928">
            <v>17.429620749261797</v>
          </cell>
          <cell r="BH928">
            <v>16.109902701379674</v>
          </cell>
          <cell r="BI928">
            <v>13.839355674417275</v>
          </cell>
          <cell r="BJ928">
            <v>18.380449728342072</v>
          </cell>
          <cell r="BU928">
            <v>8.4371586239528895</v>
          </cell>
          <cell r="BV928">
            <v>11.522967903511651</v>
          </cell>
          <cell r="BW928">
            <v>10.055977276238897</v>
          </cell>
          <cell r="BX928">
            <v>8.6149332270911767</v>
          </cell>
          <cell r="BY928">
            <v>11.497021325386617</v>
          </cell>
        </row>
        <row r="929">
          <cell r="A929">
            <v>40737</v>
          </cell>
          <cell r="BF929">
            <v>14.49015938191304</v>
          </cell>
          <cell r="BG929">
            <v>17.429620749261797</v>
          </cell>
          <cell r="BH929">
            <v>16.109902701379674</v>
          </cell>
          <cell r="BI929">
            <v>13.839355674417275</v>
          </cell>
          <cell r="BJ929">
            <v>18.380449728342072</v>
          </cell>
          <cell r="BU929">
            <v>8.5750059770706262</v>
          </cell>
          <cell r="BV929">
            <v>11.522967903511651</v>
          </cell>
          <cell r="BW929">
            <v>10.055977276238897</v>
          </cell>
          <cell r="BX929">
            <v>8.6149332270911767</v>
          </cell>
          <cell r="BY929">
            <v>11.497021325386617</v>
          </cell>
        </row>
        <row r="930">
          <cell r="A930">
            <v>40738</v>
          </cell>
          <cell r="BF930">
            <v>14.308894782683874</v>
          </cell>
          <cell r="BG930">
            <v>17.429620749261797</v>
          </cell>
          <cell r="BH930">
            <v>16.109902701379674</v>
          </cell>
          <cell r="BI930">
            <v>13.839355674417275</v>
          </cell>
          <cell r="BJ930">
            <v>18.380449728342072</v>
          </cell>
          <cell r="BU930">
            <v>8.4995464400533383</v>
          </cell>
          <cell r="BV930">
            <v>11.522967903511651</v>
          </cell>
          <cell r="BW930">
            <v>10.055977276238897</v>
          </cell>
          <cell r="BX930">
            <v>8.6149332270911767</v>
          </cell>
          <cell r="BY930">
            <v>11.497021325386617</v>
          </cell>
        </row>
        <row r="931">
          <cell r="A931">
            <v>40739</v>
          </cell>
          <cell r="BF931">
            <v>13.817517833913556</v>
          </cell>
          <cell r="BG931">
            <v>17.429620749261797</v>
          </cell>
          <cell r="BH931">
            <v>16.109902701379674</v>
          </cell>
          <cell r="BI931">
            <v>13.839355674417275</v>
          </cell>
          <cell r="BJ931">
            <v>18.380449728342072</v>
          </cell>
          <cell r="BU931">
            <v>8.1211371441986007</v>
          </cell>
          <cell r="BV931">
            <v>11.522967903511651</v>
          </cell>
          <cell r="BW931">
            <v>10.055977276238897</v>
          </cell>
          <cell r="BX931">
            <v>8.6149332270911767</v>
          </cell>
          <cell r="BY931">
            <v>11.497021325386617</v>
          </cell>
        </row>
        <row r="932">
          <cell r="A932">
            <v>40742</v>
          </cell>
          <cell r="BF932">
            <v>13.817517833913556</v>
          </cell>
          <cell r="BG932">
            <v>17.429620749261797</v>
          </cell>
          <cell r="BH932">
            <v>16.109902701379674</v>
          </cell>
          <cell r="BI932">
            <v>13.839355674417275</v>
          </cell>
          <cell r="BJ932">
            <v>18.380449728342072</v>
          </cell>
          <cell r="BU932">
            <v>8.1211371441986007</v>
          </cell>
          <cell r="BV932">
            <v>11.522967903511651</v>
          </cell>
          <cell r="BW932">
            <v>10.055977276238897</v>
          </cell>
          <cell r="BX932">
            <v>8.6149332270911767</v>
          </cell>
          <cell r="BY932">
            <v>11.497021325386617</v>
          </cell>
        </row>
        <row r="933">
          <cell r="A933">
            <v>40743</v>
          </cell>
          <cell r="BF933">
            <v>13.616051319409928</v>
          </cell>
          <cell r="BG933">
            <v>17.429620749261797</v>
          </cell>
          <cell r="BH933">
            <v>16.109902701379674</v>
          </cell>
          <cell r="BI933">
            <v>13.839355674417275</v>
          </cell>
          <cell r="BJ933">
            <v>18.380449728342072</v>
          </cell>
          <cell r="BU933">
            <v>8.0078689704271397</v>
          </cell>
          <cell r="BV933">
            <v>11.522967903511651</v>
          </cell>
          <cell r="BW933">
            <v>10.055977276238897</v>
          </cell>
          <cell r="BX933">
            <v>8.6149332270911767</v>
          </cell>
          <cell r="BY933">
            <v>11.497021325386617</v>
          </cell>
        </row>
        <row r="934">
          <cell r="A934">
            <v>40744</v>
          </cell>
          <cell r="BF934">
            <v>14.092687451094086</v>
          </cell>
          <cell r="BG934">
            <v>17.429620749261797</v>
          </cell>
          <cell r="BH934">
            <v>16.109902701379674</v>
          </cell>
          <cell r="BI934">
            <v>13.839355674417275</v>
          </cell>
          <cell r="BJ934">
            <v>18.380449728342072</v>
          </cell>
          <cell r="BU934">
            <v>8.2758425556275039</v>
          </cell>
          <cell r="BV934">
            <v>11.522967903511651</v>
          </cell>
          <cell r="BW934">
            <v>10.055977276238897</v>
          </cell>
          <cell r="BX934">
            <v>8.6149332270911767</v>
          </cell>
          <cell r="BY934">
            <v>11.497021325386617</v>
          </cell>
        </row>
        <row r="935">
          <cell r="A935">
            <v>40745</v>
          </cell>
          <cell r="BF935">
            <v>13.920702570762781</v>
          </cell>
          <cell r="BG935">
            <v>17.429620749261797</v>
          </cell>
          <cell r="BH935">
            <v>16.109902701379674</v>
          </cell>
          <cell r="BI935">
            <v>13.839355674417275</v>
          </cell>
          <cell r="BJ935">
            <v>18.380449728342072</v>
          </cell>
          <cell r="BU935">
            <v>8.179149497927936</v>
          </cell>
          <cell r="BV935">
            <v>11.522967903511651</v>
          </cell>
          <cell r="BW935">
            <v>10.055977276238897</v>
          </cell>
          <cell r="BX935">
            <v>8.6149332270911767</v>
          </cell>
          <cell r="BY935">
            <v>11.497021325386617</v>
          </cell>
        </row>
        <row r="936">
          <cell r="A936">
            <v>40746</v>
          </cell>
          <cell r="BF936">
            <v>13.36545153242181</v>
          </cell>
          <cell r="BG936">
            <v>17.429620749261797</v>
          </cell>
          <cell r="BH936">
            <v>16.109902701379674</v>
          </cell>
          <cell r="BI936">
            <v>13.839355674417275</v>
          </cell>
          <cell r="BJ936">
            <v>18.380449728342072</v>
          </cell>
          <cell r="BU936">
            <v>7.865789388927066</v>
          </cell>
          <cell r="BV936">
            <v>11.522967903511651</v>
          </cell>
          <cell r="BW936">
            <v>10.055977276238897</v>
          </cell>
          <cell r="BX936">
            <v>8.6149332270911767</v>
          </cell>
          <cell r="BY936">
            <v>11.497021325386617</v>
          </cell>
        </row>
        <row r="937">
          <cell r="A937">
            <v>40749</v>
          </cell>
          <cell r="BF937">
            <v>13.348251865084004</v>
          </cell>
          <cell r="BG937">
            <v>17.429620749261797</v>
          </cell>
          <cell r="BH937">
            <v>16.109902701379674</v>
          </cell>
          <cell r="BI937">
            <v>13.839355674417275</v>
          </cell>
          <cell r="BJ937">
            <v>18.380449728342072</v>
          </cell>
          <cell r="BU937">
            <v>7.8561208801311926</v>
          </cell>
          <cell r="BV937">
            <v>11.522967903511651</v>
          </cell>
          <cell r="BW937">
            <v>10.055977276238897</v>
          </cell>
          <cell r="BX937">
            <v>8.6149332270911767</v>
          </cell>
          <cell r="BY937">
            <v>11.497021325386617</v>
          </cell>
        </row>
        <row r="938">
          <cell r="A938">
            <v>40750</v>
          </cell>
          <cell r="BF938">
            <v>13.444066439078625</v>
          </cell>
          <cell r="BG938">
            <v>17.429620749261797</v>
          </cell>
          <cell r="BH938">
            <v>16.109902701379674</v>
          </cell>
          <cell r="BI938">
            <v>13.839355674417275</v>
          </cell>
          <cell r="BJ938">
            <v>18.380449728342072</v>
          </cell>
          <cell r="BU938">
            <v>7.9099814597136566</v>
          </cell>
          <cell r="BV938">
            <v>11.522967903511651</v>
          </cell>
          <cell r="BW938">
            <v>10.055977276238897</v>
          </cell>
          <cell r="BX938">
            <v>8.6149332270911767</v>
          </cell>
          <cell r="BY938">
            <v>11.497021325386617</v>
          </cell>
        </row>
        <row r="939">
          <cell r="A939">
            <v>40751</v>
          </cell>
          <cell r="BF939">
            <v>13.724154739516347</v>
          </cell>
          <cell r="BG939">
            <v>17.429620749261797</v>
          </cell>
          <cell r="BH939">
            <v>16.109902701379674</v>
          </cell>
          <cell r="BI939">
            <v>13.839355674417275</v>
          </cell>
          <cell r="BJ939">
            <v>18.380449728342072</v>
          </cell>
          <cell r="BU939">
            <v>8.0674284697759262</v>
          </cell>
          <cell r="BV939">
            <v>11.522967903511651</v>
          </cell>
          <cell r="BW939">
            <v>10.055977276238897</v>
          </cell>
          <cell r="BX939">
            <v>8.6149332270911767</v>
          </cell>
          <cell r="BY939">
            <v>11.497021325386617</v>
          </cell>
        </row>
        <row r="940">
          <cell r="A940">
            <v>40752</v>
          </cell>
          <cell r="BF940">
            <v>13.63079213649609</v>
          </cell>
          <cell r="BG940">
            <v>17.429620749261797</v>
          </cell>
          <cell r="BH940">
            <v>16.109902701379674</v>
          </cell>
          <cell r="BI940">
            <v>13.839355674417275</v>
          </cell>
          <cell r="BJ940">
            <v>18.380449728342072</v>
          </cell>
          <cell r="BU940">
            <v>8.0149462251616477</v>
          </cell>
          <cell r="BV940">
            <v>11.522967903511651</v>
          </cell>
          <cell r="BW940">
            <v>10.055977276238897</v>
          </cell>
          <cell r="BX940">
            <v>8.6149332270911767</v>
          </cell>
          <cell r="BY940">
            <v>11.497021325386617</v>
          </cell>
        </row>
        <row r="941">
          <cell r="A941">
            <v>40753</v>
          </cell>
          <cell r="BF941">
            <v>13.773295382655073</v>
          </cell>
          <cell r="BG941">
            <v>17.429620749261797</v>
          </cell>
          <cell r="BH941">
            <v>16.109902701379674</v>
          </cell>
          <cell r="BI941">
            <v>13.839355674417275</v>
          </cell>
          <cell r="BJ941">
            <v>18.380449728342072</v>
          </cell>
          <cell r="BU941">
            <v>8.0950520703427387</v>
          </cell>
          <cell r="BV941">
            <v>11.522967903511651</v>
          </cell>
          <cell r="BW941">
            <v>10.055977276238897</v>
          </cell>
          <cell r="BX941">
            <v>8.6149332270911767</v>
          </cell>
          <cell r="BY941">
            <v>11.497021325386617</v>
          </cell>
        </row>
        <row r="942">
          <cell r="A942">
            <v>40756</v>
          </cell>
          <cell r="BF942">
            <v>13.729066052119308</v>
          </cell>
          <cell r="BG942">
            <v>17.429620749261797</v>
          </cell>
          <cell r="BH942">
            <v>16.109902701379674</v>
          </cell>
          <cell r="BI942">
            <v>13.839355674417275</v>
          </cell>
          <cell r="BJ942">
            <v>18.380449728342072</v>
          </cell>
          <cell r="BU942">
            <v>8.0701892830037849</v>
          </cell>
          <cell r="BV942">
            <v>11.522967903511651</v>
          </cell>
          <cell r="BW942">
            <v>10.055977276238897</v>
          </cell>
          <cell r="BX942">
            <v>8.6149332270911767</v>
          </cell>
          <cell r="BY942">
            <v>11.497021325386617</v>
          </cell>
        </row>
        <row r="943">
          <cell r="A943">
            <v>40757</v>
          </cell>
          <cell r="BF943">
            <v>13.969843213901507</v>
          </cell>
          <cell r="BG943">
            <v>17.429620749261797</v>
          </cell>
          <cell r="BH943">
            <v>16.109902701379674</v>
          </cell>
          <cell r="BI943">
            <v>13.839355674417275</v>
          </cell>
          <cell r="BJ943">
            <v>18.380449728342072</v>
          </cell>
          <cell r="BU943">
            <v>8.2055381860270131</v>
          </cell>
          <cell r="BV943">
            <v>11.522967903511651</v>
          </cell>
          <cell r="BW943">
            <v>10.055977276238897</v>
          </cell>
          <cell r="BX943">
            <v>8.6149332270911767</v>
          </cell>
          <cell r="BY943">
            <v>11.497021325386617</v>
          </cell>
        </row>
        <row r="944">
          <cell r="A944">
            <v>40758</v>
          </cell>
          <cell r="BF944">
            <v>13.827347338396756</v>
          </cell>
          <cell r="BG944">
            <v>17.429620749261797</v>
          </cell>
          <cell r="BH944">
            <v>16.109902701379674</v>
          </cell>
          <cell r="BI944">
            <v>13.839355674417275</v>
          </cell>
          <cell r="BJ944">
            <v>18.380449728342072</v>
          </cell>
          <cell r="BU944">
            <v>8.1254364841374116</v>
          </cell>
          <cell r="BV944">
            <v>11.522967903511651</v>
          </cell>
          <cell r="BW944">
            <v>10.055977276238897</v>
          </cell>
          <cell r="BX944">
            <v>8.6149332270911767</v>
          </cell>
          <cell r="BY944">
            <v>11.497021325386617</v>
          </cell>
        </row>
        <row r="945">
          <cell r="A945">
            <v>40759</v>
          </cell>
          <cell r="BF945">
            <v>13.547259037959034</v>
          </cell>
          <cell r="BG945">
            <v>17.429620749261797</v>
          </cell>
          <cell r="BH945">
            <v>16.109902701379674</v>
          </cell>
          <cell r="BI945">
            <v>13.839355674417275</v>
          </cell>
          <cell r="BJ945">
            <v>18.380449728342072</v>
          </cell>
          <cell r="BU945">
            <v>7.967989474075142</v>
          </cell>
          <cell r="BV945">
            <v>11.522967903511651</v>
          </cell>
          <cell r="BW945">
            <v>10.055977276238897</v>
          </cell>
          <cell r="BX945">
            <v>8.6149332270911767</v>
          </cell>
          <cell r="BY945">
            <v>11.497021325386617</v>
          </cell>
        </row>
        <row r="946">
          <cell r="A946">
            <v>40760</v>
          </cell>
          <cell r="BF946">
            <v>13.748725061085709</v>
          </cell>
          <cell r="BG946">
            <v>17.429620749261797</v>
          </cell>
          <cell r="BH946">
            <v>16.109902701379674</v>
          </cell>
          <cell r="BI946">
            <v>13.839355674417275</v>
          </cell>
          <cell r="BJ946">
            <v>18.380449728342072</v>
          </cell>
          <cell r="BU946">
            <v>8.0812402700593324</v>
          </cell>
          <cell r="BV946">
            <v>11.522967903511651</v>
          </cell>
          <cell r="BW946">
            <v>10.055977276238897</v>
          </cell>
          <cell r="BX946">
            <v>8.6149332270911767</v>
          </cell>
          <cell r="BY946">
            <v>11.497021325386617</v>
          </cell>
        </row>
        <row r="947">
          <cell r="A947">
            <v>40763</v>
          </cell>
          <cell r="BF947">
            <v>13.989494852213678</v>
          </cell>
          <cell r="BG947">
            <v>17.429620749261797</v>
          </cell>
          <cell r="BH947">
            <v>16.109902701379674</v>
          </cell>
          <cell r="BI947">
            <v>13.839355674417275</v>
          </cell>
          <cell r="BJ947">
            <v>18.380449728342072</v>
          </cell>
          <cell r="BU947">
            <v>8.216585029791073</v>
          </cell>
          <cell r="BV947">
            <v>11.522967903511651</v>
          </cell>
          <cell r="BW947">
            <v>10.055977276238897</v>
          </cell>
          <cell r="BX947">
            <v>8.6149332270911767</v>
          </cell>
          <cell r="BY947">
            <v>11.497021325386617</v>
          </cell>
        </row>
        <row r="948">
          <cell r="A948">
            <v>40764</v>
          </cell>
          <cell r="BF948">
            <v>14.623375538519928</v>
          </cell>
          <cell r="BG948">
            <v>17.429620749261797</v>
          </cell>
          <cell r="BH948">
            <v>16.109902701379674</v>
          </cell>
          <cell r="BI948">
            <v>13.839355674417275</v>
          </cell>
          <cell r="BJ948">
            <v>18.380449728342072</v>
          </cell>
          <cell r="BU948">
            <v>8.5729105836937762</v>
          </cell>
          <cell r="BV948">
            <v>11.522967903511651</v>
          </cell>
          <cell r="BW948">
            <v>10.055977276238897</v>
          </cell>
          <cell r="BX948">
            <v>8.6149332270911767</v>
          </cell>
          <cell r="BY948">
            <v>11.497021325386617</v>
          </cell>
        </row>
        <row r="949">
          <cell r="A949">
            <v>40765</v>
          </cell>
          <cell r="BF949">
            <v>14.176220549631143</v>
          </cell>
          <cell r="BG949">
            <v>17.429620749261797</v>
          </cell>
          <cell r="BH949">
            <v>16.109902701379674</v>
          </cell>
          <cell r="BI949">
            <v>13.839355674417275</v>
          </cell>
          <cell r="BJ949">
            <v>18.380449728342072</v>
          </cell>
          <cell r="BU949">
            <v>8.3215497952390631</v>
          </cell>
          <cell r="BV949">
            <v>11.522967903511651</v>
          </cell>
          <cell r="BW949">
            <v>10.055977276238897</v>
          </cell>
          <cell r="BX949">
            <v>8.6149332270911767</v>
          </cell>
          <cell r="BY949">
            <v>11.497021325386617</v>
          </cell>
        </row>
        <row r="950">
          <cell r="A950">
            <v>40766</v>
          </cell>
          <cell r="BF950">
            <v>14.362626674863186</v>
          </cell>
          <cell r="BG950">
            <v>17.429620749261797</v>
          </cell>
          <cell r="BH950">
            <v>16.109902701379674</v>
          </cell>
          <cell r="BI950">
            <v>13.839355674417275</v>
          </cell>
          <cell r="BJ950">
            <v>18.380449728342072</v>
          </cell>
          <cell r="BU950">
            <v>8.4209890671592795</v>
          </cell>
          <cell r="BV950">
            <v>11.522967903511651</v>
          </cell>
          <cell r="BW950">
            <v>10.055977276238897</v>
          </cell>
          <cell r="BX950">
            <v>8.6149332270911767</v>
          </cell>
          <cell r="BY950">
            <v>11.497021325386617</v>
          </cell>
        </row>
        <row r="951">
          <cell r="A951">
            <v>40767</v>
          </cell>
          <cell r="BF951">
            <v>14.077438229872376</v>
          </cell>
          <cell r="BG951">
            <v>17.429620749261797</v>
          </cell>
          <cell r="BH951">
            <v>16.109902701379674</v>
          </cell>
          <cell r="BI951">
            <v>13.839355674417275</v>
          </cell>
          <cell r="BJ951">
            <v>18.380449728342072</v>
          </cell>
          <cell r="BU951">
            <v>8.2607812438691521</v>
          </cell>
          <cell r="BV951">
            <v>11.522967903511651</v>
          </cell>
          <cell r="BW951">
            <v>10.055977276238897</v>
          </cell>
          <cell r="BX951">
            <v>8.6149332270911767</v>
          </cell>
          <cell r="BY951">
            <v>11.497021325386617</v>
          </cell>
        </row>
        <row r="952">
          <cell r="A952">
            <v>40770</v>
          </cell>
          <cell r="BF952">
            <v>13.330078440925698</v>
          </cell>
          <cell r="BG952">
            <v>17.429620749261797</v>
          </cell>
          <cell r="BH952">
            <v>16.109902701379674</v>
          </cell>
          <cell r="BI952">
            <v>13.839355674417275</v>
          </cell>
          <cell r="BJ952">
            <v>18.380449728342072</v>
          </cell>
          <cell r="BU952">
            <v>7.8665952100764454</v>
          </cell>
          <cell r="BV952">
            <v>11.522967903511651</v>
          </cell>
          <cell r="BW952">
            <v>10.055977276238897</v>
          </cell>
          <cell r="BX952">
            <v>8.6149332270911767</v>
          </cell>
          <cell r="BY952">
            <v>11.497021325386617</v>
          </cell>
        </row>
        <row r="953">
          <cell r="A953">
            <v>40771</v>
          </cell>
          <cell r="BF953">
            <v>13.651009311277695</v>
          </cell>
          <cell r="BG953">
            <v>17.429620749261797</v>
          </cell>
          <cell r="BH953">
            <v>16.109902701379674</v>
          </cell>
          <cell r="BI953">
            <v>13.839355674417275</v>
          </cell>
          <cell r="BJ953">
            <v>18.380449728342072</v>
          </cell>
          <cell r="BU953">
            <v>8.0377068400044536</v>
          </cell>
          <cell r="BV953">
            <v>11.522967903511651</v>
          </cell>
          <cell r="BW953">
            <v>10.055977276238897</v>
          </cell>
          <cell r="BX953">
            <v>8.6149332270911767</v>
          </cell>
          <cell r="BY953">
            <v>11.497021325386617</v>
          </cell>
        </row>
        <row r="954">
          <cell r="A954">
            <v>40772</v>
          </cell>
          <cell r="BF954">
            <v>13.880315563762858</v>
          </cell>
          <cell r="BG954">
            <v>17.429620749261797</v>
          </cell>
          <cell r="BH954">
            <v>16.109902701379674</v>
          </cell>
          <cell r="BI954">
            <v>13.839355674417275</v>
          </cell>
          <cell r="BJ954">
            <v>18.380449728342072</v>
          </cell>
          <cell r="BU954">
            <v>8.1668308941871253</v>
          </cell>
          <cell r="BV954">
            <v>11.522967903511651</v>
          </cell>
          <cell r="BW954">
            <v>10.055977276238897</v>
          </cell>
          <cell r="BX954">
            <v>8.6149332270911767</v>
          </cell>
          <cell r="BY954">
            <v>11.497021325386617</v>
          </cell>
        </row>
        <row r="955">
          <cell r="A955">
            <v>40773</v>
          </cell>
          <cell r="BF955">
            <v>14.021799172059824</v>
          </cell>
          <cell r="BG955">
            <v>17.429620749261797</v>
          </cell>
          <cell r="BH955">
            <v>16.109902701379674</v>
          </cell>
          <cell r="BI955">
            <v>13.839355674417275</v>
          </cell>
          <cell r="BJ955">
            <v>18.380449728342072</v>
          </cell>
          <cell r="BU955">
            <v>8.2465013650343124</v>
          </cell>
          <cell r="BV955">
            <v>11.522967903511651</v>
          </cell>
          <cell r="BW955">
            <v>10.055977276238897</v>
          </cell>
          <cell r="BX955">
            <v>8.6149332270911767</v>
          </cell>
          <cell r="BY955">
            <v>11.497021325386617</v>
          </cell>
        </row>
        <row r="956">
          <cell r="A956">
            <v>40774</v>
          </cell>
          <cell r="BF956">
            <v>13.890067889142859</v>
          </cell>
          <cell r="BG956">
            <v>17.429620749261797</v>
          </cell>
          <cell r="BH956">
            <v>16.109902701379674</v>
          </cell>
          <cell r="BI956">
            <v>13.839355674417275</v>
          </cell>
          <cell r="BJ956">
            <v>18.380449728342072</v>
          </cell>
          <cell r="BU956">
            <v>8.1723225010540403</v>
          </cell>
          <cell r="BV956">
            <v>11.522967903511651</v>
          </cell>
          <cell r="BW956">
            <v>10.055977276238897</v>
          </cell>
          <cell r="BX956">
            <v>8.6149332270911767</v>
          </cell>
          <cell r="BY956">
            <v>11.497021325386617</v>
          </cell>
        </row>
        <row r="957">
          <cell r="A957">
            <v>40777</v>
          </cell>
          <cell r="BF957">
            <v>14.392595863226429</v>
          </cell>
          <cell r="BG957">
            <v>17.429620749261797</v>
          </cell>
          <cell r="BH957">
            <v>16.109902701379674</v>
          </cell>
          <cell r="BI957">
            <v>13.839355674417275</v>
          </cell>
          <cell r="BJ957">
            <v>18.380449728342072</v>
          </cell>
          <cell r="BU957">
            <v>8.4552997363044113</v>
          </cell>
          <cell r="BV957">
            <v>11.522967903511651</v>
          </cell>
          <cell r="BW957">
            <v>10.055977276238897</v>
          </cell>
          <cell r="BX957">
            <v>8.6149332270911767</v>
          </cell>
          <cell r="BY957">
            <v>11.497021325386617</v>
          </cell>
        </row>
        <row r="958">
          <cell r="A958">
            <v>40778</v>
          </cell>
          <cell r="BF958">
            <v>14.334044831716401</v>
          </cell>
          <cell r="BG958">
            <v>17.429620749261797</v>
          </cell>
          <cell r="BH958">
            <v>16.109902701379674</v>
          </cell>
          <cell r="BI958">
            <v>13.839355674417275</v>
          </cell>
          <cell r="BJ958">
            <v>18.380449728342072</v>
          </cell>
          <cell r="BU958">
            <v>8.4223292155130469</v>
          </cell>
          <cell r="BV958">
            <v>11.522967903511651</v>
          </cell>
          <cell r="BW958">
            <v>10.055977276238897</v>
          </cell>
          <cell r="BX958">
            <v>8.6149332270911767</v>
          </cell>
          <cell r="BY958">
            <v>11.497021325386617</v>
          </cell>
        </row>
        <row r="959">
          <cell r="A959">
            <v>40779</v>
          </cell>
          <cell r="BF959">
            <v>14.290137168756845</v>
          </cell>
          <cell r="BG959">
            <v>17.429620749261797</v>
          </cell>
          <cell r="BH959">
            <v>16.109902701379674</v>
          </cell>
          <cell r="BI959">
            <v>13.839355674417275</v>
          </cell>
          <cell r="BJ959">
            <v>18.380449728342072</v>
          </cell>
          <cell r="BU959">
            <v>8.4001663481389404</v>
          </cell>
          <cell r="BV959">
            <v>11.522967903511651</v>
          </cell>
          <cell r="BW959">
            <v>10.055977276238897</v>
          </cell>
          <cell r="BX959">
            <v>8.6149332270911767</v>
          </cell>
          <cell r="BY959">
            <v>11.497021325386617</v>
          </cell>
        </row>
        <row r="960">
          <cell r="A960">
            <v>40780</v>
          </cell>
          <cell r="BF960">
            <v>14.075466478668465</v>
          </cell>
          <cell r="BG960">
            <v>17.429620749261797</v>
          </cell>
          <cell r="BH960">
            <v>16.109902701379674</v>
          </cell>
          <cell r="BI960">
            <v>13.839355674417275</v>
          </cell>
          <cell r="BJ960">
            <v>18.380449728342072</v>
          </cell>
          <cell r="BU960">
            <v>8.3007184601632336</v>
          </cell>
          <cell r="BV960">
            <v>11.522967903511651</v>
          </cell>
          <cell r="BW960">
            <v>10.055977276238897</v>
          </cell>
          <cell r="BX960">
            <v>8.6149332270911767</v>
          </cell>
          <cell r="BY960">
            <v>11.497021325386617</v>
          </cell>
        </row>
        <row r="961">
          <cell r="A961">
            <v>40781</v>
          </cell>
          <cell r="BF961">
            <v>14.246229017912682</v>
          </cell>
          <cell r="BG961">
            <v>17.429620749261797</v>
          </cell>
          <cell r="BH961">
            <v>16.109902701379674</v>
          </cell>
          <cell r="BI961">
            <v>13.839355674417275</v>
          </cell>
          <cell r="BJ961">
            <v>18.380449728342072</v>
          </cell>
          <cell r="BU961">
            <v>8.397154903676066</v>
          </cell>
          <cell r="BV961">
            <v>11.522967903511651</v>
          </cell>
          <cell r="BW961">
            <v>10.055977276238897</v>
          </cell>
          <cell r="BX961">
            <v>8.6149332270911767</v>
          </cell>
          <cell r="BY961">
            <v>11.497021325386617</v>
          </cell>
        </row>
        <row r="962">
          <cell r="A962">
            <v>40784</v>
          </cell>
          <cell r="BF962">
            <v>13.90471125769333</v>
          </cell>
          <cell r="BG962">
            <v>17.429620749261797</v>
          </cell>
          <cell r="BH962">
            <v>16.109902701379674</v>
          </cell>
          <cell r="BI962">
            <v>13.839355674417275</v>
          </cell>
          <cell r="BJ962">
            <v>18.380449728342072</v>
          </cell>
          <cell r="BU962">
            <v>8.2042861495699917</v>
          </cell>
          <cell r="BV962">
            <v>11.522967903511651</v>
          </cell>
          <cell r="BW962">
            <v>10.055977276238897</v>
          </cell>
          <cell r="BX962">
            <v>8.6149332270911767</v>
          </cell>
          <cell r="BY962">
            <v>11.497021325386617</v>
          </cell>
        </row>
        <row r="963">
          <cell r="A963">
            <v>40785</v>
          </cell>
          <cell r="BF963">
            <v>14.036435222341211</v>
          </cell>
          <cell r="BG963">
            <v>17.429620749261797</v>
          </cell>
          <cell r="BH963">
            <v>16.109902701379674</v>
          </cell>
          <cell r="BI963">
            <v>13.839355674417275</v>
          </cell>
          <cell r="BJ963">
            <v>18.380449728342072</v>
          </cell>
          <cell r="BU963">
            <v>8.2786759468421209</v>
          </cell>
          <cell r="BV963">
            <v>11.522967903511651</v>
          </cell>
          <cell r="BW963">
            <v>10.055977276238897</v>
          </cell>
          <cell r="BX963">
            <v>8.6149332270911767</v>
          </cell>
          <cell r="BY963">
            <v>11.497021325386617</v>
          </cell>
        </row>
        <row r="964">
          <cell r="A964">
            <v>40786</v>
          </cell>
          <cell r="BF964">
            <v>14.090102528949853</v>
          </cell>
          <cell r="BG964">
            <v>17.429620749261797</v>
          </cell>
          <cell r="BH964">
            <v>16.109902701379674</v>
          </cell>
          <cell r="BI964">
            <v>13.839355674417275</v>
          </cell>
          <cell r="BJ964">
            <v>18.380449728342072</v>
          </cell>
          <cell r="BU964">
            <v>8.3089840238076906</v>
          </cell>
          <cell r="BV964">
            <v>11.522967903511651</v>
          </cell>
          <cell r="BW964">
            <v>10.055977276238897</v>
          </cell>
          <cell r="BX964">
            <v>8.6149332270911767</v>
          </cell>
          <cell r="BY964">
            <v>11.497021325386617</v>
          </cell>
        </row>
        <row r="965">
          <cell r="A965">
            <v>40787</v>
          </cell>
          <cell r="BF965">
            <v>14.158406373724485</v>
          </cell>
          <cell r="BG965">
            <v>17.429620749261797</v>
          </cell>
          <cell r="BH965">
            <v>16.109902701379674</v>
          </cell>
          <cell r="BI965">
            <v>13.839355674417275</v>
          </cell>
          <cell r="BJ965">
            <v>18.380449728342072</v>
          </cell>
          <cell r="BU965">
            <v>8.3511320086415655</v>
          </cell>
          <cell r="BV965">
            <v>11.522967903511651</v>
          </cell>
          <cell r="BW965">
            <v>10.055977276238897</v>
          </cell>
          <cell r="BX965">
            <v>8.6149332270911767</v>
          </cell>
          <cell r="BY965">
            <v>11.497021325386617</v>
          </cell>
        </row>
        <row r="966">
          <cell r="A966">
            <v>40788</v>
          </cell>
          <cell r="BF966">
            <v>14.719528037428818</v>
          </cell>
          <cell r="BG966">
            <v>17.429620749261797</v>
          </cell>
          <cell r="BH966">
            <v>16.109902701379674</v>
          </cell>
          <cell r="BI966">
            <v>13.839355674417275</v>
          </cell>
          <cell r="BJ966">
            <v>18.380449728342072</v>
          </cell>
          <cell r="BU966">
            <v>8.6763023686627783</v>
          </cell>
          <cell r="BV966">
            <v>11.522967903511651</v>
          </cell>
          <cell r="BW966">
            <v>10.055977276238897</v>
          </cell>
          <cell r="BX966">
            <v>8.6149332270911767</v>
          </cell>
          <cell r="BY966">
            <v>11.497021325386617</v>
          </cell>
        </row>
        <row r="967">
          <cell r="A967">
            <v>40791</v>
          </cell>
          <cell r="BF967">
            <v>15.173710454088159</v>
          </cell>
          <cell r="BG967">
            <v>17.429620749261797</v>
          </cell>
          <cell r="BH967">
            <v>16.109902701379674</v>
          </cell>
          <cell r="BI967">
            <v>13.839355674417275</v>
          </cell>
          <cell r="BJ967">
            <v>18.380449728342072</v>
          </cell>
          <cell r="BU967">
            <v>8.9331379440449812</v>
          </cell>
          <cell r="BV967">
            <v>11.522967903511651</v>
          </cell>
          <cell r="BW967">
            <v>10.055977276238897</v>
          </cell>
          <cell r="BX967">
            <v>8.6149332270911767</v>
          </cell>
          <cell r="BY967">
            <v>11.497021325386617</v>
          </cell>
        </row>
        <row r="968">
          <cell r="A968">
            <v>40792</v>
          </cell>
          <cell r="BF968">
            <v>14.934405309578924</v>
          </cell>
          <cell r="BG968">
            <v>17.429620749261797</v>
          </cell>
          <cell r="BH968">
            <v>16.109902701379674</v>
          </cell>
          <cell r="BI968">
            <v>13.839355674417275</v>
          </cell>
          <cell r="BJ968">
            <v>18.380449728342072</v>
          </cell>
          <cell r="BU968">
            <v>8.7978132986436357</v>
          </cell>
          <cell r="BV968">
            <v>11.522967903511651</v>
          </cell>
          <cell r="BW968">
            <v>10.055977276238897</v>
          </cell>
          <cell r="BX968">
            <v>8.6149332270911767</v>
          </cell>
          <cell r="BY968">
            <v>11.497021325386617</v>
          </cell>
        </row>
        <row r="969">
          <cell r="A969">
            <v>40793</v>
          </cell>
          <cell r="BF969">
            <v>15.036896173798679</v>
          </cell>
          <cell r="BG969">
            <v>17.429620749261797</v>
          </cell>
          <cell r="BH969">
            <v>16.109902701379674</v>
          </cell>
          <cell r="BI969">
            <v>13.839355674417275</v>
          </cell>
          <cell r="BJ969">
            <v>18.380449728342072</v>
          </cell>
          <cell r="BU969">
            <v>8.8779048997428038</v>
          </cell>
          <cell r="BV969">
            <v>11.522967903511651</v>
          </cell>
          <cell r="BW969">
            <v>10.055977276238897</v>
          </cell>
          <cell r="BX969">
            <v>8.6149332270911767</v>
          </cell>
          <cell r="BY969">
            <v>11.497021325386617</v>
          </cell>
        </row>
        <row r="970">
          <cell r="A970">
            <v>40794</v>
          </cell>
          <cell r="BF970">
            <v>15.748063518351641</v>
          </cell>
          <cell r="BG970">
            <v>17.429620749261797</v>
          </cell>
          <cell r="BH970">
            <v>16.109902701379674</v>
          </cell>
          <cell r="BI970">
            <v>13.839355674417275</v>
          </cell>
          <cell r="BJ970">
            <v>18.380449728342072</v>
          </cell>
          <cell r="BU970">
            <v>9.2811096857334938</v>
          </cell>
          <cell r="BV970">
            <v>11.522967903511651</v>
          </cell>
          <cell r="BW970">
            <v>10.055977276238897</v>
          </cell>
          <cell r="BX970">
            <v>8.6149332270911767</v>
          </cell>
          <cell r="BY970">
            <v>11.497021325386617</v>
          </cell>
        </row>
        <row r="971">
          <cell r="A971">
            <v>40795</v>
          </cell>
          <cell r="BF971">
            <v>15.801645437053995</v>
          </cell>
          <cell r="BG971">
            <v>17.429620749261797</v>
          </cell>
          <cell r="BH971">
            <v>16.109902701379674</v>
          </cell>
          <cell r="BI971">
            <v>13.839355674417275</v>
          </cell>
          <cell r="BJ971">
            <v>18.380449728342072</v>
          </cell>
          <cell r="BU971">
            <v>9.2950193572608413</v>
          </cell>
          <cell r="BV971">
            <v>11.522967903511651</v>
          </cell>
          <cell r="BW971">
            <v>10.055977276238897</v>
          </cell>
          <cell r="BX971">
            <v>8.6149332270911767</v>
          </cell>
          <cell r="BY971">
            <v>11.497021325386617</v>
          </cell>
        </row>
        <row r="972">
          <cell r="A972">
            <v>40798</v>
          </cell>
          <cell r="BF972">
            <v>15.329153656932705</v>
          </cell>
          <cell r="BG972">
            <v>17.429620749261797</v>
          </cell>
          <cell r="BH972">
            <v>16.109902701379674</v>
          </cell>
          <cell r="BI972">
            <v>13.839355674417275</v>
          </cell>
          <cell r="BJ972">
            <v>18.380449728342072</v>
          </cell>
          <cell r="BU972">
            <v>9.0276083298393264</v>
          </cell>
          <cell r="BV972">
            <v>11.522967903511651</v>
          </cell>
          <cell r="BW972">
            <v>10.055977276238897</v>
          </cell>
          <cell r="BX972">
            <v>8.6149332270911767</v>
          </cell>
          <cell r="BY972">
            <v>11.497021325386617</v>
          </cell>
        </row>
        <row r="973">
          <cell r="A973">
            <v>40799</v>
          </cell>
          <cell r="BF973">
            <v>14.136312998459116</v>
          </cell>
          <cell r="BG973">
            <v>17.429620749261797</v>
          </cell>
          <cell r="BH973">
            <v>16.109902701379674</v>
          </cell>
          <cell r="BI973">
            <v>13.839355674417275</v>
          </cell>
          <cell r="BJ973">
            <v>18.380449728342072</v>
          </cell>
          <cell r="BU973">
            <v>8.3749805174411538</v>
          </cell>
          <cell r="BV973">
            <v>11.522967903511651</v>
          </cell>
          <cell r="BW973">
            <v>10.055977276238897</v>
          </cell>
          <cell r="BX973">
            <v>8.6149332270911767</v>
          </cell>
          <cell r="BY973">
            <v>11.497021325386617</v>
          </cell>
        </row>
        <row r="974">
          <cell r="A974">
            <v>40800</v>
          </cell>
          <cell r="BF974">
            <v>14.484046615559892</v>
          </cell>
          <cell r="BG974">
            <v>17.429620749261797</v>
          </cell>
          <cell r="BH974">
            <v>16.109902701379674</v>
          </cell>
          <cell r="BI974">
            <v>13.839355674417275</v>
          </cell>
          <cell r="BJ974">
            <v>18.380449728342072</v>
          </cell>
          <cell r="BU974">
            <v>8.5723837104138383</v>
          </cell>
          <cell r="BV974">
            <v>11.522967903511651</v>
          </cell>
          <cell r="BW974">
            <v>10.055977276238897</v>
          </cell>
          <cell r="BX974">
            <v>8.6149332270911767</v>
          </cell>
          <cell r="BY974">
            <v>11.497021325386617</v>
          </cell>
        </row>
        <row r="975">
          <cell r="A975">
            <v>40801</v>
          </cell>
          <cell r="BF975">
            <v>14.609621260662825</v>
          </cell>
          <cell r="BG975">
            <v>17.429620749261797</v>
          </cell>
          <cell r="BH975">
            <v>16.109902701379674</v>
          </cell>
          <cell r="BI975">
            <v>13.839355674417275</v>
          </cell>
          <cell r="BJ975">
            <v>18.380449728342072</v>
          </cell>
          <cell r="BU975">
            <v>8.6436705652954746</v>
          </cell>
          <cell r="BV975">
            <v>11.522967903511651</v>
          </cell>
          <cell r="BW975">
            <v>10.055977276238897</v>
          </cell>
          <cell r="BX975">
            <v>8.6149332270911767</v>
          </cell>
          <cell r="BY975">
            <v>11.497021325386617</v>
          </cell>
        </row>
        <row r="976">
          <cell r="A976">
            <v>40802</v>
          </cell>
          <cell r="BF976">
            <v>14.5033689867135</v>
          </cell>
          <cell r="BG976">
            <v>17.429620749261797</v>
          </cell>
          <cell r="BH976">
            <v>16.109902701379674</v>
          </cell>
          <cell r="BI976">
            <v>13.839355674417275</v>
          </cell>
          <cell r="BJ976">
            <v>18.380449728342072</v>
          </cell>
          <cell r="BU976">
            <v>8.5833527326019325</v>
          </cell>
          <cell r="BV976">
            <v>11.522967903511651</v>
          </cell>
          <cell r="BW976">
            <v>10.055977276238897</v>
          </cell>
          <cell r="BX976">
            <v>8.6149332270911767</v>
          </cell>
          <cell r="BY976">
            <v>11.497021325386617</v>
          </cell>
        </row>
        <row r="977">
          <cell r="A977">
            <v>40805</v>
          </cell>
          <cell r="BF977">
            <v>14.643425267965224</v>
          </cell>
          <cell r="BG977">
            <v>17.429620749261797</v>
          </cell>
          <cell r="BH977">
            <v>16.109902701379674</v>
          </cell>
          <cell r="BI977">
            <v>13.839355674417275</v>
          </cell>
          <cell r="BJ977">
            <v>18.380449728342072</v>
          </cell>
          <cell r="BU977">
            <v>8.6628605965395113</v>
          </cell>
          <cell r="BV977">
            <v>11.522967903511651</v>
          </cell>
          <cell r="BW977">
            <v>10.055977276238897</v>
          </cell>
          <cell r="BX977">
            <v>8.6149332270911767</v>
          </cell>
          <cell r="BY977">
            <v>11.497021325386617</v>
          </cell>
        </row>
        <row r="978">
          <cell r="A978">
            <v>40806</v>
          </cell>
          <cell r="BF978">
            <v>14.957347633323305</v>
          </cell>
          <cell r="BG978">
            <v>17.429620749261797</v>
          </cell>
          <cell r="BH978">
            <v>16.109902701379674</v>
          </cell>
          <cell r="BI978">
            <v>13.839355674417275</v>
          </cell>
          <cell r="BJ978">
            <v>18.380449728342072</v>
          </cell>
          <cell r="BU978">
            <v>8.8410696457073499</v>
          </cell>
          <cell r="BV978">
            <v>11.522967903511651</v>
          </cell>
          <cell r="BW978">
            <v>10.055977276238897</v>
          </cell>
          <cell r="BX978">
            <v>8.6149332270911767</v>
          </cell>
          <cell r="BY978">
            <v>11.497021325386617</v>
          </cell>
        </row>
        <row r="979">
          <cell r="A979">
            <v>40807</v>
          </cell>
          <cell r="BF979">
            <v>14.271541584698555</v>
          </cell>
          <cell r="BG979">
            <v>17.429620749261797</v>
          </cell>
          <cell r="BH979">
            <v>16.109902701379674</v>
          </cell>
          <cell r="BI979">
            <v>13.839355674417275</v>
          </cell>
          <cell r="BJ979">
            <v>18.380449728342072</v>
          </cell>
          <cell r="BU979">
            <v>8.4517477708560307</v>
          </cell>
          <cell r="BV979">
            <v>11.522967903511651</v>
          </cell>
          <cell r="BW979">
            <v>10.055977276238897</v>
          </cell>
          <cell r="BX979">
            <v>8.6149332270911767</v>
          </cell>
          <cell r="BY979">
            <v>11.497021325386617</v>
          </cell>
        </row>
        <row r="980">
          <cell r="A980">
            <v>40808</v>
          </cell>
          <cell r="BF980">
            <v>14.445408634730288</v>
          </cell>
          <cell r="BG980">
            <v>17.429620749261797</v>
          </cell>
          <cell r="BH980">
            <v>16.109902701379674</v>
          </cell>
          <cell r="BI980">
            <v>13.839355674417275</v>
          </cell>
          <cell r="BJ980">
            <v>18.380449728342072</v>
          </cell>
          <cell r="BU980">
            <v>8.5504495044277338</v>
          </cell>
          <cell r="BV980">
            <v>11.522967903511651</v>
          </cell>
          <cell r="BW980">
            <v>10.055977276238897</v>
          </cell>
          <cell r="BX980">
            <v>8.6149332270911767</v>
          </cell>
          <cell r="BY980">
            <v>11.497021325386617</v>
          </cell>
        </row>
        <row r="981">
          <cell r="A981">
            <v>40809</v>
          </cell>
          <cell r="BF981">
            <v>14.493707801136695</v>
          </cell>
          <cell r="BG981">
            <v>17.429620749261797</v>
          </cell>
          <cell r="BH981">
            <v>16.109902701379674</v>
          </cell>
          <cell r="BI981">
            <v>13.839355674417275</v>
          </cell>
          <cell r="BJ981">
            <v>18.380449728342072</v>
          </cell>
          <cell r="BU981">
            <v>8.5778682215078845</v>
          </cell>
          <cell r="BV981">
            <v>11.522967903511651</v>
          </cell>
          <cell r="BW981">
            <v>10.055977276238897</v>
          </cell>
          <cell r="BX981">
            <v>8.6149332270911767</v>
          </cell>
          <cell r="BY981">
            <v>11.497021325386617</v>
          </cell>
        </row>
        <row r="982">
          <cell r="A982">
            <v>40812</v>
          </cell>
          <cell r="BF982">
            <v>14.455069820307092</v>
          </cell>
          <cell r="BG982">
            <v>17.429620749261797</v>
          </cell>
          <cell r="BH982">
            <v>16.109902701379674</v>
          </cell>
          <cell r="BI982">
            <v>13.839355674417275</v>
          </cell>
          <cell r="BJ982">
            <v>18.380449728342072</v>
          </cell>
          <cell r="BU982">
            <v>8.55593401552178</v>
          </cell>
          <cell r="BV982">
            <v>11.522967903511651</v>
          </cell>
          <cell r="BW982">
            <v>10.055977276238897</v>
          </cell>
          <cell r="BX982">
            <v>8.6149332270911767</v>
          </cell>
          <cell r="BY982">
            <v>11.497021325386617</v>
          </cell>
        </row>
        <row r="983">
          <cell r="A983">
            <v>40813</v>
          </cell>
          <cell r="BF983">
            <v>14.595125618596128</v>
          </cell>
          <cell r="BG983">
            <v>17.429620749261797</v>
          </cell>
          <cell r="BH983">
            <v>16.109902701379674</v>
          </cell>
          <cell r="BI983">
            <v>13.839355674417275</v>
          </cell>
          <cell r="BJ983">
            <v>18.380449728342072</v>
          </cell>
          <cell r="BU983">
            <v>8.6354416052886389</v>
          </cell>
          <cell r="BV983">
            <v>11.522967903511651</v>
          </cell>
          <cell r="BW983">
            <v>10.055977276238897</v>
          </cell>
          <cell r="BX983">
            <v>8.6149332270911767</v>
          </cell>
          <cell r="BY983">
            <v>11.497021325386617</v>
          </cell>
        </row>
        <row r="984">
          <cell r="A984">
            <v>40814</v>
          </cell>
          <cell r="BF984">
            <v>14.348817546357767</v>
          </cell>
          <cell r="BG984">
            <v>17.429620749261797</v>
          </cell>
          <cell r="BH984">
            <v>16.109902701379674</v>
          </cell>
          <cell r="BI984">
            <v>13.839355674417275</v>
          </cell>
          <cell r="BJ984">
            <v>18.380449728342072</v>
          </cell>
          <cell r="BU984">
            <v>8.4956161828282379</v>
          </cell>
          <cell r="BV984">
            <v>11.522967903511651</v>
          </cell>
          <cell r="BW984">
            <v>10.055977276238897</v>
          </cell>
          <cell r="BX984">
            <v>8.6149332270911767</v>
          </cell>
          <cell r="BY984">
            <v>11.497021325386617</v>
          </cell>
        </row>
        <row r="985">
          <cell r="A985">
            <v>40815</v>
          </cell>
          <cell r="BF985">
            <v>14.194273350442328</v>
          </cell>
          <cell r="BG985">
            <v>17.429620749261797</v>
          </cell>
          <cell r="BH985">
            <v>16.109902701379674</v>
          </cell>
          <cell r="BI985">
            <v>13.839355674417275</v>
          </cell>
          <cell r="BJ985">
            <v>18.380449728342072</v>
          </cell>
          <cell r="BU985">
            <v>8.4078837456153526</v>
          </cell>
          <cell r="BV985">
            <v>11.522967903511651</v>
          </cell>
          <cell r="BW985">
            <v>10.055977276238897</v>
          </cell>
          <cell r="BX985">
            <v>8.6149332270911767</v>
          </cell>
          <cell r="BY985">
            <v>11.497021325386617</v>
          </cell>
        </row>
        <row r="986">
          <cell r="A986">
            <v>40816</v>
          </cell>
          <cell r="BF986">
            <v>14.01557232688339</v>
          </cell>
          <cell r="BG986">
            <v>17.429620749261797</v>
          </cell>
          <cell r="BH986">
            <v>16.109902701379674</v>
          </cell>
          <cell r="BI986">
            <v>13.839355674417275</v>
          </cell>
          <cell r="BJ986">
            <v>18.380449728342072</v>
          </cell>
          <cell r="BU986">
            <v>8.3064378373015817</v>
          </cell>
          <cell r="BV986">
            <v>11.522967903511651</v>
          </cell>
          <cell r="BW986">
            <v>10.055977276238897</v>
          </cell>
          <cell r="BX986">
            <v>8.6149332270911767</v>
          </cell>
          <cell r="BY986">
            <v>11.497021325386617</v>
          </cell>
        </row>
        <row r="987">
          <cell r="A987">
            <v>40819</v>
          </cell>
          <cell r="BF987">
            <v>14.160462581662321</v>
          </cell>
          <cell r="BG987">
            <v>17.429620749261797</v>
          </cell>
          <cell r="BH987">
            <v>16.109902701379674</v>
          </cell>
          <cell r="BI987">
            <v>13.839355674417275</v>
          </cell>
          <cell r="BJ987">
            <v>18.380449728342072</v>
          </cell>
          <cell r="BU987">
            <v>8.4045759190358424</v>
          </cell>
          <cell r="BV987">
            <v>11.522967903511651</v>
          </cell>
          <cell r="BW987">
            <v>10.055977276238897</v>
          </cell>
          <cell r="BX987">
            <v>8.6149332270911767</v>
          </cell>
          <cell r="BY987">
            <v>11.497021325386617</v>
          </cell>
        </row>
        <row r="988">
          <cell r="A988">
            <v>40820</v>
          </cell>
          <cell r="BF988">
            <v>13.769971071894481</v>
          </cell>
          <cell r="BG988">
            <v>17.429620749261797</v>
          </cell>
          <cell r="BH988">
            <v>16.109902701379674</v>
          </cell>
          <cell r="BI988">
            <v>13.839355674417275</v>
          </cell>
          <cell r="BJ988">
            <v>18.380449728342072</v>
          </cell>
          <cell r="BU988">
            <v>8.5155913570578505</v>
          </cell>
          <cell r="BV988">
            <v>11.522967903511651</v>
          </cell>
          <cell r="BW988">
            <v>10.055977276238897</v>
          </cell>
          <cell r="BX988">
            <v>8.6149332270911767</v>
          </cell>
          <cell r="BY988">
            <v>11.497021325386617</v>
          </cell>
        </row>
        <row r="989">
          <cell r="A989">
            <v>40821</v>
          </cell>
          <cell r="BF989">
            <v>13.692917967209999</v>
          </cell>
          <cell r="BG989">
            <v>17.429620749261797</v>
          </cell>
          <cell r="BH989">
            <v>16.109902701379674</v>
          </cell>
          <cell r="BI989">
            <v>13.839355674417275</v>
          </cell>
          <cell r="BJ989">
            <v>18.380449728342072</v>
          </cell>
          <cell r="BU989">
            <v>8.5988452718014319</v>
          </cell>
          <cell r="BV989">
            <v>11.522967903511651</v>
          </cell>
          <cell r="BW989">
            <v>10.055977276238897</v>
          </cell>
          <cell r="BX989">
            <v>8.6149332270911767</v>
          </cell>
          <cell r="BY989">
            <v>11.497021325386617</v>
          </cell>
        </row>
        <row r="990">
          <cell r="A990">
            <v>40822</v>
          </cell>
          <cell r="BF990">
            <v>13.707790899140244</v>
          </cell>
          <cell r="BG990">
            <v>17.429620749261797</v>
          </cell>
          <cell r="BH990">
            <v>16.109902701379674</v>
          </cell>
          <cell r="BI990">
            <v>13.839355674417275</v>
          </cell>
          <cell r="BJ990">
            <v>18.380449728342072</v>
          </cell>
          <cell r="BU990">
            <v>8.5988452718014319</v>
          </cell>
          <cell r="BV990">
            <v>11.522967903511651</v>
          </cell>
          <cell r="BW990">
            <v>10.055977276238897</v>
          </cell>
          <cell r="BX990">
            <v>8.6149332270911767</v>
          </cell>
          <cell r="BY990">
            <v>11.497021325386617</v>
          </cell>
        </row>
        <row r="991">
          <cell r="A991">
            <v>40823</v>
          </cell>
          <cell r="BF991">
            <v>13.712677475010112</v>
          </cell>
          <cell r="BG991">
            <v>17.429620749261797</v>
          </cell>
          <cell r="BH991">
            <v>16.109902701379674</v>
          </cell>
          <cell r="BI991">
            <v>13.839355674417275</v>
          </cell>
          <cell r="BJ991">
            <v>18.380449728342072</v>
          </cell>
          <cell r="BU991">
            <v>8.636301333537201</v>
          </cell>
          <cell r="BV991">
            <v>11.522967903511651</v>
          </cell>
          <cell r="BW991">
            <v>10.055977276238897</v>
          </cell>
          <cell r="BX991">
            <v>8.6149332270911767</v>
          </cell>
          <cell r="BY991">
            <v>11.497021325386617</v>
          </cell>
        </row>
        <row r="992">
          <cell r="A992">
            <v>40826</v>
          </cell>
          <cell r="BF992">
            <v>14.204820499976169</v>
          </cell>
          <cell r="BG992">
            <v>17.429620749261797</v>
          </cell>
          <cell r="BH992">
            <v>16.109902701379674</v>
          </cell>
          <cell r="BI992">
            <v>13.839355674417275</v>
          </cell>
          <cell r="BJ992">
            <v>18.380449728342072</v>
          </cell>
          <cell r="BU992">
            <v>8.924365589254494</v>
          </cell>
          <cell r="BV992">
            <v>11.522967903511651</v>
          </cell>
          <cell r="BW992">
            <v>10.055977276238897</v>
          </cell>
          <cell r="BX992">
            <v>8.6149332270911767</v>
          </cell>
          <cell r="BY992">
            <v>11.497021325386617</v>
          </cell>
        </row>
        <row r="993">
          <cell r="A993">
            <v>40827</v>
          </cell>
          <cell r="BF993">
            <v>14.019396510360169</v>
          </cell>
          <cell r="BG993">
            <v>17.429620749261797</v>
          </cell>
          <cell r="BH993">
            <v>16.109902701379674</v>
          </cell>
          <cell r="BI993">
            <v>13.839355674417275</v>
          </cell>
          <cell r="BJ993">
            <v>18.380449728342072</v>
          </cell>
          <cell r="BU993">
            <v>8.8170492000287144</v>
          </cell>
          <cell r="BV993">
            <v>11.522967903511651</v>
          </cell>
          <cell r="BW993">
            <v>10.055977276238897</v>
          </cell>
          <cell r="BX993">
            <v>8.6149332270911767</v>
          </cell>
          <cell r="BY993">
            <v>11.497021325386617</v>
          </cell>
        </row>
        <row r="994">
          <cell r="A994">
            <v>40828</v>
          </cell>
          <cell r="BF994">
            <v>14.722075794865052</v>
          </cell>
          <cell r="BG994">
            <v>17.429620749261797</v>
          </cell>
          <cell r="BH994">
            <v>16.109902701379674</v>
          </cell>
          <cell r="BI994">
            <v>13.839355674417275</v>
          </cell>
          <cell r="BJ994">
            <v>18.380449728342072</v>
          </cell>
          <cell r="BU994">
            <v>9.2237333823342773</v>
          </cell>
          <cell r="BV994">
            <v>11.522967903511651</v>
          </cell>
          <cell r="BW994">
            <v>10.055977276238897</v>
          </cell>
          <cell r="BX994">
            <v>8.6149332270911767</v>
          </cell>
          <cell r="BY994">
            <v>11.497021325386617</v>
          </cell>
        </row>
        <row r="995">
          <cell r="A995">
            <v>40829</v>
          </cell>
          <cell r="BF995">
            <v>14.771602409232241</v>
          </cell>
          <cell r="BG995">
            <v>17.429620749261797</v>
          </cell>
          <cell r="BH995">
            <v>16.109902701379674</v>
          </cell>
          <cell r="BI995">
            <v>13.839355674417275</v>
          </cell>
          <cell r="BJ995">
            <v>18.380449728342072</v>
          </cell>
          <cell r="BU995">
            <v>9.2834160840220772</v>
          </cell>
          <cell r="BV995">
            <v>11.522967903511651</v>
          </cell>
          <cell r="BW995">
            <v>10.055977276238897</v>
          </cell>
          <cell r="BX995">
            <v>8.6149332270911767</v>
          </cell>
          <cell r="BY995">
            <v>11.497021325386617</v>
          </cell>
        </row>
        <row r="996">
          <cell r="A996">
            <v>40830</v>
          </cell>
          <cell r="BF996">
            <v>14.568523983516567</v>
          </cell>
          <cell r="BG996">
            <v>17.429620749261797</v>
          </cell>
          <cell r="BH996">
            <v>16.109902701379674</v>
          </cell>
          <cell r="BI996">
            <v>13.839355674417275</v>
          </cell>
          <cell r="BJ996">
            <v>18.380449728342072</v>
          </cell>
          <cell r="BU996">
            <v>8.6172328022448799</v>
          </cell>
          <cell r="BV996">
            <v>11.522967903511651</v>
          </cell>
          <cell r="BW996">
            <v>10.055977276238897</v>
          </cell>
          <cell r="BX996">
            <v>8.6149332270911767</v>
          </cell>
          <cell r="BY996">
            <v>11.497021325386617</v>
          </cell>
        </row>
        <row r="997">
          <cell r="A997">
            <v>40833</v>
          </cell>
          <cell r="BF997">
            <v>14.707329467088639</v>
          </cell>
          <cell r="BG997">
            <v>17.429620749261797</v>
          </cell>
          <cell r="BH997">
            <v>16.109902701379674</v>
          </cell>
          <cell r="BI997">
            <v>13.839355674417275</v>
          </cell>
          <cell r="BJ997">
            <v>18.380449728342072</v>
          </cell>
          <cell r="BU997">
            <v>8.7016964340672871</v>
          </cell>
          <cell r="BV997">
            <v>11.522967903511651</v>
          </cell>
          <cell r="BW997">
            <v>10.055977276238897</v>
          </cell>
          <cell r="BX997">
            <v>8.6149332270911767</v>
          </cell>
          <cell r="BY997">
            <v>11.497021325386617</v>
          </cell>
        </row>
        <row r="998">
          <cell r="A998">
            <v>40834</v>
          </cell>
          <cell r="BF998">
            <v>14.639576057236965</v>
          </cell>
          <cell r="BG998">
            <v>17.429620749261797</v>
          </cell>
          <cell r="BH998">
            <v>16.109902701379674</v>
          </cell>
          <cell r="BI998">
            <v>13.839355674417275</v>
          </cell>
          <cell r="BJ998">
            <v>18.380449728342072</v>
          </cell>
          <cell r="BU998">
            <v>8.6648373407070043</v>
          </cell>
          <cell r="BV998">
            <v>11.522967903511651</v>
          </cell>
          <cell r="BW998">
            <v>10.055977276238897</v>
          </cell>
          <cell r="BX998">
            <v>8.6149332270911767</v>
          </cell>
          <cell r="BY998">
            <v>11.497021325386617</v>
          </cell>
        </row>
        <row r="999">
          <cell r="A999">
            <v>40835</v>
          </cell>
          <cell r="BF999">
            <v>14.536160884946071</v>
          </cell>
          <cell r="BG999">
            <v>17.429620749261797</v>
          </cell>
          <cell r="BH999">
            <v>16.109902701379674</v>
          </cell>
          <cell r="BI999">
            <v>13.839355674417275</v>
          </cell>
          <cell r="BJ999">
            <v>18.380449728342072</v>
          </cell>
          <cell r="BU999">
            <v>8.6846448346301521</v>
          </cell>
          <cell r="BV999">
            <v>11.522967903511651</v>
          </cell>
          <cell r="BW999">
            <v>10.055977276238897</v>
          </cell>
          <cell r="BX999">
            <v>8.6149332270911767</v>
          </cell>
          <cell r="BY999">
            <v>11.497021325386617</v>
          </cell>
        </row>
        <row r="1000">
          <cell r="A1000">
            <v>40836</v>
          </cell>
          <cell r="BF1000">
            <v>14.134528227934654</v>
          </cell>
          <cell r="BG1000">
            <v>17.429620749261797</v>
          </cell>
          <cell r="BH1000">
            <v>16.109902701379674</v>
          </cell>
          <cell r="BI1000">
            <v>13.839355674417275</v>
          </cell>
          <cell r="BJ1000">
            <v>18.380449728342072</v>
          </cell>
          <cell r="BU1000">
            <v>8.4642164557505222</v>
          </cell>
          <cell r="BV1000">
            <v>11.522967903511651</v>
          </cell>
          <cell r="BW1000">
            <v>10.055977276238897</v>
          </cell>
          <cell r="BX1000">
            <v>8.6149332270911767</v>
          </cell>
          <cell r="BY1000">
            <v>11.497021325386617</v>
          </cell>
        </row>
        <row r="1001">
          <cell r="A1001">
            <v>40837</v>
          </cell>
          <cell r="BF1001">
            <v>14.197436815594406</v>
          </cell>
          <cell r="BG1001">
            <v>17.429620749261797</v>
          </cell>
          <cell r="BH1001">
            <v>16.109902701379674</v>
          </cell>
          <cell r="BI1001">
            <v>13.839355674417275</v>
          </cell>
          <cell r="BJ1001">
            <v>18.380449728342072</v>
          </cell>
          <cell r="BU1001">
            <v>8.4987426272492002</v>
          </cell>
          <cell r="BV1001">
            <v>11.522967903511651</v>
          </cell>
          <cell r="BW1001">
            <v>10.055977276238897</v>
          </cell>
          <cell r="BX1001">
            <v>8.6149332270911767</v>
          </cell>
          <cell r="BY1001">
            <v>11.497021325386617</v>
          </cell>
        </row>
        <row r="1002">
          <cell r="A1002">
            <v>40840</v>
          </cell>
          <cell r="BF1002">
            <v>13.984522179264621</v>
          </cell>
          <cell r="BG1002">
            <v>17.429620749261797</v>
          </cell>
          <cell r="BH1002">
            <v>16.109902701379674</v>
          </cell>
          <cell r="BI1002">
            <v>13.839355674417275</v>
          </cell>
          <cell r="BJ1002">
            <v>18.380449728342072</v>
          </cell>
          <cell r="BU1002">
            <v>8.3823772941123025</v>
          </cell>
          <cell r="BV1002">
            <v>11.522967903511651</v>
          </cell>
          <cell r="BW1002">
            <v>10.055977276238897</v>
          </cell>
          <cell r="BX1002">
            <v>8.6149332270911767</v>
          </cell>
          <cell r="BY1002">
            <v>11.497021325386617</v>
          </cell>
        </row>
        <row r="1003">
          <cell r="A1003">
            <v>40841</v>
          </cell>
          <cell r="BF1003">
            <v>13.897417459850317</v>
          </cell>
          <cell r="BG1003">
            <v>17.429620749261797</v>
          </cell>
          <cell r="BH1003">
            <v>16.109902701379674</v>
          </cell>
          <cell r="BI1003">
            <v>13.839355674417275</v>
          </cell>
          <cell r="BJ1003">
            <v>18.380449728342072</v>
          </cell>
          <cell r="BU1003">
            <v>8.3345687521396261</v>
          </cell>
          <cell r="BV1003">
            <v>11.522967903511651</v>
          </cell>
          <cell r="BW1003">
            <v>10.055977276238897</v>
          </cell>
          <cell r="BX1003">
            <v>8.6149332270911767</v>
          </cell>
          <cell r="BY1003">
            <v>11.497021325386617</v>
          </cell>
        </row>
        <row r="1004">
          <cell r="A1004">
            <v>40842</v>
          </cell>
          <cell r="BF1004">
            <v>13.796405379099987</v>
          </cell>
          <cell r="BG1004">
            <v>17.429620749261797</v>
          </cell>
          <cell r="BH1004">
            <v>16.109902701379674</v>
          </cell>
          <cell r="BI1004">
            <v>13.839355674417275</v>
          </cell>
          <cell r="BJ1004">
            <v>18.380449728342072</v>
          </cell>
          <cell r="BU1004">
            <v>8.2783710584206016</v>
          </cell>
          <cell r="BV1004">
            <v>11.522967903511651</v>
          </cell>
          <cell r="BW1004">
            <v>10.055977276238897</v>
          </cell>
          <cell r="BX1004">
            <v>8.6149332270911767</v>
          </cell>
          <cell r="BY1004">
            <v>11.497021325386617</v>
          </cell>
        </row>
        <row r="1005">
          <cell r="A1005">
            <v>40843</v>
          </cell>
          <cell r="BF1005">
            <v>13.835146704891869</v>
          </cell>
          <cell r="BG1005">
            <v>17.429620749261797</v>
          </cell>
          <cell r="BH1005">
            <v>16.109902701379674</v>
          </cell>
          <cell r="BI1005">
            <v>13.839355674417275</v>
          </cell>
          <cell r="BJ1005">
            <v>18.380449728342072</v>
          </cell>
          <cell r="BU1005">
            <v>8.2996314367564139</v>
          </cell>
          <cell r="BV1005">
            <v>11.522967903511651</v>
          </cell>
          <cell r="BW1005">
            <v>10.055977276238897</v>
          </cell>
          <cell r="BX1005">
            <v>8.6149332270911767</v>
          </cell>
          <cell r="BY1005">
            <v>11.497021325386617</v>
          </cell>
        </row>
        <row r="1006">
          <cell r="A1006">
            <v>40844</v>
          </cell>
          <cell r="BF1006">
            <v>13.8254591942988</v>
          </cell>
          <cell r="BG1006">
            <v>17.429620749261797</v>
          </cell>
          <cell r="BH1006">
            <v>16.109902701379674</v>
          </cell>
          <cell r="BI1006">
            <v>13.839355674417275</v>
          </cell>
          <cell r="BJ1006">
            <v>18.380449728342072</v>
          </cell>
          <cell r="BU1006">
            <v>8.2943151463060758</v>
          </cell>
          <cell r="BV1006">
            <v>11.522967903511651</v>
          </cell>
          <cell r="BW1006">
            <v>10.055977276238897</v>
          </cell>
          <cell r="BX1006">
            <v>8.6149332270911767</v>
          </cell>
          <cell r="BY1006">
            <v>11.497021325386617</v>
          </cell>
        </row>
        <row r="1007">
          <cell r="A1007">
            <v>40847</v>
          </cell>
          <cell r="BF1007">
            <v>13.671568581539088</v>
          </cell>
          <cell r="BG1007">
            <v>17.429620749261797</v>
          </cell>
          <cell r="BH1007">
            <v>16.109902701379674</v>
          </cell>
          <cell r="BI1007">
            <v>13.839355674417275</v>
          </cell>
          <cell r="BJ1007">
            <v>18.380449728342072</v>
          </cell>
          <cell r="BU1007">
            <v>8.2066177465963861</v>
          </cell>
          <cell r="BV1007">
            <v>11.522967903511651</v>
          </cell>
          <cell r="BW1007">
            <v>10.055977276238897</v>
          </cell>
          <cell r="BX1007">
            <v>8.6149332270911767</v>
          </cell>
          <cell r="BY1007">
            <v>11.497021325386617</v>
          </cell>
        </row>
        <row r="1008">
          <cell r="A1008">
            <v>40848</v>
          </cell>
          <cell r="BF1008">
            <v>14.044608318895017</v>
          </cell>
          <cell r="BG1008">
            <v>17.429620749261797</v>
          </cell>
          <cell r="BH1008">
            <v>16.109902701379674</v>
          </cell>
          <cell r="BI1008">
            <v>13.839355674417275</v>
          </cell>
          <cell r="BJ1008">
            <v>18.380449728342072</v>
          </cell>
          <cell r="BU1008">
            <v>8.4112451011683582</v>
          </cell>
          <cell r="BV1008">
            <v>11.522967903511651</v>
          </cell>
          <cell r="BW1008">
            <v>10.055977276238897</v>
          </cell>
          <cell r="BX1008">
            <v>8.6149332270911767</v>
          </cell>
          <cell r="BY1008">
            <v>11.497021325386617</v>
          </cell>
        </row>
        <row r="1009">
          <cell r="A1009">
            <v>40849</v>
          </cell>
          <cell r="BF1009">
            <v>14.073674708232936</v>
          </cell>
          <cell r="BG1009">
            <v>17.429620749261797</v>
          </cell>
          <cell r="BH1009">
            <v>16.109902701379674</v>
          </cell>
          <cell r="BI1009">
            <v>13.839355674417275</v>
          </cell>
          <cell r="BJ1009">
            <v>18.380449728342072</v>
          </cell>
          <cell r="BU1009">
            <v>8.4271891890538324</v>
          </cell>
          <cell r="BV1009">
            <v>11.522967903511651</v>
          </cell>
          <cell r="BW1009">
            <v>10.055977276238897</v>
          </cell>
          <cell r="BX1009">
            <v>8.6149332270911767</v>
          </cell>
          <cell r="BY1009">
            <v>11.497021325386617</v>
          </cell>
        </row>
        <row r="1010">
          <cell r="A1010">
            <v>40850</v>
          </cell>
          <cell r="BF1010">
            <v>14.238398297271793</v>
          </cell>
          <cell r="BG1010">
            <v>17.429620749261797</v>
          </cell>
          <cell r="BH1010">
            <v>16.109902701379674</v>
          </cell>
          <cell r="BI1010">
            <v>13.839355674417275</v>
          </cell>
          <cell r="BJ1010">
            <v>18.380449728342072</v>
          </cell>
          <cell r="BU1010">
            <v>8.517546727099333</v>
          </cell>
          <cell r="BV1010">
            <v>11.522967903511651</v>
          </cell>
          <cell r="BW1010">
            <v>10.055977276238897</v>
          </cell>
          <cell r="BX1010">
            <v>8.6149332270911767</v>
          </cell>
          <cell r="BY1010">
            <v>11.497021325386617</v>
          </cell>
        </row>
        <row r="1011">
          <cell r="A1011">
            <v>40851</v>
          </cell>
          <cell r="BF1011">
            <v>14.320756216078856</v>
          </cell>
          <cell r="BG1011">
            <v>17.429620749261797</v>
          </cell>
          <cell r="BH1011">
            <v>16.109902701379674</v>
          </cell>
          <cell r="BI1011">
            <v>13.839355674417275</v>
          </cell>
          <cell r="BJ1011">
            <v>18.380449728342072</v>
          </cell>
          <cell r="BU1011">
            <v>8.5627233701373981</v>
          </cell>
          <cell r="BV1011">
            <v>11.522967903511651</v>
          </cell>
          <cell r="BW1011">
            <v>10.055977276238897</v>
          </cell>
          <cell r="BX1011">
            <v>8.6149332270911767</v>
          </cell>
          <cell r="BY1011">
            <v>11.497021325386617</v>
          </cell>
        </row>
        <row r="1012">
          <cell r="A1012">
            <v>40854</v>
          </cell>
          <cell r="BF1012">
            <v>14.320756216078856</v>
          </cell>
          <cell r="BG1012">
            <v>17.429620749261797</v>
          </cell>
          <cell r="BH1012">
            <v>16.109902701379674</v>
          </cell>
          <cell r="BI1012">
            <v>13.839355674417275</v>
          </cell>
          <cell r="BJ1012">
            <v>18.380449728342072</v>
          </cell>
          <cell r="BU1012">
            <v>8.5627233701373981</v>
          </cell>
          <cell r="BV1012">
            <v>11.522967903511651</v>
          </cell>
          <cell r="BW1012">
            <v>10.055977276238897</v>
          </cell>
          <cell r="BX1012">
            <v>8.6149332270911767</v>
          </cell>
          <cell r="BY1012">
            <v>11.497021325386617</v>
          </cell>
        </row>
        <row r="1013">
          <cell r="A1013">
            <v>40855</v>
          </cell>
          <cell r="BF1013">
            <v>14.456405664355065</v>
          </cell>
          <cell r="BG1013">
            <v>17.429620749261797</v>
          </cell>
          <cell r="BH1013">
            <v>16.109902701379674</v>
          </cell>
          <cell r="BI1013">
            <v>13.839355674417275</v>
          </cell>
          <cell r="BJ1013">
            <v>18.380449728342072</v>
          </cell>
          <cell r="BU1013">
            <v>8.637132568328056</v>
          </cell>
          <cell r="BV1013">
            <v>11.522967903511651</v>
          </cell>
          <cell r="BW1013">
            <v>10.055977276238897</v>
          </cell>
          <cell r="BX1013">
            <v>8.6149332270911767</v>
          </cell>
          <cell r="BY1013">
            <v>11.497021325386617</v>
          </cell>
        </row>
        <row r="1014">
          <cell r="A1014">
            <v>40856</v>
          </cell>
          <cell r="BF1014">
            <v>14.35951430864702</v>
          </cell>
          <cell r="BG1014">
            <v>17.429620749261797</v>
          </cell>
          <cell r="BH1014">
            <v>16.109902701379674</v>
          </cell>
          <cell r="BI1014">
            <v>13.839355674417275</v>
          </cell>
          <cell r="BJ1014">
            <v>18.380449728342072</v>
          </cell>
          <cell r="BU1014">
            <v>8.5839837484732104</v>
          </cell>
          <cell r="BV1014">
            <v>11.522967903511651</v>
          </cell>
          <cell r="BW1014">
            <v>10.055977276238897</v>
          </cell>
          <cell r="BX1014">
            <v>8.6149332270911767</v>
          </cell>
          <cell r="BY1014">
            <v>11.497021325386617</v>
          </cell>
        </row>
        <row r="1015">
          <cell r="A1015">
            <v>40857</v>
          </cell>
          <cell r="BF1015">
            <v>14.407956353020701</v>
          </cell>
          <cell r="BG1015">
            <v>17.429620749261797</v>
          </cell>
          <cell r="BH1015">
            <v>16.109902701379674</v>
          </cell>
          <cell r="BI1015">
            <v>13.839355674417275</v>
          </cell>
          <cell r="BJ1015">
            <v>18.380449728342072</v>
          </cell>
          <cell r="BU1015">
            <v>8.6105561652899922</v>
          </cell>
          <cell r="BV1015">
            <v>11.522967903511651</v>
          </cell>
          <cell r="BW1015">
            <v>10.055977276238897</v>
          </cell>
          <cell r="BX1015">
            <v>8.6149332270911767</v>
          </cell>
          <cell r="BY1015">
            <v>11.497021325386617</v>
          </cell>
        </row>
        <row r="1016">
          <cell r="A1016">
            <v>40858</v>
          </cell>
          <cell r="BF1016">
            <v>14.301373778546456</v>
          </cell>
          <cell r="BG1016">
            <v>17.429620749261797</v>
          </cell>
          <cell r="BH1016">
            <v>16.109902701379674</v>
          </cell>
          <cell r="BI1016">
            <v>13.839355674417275</v>
          </cell>
          <cell r="BJ1016">
            <v>18.380449728342072</v>
          </cell>
          <cell r="BU1016">
            <v>8.5520913207328952</v>
          </cell>
          <cell r="BV1016">
            <v>11.522967903511651</v>
          </cell>
          <cell r="BW1016">
            <v>10.055977276238897</v>
          </cell>
          <cell r="BX1016">
            <v>8.6149332270911767</v>
          </cell>
          <cell r="BY1016">
            <v>11.497021325386617</v>
          </cell>
        </row>
        <row r="1017">
          <cell r="A1017">
            <v>40861</v>
          </cell>
          <cell r="BF1017">
            <v>14.172304944705427</v>
          </cell>
          <cell r="BG1017">
            <v>17.429620749261797</v>
          </cell>
          <cell r="BH1017">
            <v>16.109902701379674</v>
          </cell>
          <cell r="BI1017">
            <v>13.839355674417275</v>
          </cell>
          <cell r="BJ1017">
            <v>18.380449728342072</v>
          </cell>
          <cell r="BU1017">
            <v>8.5109822344247696</v>
          </cell>
          <cell r="BV1017">
            <v>11.522967903511651</v>
          </cell>
          <cell r="BW1017">
            <v>10.055977276238897</v>
          </cell>
          <cell r="BX1017">
            <v>8.6149332270911767</v>
          </cell>
          <cell r="BY1017">
            <v>11.497021325386617</v>
          </cell>
        </row>
        <row r="1018">
          <cell r="A1018">
            <v>40862</v>
          </cell>
          <cell r="BF1018">
            <v>14.402753806527809</v>
          </cell>
          <cell r="BG1018">
            <v>17.429620749261797</v>
          </cell>
          <cell r="BH1018">
            <v>16.109902701379674</v>
          </cell>
          <cell r="BI1018">
            <v>13.839355674417275</v>
          </cell>
          <cell r="BJ1018">
            <v>18.380449728342072</v>
          </cell>
          <cell r="BU1018">
            <v>8.6382812332202956</v>
          </cell>
          <cell r="BV1018">
            <v>11.522967903511651</v>
          </cell>
          <cell r="BW1018">
            <v>10.055977276238897</v>
          </cell>
          <cell r="BX1018">
            <v>8.6149332270911767</v>
          </cell>
          <cell r="BY1018">
            <v>11.497021325386617</v>
          </cell>
        </row>
        <row r="1019">
          <cell r="A1019">
            <v>40863</v>
          </cell>
          <cell r="BF1019">
            <v>14.157902670990694</v>
          </cell>
          <cell r="BG1019">
            <v>17.429620749261797</v>
          </cell>
          <cell r="BH1019">
            <v>16.109902701379674</v>
          </cell>
          <cell r="BI1019">
            <v>13.839355674417275</v>
          </cell>
          <cell r="BJ1019">
            <v>18.380449728342072</v>
          </cell>
          <cell r="BU1019">
            <v>8.5033933443478897</v>
          </cell>
          <cell r="BV1019">
            <v>11.522967903511651</v>
          </cell>
          <cell r="BW1019">
            <v>10.055977276238897</v>
          </cell>
          <cell r="BX1019">
            <v>8.6149332270911767</v>
          </cell>
          <cell r="BY1019">
            <v>11.497021325386617</v>
          </cell>
        </row>
        <row r="1020">
          <cell r="A1020">
            <v>40864</v>
          </cell>
          <cell r="BF1020">
            <v>14.08108606365537</v>
          </cell>
          <cell r="BG1020">
            <v>17.429620749261797</v>
          </cell>
          <cell r="BH1020">
            <v>16.109902701379674</v>
          </cell>
          <cell r="BI1020">
            <v>13.839355674417275</v>
          </cell>
          <cell r="BJ1020">
            <v>18.380449728342072</v>
          </cell>
          <cell r="BU1020">
            <v>8.4610752641353049</v>
          </cell>
          <cell r="BV1020">
            <v>11.522967903511651</v>
          </cell>
          <cell r="BW1020">
            <v>10.055977276238897</v>
          </cell>
          <cell r="BX1020">
            <v>8.6149332270911767</v>
          </cell>
          <cell r="BY1020">
            <v>11.497021325386617</v>
          </cell>
        </row>
        <row r="1021">
          <cell r="A1021">
            <v>40865</v>
          </cell>
          <cell r="BF1021">
            <v>14.201109012043103</v>
          </cell>
          <cell r="BG1021">
            <v>17.429620749261797</v>
          </cell>
          <cell r="BH1021">
            <v>16.109902701379674</v>
          </cell>
          <cell r="BI1021">
            <v>13.839355674417275</v>
          </cell>
          <cell r="BJ1021">
            <v>18.380449728342072</v>
          </cell>
          <cell r="BU1021">
            <v>8.5272871860897528</v>
          </cell>
          <cell r="BV1021">
            <v>11.522967903511651</v>
          </cell>
          <cell r="BW1021">
            <v>10.055977276238897</v>
          </cell>
          <cell r="BX1021">
            <v>8.6149332270911767</v>
          </cell>
          <cell r="BY1021">
            <v>11.497021325386617</v>
          </cell>
        </row>
        <row r="1022">
          <cell r="A1022">
            <v>40868</v>
          </cell>
          <cell r="BF1022">
            <v>14.210712768281295</v>
          </cell>
          <cell r="BG1022">
            <v>17.429620749261797</v>
          </cell>
          <cell r="BH1022">
            <v>16.109902701379674</v>
          </cell>
          <cell r="BI1022">
            <v>13.839355674417275</v>
          </cell>
          <cell r="BJ1022">
            <v>18.380449728342072</v>
          </cell>
          <cell r="BU1022">
            <v>8.5325779286185295</v>
          </cell>
          <cell r="BV1022">
            <v>11.522967903511651</v>
          </cell>
          <cell r="BW1022">
            <v>10.055977276238897</v>
          </cell>
          <cell r="BX1022">
            <v>8.6149332270911767</v>
          </cell>
          <cell r="BY1022">
            <v>11.497021325386617</v>
          </cell>
        </row>
        <row r="1023">
          <cell r="A1023">
            <v>40869</v>
          </cell>
          <cell r="BF1023">
            <v>14.254588300859744</v>
          </cell>
          <cell r="BG1023">
            <v>17.429620749261797</v>
          </cell>
          <cell r="BH1023">
            <v>16.109902701379674</v>
          </cell>
          <cell r="BI1023">
            <v>13.839355674417275</v>
          </cell>
          <cell r="BJ1023">
            <v>18.380449728342072</v>
          </cell>
          <cell r="BU1023">
            <v>8.4831975474195946</v>
          </cell>
          <cell r="BV1023">
            <v>11.522967903511651</v>
          </cell>
          <cell r="BW1023">
            <v>10.055977276238897</v>
          </cell>
          <cell r="BX1023">
            <v>8.6149332270911767</v>
          </cell>
          <cell r="BY1023">
            <v>11.497021325386617</v>
          </cell>
        </row>
        <row r="1024">
          <cell r="A1024">
            <v>40870</v>
          </cell>
          <cell r="BF1024">
            <v>14.619718127157466</v>
          </cell>
          <cell r="BG1024">
            <v>17.429620749261797</v>
          </cell>
          <cell r="BH1024">
            <v>16.109902701379674</v>
          </cell>
          <cell r="BI1024">
            <v>13.839355674417275</v>
          </cell>
          <cell r="BJ1024">
            <v>18.380449728342072</v>
          </cell>
          <cell r="BU1024">
            <v>8.6826079673447207</v>
          </cell>
          <cell r="BV1024">
            <v>11.522967903511651</v>
          </cell>
          <cell r="BW1024">
            <v>10.055977276238897</v>
          </cell>
          <cell r="BX1024">
            <v>8.6149332270911767</v>
          </cell>
          <cell r="BY1024">
            <v>11.497021325386617</v>
          </cell>
        </row>
        <row r="1025">
          <cell r="A1025">
            <v>40871</v>
          </cell>
          <cell r="BF1025">
            <v>14.89357102191517</v>
          </cell>
          <cell r="BG1025">
            <v>17.429620749261797</v>
          </cell>
          <cell r="BH1025">
            <v>16.109902701379674</v>
          </cell>
          <cell r="BI1025">
            <v>13.839355674417275</v>
          </cell>
          <cell r="BJ1025">
            <v>18.380449728342072</v>
          </cell>
          <cell r="BU1025">
            <v>8.8321687997069009</v>
          </cell>
          <cell r="BV1025">
            <v>11.522967903511651</v>
          </cell>
          <cell r="BW1025">
            <v>10.055977276238897</v>
          </cell>
          <cell r="BX1025">
            <v>8.6149332270911767</v>
          </cell>
          <cell r="BY1025">
            <v>11.497021325386617</v>
          </cell>
        </row>
        <row r="1026">
          <cell r="A1026">
            <v>40872</v>
          </cell>
          <cell r="BF1026">
            <v>14.538044666299934</v>
          </cell>
          <cell r="BG1026">
            <v>17.429620749261797</v>
          </cell>
          <cell r="BH1026">
            <v>16.109902701379674</v>
          </cell>
          <cell r="BI1026">
            <v>13.839355674417275</v>
          </cell>
          <cell r="BJ1026">
            <v>18.380449728342072</v>
          </cell>
          <cell r="BU1026">
            <v>8.6380031776142356</v>
          </cell>
          <cell r="BV1026">
            <v>11.522967903511651</v>
          </cell>
          <cell r="BW1026">
            <v>10.055977276238897</v>
          </cell>
          <cell r="BX1026">
            <v>8.6149332270911767</v>
          </cell>
          <cell r="BY1026">
            <v>11.497021325386617</v>
          </cell>
        </row>
        <row r="1027">
          <cell r="A1027">
            <v>40875</v>
          </cell>
          <cell r="BF1027">
            <v>14.538044666299934</v>
          </cell>
          <cell r="BG1027">
            <v>17.429620749261797</v>
          </cell>
          <cell r="BH1027">
            <v>16.109902701379674</v>
          </cell>
          <cell r="BI1027">
            <v>13.839355674417275</v>
          </cell>
          <cell r="BJ1027">
            <v>18.380449728342072</v>
          </cell>
          <cell r="BU1027">
            <v>8.6380031776142356</v>
          </cell>
          <cell r="BV1027">
            <v>11.522967903511651</v>
          </cell>
          <cell r="BW1027">
            <v>10.055977276238897</v>
          </cell>
          <cell r="BX1027">
            <v>8.6149332270911767</v>
          </cell>
          <cell r="BY1027">
            <v>11.497021325386617</v>
          </cell>
        </row>
        <row r="1028">
          <cell r="A1028">
            <v>40876</v>
          </cell>
          <cell r="BF1028">
            <v>14.643741457215816</v>
          </cell>
          <cell r="BG1028">
            <v>17.429620749261797</v>
          </cell>
          <cell r="BH1028">
            <v>16.109902701379674</v>
          </cell>
          <cell r="BI1028">
            <v>13.839355674417275</v>
          </cell>
          <cell r="BJ1028">
            <v>18.380449728342072</v>
          </cell>
          <cell r="BU1028">
            <v>8.6957279646440622</v>
          </cell>
          <cell r="BV1028">
            <v>11.522967903511651</v>
          </cell>
          <cell r="BW1028">
            <v>10.055977276238897</v>
          </cell>
          <cell r="BX1028">
            <v>8.6149332270911767</v>
          </cell>
          <cell r="BY1028">
            <v>11.497021325386617</v>
          </cell>
        </row>
        <row r="1029">
          <cell r="A1029">
            <v>40877</v>
          </cell>
          <cell r="BF1029">
            <v>14.590893301976761</v>
          </cell>
          <cell r="BG1029">
            <v>17.429620749261797</v>
          </cell>
          <cell r="BH1029">
            <v>16.109902701379674</v>
          </cell>
          <cell r="BI1029">
            <v>13.839355674417275</v>
          </cell>
          <cell r="BJ1029">
            <v>18.380449728342072</v>
          </cell>
          <cell r="BU1029">
            <v>8.6668657023212496</v>
          </cell>
          <cell r="BV1029">
            <v>11.522967903511651</v>
          </cell>
          <cell r="BW1029">
            <v>10.055977276238897</v>
          </cell>
          <cell r="BX1029">
            <v>8.6149332270911767</v>
          </cell>
          <cell r="BY1029">
            <v>11.497021325386617</v>
          </cell>
        </row>
        <row r="1030">
          <cell r="A1030">
            <v>40878</v>
          </cell>
          <cell r="BF1030">
            <v>14.921246702369492</v>
          </cell>
          <cell r="BG1030">
            <v>17.429620749261797</v>
          </cell>
          <cell r="BH1030">
            <v>16.109902701379674</v>
          </cell>
          <cell r="BI1030">
            <v>13.839355674417275</v>
          </cell>
          <cell r="BJ1030">
            <v>18.380449728342072</v>
          </cell>
          <cell r="BU1030">
            <v>8.8531561249470361</v>
          </cell>
          <cell r="BV1030">
            <v>11.522967903511651</v>
          </cell>
          <cell r="BW1030">
            <v>10.055977276238897</v>
          </cell>
          <cell r="BX1030">
            <v>8.6149332270911767</v>
          </cell>
          <cell r="BY1030">
            <v>11.497021325386617</v>
          </cell>
        </row>
        <row r="1031">
          <cell r="A1031">
            <v>40879</v>
          </cell>
          <cell r="BF1031">
            <v>15.05327626642214</v>
          </cell>
          <cell r="BG1031">
            <v>17.429620749261797</v>
          </cell>
          <cell r="BH1031">
            <v>16.109902701379674</v>
          </cell>
          <cell r="BI1031">
            <v>13.839355674417275</v>
          </cell>
          <cell r="BJ1031">
            <v>18.380449728342072</v>
          </cell>
          <cell r="BU1031">
            <v>8.925314142211894</v>
          </cell>
          <cell r="BV1031">
            <v>11.522967903511651</v>
          </cell>
          <cell r="BW1031">
            <v>10.055977276238897</v>
          </cell>
          <cell r="BX1031">
            <v>8.6149332270911767</v>
          </cell>
          <cell r="BY1031">
            <v>11.497021325386617</v>
          </cell>
        </row>
        <row r="1032">
          <cell r="A1032">
            <v>40882</v>
          </cell>
          <cell r="BF1032">
            <v>15.17569487285969</v>
          </cell>
          <cell r="BG1032">
            <v>17.429620749261797</v>
          </cell>
          <cell r="BH1032">
            <v>16.109902701379674</v>
          </cell>
          <cell r="BI1032">
            <v>13.839355674417275</v>
          </cell>
          <cell r="BJ1032">
            <v>18.380449728342072</v>
          </cell>
          <cell r="BU1032">
            <v>8.9922194901182042</v>
          </cell>
          <cell r="BV1032">
            <v>11.522967903511651</v>
          </cell>
          <cell r="BW1032">
            <v>10.055977276238897</v>
          </cell>
          <cell r="BX1032">
            <v>8.6149332270911767</v>
          </cell>
          <cell r="BY1032">
            <v>11.497021325386617</v>
          </cell>
        </row>
        <row r="1033">
          <cell r="A1033">
            <v>40883</v>
          </cell>
          <cell r="BF1033">
            <v>15.348527918538023</v>
          </cell>
          <cell r="BG1033">
            <v>17.429620749261797</v>
          </cell>
          <cell r="BH1033">
            <v>16.109902701379674</v>
          </cell>
          <cell r="BI1033">
            <v>13.839355674417275</v>
          </cell>
          <cell r="BJ1033">
            <v>18.380449728342072</v>
          </cell>
          <cell r="BU1033">
            <v>9.0866778031746822</v>
          </cell>
          <cell r="BV1033">
            <v>11.522967903511651</v>
          </cell>
          <cell r="BW1033">
            <v>10.055977276238897</v>
          </cell>
          <cell r="BX1033">
            <v>8.6149332270911767</v>
          </cell>
          <cell r="BY1033">
            <v>11.497021325386617</v>
          </cell>
        </row>
        <row r="1034">
          <cell r="A1034">
            <v>40884</v>
          </cell>
          <cell r="BF1034">
            <v>15.410942252158614</v>
          </cell>
          <cell r="BG1034">
            <v>17.429620749261797</v>
          </cell>
          <cell r="BH1034">
            <v>16.109902701379674</v>
          </cell>
          <cell r="BI1034">
            <v>13.839355674417275</v>
          </cell>
          <cell r="BJ1034">
            <v>18.380449728342072</v>
          </cell>
          <cell r="BU1034">
            <v>9.1207890614772058</v>
          </cell>
          <cell r="BV1034">
            <v>11.522967903511651</v>
          </cell>
          <cell r="BW1034">
            <v>10.055977276238897</v>
          </cell>
          <cell r="BX1034">
            <v>8.6149332270911767</v>
          </cell>
          <cell r="BY1034">
            <v>11.497021325386617</v>
          </cell>
        </row>
        <row r="1035">
          <cell r="A1035">
            <v>40885</v>
          </cell>
          <cell r="BF1035">
            <v>15.406144214773864</v>
          </cell>
          <cell r="BG1035">
            <v>17.429620749261797</v>
          </cell>
          <cell r="BH1035">
            <v>16.109902701379674</v>
          </cell>
          <cell r="BI1035">
            <v>13.839355674417275</v>
          </cell>
          <cell r="BJ1035">
            <v>18.380449728342072</v>
          </cell>
          <cell r="BU1035">
            <v>9.1181667937530761</v>
          </cell>
          <cell r="BV1035">
            <v>11.522967903511651</v>
          </cell>
          <cell r="BW1035">
            <v>10.055977276238897</v>
          </cell>
          <cell r="BX1035">
            <v>8.6149332270911767</v>
          </cell>
          <cell r="BY1035">
            <v>11.497021325386617</v>
          </cell>
        </row>
        <row r="1036">
          <cell r="A1036">
            <v>40886</v>
          </cell>
          <cell r="BF1036">
            <v>15.425344525873347</v>
          </cell>
          <cell r="BG1036">
            <v>17.429620749261797</v>
          </cell>
          <cell r="BH1036">
            <v>16.109902701379674</v>
          </cell>
          <cell r="BI1036">
            <v>13.839355674417275</v>
          </cell>
          <cell r="BJ1036">
            <v>18.380449728342072</v>
          </cell>
          <cell r="BU1036">
            <v>9.1286603251810412</v>
          </cell>
          <cell r="BV1036">
            <v>11.522967903511651</v>
          </cell>
          <cell r="BW1036">
            <v>10.055977276238897</v>
          </cell>
          <cell r="BX1036">
            <v>8.6149332270911767</v>
          </cell>
          <cell r="BY1036">
            <v>11.497021325386617</v>
          </cell>
        </row>
        <row r="1037">
          <cell r="A1037">
            <v>40889</v>
          </cell>
          <cell r="BF1037">
            <v>15.324529570053794</v>
          </cell>
          <cell r="BG1037">
            <v>17.429620749261797</v>
          </cell>
          <cell r="BH1037">
            <v>16.109902701379674</v>
          </cell>
          <cell r="BI1037">
            <v>13.839355674417275</v>
          </cell>
          <cell r="BJ1037">
            <v>18.380449728342072</v>
          </cell>
          <cell r="BU1037">
            <v>9.0735620040225893</v>
          </cell>
          <cell r="BV1037">
            <v>11.522967903511651</v>
          </cell>
          <cell r="BW1037">
            <v>10.055977276238897</v>
          </cell>
          <cell r="BX1037">
            <v>8.6149332270911767</v>
          </cell>
          <cell r="BY1037">
            <v>11.497021325386617</v>
          </cell>
        </row>
        <row r="1038">
          <cell r="A1038">
            <v>40890</v>
          </cell>
          <cell r="BF1038">
            <v>15.454149073302816</v>
          </cell>
          <cell r="BG1038">
            <v>17.429620749261797</v>
          </cell>
          <cell r="BH1038">
            <v>16.109902701379674</v>
          </cell>
          <cell r="BI1038">
            <v>13.839355674417275</v>
          </cell>
          <cell r="BJ1038">
            <v>18.380449728342072</v>
          </cell>
          <cell r="BU1038">
            <v>9.1444028525887155</v>
          </cell>
          <cell r="BV1038">
            <v>11.522967903511651</v>
          </cell>
          <cell r="BW1038">
            <v>10.055977276238897</v>
          </cell>
          <cell r="BX1038">
            <v>8.6149332270911767</v>
          </cell>
          <cell r="BY1038">
            <v>11.497021325386617</v>
          </cell>
        </row>
        <row r="1039">
          <cell r="A1039">
            <v>40891</v>
          </cell>
          <cell r="BF1039">
            <v>15.487211190764645</v>
          </cell>
          <cell r="BG1039">
            <v>17.429620749261797</v>
          </cell>
          <cell r="BH1039">
            <v>16.109902701379674</v>
          </cell>
          <cell r="BI1039">
            <v>13.839355674417275</v>
          </cell>
          <cell r="BJ1039">
            <v>18.380449728342072</v>
          </cell>
          <cell r="BU1039">
            <v>9.1869377782143431</v>
          </cell>
          <cell r="BV1039">
            <v>11.522967903511651</v>
          </cell>
          <cell r="BW1039">
            <v>10.055977276238897</v>
          </cell>
          <cell r="BX1039">
            <v>8.6149332270911767</v>
          </cell>
          <cell r="BY1039">
            <v>11.497021325386617</v>
          </cell>
        </row>
        <row r="1040">
          <cell r="A1040">
            <v>40892</v>
          </cell>
          <cell r="BF1040">
            <v>15.373024487725875</v>
          </cell>
          <cell r="BG1040">
            <v>17.429620749261797</v>
          </cell>
          <cell r="BH1040">
            <v>16.109902701379674</v>
          </cell>
          <cell r="BI1040">
            <v>13.839355674417275</v>
          </cell>
          <cell r="BJ1040">
            <v>18.380449728342072</v>
          </cell>
          <cell r="BU1040">
            <v>9.1243220891507377</v>
          </cell>
          <cell r="BV1040">
            <v>11.522967903511651</v>
          </cell>
          <cell r="BW1040">
            <v>10.055977276238897</v>
          </cell>
          <cell r="BX1040">
            <v>8.6149332270911767</v>
          </cell>
          <cell r="BY1040">
            <v>11.497021325386617</v>
          </cell>
        </row>
        <row r="1041">
          <cell r="A1041">
            <v>40893</v>
          </cell>
          <cell r="BF1041">
            <v>15.530038698218815</v>
          </cell>
          <cell r="BG1041">
            <v>17.429620749261797</v>
          </cell>
          <cell r="BH1041">
            <v>16.109902701379674</v>
          </cell>
          <cell r="BI1041">
            <v>13.839355674417275</v>
          </cell>
          <cell r="BJ1041">
            <v>18.380449728342072</v>
          </cell>
          <cell r="BU1041">
            <v>9.2104227709390116</v>
          </cell>
          <cell r="BV1041">
            <v>11.522967903511651</v>
          </cell>
          <cell r="BW1041">
            <v>10.055977276238897</v>
          </cell>
          <cell r="BX1041">
            <v>8.6149332270911767</v>
          </cell>
          <cell r="BY1041">
            <v>11.497021325386617</v>
          </cell>
        </row>
        <row r="1042">
          <cell r="A1042">
            <v>40896</v>
          </cell>
          <cell r="BF1042">
            <v>15.396808665864555</v>
          </cell>
          <cell r="BG1042">
            <v>17.429620749261797</v>
          </cell>
          <cell r="BH1042">
            <v>16.109902701379674</v>
          </cell>
          <cell r="BI1042">
            <v>13.839355674417275</v>
          </cell>
          <cell r="BJ1042">
            <v>18.380449728342072</v>
          </cell>
          <cell r="BU1042">
            <v>9.1704318885252984</v>
          </cell>
          <cell r="BV1042">
            <v>11.522967903511651</v>
          </cell>
          <cell r="BW1042">
            <v>10.055977276238897</v>
          </cell>
          <cell r="BX1042">
            <v>8.6149332270911767</v>
          </cell>
          <cell r="BY1042">
            <v>11.497021325386617</v>
          </cell>
        </row>
        <row r="1043">
          <cell r="A1043">
            <v>40897</v>
          </cell>
          <cell r="BF1043">
            <v>15.387297944555158</v>
          </cell>
          <cell r="BG1043">
            <v>17.429620749261797</v>
          </cell>
          <cell r="BH1043">
            <v>16.109902701379674</v>
          </cell>
          <cell r="BI1043">
            <v>13.839355674417275</v>
          </cell>
          <cell r="BJ1043">
            <v>18.380449728342072</v>
          </cell>
          <cell r="BU1043">
            <v>9.1651976931514518</v>
          </cell>
          <cell r="BV1043">
            <v>11.522967903511651</v>
          </cell>
          <cell r="BW1043">
            <v>10.055977276238897</v>
          </cell>
          <cell r="BX1043">
            <v>8.6149332270911767</v>
          </cell>
          <cell r="BY1043">
            <v>11.497021325386617</v>
          </cell>
        </row>
        <row r="1044">
          <cell r="A1044">
            <v>40898</v>
          </cell>
          <cell r="BF1044">
            <v>15.330196980271705</v>
          </cell>
          <cell r="BG1044">
            <v>17.429620749261797</v>
          </cell>
          <cell r="BH1044">
            <v>16.109902701379674</v>
          </cell>
          <cell r="BI1044">
            <v>13.839355674417275</v>
          </cell>
          <cell r="BJ1044">
            <v>18.380449728342072</v>
          </cell>
          <cell r="BU1044">
            <v>9.1337723581666737</v>
          </cell>
          <cell r="BV1044">
            <v>11.522967903511651</v>
          </cell>
          <cell r="BW1044">
            <v>10.055977276238897</v>
          </cell>
          <cell r="BX1044">
            <v>8.6149332270911767</v>
          </cell>
          <cell r="BY1044">
            <v>11.497021325386617</v>
          </cell>
        </row>
        <row r="1045">
          <cell r="A1045">
            <v>40899</v>
          </cell>
          <cell r="BF1045">
            <v>15.268348505996496</v>
          </cell>
          <cell r="BG1045">
            <v>17.429620749261797</v>
          </cell>
          <cell r="BH1045">
            <v>16.109902701379674</v>
          </cell>
          <cell r="BI1045">
            <v>13.839355674417275</v>
          </cell>
          <cell r="BJ1045">
            <v>18.380449728342072</v>
          </cell>
          <cell r="BU1045">
            <v>9.0997342460824804</v>
          </cell>
          <cell r="BV1045">
            <v>11.522967903511651</v>
          </cell>
          <cell r="BW1045">
            <v>10.055977276238897</v>
          </cell>
          <cell r="BX1045">
            <v>8.6149332270911767</v>
          </cell>
          <cell r="BY1045">
            <v>11.497021325386617</v>
          </cell>
        </row>
        <row r="1046">
          <cell r="A1046">
            <v>40900</v>
          </cell>
          <cell r="BF1046">
            <v>15.139881209162127</v>
          </cell>
          <cell r="BG1046">
            <v>17.429620749261797</v>
          </cell>
          <cell r="BH1046">
            <v>16.109902701379674</v>
          </cell>
          <cell r="BI1046">
            <v>13.839355674417275</v>
          </cell>
          <cell r="BJ1046">
            <v>18.380449728342072</v>
          </cell>
          <cell r="BU1046">
            <v>9.0290326758328394</v>
          </cell>
          <cell r="BV1046">
            <v>11.522967903511651</v>
          </cell>
          <cell r="BW1046">
            <v>10.055977276238897</v>
          </cell>
          <cell r="BX1046">
            <v>8.6149332270911767</v>
          </cell>
          <cell r="BY1046">
            <v>11.497021325386617</v>
          </cell>
        </row>
        <row r="1047">
          <cell r="A1047">
            <v>40903</v>
          </cell>
          <cell r="BF1047">
            <v>15.225528135508643</v>
          </cell>
          <cell r="BG1047">
            <v>17.429620749261797</v>
          </cell>
          <cell r="BH1047">
            <v>16.109902701379674</v>
          </cell>
          <cell r="BI1047">
            <v>13.839355674417275</v>
          </cell>
          <cell r="BJ1047">
            <v>18.380449728342072</v>
          </cell>
          <cell r="BU1047">
            <v>9.0761681906990166</v>
          </cell>
          <cell r="BV1047">
            <v>11.522967903511651</v>
          </cell>
          <cell r="BW1047">
            <v>10.055977276238897</v>
          </cell>
          <cell r="BX1047">
            <v>8.6149332270911767</v>
          </cell>
          <cell r="BY1047">
            <v>11.497021325386617</v>
          </cell>
        </row>
        <row r="1048">
          <cell r="A1048">
            <v>40904</v>
          </cell>
          <cell r="BF1048">
            <v>15.434873437798835</v>
          </cell>
          <cell r="BG1048">
            <v>17.429620749261797</v>
          </cell>
          <cell r="BH1048">
            <v>16.109902701379674</v>
          </cell>
          <cell r="BI1048">
            <v>13.839355674417275</v>
          </cell>
          <cell r="BJ1048">
            <v>18.380449728342072</v>
          </cell>
          <cell r="BU1048">
            <v>9.1913807152949456</v>
          </cell>
          <cell r="BV1048">
            <v>11.522967903511651</v>
          </cell>
          <cell r="BW1048">
            <v>10.055977276238897</v>
          </cell>
          <cell r="BX1048">
            <v>8.6149332270911767</v>
          </cell>
          <cell r="BY1048">
            <v>11.497021325386617</v>
          </cell>
        </row>
        <row r="1049">
          <cell r="A1049">
            <v>40905</v>
          </cell>
          <cell r="BF1049">
            <v>15.496729524838109</v>
          </cell>
          <cell r="BG1049">
            <v>17.429620749261797</v>
          </cell>
          <cell r="BH1049">
            <v>16.109902701379674</v>
          </cell>
          <cell r="BI1049">
            <v>13.839355674417275</v>
          </cell>
          <cell r="BJ1049">
            <v>18.380449728342072</v>
          </cell>
          <cell r="BU1049">
            <v>9.2254230170397502</v>
          </cell>
          <cell r="BV1049">
            <v>11.522967903511651</v>
          </cell>
          <cell r="BW1049">
            <v>10.055977276238897</v>
          </cell>
          <cell r="BX1049">
            <v>8.6149332270911767</v>
          </cell>
          <cell r="BY1049">
            <v>11.497021325386617</v>
          </cell>
        </row>
        <row r="1050">
          <cell r="A1050">
            <v>40906</v>
          </cell>
          <cell r="BF1050">
            <v>15.810757470026239</v>
          </cell>
          <cell r="BG1050">
            <v>17.429620749261797</v>
          </cell>
          <cell r="BH1050">
            <v>16.109902701379674</v>
          </cell>
          <cell r="BI1050">
            <v>13.839355674417275</v>
          </cell>
          <cell r="BJ1050">
            <v>18.380449728342072</v>
          </cell>
          <cell r="BU1050">
            <v>9.3982473028632008</v>
          </cell>
          <cell r="BV1050">
            <v>11.522967903511651</v>
          </cell>
          <cell r="BW1050">
            <v>10.055977276238897</v>
          </cell>
          <cell r="BX1050">
            <v>8.6149332270911767</v>
          </cell>
          <cell r="BY1050">
            <v>11.497021325386617</v>
          </cell>
        </row>
        <row r="1051">
          <cell r="A1051">
            <v>40907</v>
          </cell>
          <cell r="BF1051">
            <v>15.720354945126148</v>
          </cell>
          <cell r="BG1051">
            <v>17.429620749261797</v>
          </cell>
          <cell r="BH1051">
            <v>16.109902701379674</v>
          </cell>
          <cell r="BI1051">
            <v>13.839355674417275</v>
          </cell>
          <cell r="BJ1051">
            <v>18.380449728342072</v>
          </cell>
          <cell r="BU1051">
            <v>9.3484945593832069</v>
          </cell>
          <cell r="BV1051">
            <v>11.522967903511651</v>
          </cell>
          <cell r="BW1051">
            <v>10.055977276238897</v>
          </cell>
          <cell r="BX1051">
            <v>8.6149332270911767</v>
          </cell>
          <cell r="BY1051">
            <v>11.497021325386617</v>
          </cell>
        </row>
        <row r="1052">
          <cell r="A1052">
            <v>40910</v>
          </cell>
          <cell r="BF1052">
            <v>15.720354945126148</v>
          </cell>
          <cell r="BG1052">
            <v>17.429620749261797</v>
          </cell>
          <cell r="BH1052">
            <v>16.109902701379674</v>
          </cell>
          <cell r="BI1052">
            <v>13.839355674417275</v>
          </cell>
          <cell r="BJ1052">
            <v>18.380449728342072</v>
          </cell>
          <cell r="BU1052">
            <v>9.3484945593832069</v>
          </cell>
          <cell r="BV1052">
            <v>11.522967903511651</v>
          </cell>
          <cell r="BW1052">
            <v>10.055977276238897</v>
          </cell>
          <cell r="BX1052">
            <v>8.6149332270911767</v>
          </cell>
          <cell r="BY1052">
            <v>11.497021325386617</v>
          </cell>
        </row>
        <row r="1053">
          <cell r="A1053">
            <v>40911</v>
          </cell>
          <cell r="BF1053">
            <v>15.720354945126148</v>
          </cell>
          <cell r="BG1053">
            <v>17.429620749261797</v>
          </cell>
          <cell r="BH1053">
            <v>16.109902701379674</v>
          </cell>
          <cell r="BI1053">
            <v>13.839355674417275</v>
          </cell>
          <cell r="BJ1053">
            <v>18.380449728342072</v>
          </cell>
          <cell r="BU1053">
            <v>9.3751311080789517</v>
          </cell>
          <cell r="BV1053">
            <v>11.522967903511651</v>
          </cell>
          <cell r="BW1053">
            <v>10.055977276238897</v>
          </cell>
          <cell r="BX1053">
            <v>8.6149332270911767</v>
          </cell>
          <cell r="BY1053">
            <v>11.497021325386617</v>
          </cell>
        </row>
        <row r="1054">
          <cell r="A1054">
            <v>40912</v>
          </cell>
          <cell r="BF1054">
            <v>15.606160629323307</v>
          </cell>
          <cell r="BG1054">
            <v>17.429620749261797</v>
          </cell>
          <cell r="BH1054">
            <v>16.109902701379674</v>
          </cell>
          <cell r="BI1054">
            <v>13.839355674417275</v>
          </cell>
          <cell r="BJ1054">
            <v>18.380449728342072</v>
          </cell>
          <cell r="BU1054">
            <v>9.3121055600792211</v>
          </cell>
          <cell r="BV1054">
            <v>11.522967903511651</v>
          </cell>
          <cell r="BW1054">
            <v>10.055977276238897</v>
          </cell>
          <cell r="BX1054">
            <v>8.6149332270911767</v>
          </cell>
          <cell r="BY1054">
            <v>11.497021325386617</v>
          </cell>
        </row>
        <row r="1055">
          <cell r="A1055">
            <v>40913</v>
          </cell>
          <cell r="BF1055">
            <v>15.315923999240175</v>
          </cell>
          <cell r="BG1055">
            <v>17.429620749261797</v>
          </cell>
          <cell r="BH1055">
            <v>16.109902701379674</v>
          </cell>
          <cell r="BI1055">
            <v>13.839355674417275</v>
          </cell>
          <cell r="BJ1055">
            <v>18.380449728342072</v>
          </cell>
          <cell r="BU1055">
            <v>8.9493786043069896</v>
          </cell>
          <cell r="BV1055">
            <v>11.522967903511651</v>
          </cell>
          <cell r="BW1055">
            <v>10.055977276238897</v>
          </cell>
          <cell r="BX1055">
            <v>8.6149332270911767</v>
          </cell>
          <cell r="BY1055">
            <v>11.497021325386617</v>
          </cell>
        </row>
        <row r="1056">
          <cell r="A1056">
            <v>40914</v>
          </cell>
          <cell r="BF1056">
            <v>15.341557290582514</v>
          </cell>
          <cell r="BG1056">
            <v>17.429620749261797</v>
          </cell>
          <cell r="BH1056">
            <v>16.109902701379674</v>
          </cell>
          <cell r="BI1056">
            <v>13.839355674417275</v>
          </cell>
          <cell r="BJ1056">
            <v>18.380449728342072</v>
          </cell>
          <cell r="BU1056">
            <v>9.2017832366246228</v>
          </cell>
          <cell r="BV1056">
            <v>11.522967903511651</v>
          </cell>
          <cell r="BW1056">
            <v>10.055977276238897</v>
          </cell>
          <cell r="BX1056">
            <v>8.6149332270911767</v>
          </cell>
          <cell r="BY1056">
            <v>11.497021325386617</v>
          </cell>
        </row>
        <row r="1057">
          <cell r="A1057">
            <v>40917</v>
          </cell>
          <cell r="BF1057">
            <v>15.303369510048563</v>
          </cell>
          <cell r="BG1057">
            <v>17.429620749261797</v>
          </cell>
          <cell r="BH1057">
            <v>16.109902701379674</v>
          </cell>
          <cell r="BI1057">
            <v>13.839355674417275</v>
          </cell>
          <cell r="BJ1057">
            <v>18.380449728342072</v>
          </cell>
          <cell r="BU1057">
            <v>9.2092331899404165</v>
          </cell>
          <cell r="BV1057">
            <v>11.522967903511651</v>
          </cell>
          <cell r="BW1057">
            <v>10.055977276238897</v>
          </cell>
          <cell r="BX1057">
            <v>8.6149332270911767</v>
          </cell>
          <cell r="BY1057">
            <v>11.497021325386617</v>
          </cell>
        </row>
        <row r="1058">
          <cell r="A1058">
            <v>40918</v>
          </cell>
          <cell r="BF1058">
            <v>15.378965709574464</v>
          </cell>
          <cell r="BG1058">
            <v>17.429620749261797</v>
          </cell>
          <cell r="BH1058">
            <v>16.109902701379674</v>
          </cell>
          <cell r="BI1058">
            <v>13.839355674417275</v>
          </cell>
          <cell r="BJ1058">
            <v>18.380449728342072</v>
          </cell>
          <cell r="BU1058">
            <v>9.2620461422356239</v>
          </cell>
          <cell r="BV1058">
            <v>11.522967903511651</v>
          </cell>
          <cell r="BW1058">
            <v>10.055977276238897</v>
          </cell>
          <cell r="BX1058">
            <v>8.6149332270911767</v>
          </cell>
          <cell r="BY1058">
            <v>11.497021325386617</v>
          </cell>
        </row>
        <row r="1059">
          <cell r="A1059">
            <v>40919</v>
          </cell>
          <cell r="BF1059">
            <v>15.222555484993887</v>
          </cell>
          <cell r="BG1059">
            <v>17.429620749261797</v>
          </cell>
          <cell r="BH1059">
            <v>16.109902701379674</v>
          </cell>
          <cell r="BI1059">
            <v>13.839355674417275</v>
          </cell>
          <cell r="BJ1059">
            <v>18.380449728342072</v>
          </cell>
          <cell r="BU1059">
            <v>9.1722638328581763</v>
          </cell>
          <cell r="BV1059">
            <v>11.522967903511651</v>
          </cell>
          <cell r="BW1059">
            <v>10.055977276238897</v>
          </cell>
          <cell r="BX1059">
            <v>8.6149332270911767</v>
          </cell>
          <cell r="BY1059">
            <v>11.497021325386617</v>
          </cell>
        </row>
        <row r="1060">
          <cell r="A1060">
            <v>40920</v>
          </cell>
          <cell r="BF1060">
            <v>14.857396614502814</v>
          </cell>
          <cell r="BG1060">
            <v>17.429620749261797</v>
          </cell>
          <cell r="BH1060">
            <v>16.109902701379674</v>
          </cell>
          <cell r="BI1060">
            <v>13.839355674417275</v>
          </cell>
          <cell r="BJ1060">
            <v>18.380449728342072</v>
          </cell>
          <cell r="BU1060">
            <v>8.9952849169070976</v>
          </cell>
          <cell r="BV1060">
            <v>11.522967903511651</v>
          </cell>
          <cell r="BW1060">
            <v>10.055977276238897</v>
          </cell>
          <cell r="BX1060">
            <v>8.6149332270911767</v>
          </cell>
          <cell r="BY1060">
            <v>11.497021325386617</v>
          </cell>
        </row>
        <row r="1061">
          <cell r="A1061">
            <v>40921</v>
          </cell>
          <cell r="BF1061">
            <v>14.668313864741418</v>
          </cell>
          <cell r="BG1061">
            <v>17.429620749261797</v>
          </cell>
          <cell r="BH1061">
            <v>16.109902701379674</v>
          </cell>
          <cell r="BI1061">
            <v>13.839355674417275</v>
          </cell>
          <cell r="BJ1061">
            <v>18.380449728342072</v>
          </cell>
          <cell r="BU1061">
            <v>8.9010629774303585</v>
          </cell>
          <cell r="BV1061">
            <v>11.522967903511651</v>
          </cell>
          <cell r="BW1061">
            <v>10.055977276238897</v>
          </cell>
          <cell r="BX1061">
            <v>8.6149332270911767</v>
          </cell>
          <cell r="BY1061">
            <v>11.497021325386617</v>
          </cell>
        </row>
        <row r="1062">
          <cell r="A1062">
            <v>40924</v>
          </cell>
          <cell r="BF1062">
            <v>14.5643163197026</v>
          </cell>
          <cell r="BG1062">
            <v>17.429620749261797</v>
          </cell>
          <cell r="BH1062">
            <v>16.109902701379674</v>
          </cell>
          <cell r="BI1062">
            <v>13.839355674417275</v>
          </cell>
          <cell r="BJ1062">
            <v>18.380449728342072</v>
          </cell>
          <cell r="BU1062">
            <v>8.8431963799822206</v>
          </cell>
          <cell r="BV1062">
            <v>11.522967903511651</v>
          </cell>
          <cell r="BW1062">
            <v>10.055977276238897</v>
          </cell>
          <cell r="BX1062">
            <v>8.6149332270911767</v>
          </cell>
          <cell r="BY1062">
            <v>11.497021325386617</v>
          </cell>
        </row>
        <row r="1063">
          <cell r="A1063">
            <v>40925</v>
          </cell>
          <cell r="BF1063">
            <v>14.455586907873</v>
          </cell>
          <cell r="BG1063">
            <v>17.429620749261797</v>
          </cell>
          <cell r="BH1063">
            <v>16.109902701379674</v>
          </cell>
          <cell r="BI1063">
            <v>13.839355674417275</v>
          </cell>
          <cell r="BJ1063">
            <v>18.380449728342072</v>
          </cell>
          <cell r="BU1063">
            <v>8.7826968643180017</v>
          </cell>
          <cell r="BV1063">
            <v>11.522967903511651</v>
          </cell>
          <cell r="BW1063">
            <v>10.055977276238897</v>
          </cell>
          <cell r="BX1063">
            <v>8.6149332270911767</v>
          </cell>
          <cell r="BY1063">
            <v>11.497021325386617</v>
          </cell>
        </row>
        <row r="1064">
          <cell r="A1064">
            <v>40926</v>
          </cell>
          <cell r="BF1064">
            <v>14.436681658266238</v>
          </cell>
          <cell r="BG1064">
            <v>17.429620749261797</v>
          </cell>
          <cell r="BH1064">
            <v>16.109902701379674</v>
          </cell>
          <cell r="BI1064">
            <v>13.839355674417275</v>
          </cell>
          <cell r="BJ1064">
            <v>18.380449728342072</v>
          </cell>
          <cell r="BU1064">
            <v>8.7721775538069444</v>
          </cell>
          <cell r="BV1064">
            <v>11.522967903511651</v>
          </cell>
          <cell r="BW1064">
            <v>10.055977276238897</v>
          </cell>
          <cell r="BX1064">
            <v>8.6149332270911767</v>
          </cell>
          <cell r="BY1064">
            <v>11.497021325386617</v>
          </cell>
        </row>
        <row r="1065">
          <cell r="A1065">
            <v>40927</v>
          </cell>
          <cell r="BF1065">
            <v>14.635220578185754</v>
          </cell>
          <cell r="BG1065">
            <v>17.429620749261797</v>
          </cell>
          <cell r="BH1065">
            <v>16.109902701379674</v>
          </cell>
          <cell r="BI1065">
            <v>13.839355674417275</v>
          </cell>
          <cell r="BJ1065">
            <v>18.380449728342072</v>
          </cell>
          <cell r="BU1065">
            <v>8.8826491207317453</v>
          </cell>
          <cell r="BV1065">
            <v>11.522967903511651</v>
          </cell>
          <cell r="BW1065">
            <v>10.055977276238897</v>
          </cell>
          <cell r="BX1065">
            <v>8.6149332270911767</v>
          </cell>
          <cell r="BY1065">
            <v>11.497021325386617</v>
          </cell>
        </row>
        <row r="1066">
          <cell r="A1066">
            <v>40928</v>
          </cell>
          <cell r="BF1066">
            <v>14.673038640822721</v>
          </cell>
          <cell r="BG1066">
            <v>17.429620749261797</v>
          </cell>
          <cell r="BH1066">
            <v>16.109902701379674</v>
          </cell>
          <cell r="BI1066">
            <v>13.839355674417275</v>
          </cell>
          <cell r="BJ1066">
            <v>18.380449728342072</v>
          </cell>
          <cell r="BU1066">
            <v>8.9036919502145455</v>
          </cell>
          <cell r="BV1066">
            <v>11.522967903511651</v>
          </cell>
          <cell r="BW1066">
            <v>10.055977276238897</v>
          </cell>
          <cell r="BX1066">
            <v>8.6149332270911767</v>
          </cell>
          <cell r="BY1066">
            <v>11.497021325386617</v>
          </cell>
        </row>
        <row r="1067">
          <cell r="A1067">
            <v>40931</v>
          </cell>
          <cell r="BF1067">
            <v>14.654132918501993</v>
          </cell>
          <cell r="BG1067">
            <v>17.429620749261797</v>
          </cell>
          <cell r="BH1067">
            <v>16.109902701379674</v>
          </cell>
          <cell r="BI1067">
            <v>13.839355674417275</v>
          </cell>
          <cell r="BJ1067">
            <v>18.380449728342072</v>
          </cell>
          <cell r="BU1067">
            <v>8.8931723766746948</v>
          </cell>
          <cell r="BV1067">
            <v>11.522967903511651</v>
          </cell>
          <cell r="BW1067">
            <v>10.055977276238897</v>
          </cell>
          <cell r="BX1067">
            <v>8.6149332270911767</v>
          </cell>
          <cell r="BY1067">
            <v>11.497021325386617</v>
          </cell>
        </row>
        <row r="1068">
          <cell r="A1068">
            <v>40932</v>
          </cell>
          <cell r="BF1068">
            <v>14.885758506981661</v>
          </cell>
          <cell r="BG1068">
            <v>17.429620749261797</v>
          </cell>
          <cell r="BH1068">
            <v>16.109902701379674</v>
          </cell>
          <cell r="BI1068">
            <v>13.839355674417275</v>
          </cell>
          <cell r="BJ1068">
            <v>18.380449728342072</v>
          </cell>
          <cell r="BU1068">
            <v>9.0220541178950082</v>
          </cell>
          <cell r="BV1068">
            <v>11.522967903511651</v>
          </cell>
          <cell r="BW1068">
            <v>10.055977276238897</v>
          </cell>
          <cell r="BX1068">
            <v>8.6149332270911767</v>
          </cell>
          <cell r="BY1068">
            <v>11.497021325386617</v>
          </cell>
        </row>
        <row r="1069">
          <cell r="A1069">
            <v>40933</v>
          </cell>
          <cell r="BF1069">
            <v>15.150476909303027</v>
          </cell>
          <cell r="BG1069">
            <v>17.429620749261797</v>
          </cell>
          <cell r="BH1069">
            <v>16.109902701379674</v>
          </cell>
          <cell r="BI1069">
            <v>13.839355674417275</v>
          </cell>
          <cell r="BJ1069">
            <v>18.380449728342072</v>
          </cell>
          <cell r="BU1069">
            <v>9.169056065882458</v>
          </cell>
          <cell r="BV1069">
            <v>11.522967903511651</v>
          </cell>
          <cell r="BW1069">
            <v>10.055977276238897</v>
          </cell>
          <cell r="BX1069">
            <v>8.6149332270911767</v>
          </cell>
          <cell r="BY1069">
            <v>11.497021325386617</v>
          </cell>
        </row>
        <row r="1070">
          <cell r="A1070">
            <v>40934</v>
          </cell>
          <cell r="BF1070">
            <v>15.254474927055812</v>
          </cell>
          <cell r="BG1070">
            <v>17.429620749261797</v>
          </cell>
          <cell r="BH1070">
            <v>16.109902701379674</v>
          </cell>
          <cell r="BI1070">
            <v>13.839355674417275</v>
          </cell>
          <cell r="BJ1070">
            <v>18.380449728342072</v>
          </cell>
          <cell r="BU1070">
            <v>9.2269210748235704</v>
          </cell>
          <cell r="BV1070">
            <v>11.522967903511651</v>
          </cell>
          <cell r="BW1070">
            <v>10.055977276238897</v>
          </cell>
          <cell r="BX1070">
            <v>8.6149332270911767</v>
          </cell>
          <cell r="BY1070">
            <v>11.497021325386617</v>
          </cell>
        </row>
        <row r="1071">
          <cell r="A1071">
            <v>40935</v>
          </cell>
          <cell r="BF1071">
            <v>15.297017293060117</v>
          </cell>
          <cell r="BG1071">
            <v>17.429620749261797</v>
          </cell>
          <cell r="BH1071">
            <v>16.109902701379674</v>
          </cell>
          <cell r="BI1071">
            <v>13.839355674417275</v>
          </cell>
          <cell r="BJ1071">
            <v>18.380449728342072</v>
          </cell>
          <cell r="BU1071">
            <v>9.2505918566558449</v>
          </cell>
          <cell r="BV1071">
            <v>11.522967903511651</v>
          </cell>
          <cell r="BW1071">
            <v>10.055977276238897</v>
          </cell>
          <cell r="BX1071">
            <v>8.6149332270911767</v>
          </cell>
          <cell r="BY1071">
            <v>11.497021325386617</v>
          </cell>
        </row>
        <row r="1072">
          <cell r="A1072">
            <v>40938</v>
          </cell>
          <cell r="BF1072">
            <v>15.287568213611474</v>
          </cell>
          <cell r="BG1072">
            <v>17.429620749261797</v>
          </cell>
          <cell r="BH1072">
            <v>16.109902701379674</v>
          </cell>
          <cell r="BI1072">
            <v>13.839355674417275</v>
          </cell>
          <cell r="BJ1072">
            <v>18.380449728342072</v>
          </cell>
          <cell r="BU1072">
            <v>9.2453343423435932</v>
          </cell>
          <cell r="BV1072">
            <v>11.522967903511651</v>
          </cell>
          <cell r="BW1072">
            <v>10.055977276238897</v>
          </cell>
          <cell r="BX1072">
            <v>8.6149332270911767</v>
          </cell>
          <cell r="BY1072">
            <v>11.497021325386617</v>
          </cell>
        </row>
        <row r="1073">
          <cell r="A1073">
            <v>40939</v>
          </cell>
          <cell r="BF1073">
            <v>15.159933552175112</v>
          </cell>
          <cell r="BG1073">
            <v>17.429620749261797</v>
          </cell>
          <cell r="BH1073">
            <v>16.109902701379674</v>
          </cell>
          <cell r="BI1073">
            <v>13.839355674417275</v>
          </cell>
          <cell r="BJ1073">
            <v>18.380449728342072</v>
          </cell>
          <cell r="BU1073">
            <v>9.1743177885207388</v>
          </cell>
          <cell r="BV1073">
            <v>11.522967903511651</v>
          </cell>
          <cell r="BW1073">
            <v>10.055977276238897</v>
          </cell>
          <cell r="BX1073">
            <v>8.6149332270911767</v>
          </cell>
          <cell r="BY1073">
            <v>11.497021325386617</v>
          </cell>
        </row>
        <row r="1074">
          <cell r="A1074">
            <v>40940</v>
          </cell>
          <cell r="BF1074">
            <v>15.08325248343542</v>
          </cell>
          <cell r="BG1074">
            <v>17.429620749261797</v>
          </cell>
          <cell r="BH1074">
            <v>16.109902701379674</v>
          </cell>
          <cell r="BI1074">
            <v>13.839355674417275</v>
          </cell>
          <cell r="BJ1074">
            <v>18.380449728342072</v>
          </cell>
          <cell r="BU1074">
            <v>9.1559082032859926</v>
          </cell>
          <cell r="BV1074">
            <v>11.522967903511651</v>
          </cell>
          <cell r="BW1074">
            <v>10.055977276238897</v>
          </cell>
          <cell r="BX1074">
            <v>8.6149332270911767</v>
          </cell>
          <cell r="BY1074">
            <v>11.497021325386617</v>
          </cell>
        </row>
        <row r="1075">
          <cell r="A1075">
            <v>40941</v>
          </cell>
          <cell r="BF1075">
            <v>14.988976499194267</v>
          </cell>
          <cell r="BG1075">
            <v>17.429620749261797</v>
          </cell>
          <cell r="BH1075">
            <v>16.109902701379674</v>
          </cell>
          <cell r="BI1075">
            <v>13.839355674417275</v>
          </cell>
          <cell r="BJ1075">
            <v>18.380449728342072</v>
          </cell>
          <cell r="BU1075">
            <v>9.1033009716775091</v>
          </cell>
          <cell r="BV1075">
            <v>11.522967903511651</v>
          </cell>
          <cell r="BW1075">
            <v>10.055977276238897</v>
          </cell>
          <cell r="BX1075">
            <v>8.6149332270911767</v>
          </cell>
          <cell r="BY1075">
            <v>11.497021325386617</v>
          </cell>
        </row>
        <row r="1076">
          <cell r="A1076">
            <v>40942</v>
          </cell>
          <cell r="BF1076">
            <v>14.96541457340858</v>
          </cell>
          <cell r="BG1076">
            <v>17.429620749261797</v>
          </cell>
          <cell r="BH1076">
            <v>16.109902701379674</v>
          </cell>
          <cell r="BI1076">
            <v>13.839355674417275</v>
          </cell>
          <cell r="BJ1076">
            <v>18.380449728342072</v>
          </cell>
          <cell r="BU1076">
            <v>9.0901531090810419</v>
          </cell>
          <cell r="BV1076">
            <v>11.522967903511651</v>
          </cell>
          <cell r="BW1076">
            <v>10.055977276238897</v>
          </cell>
          <cell r="BX1076">
            <v>8.6149332270911767</v>
          </cell>
          <cell r="BY1076">
            <v>11.497021325386617</v>
          </cell>
        </row>
        <row r="1077">
          <cell r="A1077">
            <v>40945</v>
          </cell>
          <cell r="BF1077">
            <v>15.346869981552862</v>
          </cell>
          <cell r="BG1077">
            <v>17.429620749261797</v>
          </cell>
          <cell r="BH1077">
            <v>16.109902701379674</v>
          </cell>
          <cell r="BI1077">
            <v>13.839355674417275</v>
          </cell>
          <cell r="BJ1077">
            <v>18.380449728342072</v>
          </cell>
          <cell r="BU1077">
            <v>9.3198389114818365</v>
          </cell>
          <cell r="BV1077">
            <v>11.522967903511651</v>
          </cell>
          <cell r="BW1077">
            <v>10.055977276238897</v>
          </cell>
          <cell r="BX1077">
            <v>8.6149332270911767</v>
          </cell>
          <cell r="BY1077">
            <v>11.497021325386617</v>
          </cell>
        </row>
        <row r="1078">
          <cell r="A1078">
            <v>40946</v>
          </cell>
          <cell r="BF1078">
            <v>15.39045981437356</v>
          </cell>
          <cell r="BG1078">
            <v>17.429620749261797</v>
          </cell>
          <cell r="BH1078">
            <v>16.109902701379674</v>
          </cell>
          <cell r="BI1078">
            <v>13.839355674417275</v>
          </cell>
          <cell r="BJ1078">
            <v>18.380449728342072</v>
          </cell>
          <cell r="BU1078">
            <v>9.2573041893665007</v>
          </cell>
          <cell r="BV1078">
            <v>11.522967903511651</v>
          </cell>
          <cell r="BW1078">
            <v>10.055977276238897</v>
          </cell>
          <cell r="BX1078">
            <v>8.6149332270911767</v>
          </cell>
          <cell r="BY1078">
            <v>11.497021325386617</v>
          </cell>
        </row>
        <row r="1079">
          <cell r="A1079">
            <v>40947</v>
          </cell>
          <cell r="BF1079">
            <v>15.579246232125712</v>
          </cell>
          <cell r="BG1079">
            <v>17.429620749261797</v>
          </cell>
          <cell r="BH1079">
            <v>16.109902701379674</v>
          </cell>
          <cell r="BI1079">
            <v>13.839355674417275</v>
          </cell>
          <cell r="BJ1079">
            <v>18.380449728342072</v>
          </cell>
          <cell r="BU1079">
            <v>9.3618479309599607</v>
          </cell>
          <cell r="BV1079">
            <v>11.522967903511651</v>
          </cell>
          <cell r="BW1079">
            <v>10.055977276238897</v>
          </cell>
          <cell r="BX1079">
            <v>8.6149332270911767</v>
          </cell>
          <cell r="BY1079">
            <v>11.497021325386617</v>
          </cell>
        </row>
        <row r="1080">
          <cell r="A1080">
            <v>40948</v>
          </cell>
          <cell r="BF1080">
            <v>15.530319100870827</v>
          </cell>
          <cell r="BG1080">
            <v>17.429620749261797</v>
          </cell>
          <cell r="BH1080">
            <v>16.109902701379674</v>
          </cell>
          <cell r="BI1080">
            <v>13.839355674417275</v>
          </cell>
          <cell r="BJ1080">
            <v>18.380449728342072</v>
          </cell>
          <cell r="BU1080">
            <v>9.3435513583385106</v>
          </cell>
          <cell r="BV1080">
            <v>11.522967903511651</v>
          </cell>
          <cell r="BW1080">
            <v>10.055977276238897</v>
          </cell>
          <cell r="BX1080">
            <v>8.6149332270911767</v>
          </cell>
          <cell r="BY1080">
            <v>11.497021325386617</v>
          </cell>
        </row>
        <row r="1081">
          <cell r="A1081">
            <v>40949</v>
          </cell>
          <cell r="BF1081">
            <v>15.747199567503516</v>
          </cell>
          <cell r="BG1081">
            <v>17.429620749261797</v>
          </cell>
          <cell r="BH1081">
            <v>16.109902701379674</v>
          </cell>
          <cell r="BI1081">
            <v>13.839355674417275</v>
          </cell>
          <cell r="BJ1081">
            <v>18.380449728342072</v>
          </cell>
          <cell r="BU1081">
            <v>9.4637755242833794</v>
          </cell>
          <cell r="BV1081">
            <v>11.522967903511651</v>
          </cell>
          <cell r="BW1081">
            <v>10.055977276238897</v>
          </cell>
          <cell r="BX1081">
            <v>8.6149332270911767</v>
          </cell>
          <cell r="BY1081">
            <v>11.497021325386617</v>
          </cell>
        </row>
        <row r="1082">
          <cell r="A1082">
            <v>40952</v>
          </cell>
          <cell r="BF1082">
            <v>15.644857943925233</v>
          </cell>
          <cell r="BG1082">
            <v>17.429620749261797</v>
          </cell>
          <cell r="BH1082">
            <v>16.109902701379674</v>
          </cell>
          <cell r="BI1082">
            <v>13.839355674417275</v>
          </cell>
          <cell r="BJ1082">
            <v>18.380449728342072</v>
          </cell>
          <cell r="BU1082">
            <v>9.4378391744101044</v>
          </cell>
          <cell r="BV1082">
            <v>11.522967903511651</v>
          </cell>
          <cell r="BW1082">
            <v>10.055977276238897</v>
          </cell>
          <cell r="BX1082">
            <v>8.6149332270911767</v>
          </cell>
          <cell r="BY1082">
            <v>11.497021325386617</v>
          </cell>
        </row>
        <row r="1083">
          <cell r="A1083">
            <v>40953</v>
          </cell>
          <cell r="BF1083">
            <v>15.556071962616821</v>
          </cell>
          <cell r="BG1083">
            <v>17.429620749261797</v>
          </cell>
          <cell r="BH1083">
            <v>16.109902701379674</v>
          </cell>
          <cell r="BI1083">
            <v>13.839355674417275</v>
          </cell>
          <cell r="BJ1083">
            <v>18.380449728342072</v>
          </cell>
          <cell r="BU1083">
            <v>9.3884267525694138</v>
          </cell>
          <cell r="BV1083">
            <v>11.522967903511651</v>
          </cell>
          <cell r="BW1083">
            <v>10.055977276238897</v>
          </cell>
          <cell r="BX1083">
            <v>8.6149332270911767</v>
          </cell>
          <cell r="BY1083">
            <v>11.497021325386617</v>
          </cell>
        </row>
        <row r="1084">
          <cell r="A1084">
            <v>40954</v>
          </cell>
          <cell r="BF1084">
            <v>15.406535514018691</v>
          </cell>
          <cell r="BG1084">
            <v>17.429620749261797</v>
          </cell>
          <cell r="BH1084">
            <v>16.109902701379674</v>
          </cell>
          <cell r="BI1084">
            <v>13.839355674417275</v>
          </cell>
          <cell r="BJ1084">
            <v>18.380449728342072</v>
          </cell>
          <cell r="BU1084">
            <v>9.3052046270739108</v>
          </cell>
          <cell r="BV1084">
            <v>11.522967903511651</v>
          </cell>
          <cell r="BW1084">
            <v>10.055977276238897</v>
          </cell>
          <cell r="BX1084">
            <v>8.6149332270911767</v>
          </cell>
          <cell r="BY1084">
            <v>11.497021325386617</v>
          </cell>
        </row>
        <row r="1085">
          <cell r="A1085">
            <v>40955</v>
          </cell>
          <cell r="BF1085">
            <v>15.425231308411215</v>
          </cell>
          <cell r="BG1085">
            <v>17.429620749261797</v>
          </cell>
          <cell r="BH1085">
            <v>16.109902701379674</v>
          </cell>
          <cell r="BI1085">
            <v>13.839355674417275</v>
          </cell>
          <cell r="BJ1085">
            <v>18.380449728342072</v>
          </cell>
          <cell r="BU1085">
            <v>9.3156094732619756</v>
          </cell>
          <cell r="BV1085">
            <v>11.522967903511651</v>
          </cell>
          <cell r="BW1085">
            <v>10.055977276238897</v>
          </cell>
          <cell r="BX1085">
            <v>8.6149332270911767</v>
          </cell>
          <cell r="BY1085">
            <v>11.497021325386617</v>
          </cell>
        </row>
        <row r="1086">
          <cell r="A1086">
            <v>40956</v>
          </cell>
          <cell r="BF1086">
            <v>15.425231308411215</v>
          </cell>
          <cell r="BG1086">
            <v>17.429620749261797</v>
          </cell>
          <cell r="BH1086">
            <v>16.109902701379674</v>
          </cell>
          <cell r="BI1086">
            <v>13.839355674417275</v>
          </cell>
          <cell r="BJ1086">
            <v>18.380449728342072</v>
          </cell>
          <cell r="BU1086">
            <v>9.3156094732619756</v>
          </cell>
          <cell r="BV1086">
            <v>11.522967903511651</v>
          </cell>
          <cell r="BW1086">
            <v>10.055977276238897</v>
          </cell>
          <cell r="BX1086">
            <v>8.6149332270911767</v>
          </cell>
          <cell r="BY1086">
            <v>11.497021325386617</v>
          </cell>
        </row>
        <row r="1087">
          <cell r="A1087">
            <v>40959</v>
          </cell>
          <cell r="BF1087">
            <v>15.196257009345793</v>
          </cell>
          <cell r="BG1087">
            <v>17.429620749261797</v>
          </cell>
          <cell r="BH1087">
            <v>16.109902701379674</v>
          </cell>
          <cell r="BI1087">
            <v>13.839355674417275</v>
          </cell>
          <cell r="BJ1087">
            <v>18.380449728342072</v>
          </cell>
          <cell r="BU1087">
            <v>9.1881774790511344</v>
          </cell>
          <cell r="BV1087">
            <v>11.522967903511651</v>
          </cell>
          <cell r="BW1087">
            <v>10.055977276238897</v>
          </cell>
          <cell r="BX1087">
            <v>8.6149332270911767</v>
          </cell>
          <cell r="BY1087">
            <v>11.497021325386617</v>
          </cell>
        </row>
        <row r="1088">
          <cell r="A1088">
            <v>40960</v>
          </cell>
          <cell r="BF1088">
            <v>15.009325093283582</v>
          </cell>
          <cell r="BG1088">
            <v>17.429620749261797</v>
          </cell>
          <cell r="BH1088">
            <v>16.109902701379674</v>
          </cell>
          <cell r="BI1088">
            <v>13.839355674417275</v>
          </cell>
          <cell r="BJ1088">
            <v>18.380449728342072</v>
          </cell>
          <cell r="BU1088">
            <v>9.1377022378796724</v>
          </cell>
          <cell r="BV1088">
            <v>11.522967903511651</v>
          </cell>
          <cell r="BW1088">
            <v>10.055977276238897</v>
          </cell>
          <cell r="BX1088">
            <v>8.6149332270911767</v>
          </cell>
          <cell r="BY1088">
            <v>11.497021325386617</v>
          </cell>
        </row>
        <row r="1089">
          <cell r="A1089">
            <v>40961</v>
          </cell>
          <cell r="BF1089">
            <v>15.172574160447759</v>
          </cell>
          <cell r="BG1089">
            <v>17.429620749261797</v>
          </cell>
          <cell r="BH1089">
            <v>16.109902701379674</v>
          </cell>
          <cell r="BI1089">
            <v>13.839355674417275</v>
          </cell>
          <cell r="BJ1089">
            <v>18.380449728342072</v>
          </cell>
          <cell r="BU1089">
            <v>9.2291052832960023</v>
          </cell>
          <cell r="BV1089">
            <v>11.522967903511651</v>
          </cell>
          <cell r="BW1089">
            <v>10.055977276238897</v>
          </cell>
          <cell r="BX1089">
            <v>8.6149332270911767</v>
          </cell>
          <cell r="BY1089">
            <v>11.497021325386617</v>
          </cell>
        </row>
        <row r="1090">
          <cell r="A1090">
            <v>40962</v>
          </cell>
          <cell r="BF1090">
            <v>15.429098414179105</v>
          </cell>
          <cell r="BG1090">
            <v>17.429620749261797</v>
          </cell>
          <cell r="BH1090">
            <v>16.109902701379674</v>
          </cell>
          <cell r="BI1090">
            <v>13.839355674417275</v>
          </cell>
          <cell r="BJ1090">
            <v>18.380449728342072</v>
          </cell>
          <cell r="BU1090">
            <v>9.3727330443699248</v>
          </cell>
          <cell r="BV1090">
            <v>11.522967903511651</v>
          </cell>
          <cell r="BW1090">
            <v>10.055977276238897</v>
          </cell>
          <cell r="BX1090">
            <v>8.6149332270911767</v>
          </cell>
          <cell r="BY1090">
            <v>11.497021325386617</v>
          </cell>
        </row>
        <row r="1091">
          <cell r="A1091">
            <v>40963</v>
          </cell>
          <cell r="BF1091">
            <v>15.340485074626866</v>
          </cell>
          <cell r="BG1091">
            <v>17.429620749261797</v>
          </cell>
          <cell r="BH1091">
            <v>16.109902701379674</v>
          </cell>
          <cell r="BI1091">
            <v>13.839355674417275</v>
          </cell>
          <cell r="BJ1091">
            <v>18.380449728342072</v>
          </cell>
          <cell r="BU1091">
            <v>9.3231184937921832</v>
          </cell>
          <cell r="BV1091">
            <v>11.522967903511651</v>
          </cell>
          <cell r="BW1091">
            <v>10.055977276238897</v>
          </cell>
          <cell r="BX1091">
            <v>8.6149332270911767</v>
          </cell>
          <cell r="BY1091">
            <v>11.497021325386617</v>
          </cell>
        </row>
        <row r="1092">
          <cell r="A1092">
            <v>40966</v>
          </cell>
          <cell r="BF1092">
            <v>15.209881529850746</v>
          </cell>
          <cell r="BG1092">
            <v>17.429620749261797</v>
          </cell>
          <cell r="BH1092">
            <v>16.109902701379674</v>
          </cell>
          <cell r="BI1092">
            <v>13.839355674417275</v>
          </cell>
          <cell r="BJ1092">
            <v>18.380449728342072</v>
          </cell>
          <cell r="BU1092">
            <v>9.2499936549059658</v>
          </cell>
          <cell r="BV1092">
            <v>11.522967903511651</v>
          </cell>
          <cell r="BW1092">
            <v>10.055977276238897</v>
          </cell>
          <cell r="BX1092">
            <v>8.6149332270911767</v>
          </cell>
          <cell r="BY1092">
            <v>11.497021325386617</v>
          </cell>
        </row>
        <row r="1093">
          <cell r="A1093">
            <v>40967</v>
          </cell>
          <cell r="BF1093">
            <v>15.542508181502772</v>
          </cell>
          <cell r="BG1093">
            <v>17.429620749261797</v>
          </cell>
          <cell r="BH1093">
            <v>16.109902701379674</v>
          </cell>
          <cell r="BI1093">
            <v>13.839355674417275</v>
          </cell>
          <cell r="BJ1093">
            <v>18.380449728342072</v>
          </cell>
          <cell r="BU1093">
            <v>9.3910151681062626</v>
          </cell>
          <cell r="BV1093">
            <v>11.522967903511651</v>
          </cell>
          <cell r="BW1093">
            <v>10.055977276238897</v>
          </cell>
          <cell r="BX1093">
            <v>8.6149332270911767</v>
          </cell>
          <cell r="BY1093">
            <v>11.497021325386617</v>
          </cell>
        </row>
        <row r="1094">
          <cell r="A1094">
            <v>40968</v>
          </cell>
          <cell r="BF1094">
            <v>15.570638485413951</v>
          </cell>
          <cell r="BG1094">
            <v>17.429620749261797</v>
          </cell>
          <cell r="BH1094">
            <v>16.109902701379674</v>
          </cell>
          <cell r="BI1094">
            <v>13.839355674417275</v>
          </cell>
          <cell r="BJ1094">
            <v>18.380449728342072</v>
          </cell>
          <cell r="BU1094">
            <v>9.4066834707036158</v>
          </cell>
          <cell r="BV1094">
            <v>11.522967903511651</v>
          </cell>
          <cell r="BW1094">
            <v>10.055977276238897</v>
          </cell>
          <cell r="BX1094">
            <v>8.6149332270911767</v>
          </cell>
          <cell r="BY1094">
            <v>11.497021325386617</v>
          </cell>
        </row>
        <row r="1095">
          <cell r="A1095">
            <v>40969</v>
          </cell>
          <cell r="BF1095">
            <v>15.392041039197212</v>
          </cell>
          <cell r="BG1095">
            <v>17.429620749261797</v>
          </cell>
          <cell r="BH1095">
            <v>16.109902701379674</v>
          </cell>
          <cell r="BI1095">
            <v>13.839355674417275</v>
          </cell>
          <cell r="BJ1095">
            <v>18.380449728342072</v>
          </cell>
          <cell r="BU1095">
            <v>9.3100603562746738</v>
          </cell>
          <cell r="BV1095">
            <v>11.522967903511651</v>
          </cell>
          <cell r="BW1095">
            <v>10.055977276238897</v>
          </cell>
          <cell r="BX1095">
            <v>8.6149332270911767</v>
          </cell>
          <cell r="BY1095">
            <v>11.497021325386617</v>
          </cell>
        </row>
        <row r="1096">
          <cell r="A1096">
            <v>40970</v>
          </cell>
          <cell r="BF1096">
            <v>15.438906621296699</v>
          </cell>
          <cell r="BG1096">
            <v>17.429620749261797</v>
          </cell>
          <cell r="BH1096">
            <v>16.109902701379674</v>
          </cell>
          <cell r="BI1096">
            <v>13.839355674417275</v>
          </cell>
          <cell r="BJ1096">
            <v>18.380449728342072</v>
          </cell>
          <cell r="BU1096">
            <v>9.3361727141034674</v>
          </cell>
          <cell r="BV1096">
            <v>11.522967903511651</v>
          </cell>
          <cell r="BW1096">
            <v>10.055977276238897</v>
          </cell>
          <cell r="BX1096">
            <v>8.6149332270911767</v>
          </cell>
          <cell r="BY1096">
            <v>11.497021325386617</v>
          </cell>
        </row>
        <row r="1097">
          <cell r="A1097">
            <v>40973</v>
          </cell>
          <cell r="BF1097">
            <v>15.190497147972646</v>
          </cell>
          <cell r="BG1097">
            <v>17.429620749261797</v>
          </cell>
          <cell r="BH1097">
            <v>16.109902701379674</v>
          </cell>
          <cell r="BI1097">
            <v>13.839355674417275</v>
          </cell>
          <cell r="BJ1097">
            <v>18.380449728342072</v>
          </cell>
          <cell r="BU1097">
            <v>9.1977650220421587</v>
          </cell>
          <cell r="BV1097">
            <v>11.522967903511651</v>
          </cell>
          <cell r="BW1097">
            <v>10.055977276238897</v>
          </cell>
          <cell r="BX1097">
            <v>8.6149332270911767</v>
          </cell>
          <cell r="BY1097">
            <v>11.497021325386617</v>
          </cell>
        </row>
        <row r="1098">
          <cell r="A1098">
            <v>40974</v>
          </cell>
          <cell r="BF1098">
            <v>15.242054397090321</v>
          </cell>
          <cell r="BG1098">
            <v>17.429620749261797</v>
          </cell>
          <cell r="BH1098">
            <v>16.109902701379674</v>
          </cell>
          <cell r="BI1098">
            <v>13.839355674417275</v>
          </cell>
          <cell r="BJ1098">
            <v>18.380449728342072</v>
          </cell>
          <cell r="BU1098">
            <v>9.2264914621570178</v>
          </cell>
          <cell r="BV1098">
            <v>11.522967903511651</v>
          </cell>
          <cell r="BW1098">
            <v>10.055977276238897</v>
          </cell>
          <cell r="BX1098">
            <v>8.6149332270911767</v>
          </cell>
          <cell r="BY1098">
            <v>11.497021325386617</v>
          </cell>
        </row>
        <row r="1099">
          <cell r="A1099">
            <v>40975</v>
          </cell>
          <cell r="BF1099">
            <v>15.424846149880247</v>
          </cell>
          <cell r="BG1099">
            <v>17.429620749261797</v>
          </cell>
          <cell r="BH1099">
            <v>16.109902701379674</v>
          </cell>
          <cell r="BI1099">
            <v>13.839355674417275</v>
          </cell>
          <cell r="BJ1099">
            <v>18.380449728342072</v>
          </cell>
          <cell r="BU1099">
            <v>9.3283385628047935</v>
          </cell>
          <cell r="BV1099">
            <v>11.522967903511651</v>
          </cell>
          <cell r="BW1099">
            <v>10.055977276238897</v>
          </cell>
          <cell r="BX1099">
            <v>8.6149332270911767</v>
          </cell>
          <cell r="BY1099">
            <v>11.497021325386617</v>
          </cell>
        </row>
        <row r="1100">
          <cell r="A1100">
            <v>40976</v>
          </cell>
          <cell r="BF1100">
            <v>15.571892768582451</v>
          </cell>
          <cell r="BG1100">
            <v>17.429620749261797</v>
          </cell>
          <cell r="BH1100">
            <v>16.109902701379674</v>
          </cell>
          <cell r="BI1100">
            <v>13.839355674417275</v>
          </cell>
          <cell r="BJ1100">
            <v>18.380449728342072</v>
          </cell>
          <cell r="BU1100">
            <v>9.4092933746363769</v>
          </cell>
          <cell r="BV1100">
            <v>11.522967903511651</v>
          </cell>
          <cell r="BW1100">
            <v>10.055977276238897</v>
          </cell>
          <cell r="BX1100">
            <v>8.6149332270911767</v>
          </cell>
          <cell r="BY1100">
            <v>11.497021325386617</v>
          </cell>
        </row>
        <row r="1101">
          <cell r="A1101">
            <v>40977</v>
          </cell>
          <cell r="BF1101">
            <v>15.932833176301839</v>
          </cell>
          <cell r="BG1101">
            <v>17.429620749261797</v>
          </cell>
          <cell r="BH1101">
            <v>16.109902701379674</v>
          </cell>
          <cell r="BI1101">
            <v>13.839355674417275</v>
          </cell>
          <cell r="BJ1101">
            <v>18.380449728342072</v>
          </cell>
          <cell r="BU1101">
            <v>9.6103779331462444</v>
          </cell>
          <cell r="BV1101">
            <v>11.522967903511651</v>
          </cell>
          <cell r="BW1101">
            <v>10.055977276238897</v>
          </cell>
          <cell r="BX1101">
            <v>8.6149332270911767</v>
          </cell>
          <cell r="BY1101">
            <v>11.497021325386617</v>
          </cell>
        </row>
        <row r="1102">
          <cell r="A1102">
            <v>40980</v>
          </cell>
          <cell r="BF1102">
            <v>15.979711062048533</v>
          </cell>
          <cell r="BG1102">
            <v>17.429620749261797</v>
          </cell>
          <cell r="BH1102">
            <v>16.109902701379674</v>
          </cell>
          <cell r="BI1102">
            <v>13.839355674417275</v>
          </cell>
          <cell r="BJ1102">
            <v>18.380449728342072</v>
          </cell>
          <cell r="BU1102">
            <v>9.6364942081812597</v>
          </cell>
          <cell r="BV1102">
            <v>11.522967903511651</v>
          </cell>
          <cell r="BW1102">
            <v>10.055977276238897</v>
          </cell>
          <cell r="BX1102">
            <v>8.6149332270911767</v>
          </cell>
          <cell r="BY1102">
            <v>11.497021325386617</v>
          </cell>
        </row>
        <row r="1103">
          <cell r="A1103">
            <v>40981</v>
          </cell>
          <cell r="BF1103">
            <v>16.070366064145791</v>
          </cell>
          <cell r="BG1103">
            <v>17.429620749261797</v>
          </cell>
          <cell r="BH1103">
            <v>16.109902701379674</v>
          </cell>
          <cell r="BI1103">
            <v>13.839355674417275</v>
          </cell>
          <cell r="BJ1103">
            <v>18.380449728342072</v>
          </cell>
          <cell r="BU1103">
            <v>9.6746347050154107</v>
          </cell>
          <cell r="BV1103">
            <v>11.522967903511651</v>
          </cell>
          <cell r="BW1103">
            <v>10.055977276238897</v>
          </cell>
          <cell r="BX1103">
            <v>8.6149332270911767</v>
          </cell>
          <cell r="BY1103">
            <v>11.497021325386617</v>
          </cell>
        </row>
        <row r="1104">
          <cell r="A1104">
            <v>40982</v>
          </cell>
          <cell r="BF1104">
            <v>16.042434717030204</v>
          </cell>
          <cell r="BG1104">
            <v>17.429620749261797</v>
          </cell>
          <cell r="BH1104">
            <v>16.109902701379674</v>
          </cell>
          <cell r="BI1104">
            <v>13.839355674417275</v>
          </cell>
          <cell r="BJ1104">
            <v>18.380449728342072</v>
          </cell>
          <cell r="BU1104">
            <v>9.6590855781903127</v>
          </cell>
          <cell r="BV1104">
            <v>11.522967903511651</v>
          </cell>
          <cell r="BW1104">
            <v>10.055977276238897</v>
          </cell>
          <cell r="BX1104">
            <v>8.6149332270911767</v>
          </cell>
          <cell r="BY1104">
            <v>11.497021325386617</v>
          </cell>
        </row>
        <row r="1105">
          <cell r="A1105">
            <v>40983</v>
          </cell>
          <cell r="BF1105">
            <v>15.963294193230148</v>
          </cell>
          <cell r="BG1105">
            <v>17.429620749261797</v>
          </cell>
          <cell r="BH1105">
            <v>16.109902701379674</v>
          </cell>
          <cell r="BI1105">
            <v>13.839355674417275</v>
          </cell>
          <cell r="BJ1105">
            <v>18.380449728342072</v>
          </cell>
          <cell r="BU1105">
            <v>9.6150287685964475</v>
          </cell>
          <cell r="BV1105">
            <v>11.522967903511651</v>
          </cell>
          <cell r="BW1105">
            <v>10.055977276238897</v>
          </cell>
          <cell r="BX1105">
            <v>8.6149332270911767</v>
          </cell>
          <cell r="BY1105">
            <v>11.497021325386617</v>
          </cell>
        </row>
        <row r="1106">
          <cell r="A1106">
            <v>40984</v>
          </cell>
          <cell r="BF1106">
            <v>15.618793302306823</v>
          </cell>
          <cell r="BG1106">
            <v>17.429620749261797</v>
          </cell>
          <cell r="BH1106">
            <v>16.109902701379674</v>
          </cell>
          <cell r="BI1106">
            <v>13.839355674417275</v>
          </cell>
          <cell r="BJ1106">
            <v>18.380449728342072</v>
          </cell>
          <cell r="BU1106">
            <v>9.4232482568238396</v>
          </cell>
          <cell r="BV1106">
            <v>11.522967903511651</v>
          </cell>
          <cell r="BW1106">
            <v>10.055977276238897</v>
          </cell>
          <cell r="BX1106">
            <v>8.6149332270911767</v>
          </cell>
          <cell r="BY1106">
            <v>11.497021325386617</v>
          </cell>
        </row>
        <row r="1107">
          <cell r="A1107">
            <v>40987</v>
          </cell>
          <cell r="BF1107">
            <v>15.595521990269521</v>
          </cell>
          <cell r="BG1107">
            <v>17.429620749261797</v>
          </cell>
          <cell r="BH1107">
            <v>16.109902701379674</v>
          </cell>
          <cell r="BI1107">
            <v>13.839355674417275</v>
          </cell>
          <cell r="BJ1107">
            <v>18.380449728342072</v>
          </cell>
          <cell r="BU1107">
            <v>9.4102933291307007</v>
          </cell>
          <cell r="BV1107">
            <v>11.522967903511651</v>
          </cell>
          <cell r="BW1107">
            <v>10.055977276238897</v>
          </cell>
          <cell r="BX1107">
            <v>8.6149332270911767</v>
          </cell>
          <cell r="BY1107">
            <v>11.497021325386617</v>
          </cell>
        </row>
        <row r="1108">
          <cell r="A1108">
            <v>40988</v>
          </cell>
          <cell r="BF1108">
            <v>15.744490881858544</v>
          </cell>
          <cell r="BG1108">
            <v>17.429620749261797</v>
          </cell>
          <cell r="BH1108">
            <v>16.109902701379674</v>
          </cell>
          <cell r="BI1108">
            <v>13.839355674417275</v>
          </cell>
          <cell r="BJ1108">
            <v>18.380449728342072</v>
          </cell>
          <cell r="BU1108">
            <v>9.4932229557873118</v>
          </cell>
          <cell r="BV1108">
            <v>11.522967903511651</v>
          </cell>
          <cell r="BW1108">
            <v>10.055977276238897</v>
          </cell>
          <cell r="BX1108">
            <v>8.6149332270911767</v>
          </cell>
          <cell r="BY1108">
            <v>11.497021325386617</v>
          </cell>
        </row>
        <row r="1109">
          <cell r="A1109">
            <v>40989</v>
          </cell>
          <cell r="BF1109">
            <v>15.683968618087054</v>
          </cell>
          <cell r="BG1109">
            <v>17.429620749261797</v>
          </cell>
          <cell r="BH1109">
            <v>16.109902701379674</v>
          </cell>
          <cell r="BI1109">
            <v>13.839355674417275</v>
          </cell>
          <cell r="BJ1109">
            <v>18.380449728342072</v>
          </cell>
          <cell r="BU1109">
            <v>9.4595307621659117</v>
          </cell>
          <cell r="BV1109">
            <v>11.522967903511651</v>
          </cell>
          <cell r="BW1109">
            <v>10.055977276238897</v>
          </cell>
          <cell r="BX1109">
            <v>8.6149332270911767</v>
          </cell>
          <cell r="BY1109">
            <v>11.497021325386617</v>
          </cell>
        </row>
        <row r="1110">
          <cell r="A1110">
            <v>40990</v>
          </cell>
          <cell r="BF1110">
            <v>15.604828094286999</v>
          </cell>
          <cell r="BG1110">
            <v>17.429620749261797</v>
          </cell>
          <cell r="BH1110">
            <v>16.109902701379674</v>
          </cell>
          <cell r="BI1110">
            <v>13.839355674417275</v>
          </cell>
          <cell r="BJ1110">
            <v>18.380449728342072</v>
          </cell>
          <cell r="BU1110">
            <v>9.4154739525720448</v>
          </cell>
          <cell r="BV1110">
            <v>11.522967903511651</v>
          </cell>
          <cell r="BW1110">
            <v>10.055977276238897</v>
          </cell>
          <cell r="BX1110">
            <v>8.6149332270911767</v>
          </cell>
          <cell r="BY1110">
            <v>11.497021325386617</v>
          </cell>
        </row>
        <row r="1111">
          <cell r="A1111">
            <v>40991</v>
          </cell>
          <cell r="BF1111">
            <v>15.594851045727806</v>
          </cell>
          <cell r="BG1111">
            <v>17.429620749261797</v>
          </cell>
          <cell r="BH1111">
            <v>16.109902701379674</v>
          </cell>
          <cell r="BI1111">
            <v>13.839355674417275</v>
          </cell>
          <cell r="BJ1111">
            <v>18.380449728342072</v>
          </cell>
          <cell r="BU1111">
            <v>9.4091646251630738</v>
          </cell>
          <cell r="BV1111">
            <v>11.522967903511651</v>
          </cell>
          <cell r="BW1111">
            <v>10.055977276238897</v>
          </cell>
          <cell r="BX1111">
            <v>8.6149332270911767</v>
          </cell>
          <cell r="BY1111">
            <v>11.497021325386617</v>
          </cell>
        </row>
        <row r="1112">
          <cell r="A1112">
            <v>40994</v>
          </cell>
          <cell r="BF1112">
            <v>15.464545365349375</v>
          </cell>
          <cell r="BG1112">
            <v>17.429620749261797</v>
          </cell>
          <cell r="BH1112">
            <v>16.109902701379674</v>
          </cell>
          <cell r="BI1112">
            <v>13.839355674417275</v>
          </cell>
          <cell r="BJ1112">
            <v>18.380449728342072</v>
          </cell>
          <cell r="BU1112">
            <v>9.3366285438601615</v>
          </cell>
          <cell r="BV1112">
            <v>11.522967903511651</v>
          </cell>
          <cell r="BW1112">
            <v>10.055977276238897</v>
          </cell>
          <cell r="BX1112">
            <v>8.6149332270911767</v>
          </cell>
          <cell r="BY1112">
            <v>11.497021325386617</v>
          </cell>
        </row>
        <row r="1113">
          <cell r="A1113">
            <v>40995</v>
          </cell>
          <cell r="BF1113">
            <v>15.571580694990971</v>
          </cell>
          <cell r="BG1113">
            <v>17.429620749261797</v>
          </cell>
          <cell r="BH1113">
            <v>16.109902701379674</v>
          </cell>
          <cell r="BI1113">
            <v>13.839355674417275</v>
          </cell>
          <cell r="BJ1113">
            <v>18.380449728342072</v>
          </cell>
          <cell r="BU1113">
            <v>9.3962109300663421</v>
          </cell>
          <cell r="BV1113">
            <v>11.522967903511651</v>
          </cell>
          <cell r="BW1113">
            <v>10.055977276238897</v>
          </cell>
          <cell r="BX1113">
            <v>8.6149332270911767</v>
          </cell>
          <cell r="BY1113">
            <v>11.497021325386617</v>
          </cell>
        </row>
        <row r="1114">
          <cell r="A1114">
            <v>40996</v>
          </cell>
          <cell r="BF1114">
            <v>15.604160489083993</v>
          </cell>
          <cell r="BG1114">
            <v>17.429620749261797</v>
          </cell>
          <cell r="BH1114">
            <v>16.109902701379674</v>
          </cell>
          <cell r="BI1114">
            <v>13.839355674417275</v>
          </cell>
          <cell r="BJ1114">
            <v>18.380449728342072</v>
          </cell>
          <cell r="BU1114">
            <v>9.4143468285651668</v>
          </cell>
          <cell r="BV1114">
            <v>11.522967903511651</v>
          </cell>
          <cell r="BW1114">
            <v>10.055977276238897</v>
          </cell>
          <cell r="BX1114">
            <v>8.6149332270911767</v>
          </cell>
          <cell r="BY1114">
            <v>11.497021325386617</v>
          </cell>
        </row>
        <row r="1115">
          <cell r="A1115">
            <v>40997</v>
          </cell>
          <cell r="BF1115">
            <v>15.259777634115087</v>
          </cell>
          <cell r="BG1115">
            <v>17.429620749261797</v>
          </cell>
          <cell r="BH1115">
            <v>16.109902701379674</v>
          </cell>
          <cell r="BI1115">
            <v>13.839355674417275</v>
          </cell>
          <cell r="BJ1115">
            <v>18.380449728342072</v>
          </cell>
          <cell r="BU1115">
            <v>9.2226423480328812</v>
          </cell>
          <cell r="BV1115">
            <v>11.522967903511651</v>
          </cell>
          <cell r="BW1115">
            <v>10.055977276238897</v>
          </cell>
          <cell r="BX1115">
            <v>8.6149332270911767</v>
          </cell>
          <cell r="BY1115">
            <v>11.497021325386617</v>
          </cell>
        </row>
        <row r="1116">
          <cell r="A1116">
            <v>40998</v>
          </cell>
          <cell r="BF1116">
            <v>15.008475716714422</v>
          </cell>
          <cell r="BG1116">
            <v>17.429620749261797</v>
          </cell>
          <cell r="BH1116">
            <v>16.109902701379674</v>
          </cell>
          <cell r="BI1116">
            <v>13.839355674417275</v>
          </cell>
          <cell r="BJ1116">
            <v>18.380449728342072</v>
          </cell>
          <cell r="BU1116">
            <v>9.0827523888291548</v>
          </cell>
          <cell r="BV1116">
            <v>11.522967903511651</v>
          </cell>
          <cell r="BW1116">
            <v>10.055977276238897</v>
          </cell>
          <cell r="BX1116">
            <v>8.6149332270911767</v>
          </cell>
          <cell r="BY1116">
            <v>11.497021325386617</v>
          </cell>
        </row>
        <row r="1117">
          <cell r="A1117">
            <v>41001</v>
          </cell>
          <cell r="BF1117">
            <v>15.203934469971609</v>
          </cell>
          <cell r="BG1117">
            <v>17.429620749261797</v>
          </cell>
          <cell r="BH1117">
            <v>16.109902701379674</v>
          </cell>
          <cell r="BI1117">
            <v>13.839355674417275</v>
          </cell>
          <cell r="BJ1117">
            <v>18.380449728342072</v>
          </cell>
          <cell r="BU1117">
            <v>9.1915566403127009</v>
          </cell>
          <cell r="BV1117">
            <v>11.522967903511651</v>
          </cell>
          <cell r="BW1117">
            <v>10.055977276238897</v>
          </cell>
          <cell r="BX1117">
            <v>8.6149332270911767</v>
          </cell>
          <cell r="BY1117">
            <v>11.497021325386617</v>
          </cell>
        </row>
        <row r="1118">
          <cell r="A1118">
            <v>41002</v>
          </cell>
          <cell r="BF1118">
            <v>15.194624561236328</v>
          </cell>
          <cell r="BG1118">
            <v>17.429620749261797</v>
          </cell>
          <cell r="BH1118">
            <v>16.109902701379674</v>
          </cell>
          <cell r="BI1118">
            <v>13.839355674417275</v>
          </cell>
          <cell r="BJ1118">
            <v>18.380449728342072</v>
          </cell>
          <cell r="BU1118">
            <v>9.1863741778522456</v>
          </cell>
          <cell r="BV1118">
            <v>11.522967903511651</v>
          </cell>
          <cell r="BW1118">
            <v>10.055977276238897</v>
          </cell>
          <cell r="BX1118">
            <v>8.6149332270911767</v>
          </cell>
          <cell r="BY1118">
            <v>11.497021325386617</v>
          </cell>
        </row>
        <row r="1119">
          <cell r="A1119">
            <v>41003</v>
          </cell>
          <cell r="BF1119">
            <v>15.198882996047145</v>
          </cell>
          <cell r="BG1119">
            <v>17.429620749261797</v>
          </cell>
          <cell r="BH1119">
            <v>16.109902701379674</v>
          </cell>
          <cell r="BI1119">
            <v>13.839355674417275</v>
          </cell>
          <cell r="BJ1119">
            <v>18.380449728342072</v>
          </cell>
          <cell r="BU1119">
            <v>9.2076972307244027</v>
          </cell>
          <cell r="BV1119">
            <v>11.522967903511651</v>
          </cell>
          <cell r="BW1119">
            <v>10.055977276238897</v>
          </cell>
          <cell r="BX1119">
            <v>8.6149332270911767</v>
          </cell>
          <cell r="BY1119">
            <v>11.497021325386617</v>
          </cell>
        </row>
        <row r="1120">
          <cell r="A1120">
            <v>41004</v>
          </cell>
          <cell r="BF1120">
            <v>15.595010062552589</v>
          </cell>
          <cell r="BG1120">
            <v>17.429620749261797</v>
          </cell>
          <cell r="BH1120">
            <v>16.109902701379674</v>
          </cell>
          <cell r="BI1120">
            <v>13.839355674417275</v>
          </cell>
          <cell r="BJ1120">
            <v>18.380449728342072</v>
          </cell>
          <cell r="BU1120">
            <v>9.3107636038284962</v>
          </cell>
          <cell r="BV1120">
            <v>11.522967903511651</v>
          </cell>
          <cell r="BW1120">
            <v>10.055977276238897</v>
          </cell>
          <cell r="BX1120">
            <v>8.6149332270911767</v>
          </cell>
          <cell r="BY1120">
            <v>11.497021325386617</v>
          </cell>
        </row>
        <row r="1121">
          <cell r="A1121">
            <v>41005</v>
          </cell>
          <cell r="BF1121">
            <v>15.797323643318039</v>
          </cell>
          <cell r="BG1121">
            <v>17.429620749261797</v>
          </cell>
          <cell r="BH1121">
            <v>16.109902701379674</v>
          </cell>
          <cell r="BI1121">
            <v>13.839355674417275</v>
          </cell>
          <cell r="BJ1121">
            <v>18.380449728342072</v>
          </cell>
          <cell r="BU1121">
            <v>9.4090848479180949</v>
          </cell>
          <cell r="BV1121">
            <v>11.522967903511651</v>
          </cell>
          <cell r="BW1121">
            <v>10.055977276238897</v>
          </cell>
          <cell r="BX1121">
            <v>8.6149332270911767</v>
          </cell>
          <cell r="BY1121">
            <v>11.497021325386617</v>
          </cell>
        </row>
        <row r="1122">
          <cell r="A1122">
            <v>41008</v>
          </cell>
          <cell r="BF1122">
            <v>15.797323643318039</v>
          </cell>
          <cell r="BG1122">
            <v>17.429620749261797</v>
          </cell>
          <cell r="BH1122">
            <v>16.109902701379674</v>
          </cell>
          <cell r="BI1122">
            <v>13.839355674417275</v>
          </cell>
          <cell r="BJ1122">
            <v>18.380449728342072</v>
          </cell>
          <cell r="BU1122">
            <v>9.4090848479180949</v>
          </cell>
          <cell r="BV1122">
            <v>11.522967903511651</v>
          </cell>
          <cell r="BW1122">
            <v>10.055977276238897</v>
          </cell>
          <cell r="BX1122">
            <v>8.6149332270911767</v>
          </cell>
          <cell r="BY1122">
            <v>11.497021325386617</v>
          </cell>
        </row>
        <row r="1123">
          <cell r="A1123">
            <v>41009</v>
          </cell>
          <cell r="BF1123">
            <v>15.927537736496099</v>
          </cell>
          <cell r="BG1123">
            <v>17.429620749261797</v>
          </cell>
          <cell r="BH1123">
            <v>16.109902701379674</v>
          </cell>
          <cell r="BI1123">
            <v>13.839355674417275</v>
          </cell>
          <cell r="BJ1123">
            <v>18.380449728342072</v>
          </cell>
          <cell r="BU1123">
            <v>9.4753790758081351</v>
          </cell>
          <cell r="BV1123">
            <v>11.522967903511651</v>
          </cell>
          <cell r="BW1123">
            <v>10.055977276238897</v>
          </cell>
          <cell r="BX1123">
            <v>8.6149332270911767</v>
          </cell>
          <cell r="BY1123">
            <v>11.497021325386617</v>
          </cell>
        </row>
        <row r="1124">
          <cell r="A1124">
            <v>41010</v>
          </cell>
          <cell r="BF1124">
            <v>15.662562064390352</v>
          </cell>
          <cell r="BG1124">
            <v>17.429620749261797</v>
          </cell>
          <cell r="BH1124">
            <v>16.109902701379674</v>
          </cell>
          <cell r="BI1124">
            <v>13.839355674417275</v>
          </cell>
          <cell r="BJ1124">
            <v>18.380449728342072</v>
          </cell>
          <cell r="BU1124">
            <v>9.321009476820219</v>
          </cell>
          <cell r="BV1124">
            <v>11.522967903511651</v>
          </cell>
          <cell r="BW1124">
            <v>10.055977276238897</v>
          </cell>
          <cell r="BX1124">
            <v>8.6149332270911767</v>
          </cell>
          <cell r="BY1124">
            <v>11.497021325386617</v>
          </cell>
        </row>
        <row r="1125">
          <cell r="A1125">
            <v>41011</v>
          </cell>
          <cell r="BF1125">
            <v>15.430455273603267</v>
          </cell>
          <cell r="BG1125">
            <v>17.429620749261797</v>
          </cell>
          <cell r="BH1125">
            <v>16.109902701379674</v>
          </cell>
          <cell r="BI1125">
            <v>13.839355674417275</v>
          </cell>
          <cell r="BJ1125">
            <v>18.380449728342072</v>
          </cell>
          <cell r="BU1125">
            <v>9.1923694307307482</v>
          </cell>
          <cell r="BV1125">
            <v>11.522967903511651</v>
          </cell>
          <cell r="BW1125">
            <v>10.055977276238897</v>
          </cell>
          <cell r="BX1125">
            <v>8.6149332270911767</v>
          </cell>
          <cell r="BY1125">
            <v>11.497021325386617</v>
          </cell>
        </row>
        <row r="1126">
          <cell r="A1126">
            <v>41012</v>
          </cell>
          <cell r="BF1126">
            <v>15.006705145016564</v>
          </cell>
          <cell r="BG1126">
            <v>17.429620749261797</v>
          </cell>
          <cell r="BH1126">
            <v>16.109902701379674</v>
          </cell>
          <cell r="BI1126">
            <v>13.839355674417275</v>
          </cell>
          <cell r="BJ1126">
            <v>18.380449728342072</v>
          </cell>
          <cell r="BU1126">
            <v>8.9795562821512362</v>
          </cell>
          <cell r="BV1126">
            <v>11.522967903511651</v>
          </cell>
          <cell r="BW1126">
            <v>10.055977276238897</v>
          </cell>
          <cell r="BX1126">
            <v>8.6149332270911767</v>
          </cell>
          <cell r="BY1126">
            <v>11.497021325386617</v>
          </cell>
        </row>
        <row r="1127">
          <cell r="A1127">
            <v>41015</v>
          </cell>
          <cell r="BF1127">
            <v>14.910040301762246</v>
          </cell>
          <cell r="BG1127">
            <v>17.429620749261797</v>
          </cell>
          <cell r="BH1127">
            <v>16.109902701379674</v>
          </cell>
          <cell r="BI1127">
            <v>13.839355674417275</v>
          </cell>
          <cell r="BJ1127">
            <v>18.380449728342072</v>
          </cell>
          <cell r="BU1127">
            <v>8.9258179561858348</v>
          </cell>
          <cell r="BV1127">
            <v>11.522967903511651</v>
          </cell>
          <cell r="BW1127">
            <v>10.055977276238897</v>
          </cell>
          <cell r="BX1127">
            <v>8.6149332270911767</v>
          </cell>
          <cell r="BY1127">
            <v>11.497021325386617</v>
          </cell>
        </row>
        <row r="1128">
          <cell r="A1128">
            <v>41016</v>
          </cell>
          <cell r="BF1128">
            <v>15.080359547253156</v>
          </cell>
          <cell r="BG1128">
            <v>17.429620749261797</v>
          </cell>
          <cell r="BH1128">
            <v>16.109902701379674</v>
          </cell>
          <cell r="BI1128">
            <v>13.839355674417275</v>
          </cell>
          <cell r="BJ1128">
            <v>18.380449728342072</v>
          </cell>
          <cell r="BU1128">
            <v>9.0205025470281512</v>
          </cell>
          <cell r="BV1128">
            <v>11.522967903511651</v>
          </cell>
          <cell r="BW1128">
            <v>10.055977276238897</v>
          </cell>
          <cell r="BX1128">
            <v>8.6149332270911767</v>
          </cell>
          <cell r="BY1128">
            <v>11.497021325386617</v>
          </cell>
        </row>
        <row r="1129">
          <cell r="A1129">
            <v>41017</v>
          </cell>
          <cell r="BF1129">
            <v>15.183929318093963</v>
          </cell>
          <cell r="BG1129">
            <v>17.429620749261797</v>
          </cell>
          <cell r="BH1129">
            <v>16.109902701379674</v>
          </cell>
          <cell r="BI1129">
            <v>13.839355674417275</v>
          </cell>
          <cell r="BJ1129">
            <v>18.380449728342072</v>
          </cell>
          <cell r="BU1129">
            <v>9.078079489360352</v>
          </cell>
          <cell r="BV1129">
            <v>11.522967903511651</v>
          </cell>
          <cell r="BW1129">
            <v>10.055977276238897</v>
          </cell>
          <cell r="BX1129">
            <v>8.6149332270911767</v>
          </cell>
          <cell r="BY1129">
            <v>11.497021325386617</v>
          </cell>
        </row>
        <row r="1130">
          <cell r="A1130">
            <v>41018</v>
          </cell>
          <cell r="BF1130">
            <v>15.149406061147028</v>
          </cell>
          <cell r="BG1130">
            <v>17.429620749261797</v>
          </cell>
          <cell r="BH1130">
            <v>16.109902701379674</v>
          </cell>
          <cell r="BI1130">
            <v>13.839355674417275</v>
          </cell>
          <cell r="BJ1130">
            <v>18.380449728342072</v>
          </cell>
          <cell r="BU1130">
            <v>9.0588871752496214</v>
          </cell>
          <cell r="BV1130">
            <v>11.522967903511651</v>
          </cell>
          <cell r="BW1130">
            <v>10.055977276238897</v>
          </cell>
          <cell r="BX1130">
            <v>8.6149332270911767</v>
          </cell>
          <cell r="BY1130">
            <v>11.497021325386617</v>
          </cell>
        </row>
        <row r="1131">
          <cell r="A1131">
            <v>41019</v>
          </cell>
          <cell r="BF1131">
            <v>15.283714940271992</v>
          </cell>
          <cell r="BG1131">
            <v>17.429620749261797</v>
          </cell>
          <cell r="BH1131">
            <v>16.109902701379674</v>
          </cell>
          <cell r="BI1131">
            <v>13.839355674417275</v>
          </cell>
          <cell r="BJ1131">
            <v>18.380449728342072</v>
          </cell>
          <cell r="BU1131">
            <v>9.1104915526561623</v>
          </cell>
          <cell r="BV1131">
            <v>11.522967903511651</v>
          </cell>
          <cell r="BW1131">
            <v>10.055977276238897</v>
          </cell>
          <cell r="BX1131">
            <v>8.6149332270911767</v>
          </cell>
          <cell r="BY1131">
            <v>11.497021325386617</v>
          </cell>
        </row>
        <row r="1132">
          <cell r="A1132">
            <v>41022</v>
          </cell>
          <cell r="BF1132">
            <v>15.108326848250615</v>
          </cell>
          <cell r="BG1132">
            <v>17.429620749261797</v>
          </cell>
          <cell r="BH1132">
            <v>16.109902701379674</v>
          </cell>
          <cell r="BI1132">
            <v>13.839355674417275</v>
          </cell>
          <cell r="BJ1132">
            <v>18.380449728342072</v>
          </cell>
          <cell r="BU1132">
            <v>9.0145827712040081</v>
          </cell>
          <cell r="BV1132">
            <v>11.522967903511651</v>
          </cell>
          <cell r="BW1132">
            <v>10.055977276238897</v>
          </cell>
          <cell r="BX1132">
            <v>8.6149332270911767</v>
          </cell>
          <cell r="BY1132">
            <v>11.497021325386617</v>
          </cell>
        </row>
        <row r="1133">
          <cell r="A1133">
            <v>41023</v>
          </cell>
          <cell r="BF1133">
            <v>15.214235258906118</v>
          </cell>
          <cell r="BG1133">
            <v>17.429620749261797</v>
          </cell>
          <cell r="BH1133">
            <v>16.109902701379674</v>
          </cell>
          <cell r="BI1133">
            <v>13.839355674417275</v>
          </cell>
          <cell r="BJ1133">
            <v>18.380449728342072</v>
          </cell>
          <cell r="BU1133">
            <v>9.0733185855130731</v>
          </cell>
          <cell r="BV1133">
            <v>11.522967903511651</v>
          </cell>
          <cell r="BW1133">
            <v>10.055977276238897</v>
          </cell>
          <cell r="BX1133">
            <v>8.6149332270911767</v>
          </cell>
          <cell r="BY1133">
            <v>11.497021325386617</v>
          </cell>
        </row>
        <row r="1134">
          <cell r="A1134">
            <v>41024</v>
          </cell>
          <cell r="BF1134">
            <v>15.089903990055232</v>
          </cell>
          <cell r="BG1134">
            <v>17.429620749261797</v>
          </cell>
          <cell r="BH1134">
            <v>16.109902701379674</v>
          </cell>
          <cell r="BI1134">
            <v>13.839355674417275</v>
          </cell>
          <cell r="BJ1134">
            <v>18.380449728342072</v>
          </cell>
          <cell r="BU1134">
            <v>9.0043656263020235</v>
          </cell>
          <cell r="BV1134">
            <v>11.522967903511651</v>
          </cell>
          <cell r="BW1134">
            <v>10.055977276238897</v>
          </cell>
          <cell r="BX1134">
            <v>8.6149332270911767</v>
          </cell>
          <cell r="BY1134">
            <v>11.497021325386617</v>
          </cell>
        </row>
        <row r="1135">
          <cell r="A1135">
            <v>41025</v>
          </cell>
          <cell r="BF1135">
            <v>15.076090069764209</v>
          </cell>
          <cell r="BG1135">
            <v>17.429620749261797</v>
          </cell>
          <cell r="BH1135">
            <v>16.109902701379674</v>
          </cell>
          <cell r="BI1135">
            <v>13.839355674417275</v>
          </cell>
          <cell r="BJ1135">
            <v>18.380449728342072</v>
          </cell>
          <cell r="BU1135">
            <v>8.996704555268364</v>
          </cell>
          <cell r="BV1135">
            <v>11.522967903511651</v>
          </cell>
          <cell r="BW1135">
            <v>10.055977276238897</v>
          </cell>
          <cell r="BX1135">
            <v>8.6149332270911767</v>
          </cell>
          <cell r="BY1135">
            <v>11.497021325386617</v>
          </cell>
        </row>
        <row r="1136">
          <cell r="A1136">
            <v>41026</v>
          </cell>
          <cell r="BF1136">
            <v>15.202726037806952</v>
          </cell>
          <cell r="BG1136">
            <v>17.429620749261797</v>
          </cell>
          <cell r="BH1136">
            <v>16.109902701379674</v>
          </cell>
          <cell r="BI1136">
            <v>13.839355674417275</v>
          </cell>
          <cell r="BJ1136">
            <v>18.380449728342072</v>
          </cell>
          <cell r="BU1136">
            <v>9.0669356791023521</v>
          </cell>
          <cell r="BV1136">
            <v>11.522967903511651</v>
          </cell>
          <cell r="BW1136">
            <v>10.055977276238897</v>
          </cell>
          <cell r="BX1136">
            <v>8.6149332270911767</v>
          </cell>
          <cell r="BY1136">
            <v>11.497021325386617</v>
          </cell>
        </row>
        <row r="1137">
          <cell r="A1137">
            <v>41029</v>
          </cell>
          <cell r="BF1137">
            <v>15.582620127554419</v>
          </cell>
          <cell r="BG1137">
            <v>17.429620749261797</v>
          </cell>
          <cell r="BH1137">
            <v>16.109902701379674</v>
          </cell>
          <cell r="BI1137">
            <v>13.839355674417275</v>
          </cell>
          <cell r="BJ1137">
            <v>18.380449728342072</v>
          </cell>
          <cell r="BU1137">
            <v>9.2776213892778987</v>
          </cell>
          <cell r="BV1137">
            <v>11.522967903511651</v>
          </cell>
          <cell r="BW1137">
            <v>10.055977276238897</v>
          </cell>
          <cell r="BX1137">
            <v>8.6149332270911767</v>
          </cell>
          <cell r="BY1137">
            <v>11.497021325386617</v>
          </cell>
        </row>
        <row r="1138">
          <cell r="A1138">
            <v>41030</v>
          </cell>
          <cell r="BF1138">
            <v>15.77015055908411</v>
          </cell>
          <cell r="BG1138">
            <v>17.429620749261797</v>
          </cell>
          <cell r="BH1138">
            <v>16.109902701379674</v>
          </cell>
          <cell r="BI1138">
            <v>13.839355674417275</v>
          </cell>
          <cell r="BJ1138">
            <v>18.380449728342072</v>
          </cell>
          <cell r="BU1138">
            <v>9.3848794482797011</v>
          </cell>
          <cell r="BV1138">
            <v>11.522967903511651</v>
          </cell>
          <cell r="BW1138">
            <v>10.055977276238897</v>
          </cell>
          <cell r="BX1138">
            <v>8.6149332270911767</v>
          </cell>
          <cell r="BY1138">
            <v>11.497021325386617</v>
          </cell>
        </row>
        <row r="1139">
          <cell r="A1139">
            <v>41031</v>
          </cell>
          <cell r="BF1139">
            <v>15.745694204261705</v>
          </cell>
          <cell r="BG1139">
            <v>17.429620749261797</v>
          </cell>
          <cell r="BH1139">
            <v>16.109902701379674</v>
          </cell>
          <cell r="BI1139">
            <v>13.839355674417275</v>
          </cell>
          <cell r="BJ1139">
            <v>18.380449728342072</v>
          </cell>
          <cell r="BU1139">
            <v>9.3746620480001663</v>
          </cell>
          <cell r="BV1139">
            <v>11.522967903511651</v>
          </cell>
          <cell r="BW1139">
            <v>10.055977276238897</v>
          </cell>
          <cell r="BX1139">
            <v>8.6149332270911767</v>
          </cell>
          <cell r="BY1139">
            <v>11.497021325386617</v>
          </cell>
        </row>
        <row r="1140">
          <cell r="A1140">
            <v>41032</v>
          </cell>
          <cell r="BF1140">
            <v>15.460414961944915</v>
          </cell>
          <cell r="BG1140">
            <v>17.429620749261797</v>
          </cell>
          <cell r="BH1140">
            <v>16.109902701379674</v>
          </cell>
          <cell r="BI1140">
            <v>13.839355674417275</v>
          </cell>
          <cell r="BJ1140">
            <v>18.380449728342072</v>
          </cell>
          <cell r="BU1140">
            <v>9.216329245722962</v>
          </cell>
          <cell r="BV1140">
            <v>11.522967903511651</v>
          </cell>
          <cell r="BW1140">
            <v>10.055977276238897</v>
          </cell>
          <cell r="BX1140">
            <v>8.6149332270911767</v>
          </cell>
          <cell r="BY1140">
            <v>11.497021325386617</v>
          </cell>
        </row>
        <row r="1141">
          <cell r="A1141">
            <v>41033</v>
          </cell>
          <cell r="BF1141">
            <v>15.667472765967251</v>
          </cell>
          <cell r="BG1141">
            <v>17.429620749261797</v>
          </cell>
          <cell r="BH1141">
            <v>16.109902701379674</v>
          </cell>
          <cell r="BI1141">
            <v>13.839355674417275</v>
          </cell>
          <cell r="BJ1141">
            <v>18.380449728342072</v>
          </cell>
          <cell r="BU1141">
            <v>9.27443002913299</v>
          </cell>
          <cell r="BV1141">
            <v>11.522967903511651</v>
          </cell>
          <cell r="BW1141">
            <v>10.055977276238897</v>
          </cell>
          <cell r="BX1141">
            <v>8.6149332270911767</v>
          </cell>
          <cell r="BY1141">
            <v>11.497021325386617</v>
          </cell>
        </row>
        <row r="1142">
          <cell r="A1142">
            <v>41036</v>
          </cell>
          <cell r="BF1142">
            <v>15.317775570852277</v>
          </cell>
          <cell r="BG1142">
            <v>17.429620749261797</v>
          </cell>
          <cell r="BH1142">
            <v>16.109902701379674</v>
          </cell>
          <cell r="BI1142">
            <v>13.839355674417275</v>
          </cell>
          <cell r="BJ1142">
            <v>18.380449728342072</v>
          </cell>
          <cell r="BU1142">
            <v>9.0816128082539631</v>
          </cell>
          <cell r="BV1142">
            <v>11.522967903511651</v>
          </cell>
          <cell r="BW1142">
            <v>10.055977276238897</v>
          </cell>
          <cell r="BX1142">
            <v>8.6149332270911767</v>
          </cell>
          <cell r="BY1142">
            <v>11.497021325386617</v>
          </cell>
        </row>
        <row r="1143">
          <cell r="A1143">
            <v>41037</v>
          </cell>
          <cell r="BF1143">
            <v>15.218848674247656</v>
          </cell>
          <cell r="BG1143">
            <v>17.429620749261797</v>
          </cell>
          <cell r="BH1143">
            <v>16.109902701379674</v>
          </cell>
          <cell r="BI1143">
            <v>13.839355674417275</v>
          </cell>
          <cell r="BJ1143">
            <v>18.380449728342072</v>
          </cell>
          <cell r="BU1143">
            <v>9.0270661617839565</v>
          </cell>
          <cell r="BV1143">
            <v>11.522967903511651</v>
          </cell>
          <cell r="BW1143">
            <v>10.055977276238897</v>
          </cell>
          <cell r="BX1143">
            <v>8.6149332270911767</v>
          </cell>
          <cell r="BY1143">
            <v>11.497021325386617</v>
          </cell>
        </row>
        <row r="1144">
          <cell r="A1144">
            <v>41038</v>
          </cell>
          <cell r="BF1144">
            <v>15.483422918385799</v>
          </cell>
          <cell r="BG1144">
            <v>17.429620749261797</v>
          </cell>
          <cell r="BH1144">
            <v>16.109902701379674</v>
          </cell>
          <cell r="BI1144">
            <v>13.839355674417275</v>
          </cell>
          <cell r="BJ1144">
            <v>18.380449728342072</v>
          </cell>
          <cell r="BU1144">
            <v>9.172948002369246</v>
          </cell>
          <cell r="BV1144">
            <v>11.522967903511651</v>
          </cell>
          <cell r="BW1144">
            <v>10.055977276238897</v>
          </cell>
          <cell r="BX1144">
            <v>8.6149332270911767</v>
          </cell>
          <cell r="BY1144">
            <v>11.497021325386617</v>
          </cell>
        </row>
        <row r="1145">
          <cell r="A1145">
            <v>41039</v>
          </cell>
          <cell r="BF1145">
            <v>15.465013976496573</v>
          </cell>
          <cell r="BG1145">
            <v>17.429620749261797</v>
          </cell>
          <cell r="BH1145">
            <v>16.109902701379674</v>
          </cell>
          <cell r="BI1145">
            <v>13.839355674417275</v>
          </cell>
          <cell r="BJ1145">
            <v>18.380449728342072</v>
          </cell>
          <cell r="BU1145">
            <v>9.1627976177965671</v>
          </cell>
          <cell r="BV1145">
            <v>11.522967903511651</v>
          </cell>
          <cell r="BW1145">
            <v>10.055977276238897</v>
          </cell>
          <cell r="BX1145">
            <v>8.6149332270911767</v>
          </cell>
          <cell r="BY1145">
            <v>11.497021325386617</v>
          </cell>
        </row>
        <row r="1146">
          <cell r="A1146">
            <v>41040</v>
          </cell>
          <cell r="BF1146">
            <v>15.860021640558314</v>
          </cell>
          <cell r="BG1146">
            <v>17.429620749261797</v>
          </cell>
          <cell r="BH1146">
            <v>16.109902701379674</v>
          </cell>
          <cell r="BI1146">
            <v>13.839355674417275</v>
          </cell>
          <cell r="BJ1146">
            <v>18.380449728342072</v>
          </cell>
          <cell r="BU1146">
            <v>9.3747021885462392</v>
          </cell>
          <cell r="BV1146">
            <v>11.522967903511651</v>
          </cell>
          <cell r="BW1146">
            <v>10.055977276238897</v>
          </cell>
          <cell r="BX1146">
            <v>8.6149332270911767</v>
          </cell>
          <cell r="BY1146">
            <v>11.497021325386617</v>
          </cell>
        </row>
        <row r="1147">
          <cell r="A1147">
            <v>41043</v>
          </cell>
          <cell r="BF1147">
            <v>15.917932995493571</v>
          </cell>
          <cell r="BG1147">
            <v>17.429620749261797</v>
          </cell>
          <cell r="BH1147">
            <v>16.109902701379674</v>
          </cell>
          <cell r="BI1147">
            <v>13.839355674417275</v>
          </cell>
          <cell r="BJ1147">
            <v>18.380449728342072</v>
          </cell>
          <cell r="BU1147">
            <v>9.4275347010362651</v>
          </cell>
          <cell r="BV1147">
            <v>11.522967903511651</v>
          </cell>
          <cell r="BW1147">
            <v>10.055977276238897</v>
          </cell>
          <cell r="BX1147">
            <v>8.6149332270911767</v>
          </cell>
          <cell r="BY1147">
            <v>11.497021325386617</v>
          </cell>
        </row>
        <row r="1148">
          <cell r="A1148">
            <v>41044</v>
          </cell>
          <cell r="BF1148">
            <v>16.045677487348119</v>
          </cell>
          <cell r="BG1148">
            <v>17.429620749261797</v>
          </cell>
          <cell r="BH1148">
            <v>16.109902701379674</v>
          </cell>
          <cell r="BI1148">
            <v>13.839355674417275</v>
          </cell>
          <cell r="BJ1148">
            <v>18.380449728342072</v>
          </cell>
          <cell r="BU1148">
            <v>9.4981235767858028</v>
          </cell>
          <cell r="BV1148">
            <v>11.522967903511651</v>
          </cell>
          <cell r="BW1148">
            <v>10.055977276238897</v>
          </cell>
          <cell r="BX1148">
            <v>8.6149332270911767</v>
          </cell>
          <cell r="BY1148">
            <v>11.497021325386617</v>
          </cell>
        </row>
        <row r="1149">
          <cell r="A1149">
            <v>41045</v>
          </cell>
          <cell r="BF1149">
            <v>16.045677487348119</v>
          </cell>
          <cell r="BG1149">
            <v>17.429620749261797</v>
          </cell>
          <cell r="BH1149">
            <v>16.109902701379674</v>
          </cell>
          <cell r="BI1149">
            <v>13.839355674417275</v>
          </cell>
          <cell r="BJ1149">
            <v>18.380449728342072</v>
          </cell>
          <cell r="BU1149">
            <v>9.4981235767858028</v>
          </cell>
          <cell r="BV1149">
            <v>11.522967903511651</v>
          </cell>
          <cell r="BW1149">
            <v>10.055977276238897</v>
          </cell>
          <cell r="BX1149">
            <v>8.6149332270911767</v>
          </cell>
          <cell r="BY1149">
            <v>11.497021325386617</v>
          </cell>
        </row>
        <row r="1150">
          <cell r="A1150">
            <v>41046</v>
          </cell>
          <cell r="BF1150">
            <v>16.086736538590952</v>
          </cell>
          <cell r="BG1150">
            <v>17.429620749261797</v>
          </cell>
          <cell r="BH1150">
            <v>16.109902701379674</v>
          </cell>
          <cell r="BI1150">
            <v>13.839355674417275</v>
          </cell>
          <cell r="BJ1150">
            <v>18.380449728342072</v>
          </cell>
          <cell r="BU1150">
            <v>9.5208119308940535</v>
          </cell>
          <cell r="BV1150">
            <v>11.522967903511651</v>
          </cell>
          <cell r="BW1150">
            <v>10.055977276238897</v>
          </cell>
          <cell r="BX1150">
            <v>8.6149332270911767</v>
          </cell>
          <cell r="BY1150">
            <v>11.497021325386617</v>
          </cell>
        </row>
        <row r="1151">
          <cell r="A1151">
            <v>41047</v>
          </cell>
          <cell r="BF1151">
            <v>15.90423964952261</v>
          </cell>
          <cell r="BG1151">
            <v>17.429620749261797</v>
          </cell>
          <cell r="BH1151">
            <v>16.109902701379674</v>
          </cell>
          <cell r="BI1151">
            <v>13.839355674417275</v>
          </cell>
          <cell r="BJ1151">
            <v>18.380449728342072</v>
          </cell>
          <cell r="BU1151">
            <v>9.4199680507384205</v>
          </cell>
          <cell r="BV1151">
            <v>11.522967903511651</v>
          </cell>
          <cell r="BW1151">
            <v>10.055977276238897</v>
          </cell>
          <cell r="BX1151">
            <v>8.6149332270911767</v>
          </cell>
          <cell r="BY1151">
            <v>11.497021325386617</v>
          </cell>
        </row>
        <row r="1152">
          <cell r="A1152">
            <v>41050</v>
          </cell>
          <cell r="BF1152">
            <v>15.908806531416705</v>
          </cell>
          <cell r="BG1152">
            <v>17.429620749261797</v>
          </cell>
          <cell r="BH1152">
            <v>16.109902701379674</v>
          </cell>
          <cell r="BI1152">
            <v>13.839355674417275</v>
          </cell>
          <cell r="BJ1152">
            <v>18.380449728342072</v>
          </cell>
          <cell r="BU1152">
            <v>9.4224916120591864</v>
          </cell>
          <cell r="BV1152">
            <v>11.522967903511651</v>
          </cell>
          <cell r="BW1152">
            <v>10.055977276238897</v>
          </cell>
          <cell r="BX1152">
            <v>8.6149332270911767</v>
          </cell>
          <cell r="BY1152">
            <v>11.497021325386617</v>
          </cell>
        </row>
        <row r="1153">
          <cell r="A1153">
            <v>41051</v>
          </cell>
          <cell r="BF1153">
            <v>15.826681129219718</v>
          </cell>
          <cell r="BG1153">
            <v>17.429620749261797</v>
          </cell>
          <cell r="BH1153">
            <v>16.109902701379674</v>
          </cell>
          <cell r="BI1153">
            <v>13.839355674417275</v>
          </cell>
          <cell r="BJ1153">
            <v>18.380449728342072</v>
          </cell>
          <cell r="BU1153">
            <v>9.3771108701782424</v>
          </cell>
          <cell r="BV1153">
            <v>11.522967903511651</v>
          </cell>
          <cell r="BW1153">
            <v>10.055977276238897</v>
          </cell>
          <cell r="BX1153">
            <v>8.6149332270911767</v>
          </cell>
          <cell r="BY1153">
            <v>11.497021325386617</v>
          </cell>
        </row>
        <row r="1154">
          <cell r="A1154">
            <v>41052</v>
          </cell>
          <cell r="BF1154">
            <v>15.90423964952261</v>
          </cell>
          <cell r="BG1154">
            <v>17.429620749261797</v>
          </cell>
          <cell r="BH1154">
            <v>16.109902701379674</v>
          </cell>
          <cell r="BI1154">
            <v>13.839355674417275</v>
          </cell>
          <cell r="BJ1154">
            <v>18.380449728342072</v>
          </cell>
          <cell r="BU1154">
            <v>9.4199680507384205</v>
          </cell>
          <cell r="BV1154">
            <v>11.522967903511651</v>
          </cell>
          <cell r="BW1154">
            <v>10.055977276238897</v>
          </cell>
          <cell r="BX1154">
            <v>8.6149332270911767</v>
          </cell>
          <cell r="BY1154">
            <v>11.497021325386617</v>
          </cell>
        </row>
        <row r="1155">
          <cell r="A1155">
            <v>41053</v>
          </cell>
          <cell r="BF1155">
            <v>15.625944542724413</v>
          </cell>
          <cell r="BG1155">
            <v>17.429620749261797</v>
          </cell>
          <cell r="BH1155">
            <v>16.109902701379674</v>
          </cell>
          <cell r="BI1155">
            <v>13.839355674417275</v>
          </cell>
          <cell r="BJ1155">
            <v>18.380449728342072</v>
          </cell>
          <cell r="BU1155">
            <v>9.2661881230852607</v>
          </cell>
          <cell r="BV1155">
            <v>11.522967903511651</v>
          </cell>
          <cell r="BW1155">
            <v>10.055977276238897</v>
          </cell>
          <cell r="BX1155">
            <v>8.6149332270911767</v>
          </cell>
          <cell r="BY1155">
            <v>11.497021325386617</v>
          </cell>
        </row>
        <row r="1156">
          <cell r="A1156">
            <v>41054</v>
          </cell>
          <cell r="BF1156">
            <v>15.751713073216264</v>
          </cell>
          <cell r="BG1156">
            <v>17.429620749261797</v>
          </cell>
          <cell r="BH1156">
            <v>16.109902701379674</v>
          </cell>
          <cell r="BI1156">
            <v>13.839355674417275</v>
          </cell>
          <cell r="BJ1156">
            <v>18.380449728342072</v>
          </cell>
          <cell r="BU1156">
            <v>9.2218109236192554</v>
          </cell>
          <cell r="BV1156">
            <v>11.522967903511651</v>
          </cell>
          <cell r="BW1156">
            <v>10.055977276238897</v>
          </cell>
          <cell r="BX1156">
            <v>8.6149332270911767</v>
          </cell>
          <cell r="BY1156">
            <v>11.497021325386617</v>
          </cell>
        </row>
        <row r="1157">
          <cell r="A1157">
            <v>41057</v>
          </cell>
          <cell r="BF1157">
            <v>15.687812047483364</v>
          </cell>
          <cell r="BG1157">
            <v>17.429620749261797</v>
          </cell>
          <cell r="BH1157">
            <v>16.109902701379674</v>
          </cell>
          <cell r="BI1157">
            <v>13.839355674417275</v>
          </cell>
          <cell r="BJ1157">
            <v>18.380449728342072</v>
          </cell>
          <cell r="BU1157">
            <v>9.1869638773946409</v>
          </cell>
          <cell r="BV1157">
            <v>11.522967903511651</v>
          </cell>
          <cell r="BW1157">
            <v>10.055977276238897</v>
          </cell>
          <cell r="BX1157">
            <v>8.6149332270911767</v>
          </cell>
          <cell r="BY1157">
            <v>11.497021325386617</v>
          </cell>
        </row>
        <row r="1158">
          <cell r="A1158">
            <v>41058</v>
          </cell>
          <cell r="BF1158">
            <v>15.914524344159043</v>
          </cell>
          <cell r="BG1158">
            <v>17.429620749261797</v>
          </cell>
          <cell r="BH1158">
            <v>16.109902701379674</v>
          </cell>
          <cell r="BI1158">
            <v>13.839355674417275</v>
          </cell>
          <cell r="BJ1158">
            <v>18.380449728342072</v>
          </cell>
          <cell r="BU1158">
            <v>9.3108752993815891</v>
          </cell>
          <cell r="BV1158">
            <v>11.522967903511651</v>
          </cell>
          <cell r="BW1158">
            <v>10.055977276238897</v>
          </cell>
          <cell r="BX1158">
            <v>8.6149332270911767</v>
          </cell>
          <cell r="BY1158">
            <v>11.497021325386617</v>
          </cell>
        </row>
        <row r="1159">
          <cell r="A1159">
            <v>41059</v>
          </cell>
          <cell r="BF1159">
            <v>15.982980995673364</v>
          </cell>
          <cell r="BG1159">
            <v>17.429620749261797</v>
          </cell>
          <cell r="BH1159">
            <v>16.109902701379674</v>
          </cell>
          <cell r="BI1159">
            <v>13.839355674417275</v>
          </cell>
          <cell r="BJ1159">
            <v>18.380449728342072</v>
          </cell>
          <cell r="BU1159">
            <v>9.3482080155506786</v>
          </cell>
          <cell r="BV1159">
            <v>11.522967903511651</v>
          </cell>
          <cell r="BW1159">
            <v>10.055977276238897</v>
          </cell>
          <cell r="BX1159">
            <v>8.6149332270911767</v>
          </cell>
          <cell r="BY1159">
            <v>11.497021325386617</v>
          </cell>
        </row>
        <row r="1160">
          <cell r="A1160">
            <v>41060</v>
          </cell>
          <cell r="BF1160">
            <v>16.011250362594417</v>
          </cell>
          <cell r="BG1160">
            <v>17.429620749261797</v>
          </cell>
          <cell r="BH1160">
            <v>16.109902701379674</v>
          </cell>
          <cell r="BI1160">
            <v>13.839355674417275</v>
          </cell>
          <cell r="BJ1160">
            <v>18.380449728342072</v>
          </cell>
          <cell r="BU1160">
            <v>9.3556743596687113</v>
          </cell>
          <cell r="BV1160">
            <v>11.522967903511651</v>
          </cell>
          <cell r="BW1160">
            <v>10.055977276238897</v>
          </cell>
          <cell r="BX1160">
            <v>8.6149332270911767</v>
          </cell>
          <cell r="BY1160">
            <v>11.497021325386617</v>
          </cell>
        </row>
        <row r="1161">
          <cell r="A1161">
            <v>41061</v>
          </cell>
          <cell r="BF1161">
            <v>15.883343954209179</v>
          </cell>
          <cell r="BG1161">
            <v>17.429620749261797</v>
          </cell>
          <cell r="BH1161">
            <v>16.109902701379674</v>
          </cell>
          <cell r="BI1161">
            <v>13.839355674417275</v>
          </cell>
          <cell r="BJ1161">
            <v>18.380449728342072</v>
          </cell>
          <cell r="BU1161">
            <v>9.2859843329882281</v>
          </cell>
          <cell r="BV1161">
            <v>11.522967903511651</v>
          </cell>
          <cell r="BW1161">
            <v>10.055977276238897</v>
          </cell>
          <cell r="BX1161">
            <v>8.6149332270911767</v>
          </cell>
          <cell r="BY1161">
            <v>11.497021325386617</v>
          </cell>
        </row>
        <row r="1162">
          <cell r="A1162">
            <v>41064</v>
          </cell>
          <cell r="BF1162">
            <v>15.559011185038498</v>
          </cell>
          <cell r="BG1162">
            <v>17.429620749261797</v>
          </cell>
          <cell r="BH1162">
            <v>16.109902701379674</v>
          </cell>
          <cell r="BI1162">
            <v>13.839355674417275</v>
          </cell>
          <cell r="BJ1162">
            <v>18.380449728342072</v>
          </cell>
          <cell r="BU1162">
            <v>9.1092710656687093</v>
          </cell>
          <cell r="BV1162">
            <v>11.522967903511651</v>
          </cell>
          <cell r="BW1162">
            <v>10.055977276238897</v>
          </cell>
          <cell r="BX1162">
            <v>8.6149332270911767</v>
          </cell>
          <cell r="BY1162">
            <v>11.497021325386617</v>
          </cell>
        </row>
        <row r="1163">
          <cell r="A1163">
            <v>41065</v>
          </cell>
          <cell r="BF1163">
            <v>15.280355490992815</v>
          </cell>
          <cell r="BG1163">
            <v>17.429620749261797</v>
          </cell>
          <cell r="BH1163">
            <v>16.109902701379674</v>
          </cell>
          <cell r="BI1163">
            <v>13.839355674417275</v>
          </cell>
          <cell r="BJ1163">
            <v>18.380449728342072</v>
          </cell>
          <cell r="BU1163">
            <v>8.9574450313215994</v>
          </cell>
          <cell r="BV1163">
            <v>11.522967903511651</v>
          </cell>
          <cell r="BW1163">
            <v>10.055977276238897</v>
          </cell>
          <cell r="BX1163">
            <v>8.6149332270911767</v>
          </cell>
          <cell r="BY1163">
            <v>11.497021325386617</v>
          </cell>
        </row>
        <row r="1164">
          <cell r="A1164">
            <v>41066</v>
          </cell>
          <cell r="BF1164">
            <v>15.517892635507529</v>
          </cell>
          <cell r="BG1164">
            <v>17.429620749261797</v>
          </cell>
          <cell r="BH1164">
            <v>16.109902701379674</v>
          </cell>
          <cell r="BI1164">
            <v>13.839355674417275</v>
          </cell>
          <cell r="BJ1164">
            <v>18.380449728342072</v>
          </cell>
          <cell r="BU1164">
            <v>9.0868675532094638</v>
          </cell>
          <cell r="BV1164">
            <v>11.522967903511651</v>
          </cell>
          <cell r="BW1164">
            <v>10.055977276238897</v>
          </cell>
          <cell r="BX1164">
            <v>8.6149332270911767</v>
          </cell>
          <cell r="BY1164">
            <v>11.497021325386617</v>
          </cell>
        </row>
        <row r="1165">
          <cell r="A1165">
            <v>41067</v>
          </cell>
          <cell r="BF1165">
            <v>15.677779985701788</v>
          </cell>
          <cell r="BG1165">
            <v>17.429620749261797</v>
          </cell>
          <cell r="BH1165">
            <v>16.109902701379674</v>
          </cell>
          <cell r="BI1165">
            <v>13.839355674417275</v>
          </cell>
          <cell r="BJ1165">
            <v>18.380449728342072</v>
          </cell>
          <cell r="BU1165">
            <v>9.1739824510600059</v>
          </cell>
          <cell r="BV1165">
            <v>11.522967903511651</v>
          </cell>
          <cell r="BW1165">
            <v>10.055977276238897</v>
          </cell>
          <cell r="BX1165">
            <v>8.6149332270911767</v>
          </cell>
          <cell r="BY1165">
            <v>11.497021325386617</v>
          </cell>
        </row>
        <row r="1166">
          <cell r="A1166">
            <v>41068</v>
          </cell>
          <cell r="BF1166">
            <v>16.098045987250384</v>
          </cell>
          <cell r="BG1166">
            <v>17.429620749261797</v>
          </cell>
          <cell r="BH1166">
            <v>16.109902701379674</v>
          </cell>
          <cell r="BI1166">
            <v>13.839355674417275</v>
          </cell>
          <cell r="BJ1166">
            <v>18.380449728342072</v>
          </cell>
          <cell r="BU1166">
            <v>9.4029651051003675</v>
          </cell>
          <cell r="BV1166">
            <v>11.522967903511651</v>
          </cell>
          <cell r="BW1166">
            <v>10.055977276238897</v>
          </cell>
          <cell r="BX1166">
            <v>8.6149332270911767</v>
          </cell>
          <cell r="BY1166">
            <v>11.497021325386617</v>
          </cell>
        </row>
        <row r="1167">
          <cell r="A1167">
            <v>41071</v>
          </cell>
          <cell r="BF1167">
            <v>16.024954261712086</v>
          </cell>
          <cell r="BG1167">
            <v>17.429620749261797</v>
          </cell>
          <cell r="BH1167">
            <v>16.109902701379674</v>
          </cell>
          <cell r="BI1167">
            <v>13.839355674417275</v>
          </cell>
          <cell r="BJ1167">
            <v>18.380449728342072</v>
          </cell>
          <cell r="BU1167">
            <v>9.3631409526814764</v>
          </cell>
          <cell r="BV1167">
            <v>11.522967903511651</v>
          </cell>
          <cell r="BW1167">
            <v>10.055977276238897</v>
          </cell>
          <cell r="BX1167">
            <v>8.6149332270911767</v>
          </cell>
          <cell r="BY1167">
            <v>11.497021325386617</v>
          </cell>
        </row>
        <row r="1168">
          <cell r="A1168">
            <v>41072</v>
          </cell>
          <cell r="BF1168">
            <v>15.57728046192816</v>
          </cell>
          <cell r="BG1168">
            <v>17.429620749261797</v>
          </cell>
          <cell r="BH1168">
            <v>16.109902701379674</v>
          </cell>
          <cell r="BI1168">
            <v>13.839355674417275</v>
          </cell>
          <cell r="BJ1168">
            <v>18.380449728342072</v>
          </cell>
          <cell r="BU1168">
            <v>9.1192251126155899</v>
          </cell>
          <cell r="BV1168">
            <v>11.522967903511651</v>
          </cell>
          <cell r="BW1168">
            <v>10.055977276238897</v>
          </cell>
          <cell r="BX1168">
            <v>8.6149332270911767</v>
          </cell>
          <cell r="BY1168">
            <v>11.497021325386617</v>
          </cell>
        </row>
        <row r="1169">
          <cell r="A1169">
            <v>41073</v>
          </cell>
          <cell r="BF1169">
            <v>15.358550018344843</v>
          </cell>
          <cell r="BG1169">
            <v>17.429620749261797</v>
          </cell>
          <cell r="BH1169">
            <v>16.109902701379674</v>
          </cell>
          <cell r="BI1169">
            <v>13.839355674417275</v>
          </cell>
          <cell r="BJ1169">
            <v>18.380449728342072</v>
          </cell>
          <cell r="BU1169">
            <v>9.0210298509364328</v>
          </cell>
          <cell r="BV1169">
            <v>11.522967903511651</v>
          </cell>
          <cell r="BW1169">
            <v>10.055977276238897</v>
          </cell>
          <cell r="BX1169">
            <v>8.6149332270911767</v>
          </cell>
          <cell r="BY1169">
            <v>11.497021325386617</v>
          </cell>
        </row>
        <row r="1170">
          <cell r="A1170">
            <v>41074</v>
          </cell>
          <cell r="BF1170">
            <v>15.263440207620567</v>
          </cell>
          <cell r="BG1170">
            <v>17.429620749261797</v>
          </cell>
          <cell r="BH1170">
            <v>16.109902701379674</v>
          </cell>
          <cell r="BI1170">
            <v>13.839355674417275</v>
          </cell>
          <cell r="BJ1170">
            <v>18.380449728342072</v>
          </cell>
          <cell r="BU1170">
            <v>8.969057225048223</v>
          </cell>
          <cell r="BV1170">
            <v>11.522967903511651</v>
          </cell>
          <cell r="BW1170">
            <v>10.055977276238897</v>
          </cell>
          <cell r="BX1170">
            <v>8.6149332270911767</v>
          </cell>
          <cell r="BY1170">
            <v>11.497021325386617</v>
          </cell>
        </row>
        <row r="1171">
          <cell r="A1171">
            <v>41075</v>
          </cell>
          <cell r="BF1171">
            <v>15.598597756230358</v>
          </cell>
          <cell r="BG1171">
            <v>17.429620749261797</v>
          </cell>
          <cell r="BH1171">
            <v>16.109902701379674</v>
          </cell>
          <cell r="BI1171">
            <v>13.839355674417275</v>
          </cell>
          <cell r="BJ1171">
            <v>18.380449728342072</v>
          </cell>
          <cell r="BU1171">
            <v>9.1522036087373273</v>
          </cell>
          <cell r="BV1171">
            <v>11.522967903511651</v>
          </cell>
          <cell r="BW1171">
            <v>10.055977276238897</v>
          </cell>
          <cell r="BX1171">
            <v>8.6149332270911767</v>
          </cell>
          <cell r="BY1171">
            <v>11.497021325386617</v>
          </cell>
        </row>
        <row r="1172">
          <cell r="A1172">
            <v>41078</v>
          </cell>
          <cell r="BF1172">
            <v>15.702774594750402</v>
          </cell>
          <cell r="BG1172">
            <v>17.429620749261797</v>
          </cell>
          <cell r="BH1172">
            <v>16.109902701379674</v>
          </cell>
          <cell r="BI1172">
            <v>13.839355674417275</v>
          </cell>
          <cell r="BJ1172">
            <v>18.380449728342072</v>
          </cell>
          <cell r="BU1172">
            <v>9.2091308995539922</v>
          </cell>
          <cell r="BV1172">
            <v>11.522967903511651</v>
          </cell>
          <cell r="BW1172">
            <v>10.055977276238897</v>
          </cell>
          <cell r="BX1172">
            <v>8.6149332270911767</v>
          </cell>
          <cell r="BY1172">
            <v>11.497021325386617</v>
          </cell>
        </row>
        <row r="1173">
          <cell r="A1173">
            <v>41079</v>
          </cell>
          <cell r="BF1173">
            <v>15.775236538053747</v>
          </cell>
          <cell r="BG1173">
            <v>17.429620749261797</v>
          </cell>
          <cell r="BH1173">
            <v>16.109902701379674</v>
          </cell>
          <cell r="BI1173">
            <v>13.839355674417275</v>
          </cell>
          <cell r="BJ1173">
            <v>18.380449728342072</v>
          </cell>
          <cell r="BU1173">
            <v>9.2487276292894265</v>
          </cell>
          <cell r="BV1173">
            <v>11.522967903511651</v>
          </cell>
          <cell r="BW1173">
            <v>10.055977276238897</v>
          </cell>
          <cell r="BX1173">
            <v>8.6149332270911767</v>
          </cell>
          <cell r="BY1173">
            <v>11.497021325386617</v>
          </cell>
        </row>
        <row r="1174">
          <cell r="A1174">
            <v>41080</v>
          </cell>
          <cell r="BF1174">
            <v>15.752595917370646</v>
          </cell>
          <cell r="BG1174">
            <v>17.429620749261797</v>
          </cell>
          <cell r="BH1174">
            <v>16.109902701379674</v>
          </cell>
          <cell r="BI1174">
            <v>13.839355674417275</v>
          </cell>
          <cell r="BJ1174">
            <v>18.380449728342072</v>
          </cell>
          <cell r="BU1174">
            <v>9.2363556931066189</v>
          </cell>
          <cell r="BV1174">
            <v>11.522967903511651</v>
          </cell>
          <cell r="BW1174">
            <v>10.055977276238897</v>
          </cell>
          <cell r="BX1174">
            <v>8.6149332270911767</v>
          </cell>
          <cell r="BY1174">
            <v>11.497021325386617</v>
          </cell>
        </row>
        <row r="1175">
          <cell r="A1175">
            <v>41081</v>
          </cell>
          <cell r="BF1175">
            <v>15.621245170730178</v>
          </cell>
          <cell r="BG1175">
            <v>17.429620749261797</v>
          </cell>
          <cell r="BH1175">
            <v>16.109902701379674</v>
          </cell>
          <cell r="BI1175">
            <v>13.839355674417275</v>
          </cell>
          <cell r="BJ1175">
            <v>18.380449728342072</v>
          </cell>
          <cell r="BU1175">
            <v>9.1645792573919849</v>
          </cell>
          <cell r="BV1175">
            <v>11.522967903511651</v>
          </cell>
          <cell r="BW1175">
            <v>10.055977276238897</v>
          </cell>
          <cell r="BX1175">
            <v>8.6149332270911767</v>
          </cell>
          <cell r="BY1175">
            <v>11.497021325386617</v>
          </cell>
        </row>
        <row r="1176">
          <cell r="A1176">
            <v>41082</v>
          </cell>
          <cell r="BF1176">
            <v>16.019818016297705</v>
          </cell>
          <cell r="BG1176">
            <v>17.429620749261797</v>
          </cell>
          <cell r="BH1176">
            <v>16.109902701379674</v>
          </cell>
          <cell r="BI1176">
            <v>13.839355674417275</v>
          </cell>
          <cell r="BJ1176">
            <v>18.380449728342072</v>
          </cell>
          <cell r="BU1176">
            <v>9.382378843303611</v>
          </cell>
          <cell r="BV1176">
            <v>11.522967903511651</v>
          </cell>
          <cell r="BW1176">
            <v>10.055977276238897</v>
          </cell>
          <cell r="BX1176">
            <v>8.6149332270911767</v>
          </cell>
          <cell r="BY1176">
            <v>11.497021325386617</v>
          </cell>
        </row>
        <row r="1177">
          <cell r="A1177">
            <v>41085</v>
          </cell>
          <cell r="BF1177">
            <v>16.015284275939262</v>
          </cell>
          <cell r="BG1177">
            <v>17.429620749261797</v>
          </cell>
          <cell r="BH1177">
            <v>16.109902701379674</v>
          </cell>
          <cell r="BI1177">
            <v>13.839355674417275</v>
          </cell>
          <cell r="BJ1177">
            <v>18.380449728342072</v>
          </cell>
          <cell r="BU1177">
            <v>9.379901387090321</v>
          </cell>
          <cell r="BV1177">
            <v>11.522967903511651</v>
          </cell>
          <cell r="BW1177">
            <v>10.055977276238897</v>
          </cell>
          <cell r="BX1177">
            <v>8.6149332270911767</v>
          </cell>
          <cell r="BY1177">
            <v>11.497021325386617</v>
          </cell>
        </row>
        <row r="1178">
          <cell r="A1178">
            <v>41086</v>
          </cell>
          <cell r="BF1178">
            <v>16.019818016297705</v>
          </cell>
          <cell r="BG1178">
            <v>17.429620749261797</v>
          </cell>
          <cell r="BH1178">
            <v>16.109902701379674</v>
          </cell>
          <cell r="BI1178">
            <v>13.839355674417275</v>
          </cell>
          <cell r="BJ1178">
            <v>18.380449728342072</v>
          </cell>
          <cell r="BU1178">
            <v>9.382378843303611</v>
          </cell>
          <cell r="BV1178">
            <v>11.522967903511651</v>
          </cell>
          <cell r="BW1178">
            <v>10.055977276238897</v>
          </cell>
          <cell r="BX1178">
            <v>8.6149332270911767</v>
          </cell>
          <cell r="BY1178">
            <v>11.497021325386617</v>
          </cell>
        </row>
        <row r="1179">
          <cell r="A1179">
            <v>41087</v>
          </cell>
          <cell r="BF1179">
            <v>16.196456798121094</v>
          </cell>
          <cell r="BG1179">
            <v>17.429620749261797</v>
          </cell>
          <cell r="BH1179">
            <v>16.109902701379674</v>
          </cell>
          <cell r="BI1179">
            <v>13.839355674417275</v>
          </cell>
          <cell r="BJ1179">
            <v>18.380449728342072</v>
          </cell>
          <cell r="BU1179">
            <v>9.4789028638557085</v>
          </cell>
          <cell r="BV1179">
            <v>11.522967903511651</v>
          </cell>
          <cell r="BW1179">
            <v>10.055977276238897</v>
          </cell>
          <cell r="BX1179">
            <v>8.6149332270911767</v>
          </cell>
          <cell r="BY1179">
            <v>11.497021325386617</v>
          </cell>
        </row>
        <row r="1180">
          <cell r="A1180">
            <v>41088</v>
          </cell>
          <cell r="BF1180">
            <v>16.26439224780383</v>
          </cell>
          <cell r="BG1180">
            <v>17.429620749261797</v>
          </cell>
          <cell r="BH1180">
            <v>16.109902701379674</v>
          </cell>
          <cell r="BI1180">
            <v>13.839355674417275</v>
          </cell>
          <cell r="BJ1180">
            <v>18.380449728342072</v>
          </cell>
          <cell r="BU1180">
            <v>9.5160260973478241</v>
          </cell>
          <cell r="BV1180">
            <v>11.522967903511651</v>
          </cell>
          <cell r="BW1180">
            <v>10.055977276238897</v>
          </cell>
          <cell r="BX1180">
            <v>8.6149332270911767</v>
          </cell>
          <cell r="BY1180">
            <v>11.497021325386617</v>
          </cell>
        </row>
        <row r="1181">
          <cell r="A1181">
            <v>41089</v>
          </cell>
          <cell r="BF1181">
            <v>16.36403534596543</v>
          </cell>
          <cell r="BG1181">
            <v>17.429620749261797</v>
          </cell>
          <cell r="BH1181">
            <v>16.109902701379674</v>
          </cell>
          <cell r="BI1181">
            <v>13.839355674417275</v>
          </cell>
          <cell r="BJ1181">
            <v>18.380449728342072</v>
          </cell>
          <cell r="BU1181">
            <v>9.5704759319511989</v>
          </cell>
          <cell r="BV1181">
            <v>11.522967903511651</v>
          </cell>
          <cell r="BW1181">
            <v>10.055977276238897</v>
          </cell>
          <cell r="BX1181">
            <v>8.6149332270911767</v>
          </cell>
          <cell r="BY1181">
            <v>11.497021325386617</v>
          </cell>
        </row>
        <row r="1182">
          <cell r="A1182">
            <v>41092</v>
          </cell>
          <cell r="BF1182">
            <v>16.384209342217364</v>
          </cell>
          <cell r="BG1182">
            <v>17.429620749261797</v>
          </cell>
          <cell r="BH1182">
            <v>16.109902701379674</v>
          </cell>
          <cell r="BI1182">
            <v>13.839355674417275</v>
          </cell>
          <cell r="BJ1182">
            <v>18.380449728342072</v>
          </cell>
          <cell r="BU1182">
            <v>9.5783516317197446</v>
          </cell>
          <cell r="BV1182">
            <v>11.522967903511651</v>
          </cell>
          <cell r="BW1182">
            <v>10.055977276238897</v>
          </cell>
          <cell r="BX1182">
            <v>8.6149332270911767</v>
          </cell>
          <cell r="BY1182">
            <v>11.497021325386617</v>
          </cell>
        </row>
        <row r="1183">
          <cell r="A1183">
            <v>41093</v>
          </cell>
          <cell r="BF1183">
            <v>16.362992090315213</v>
          </cell>
          <cell r="BG1183">
            <v>17.429620749261797</v>
          </cell>
          <cell r="BH1183">
            <v>16.109902701379674</v>
          </cell>
          <cell r="BI1183">
            <v>13.839355674417275</v>
          </cell>
          <cell r="BJ1183">
            <v>18.380449728342072</v>
          </cell>
          <cell r="BU1183">
            <v>9.5686046737475241</v>
          </cell>
          <cell r="BV1183">
            <v>11.522967903511651</v>
          </cell>
          <cell r="BW1183">
            <v>10.055977276238897</v>
          </cell>
          <cell r="BX1183">
            <v>8.6149332270911767</v>
          </cell>
          <cell r="BY1183">
            <v>11.497021325386617</v>
          </cell>
        </row>
        <row r="1184">
          <cell r="A1184">
            <v>41094</v>
          </cell>
          <cell r="BF1184">
            <v>16.26785523371338</v>
          </cell>
          <cell r="BG1184">
            <v>17.429620749261797</v>
          </cell>
          <cell r="BH1184">
            <v>16.109902701379674</v>
          </cell>
          <cell r="BI1184">
            <v>13.839355674417275</v>
          </cell>
          <cell r="BJ1184">
            <v>18.380449728342072</v>
          </cell>
          <cell r="BU1184">
            <v>9.516625063844808</v>
          </cell>
          <cell r="BV1184">
            <v>11.522967903511651</v>
          </cell>
          <cell r="BW1184">
            <v>10.055977276238897</v>
          </cell>
          <cell r="BX1184">
            <v>8.6149332270911767</v>
          </cell>
          <cell r="BY1184">
            <v>11.497021325386617</v>
          </cell>
        </row>
        <row r="1185">
          <cell r="A1185">
            <v>41095</v>
          </cell>
          <cell r="BF1185">
            <v>15.500577508198173</v>
          </cell>
          <cell r="BG1185">
            <v>17.429620749261797</v>
          </cell>
          <cell r="BH1185">
            <v>16.109902701379674</v>
          </cell>
          <cell r="BI1185">
            <v>13.839355674417275</v>
          </cell>
          <cell r="BJ1185">
            <v>18.380449728342072</v>
          </cell>
          <cell r="BU1185">
            <v>9.0739554133375293</v>
          </cell>
          <cell r="BV1185">
            <v>11.522967903511651</v>
          </cell>
          <cell r="BW1185">
            <v>10.055977276238897</v>
          </cell>
          <cell r="BX1185">
            <v>8.6149332270911767</v>
          </cell>
          <cell r="BY1185">
            <v>11.497021325386617</v>
          </cell>
        </row>
        <row r="1186">
          <cell r="A1186">
            <v>41096</v>
          </cell>
          <cell r="BF1186">
            <v>15.529228477854391</v>
          </cell>
          <cell r="BG1186">
            <v>17.429620749261797</v>
          </cell>
          <cell r="BH1186">
            <v>16.109902701379674</v>
          </cell>
          <cell r="BI1186">
            <v>13.839355674417275</v>
          </cell>
          <cell r="BJ1186">
            <v>18.380449728342072</v>
          </cell>
          <cell r="BU1186">
            <v>9.1708879759236765</v>
          </cell>
          <cell r="BV1186">
            <v>11.522967903511651</v>
          </cell>
          <cell r="BW1186">
            <v>10.055977276238897</v>
          </cell>
          <cell r="BX1186">
            <v>8.6149332270911767</v>
          </cell>
          <cell r="BY1186">
            <v>11.497021325386617</v>
          </cell>
        </row>
        <row r="1187">
          <cell r="A1187">
            <v>41099</v>
          </cell>
          <cell r="BF1187">
            <v>15.570261024189037</v>
          </cell>
          <cell r="BG1187">
            <v>17.429620749261797</v>
          </cell>
          <cell r="BH1187">
            <v>16.109902701379674</v>
          </cell>
          <cell r="BI1187">
            <v>13.839355674417275</v>
          </cell>
          <cell r="BJ1187">
            <v>18.380449728342072</v>
          </cell>
          <cell r="BU1187">
            <v>9.1934785765243952</v>
          </cell>
          <cell r="BV1187">
            <v>11.522967903511651</v>
          </cell>
          <cell r="BW1187">
            <v>10.055977276238897</v>
          </cell>
          <cell r="BX1187">
            <v>8.6149332270911767</v>
          </cell>
          <cell r="BY1187">
            <v>11.497021325386617</v>
          </cell>
        </row>
        <row r="1188">
          <cell r="A1188">
            <v>41100</v>
          </cell>
          <cell r="BF1188">
            <v>15.529228477854391</v>
          </cell>
          <cell r="BG1188">
            <v>17.429620749261797</v>
          </cell>
          <cell r="BH1188">
            <v>16.109902701379674</v>
          </cell>
          <cell r="BI1188">
            <v>13.839355674417275</v>
          </cell>
          <cell r="BJ1188">
            <v>18.380449728342072</v>
          </cell>
          <cell r="BU1188">
            <v>9.1708879759236765</v>
          </cell>
          <cell r="BV1188">
            <v>11.522967903511651</v>
          </cell>
          <cell r="BW1188">
            <v>10.055977276238897</v>
          </cell>
          <cell r="BX1188">
            <v>8.6149332270911767</v>
          </cell>
          <cell r="BY1188">
            <v>11.497021325386617</v>
          </cell>
        </row>
        <row r="1189">
          <cell r="A1189">
            <v>41101</v>
          </cell>
          <cell r="BF1189">
            <v>15.689754014147923</v>
          </cell>
          <cell r="BG1189">
            <v>17.429620749261797</v>
          </cell>
          <cell r="BH1189">
            <v>16.109902701379674</v>
          </cell>
          <cell r="BI1189">
            <v>13.839355674417275</v>
          </cell>
          <cell r="BJ1189">
            <v>18.380449728342072</v>
          </cell>
          <cell r="BU1189">
            <v>9.38516129326295</v>
          </cell>
          <cell r="BV1189">
            <v>11.522967903511651</v>
          </cell>
          <cell r="BW1189">
            <v>10.055977276238897</v>
          </cell>
          <cell r="BX1189">
            <v>8.6149332270911767</v>
          </cell>
          <cell r="BY1189">
            <v>11.497021325386617</v>
          </cell>
        </row>
        <row r="1190">
          <cell r="A1190">
            <v>41102</v>
          </cell>
          <cell r="BF1190">
            <v>15.539072495888087</v>
          </cell>
          <cell r="BG1190">
            <v>17.429620749261797</v>
          </cell>
          <cell r="BH1190">
            <v>16.109902701379674</v>
          </cell>
          <cell r="BI1190">
            <v>13.839355674417275</v>
          </cell>
          <cell r="BJ1190">
            <v>18.380449728342072</v>
          </cell>
          <cell r="BU1190">
            <v>9.3010043121218544</v>
          </cell>
          <cell r="BV1190">
            <v>11.522967903511651</v>
          </cell>
          <cell r="BW1190">
            <v>10.055977276238897</v>
          </cell>
          <cell r="BX1190">
            <v>8.6149332270911767</v>
          </cell>
          <cell r="BY1190">
            <v>11.497021325386617</v>
          </cell>
        </row>
        <row r="1191">
          <cell r="A1191">
            <v>41103</v>
          </cell>
          <cell r="BF1191">
            <v>15.511668840727953</v>
          </cell>
          <cell r="BG1191">
            <v>17.429620749261797</v>
          </cell>
          <cell r="BH1191">
            <v>16.109902701379674</v>
          </cell>
          <cell r="BI1191">
            <v>13.839355674417275</v>
          </cell>
          <cell r="BJ1191">
            <v>18.380449728342072</v>
          </cell>
          <cell r="BU1191">
            <v>9.2856991246168317</v>
          </cell>
          <cell r="BV1191">
            <v>11.522967903511651</v>
          </cell>
          <cell r="BW1191">
            <v>10.055977276238897</v>
          </cell>
          <cell r="BX1191">
            <v>8.6149332270911767</v>
          </cell>
          <cell r="BY1191">
            <v>11.497021325386617</v>
          </cell>
        </row>
        <row r="1192">
          <cell r="A1192">
            <v>41106</v>
          </cell>
          <cell r="BF1192">
            <v>15.380626982289927</v>
          </cell>
          <cell r="BG1192">
            <v>17.429620749261797</v>
          </cell>
          <cell r="BH1192">
            <v>16.109902701379674</v>
          </cell>
          <cell r="BI1192">
            <v>13.839355674417275</v>
          </cell>
          <cell r="BJ1192">
            <v>18.380449728342072</v>
          </cell>
          <cell r="BU1192">
            <v>9.2348826816107934</v>
          </cell>
          <cell r="BV1192">
            <v>11.522967903511651</v>
          </cell>
          <cell r="BW1192">
            <v>10.055977276238897</v>
          </cell>
          <cell r="BX1192">
            <v>8.6149332270911767</v>
          </cell>
          <cell r="BY1192">
            <v>11.497021325386617</v>
          </cell>
        </row>
        <row r="1193">
          <cell r="A1193">
            <v>41107</v>
          </cell>
          <cell r="BF1193">
            <v>15.348936629407696</v>
          </cell>
          <cell r="BG1193">
            <v>17.429620749261797</v>
          </cell>
          <cell r="BH1193">
            <v>16.109902701379674</v>
          </cell>
          <cell r="BI1193">
            <v>13.839355674417275</v>
          </cell>
          <cell r="BJ1193">
            <v>18.380449728342072</v>
          </cell>
          <cell r="BU1193">
            <v>9.2171302235305301</v>
          </cell>
          <cell r="BV1193">
            <v>11.522967903511651</v>
          </cell>
          <cell r="BW1193">
            <v>10.055977276238897</v>
          </cell>
          <cell r="BX1193">
            <v>8.6149332270911767</v>
          </cell>
          <cell r="BY1193">
            <v>11.497021325386617</v>
          </cell>
        </row>
        <row r="1194">
          <cell r="A1194">
            <v>41108</v>
          </cell>
          <cell r="BF1194">
            <v>15.362519308801257</v>
          </cell>
          <cell r="BG1194">
            <v>17.429620749261797</v>
          </cell>
          <cell r="BH1194">
            <v>16.109902701379674</v>
          </cell>
          <cell r="BI1194">
            <v>13.839355674417275</v>
          </cell>
          <cell r="BJ1194">
            <v>18.380449728342072</v>
          </cell>
          <cell r="BU1194">
            <v>9.2247390358226458</v>
          </cell>
          <cell r="BV1194">
            <v>11.522967903511651</v>
          </cell>
          <cell r="BW1194">
            <v>10.055977276238897</v>
          </cell>
          <cell r="BX1194">
            <v>8.6149332270911767</v>
          </cell>
          <cell r="BY1194">
            <v>11.497021325386617</v>
          </cell>
        </row>
        <row r="1195">
          <cell r="A1195">
            <v>41109</v>
          </cell>
          <cell r="BF1195">
            <v>15.579847612351081</v>
          </cell>
          <cell r="BG1195">
            <v>17.429620749261797</v>
          </cell>
          <cell r="BH1195">
            <v>16.109902701379674</v>
          </cell>
          <cell r="BI1195">
            <v>13.839355674417275</v>
          </cell>
          <cell r="BJ1195">
            <v>18.380449728342072</v>
          </cell>
          <cell r="BU1195">
            <v>9.3464830761228725</v>
          </cell>
          <cell r="BV1195">
            <v>11.522967903511651</v>
          </cell>
          <cell r="BW1195">
            <v>10.055977276238897</v>
          </cell>
          <cell r="BX1195">
            <v>8.6149332270911767</v>
          </cell>
          <cell r="BY1195">
            <v>11.497021325386617</v>
          </cell>
        </row>
        <row r="1196">
          <cell r="A1196">
            <v>41110</v>
          </cell>
          <cell r="BF1196">
            <v>15.502877435626978</v>
          </cell>
          <cell r="BG1196">
            <v>17.429620749261797</v>
          </cell>
          <cell r="BH1196">
            <v>16.109902701379674</v>
          </cell>
          <cell r="BI1196">
            <v>13.839355674417275</v>
          </cell>
          <cell r="BJ1196">
            <v>18.380449728342072</v>
          </cell>
          <cell r="BU1196">
            <v>9.3033655431372697</v>
          </cell>
          <cell r="BV1196">
            <v>11.522967903511651</v>
          </cell>
          <cell r="BW1196">
            <v>10.055977276238897</v>
          </cell>
          <cell r="BX1196">
            <v>8.6149332270911767</v>
          </cell>
          <cell r="BY1196">
            <v>11.497021325386617</v>
          </cell>
        </row>
        <row r="1197">
          <cell r="A1197">
            <v>41113</v>
          </cell>
          <cell r="BF1197">
            <v>15.475712076839857</v>
          </cell>
          <cell r="BG1197">
            <v>17.429620749261797</v>
          </cell>
          <cell r="BH1197">
            <v>16.109902701379674</v>
          </cell>
          <cell r="BI1197">
            <v>13.839355674417275</v>
          </cell>
          <cell r="BJ1197">
            <v>18.380449728342072</v>
          </cell>
          <cell r="BU1197">
            <v>9.2881479185530349</v>
          </cell>
          <cell r="BV1197">
            <v>11.522967903511651</v>
          </cell>
          <cell r="BW1197">
            <v>10.055977276238897</v>
          </cell>
          <cell r="BX1197">
            <v>8.6149332270911767</v>
          </cell>
          <cell r="BY1197">
            <v>11.497021325386617</v>
          </cell>
        </row>
        <row r="1198">
          <cell r="A1198">
            <v>41114</v>
          </cell>
          <cell r="BF1198">
            <v>15.555388103344825</v>
          </cell>
          <cell r="BG1198">
            <v>17.429620749261797</v>
          </cell>
          <cell r="BH1198">
            <v>16.109902701379674</v>
          </cell>
          <cell r="BI1198">
            <v>13.839355674417275</v>
          </cell>
          <cell r="BJ1198">
            <v>18.380449728342072</v>
          </cell>
          <cell r="BU1198">
            <v>9.3287306180426075</v>
          </cell>
          <cell r="BV1198">
            <v>11.522967903511651</v>
          </cell>
          <cell r="BW1198">
            <v>10.055977276238897</v>
          </cell>
          <cell r="BX1198">
            <v>8.6149332270911767</v>
          </cell>
          <cell r="BY1198">
            <v>11.497021325386617</v>
          </cell>
        </row>
        <row r="1199">
          <cell r="A1199">
            <v>41115</v>
          </cell>
          <cell r="BF1199">
            <v>15.609743635043355</v>
          </cell>
          <cell r="BG1199">
            <v>17.429620749261797</v>
          </cell>
          <cell r="BH1199">
            <v>16.109902701379674</v>
          </cell>
          <cell r="BI1199">
            <v>13.839355674417275</v>
          </cell>
          <cell r="BJ1199">
            <v>18.380449728342072</v>
          </cell>
          <cell r="BU1199">
            <v>9.3591656135755414</v>
          </cell>
          <cell r="BV1199">
            <v>11.522967903511651</v>
          </cell>
          <cell r="BW1199">
            <v>10.055977276238897</v>
          </cell>
          <cell r="BX1199">
            <v>8.6149332270911767</v>
          </cell>
          <cell r="BY1199">
            <v>11.497021325386617</v>
          </cell>
        </row>
        <row r="1200">
          <cell r="A1200">
            <v>41116</v>
          </cell>
          <cell r="BF1200">
            <v>15.653446912107054</v>
          </cell>
          <cell r="BG1200">
            <v>17.429620749261797</v>
          </cell>
          <cell r="BH1200">
            <v>16.109902701379674</v>
          </cell>
          <cell r="BI1200">
            <v>13.839355674417275</v>
          </cell>
          <cell r="BJ1200">
            <v>18.380449728342072</v>
          </cell>
          <cell r="BU1200">
            <v>9.3819917968163562</v>
          </cell>
          <cell r="BV1200">
            <v>11.522967903511651</v>
          </cell>
          <cell r="BW1200">
            <v>10.055977276238897</v>
          </cell>
          <cell r="BX1200">
            <v>8.6149332270911767</v>
          </cell>
          <cell r="BY1200">
            <v>11.497021325386617</v>
          </cell>
        </row>
        <row r="1201">
          <cell r="A1201">
            <v>41117</v>
          </cell>
          <cell r="BF1201">
            <v>15.580961686798895</v>
          </cell>
          <cell r="BG1201">
            <v>17.429620749261797</v>
          </cell>
          <cell r="BH1201">
            <v>16.109902701379674</v>
          </cell>
          <cell r="BI1201">
            <v>13.839355674417275</v>
          </cell>
          <cell r="BJ1201">
            <v>18.380449728342072</v>
          </cell>
          <cell r="BU1201">
            <v>9.34141315549528</v>
          </cell>
          <cell r="BV1201">
            <v>11.522967903511651</v>
          </cell>
          <cell r="BW1201">
            <v>10.055977276238897</v>
          </cell>
          <cell r="BX1201">
            <v>8.6149332270911767</v>
          </cell>
          <cell r="BY1201">
            <v>11.497021325386617</v>
          </cell>
        </row>
        <row r="1202">
          <cell r="A1202">
            <v>41120</v>
          </cell>
          <cell r="BF1202">
            <v>15.553771798642169</v>
          </cell>
          <cell r="BG1202">
            <v>17.429620749261797</v>
          </cell>
          <cell r="BH1202">
            <v>16.109902701379674</v>
          </cell>
          <cell r="BI1202">
            <v>13.839355674417275</v>
          </cell>
          <cell r="BJ1202">
            <v>18.380449728342072</v>
          </cell>
          <cell r="BU1202">
            <v>9.3261917263780845</v>
          </cell>
          <cell r="BV1202">
            <v>11.522967903511651</v>
          </cell>
          <cell r="BW1202">
            <v>10.055977276238897</v>
          </cell>
          <cell r="BX1202">
            <v>8.6149332270911767</v>
          </cell>
          <cell r="BY1202">
            <v>11.497021325386617</v>
          </cell>
        </row>
        <row r="1203">
          <cell r="A1203">
            <v>41121</v>
          </cell>
          <cell r="BF1203">
            <v>15.585489634780805</v>
          </cell>
          <cell r="BG1203">
            <v>17.429620749261797</v>
          </cell>
          <cell r="BH1203">
            <v>16.109902701379674</v>
          </cell>
          <cell r="BI1203">
            <v>13.839355674417275</v>
          </cell>
          <cell r="BJ1203">
            <v>18.380449728342072</v>
          </cell>
          <cell r="BU1203">
            <v>9.3439479889913084</v>
          </cell>
          <cell r="BV1203">
            <v>11.522967903511651</v>
          </cell>
          <cell r="BW1203">
            <v>10.055977276238897</v>
          </cell>
          <cell r="BX1203">
            <v>8.6149332270911767</v>
          </cell>
          <cell r="BY1203">
            <v>11.497021325386617</v>
          </cell>
        </row>
        <row r="1204">
          <cell r="A1204">
            <v>41122</v>
          </cell>
          <cell r="BF1204">
            <v>15.485186293712211</v>
          </cell>
          <cell r="BG1204">
            <v>17.429620749261797</v>
          </cell>
          <cell r="BH1204">
            <v>16.109902701379674</v>
          </cell>
          <cell r="BI1204">
            <v>13.839355674417275</v>
          </cell>
          <cell r="BJ1204">
            <v>18.380449728342072</v>
          </cell>
          <cell r="BU1204">
            <v>9.2742169512102706</v>
          </cell>
          <cell r="BV1204">
            <v>11.522967903511651</v>
          </cell>
          <cell r="BW1204">
            <v>10.055977276238897</v>
          </cell>
          <cell r="BX1204">
            <v>8.6149332270911767</v>
          </cell>
          <cell r="BY1204">
            <v>11.497021325386617</v>
          </cell>
        </row>
        <row r="1205">
          <cell r="A1205">
            <v>41123</v>
          </cell>
          <cell r="BF1205">
            <v>15.770525521996529</v>
          </cell>
          <cell r="BG1205">
            <v>17.429620749261797</v>
          </cell>
          <cell r="BH1205">
            <v>16.109902701379674</v>
          </cell>
          <cell r="BI1205">
            <v>13.839355674417275</v>
          </cell>
          <cell r="BJ1205">
            <v>18.380449728342072</v>
          </cell>
          <cell r="BU1205">
            <v>9.4337254020785402</v>
          </cell>
          <cell r="BV1205">
            <v>11.522967903511651</v>
          </cell>
          <cell r="BW1205">
            <v>10.055977276238897</v>
          </cell>
          <cell r="BX1205">
            <v>8.6149332270911767</v>
          </cell>
          <cell r="BY1205">
            <v>11.497021325386617</v>
          </cell>
        </row>
        <row r="1206">
          <cell r="A1206">
            <v>41124</v>
          </cell>
          <cell r="BF1206">
            <v>15.883754475847816</v>
          </cell>
          <cell r="BG1206">
            <v>17.429620749261797</v>
          </cell>
          <cell r="BH1206">
            <v>16.109902701379674</v>
          </cell>
          <cell r="BI1206">
            <v>13.839355674417275</v>
          </cell>
          <cell r="BJ1206">
            <v>18.380449728342072</v>
          </cell>
          <cell r="BU1206">
            <v>9.4970219040381565</v>
          </cell>
          <cell r="BV1206">
            <v>11.522967903511651</v>
          </cell>
          <cell r="BW1206">
            <v>10.055977276238897</v>
          </cell>
          <cell r="BX1206">
            <v>8.6149332270911767</v>
          </cell>
          <cell r="BY1206">
            <v>11.497021325386617</v>
          </cell>
        </row>
        <row r="1207">
          <cell r="A1207">
            <v>41127</v>
          </cell>
          <cell r="BF1207">
            <v>15.901867938053316</v>
          </cell>
          <cell r="BG1207">
            <v>17.429620749261797</v>
          </cell>
          <cell r="BH1207">
            <v>16.109902701379674</v>
          </cell>
          <cell r="BI1207">
            <v>13.839355674417275</v>
          </cell>
          <cell r="BJ1207">
            <v>18.380449728342072</v>
          </cell>
          <cell r="BU1207">
            <v>9.5071475720496395</v>
          </cell>
          <cell r="BV1207">
            <v>11.522967903511651</v>
          </cell>
          <cell r="BW1207">
            <v>10.055977276238897</v>
          </cell>
          <cell r="BX1207">
            <v>8.6149332270911767</v>
          </cell>
          <cell r="BY1207">
            <v>11.497021325386617</v>
          </cell>
        </row>
        <row r="1208">
          <cell r="A1208">
            <v>41128</v>
          </cell>
          <cell r="BF1208">
            <v>15.797699112173394</v>
          </cell>
          <cell r="BG1208">
            <v>17.429620749261797</v>
          </cell>
          <cell r="BH1208">
            <v>16.109902701379674</v>
          </cell>
          <cell r="BI1208">
            <v>13.839355674417275</v>
          </cell>
          <cell r="BJ1208">
            <v>18.380449728342072</v>
          </cell>
          <cell r="BU1208">
            <v>9.4489158029908271</v>
          </cell>
          <cell r="BV1208">
            <v>11.522967903511651</v>
          </cell>
          <cell r="BW1208">
            <v>10.055977276238897</v>
          </cell>
          <cell r="BX1208">
            <v>8.6149332270911767</v>
          </cell>
          <cell r="BY1208">
            <v>11.497021325386617</v>
          </cell>
        </row>
        <row r="1209">
          <cell r="A1209">
            <v>41129</v>
          </cell>
          <cell r="BF1209">
            <v>15.589361913329363</v>
          </cell>
          <cell r="BG1209">
            <v>17.429620749261797</v>
          </cell>
          <cell r="BH1209">
            <v>16.109902701379674</v>
          </cell>
          <cell r="BI1209">
            <v>13.839355674417275</v>
          </cell>
          <cell r="BJ1209">
            <v>18.380449728342072</v>
          </cell>
          <cell r="BU1209">
            <v>9.3324525180592026</v>
          </cell>
          <cell r="BV1209">
            <v>11.522967903511651</v>
          </cell>
          <cell r="BW1209">
            <v>10.055977276238897</v>
          </cell>
          <cell r="BX1209">
            <v>8.6149332270911767</v>
          </cell>
          <cell r="BY1209">
            <v>11.497021325386617</v>
          </cell>
        </row>
        <row r="1210">
          <cell r="A1210">
            <v>41130</v>
          </cell>
          <cell r="BF1210">
            <v>15.675410030350742</v>
          </cell>
          <cell r="BG1210">
            <v>17.429620749261797</v>
          </cell>
          <cell r="BH1210">
            <v>16.109902701379674</v>
          </cell>
          <cell r="BI1210">
            <v>13.839355674417275</v>
          </cell>
          <cell r="BJ1210">
            <v>18.380449728342072</v>
          </cell>
          <cell r="BU1210">
            <v>9.3805545681304086</v>
          </cell>
          <cell r="BV1210">
            <v>11.522967903511651</v>
          </cell>
          <cell r="BW1210">
            <v>10.055977276238897</v>
          </cell>
          <cell r="BX1210">
            <v>8.6149332270911767</v>
          </cell>
          <cell r="BY1210">
            <v>11.497021325386617</v>
          </cell>
        </row>
        <row r="1211">
          <cell r="A1211">
            <v>41131</v>
          </cell>
          <cell r="BF1211">
            <v>15.507833443229917</v>
          </cell>
          <cell r="BG1211">
            <v>17.429620749261797</v>
          </cell>
          <cell r="BH1211">
            <v>16.109902701379674</v>
          </cell>
          <cell r="BI1211">
            <v>13.839355674417275</v>
          </cell>
          <cell r="BJ1211">
            <v>18.380449728342072</v>
          </cell>
          <cell r="BU1211">
            <v>9.2868770111602217</v>
          </cell>
          <cell r="BV1211">
            <v>11.522967903511651</v>
          </cell>
          <cell r="BW1211">
            <v>10.055977276238897</v>
          </cell>
          <cell r="BX1211">
            <v>8.6149332270911767</v>
          </cell>
          <cell r="BY1211">
            <v>11.497021325386617</v>
          </cell>
        </row>
        <row r="1212">
          <cell r="A1212">
            <v>41134</v>
          </cell>
          <cell r="BF1212">
            <v>15.389896195636309</v>
          </cell>
          <cell r="BG1212">
            <v>17.429620749261797</v>
          </cell>
          <cell r="BH1212">
            <v>16.109902701379674</v>
          </cell>
          <cell r="BI1212">
            <v>13.839355674417275</v>
          </cell>
          <cell r="BJ1212">
            <v>18.380449728342072</v>
          </cell>
          <cell r="BU1212">
            <v>9.2412727471290541</v>
          </cell>
          <cell r="BV1212">
            <v>11.522967903511651</v>
          </cell>
          <cell r="BW1212">
            <v>10.055977276238897</v>
          </cell>
          <cell r="BX1212">
            <v>8.6149332270911767</v>
          </cell>
          <cell r="BY1212">
            <v>11.497021325386617</v>
          </cell>
        </row>
        <row r="1213">
          <cell r="A1213">
            <v>41135</v>
          </cell>
          <cell r="BF1213">
            <v>15.389896195636309</v>
          </cell>
          <cell r="BG1213">
            <v>17.429620749261797</v>
          </cell>
          <cell r="BH1213">
            <v>16.109902701379674</v>
          </cell>
          <cell r="BI1213">
            <v>13.839355674417275</v>
          </cell>
          <cell r="BJ1213">
            <v>18.380449728342072</v>
          </cell>
          <cell r="BU1213">
            <v>9.2412727471290541</v>
          </cell>
          <cell r="BV1213">
            <v>11.522967903511651</v>
          </cell>
          <cell r="BW1213">
            <v>10.055977276238897</v>
          </cell>
          <cell r="BX1213">
            <v>8.6149332270911767</v>
          </cell>
          <cell r="BY1213">
            <v>11.497021325386617</v>
          </cell>
        </row>
        <row r="1214">
          <cell r="A1214">
            <v>41136</v>
          </cell>
          <cell r="BF1214">
            <v>15.529109006931519</v>
          </cell>
          <cell r="BG1214">
            <v>17.429620749261797</v>
          </cell>
          <cell r="BH1214">
            <v>16.109902701379674</v>
          </cell>
          <cell r="BI1214">
            <v>13.839355674417275</v>
          </cell>
          <cell r="BJ1214">
            <v>18.380449728342072</v>
          </cell>
          <cell r="BU1214">
            <v>9.3193104075925639</v>
          </cell>
          <cell r="BV1214">
            <v>11.522967903511651</v>
          </cell>
          <cell r="BW1214">
            <v>10.055977276238897</v>
          </cell>
          <cell r="BX1214">
            <v>8.6149332270911767</v>
          </cell>
          <cell r="BY1214">
            <v>11.497021325386617</v>
          </cell>
        </row>
        <row r="1215">
          <cell r="A1215">
            <v>41137</v>
          </cell>
          <cell r="BF1215">
            <v>15.816518433526362</v>
          </cell>
          <cell r="BG1215">
            <v>17.429620749261797</v>
          </cell>
          <cell r="BH1215">
            <v>16.109902701379674</v>
          </cell>
          <cell r="BI1215">
            <v>13.839355674417275</v>
          </cell>
          <cell r="BJ1215">
            <v>18.380449728342072</v>
          </cell>
          <cell r="BU1215">
            <v>9.4804217236987984</v>
          </cell>
          <cell r="BV1215">
            <v>11.522967903511651</v>
          </cell>
          <cell r="BW1215">
            <v>10.055977276238897</v>
          </cell>
          <cell r="BX1215">
            <v>8.6149332270911767</v>
          </cell>
          <cell r="BY1215">
            <v>11.497021325386617</v>
          </cell>
        </row>
        <row r="1216">
          <cell r="A1216">
            <v>41138</v>
          </cell>
          <cell r="BF1216">
            <v>15.892867968842973</v>
          </cell>
          <cell r="BG1216">
            <v>17.429620749261797</v>
          </cell>
          <cell r="BH1216">
            <v>16.109902701379674</v>
          </cell>
          <cell r="BI1216">
            <v>13.839355674417275</v>
          </cell>
          <cell r="BJ1216">
            <v>18.380449728342072</v>
          </cell>
          <cell r="BU1216">
            <v>9.5232205082226606</v>
          </cell>
          <cell r="BV1216">
            <v>11.522967903511651</v>
          </cell>
          <cell r="BW1216">
            <v>10.055977276238897</v>
          </cell>
          <cell r="BX1216">
            <v>8.6149332270911767</v>
          </cell>
          <cell r="BY1216">
            <v>11.497021325386617</v>
          </cell>
        </row>
        <row r="1217">
          <cell r="A1217">
            <v>41141</v>
          </cell>
          <cell r="BF1217">
            <v>16.014114070285189</v>
          </cell>
          <cell r="BG1217">
            <v>17.429620749261797</v>
          </cell>
          <cell r="BH1217">
            <v>16.109902701379674</v>
          </cell>
          <cell r="BI1217">
            <v>13.839355674417275</v>
          </cell>
          <cell r="BJ1217">
            <v>18.380449728342072</v>
          </cell>
          <cell r="BU1217">
            <v>9.5911866818013785</v>
          </cell>
          <cell r="BV1217">
            <v>11.522967903511651</v>
          </cell>
          <cell r="BW1217">
            <v>10.055977276238897</v>
          </cell>
          <cell r="BX1217">
            <v>8.6149332270911767</v>
          </cell>
          <cell r="BY1217">
            <v>11.497021325386617</v>
          </cell>
        </row>
        <row r="1218">
          <cell r="A1218">
            <v>41142</v>
          </cell>
          <cell r="BF1218">
            <v>15.578508028390706</v>
          </cell>
          <cell r="BG1218">
            <v>17.429620749261797</v>
          </cell>
          <cell r="BH1218">
            <v>16.109902701379674</v>
          </cell>
          <cell r="BI1218">
            <v>13.839355674417275</v>
          </cell>
          <cell r="BJ1218">
            <v>18.380449728342072</v>
          </cell>
          <cell r="BU1218">
            <v>9.3470017100524139</v>
          </cell>
          <cell r="BV1218">
            <v>11.522967903511651</v>
          </cell>
          <cell r="BW1218">
            <v>10.055977276238897</v>
          </cell>
          <cell r="BX1218">
            <v>8.6149332270911767</v>
          </cell>
          <cell r="BY1218">
            <v>11.497021325386617</v>
          </cell>
        </row>
        <row r="1219">
          <cell r="A1219">
            <v>41143</v>
          </cell>
          <cell r="BF1219">
            <v>15.461065844231056</v>
          </cell>
          <cell r="BG1219">
            <v>17.429620749261797</v>
          </cell>
          <cell r="BH1219">
            <v>16.109902701379674</v>
          </cell>
          <cell r="BI1219">
            <v>13.839355674417275</v>
          </cell>
          <cell r="BJ1219">
            <v>18.380449728342072</v>
          </cell>
          <cell r="BU1219">
            <v>9.3030309096828336</v>
          </cell>
          <cell r="BV1219">
            <v>11.522967903511651</v>
          </cell>
          <cell r="BW1219">
            <v>10.055977276238897</v>
          </cell>
          <cell r="BX1219">
            <v>8.6149332270911767</v>
          </cell>
          <cell r="BY1219">
            <v>11.497021325386617</v>
          </cell>
        </row>
        <row r="1220">
          <cell r="A1220">
            <v>41144</v>
          </cell>
          <cell r="BF1220">
            <v>15.568810745534295</v>
          </cell>
          <cell r="BG1220">
            <v>17.429620749261797</v>
          </cell>
          <cell r="BH1220">
            <v>16.109902701379674</v>
          </cell>
          <cell r="BI1220">
            <v>13.839355674417275</v>
          </cell>
          <cell r="BJ1220">
            <v>18.380449728342072</v>
          </cell>
          <cell r="BU1220">
            <v>9.3635724148124755</v>
          </cell>
          <cell r="BV1220">
            <v>11.522967903511651</v>
          </cell>
          <cell r="BW1220">
            <v>10.055977276238897</v>
          </cell>
          <cell r="BX1220">
            <v>8.6149332270911767</v>
          </cell>
          <cell r="BY1220">
            <v>11.497021325386617</v>
          </cell>
        </row>
        <row r="1221">
          <cell r="A1221">
            <v>41145</v>
          </cell>
          <cell r="BF1221">
            <v>15.418416811445862</v>
          </cell>
          <cell r="BG1221">
            <v>17.429620749261797</v>
          </cell>
          <cell r="BH1221">
            <v>16.109902701379674</v>
          </cell>
          <cell r="BI1221">
            <v>13.839355674417275</v>
          </cell>
          <cell r="BJ1221">
            <v>18.380449728342072</v>
          </cell>
          <cell r="BU1221">
            <v>9.2790665586471235</v>
          </cell>
          <cell r="BV1221">
            <v>11.522967903511651</v>
          </cell>
          <cell r="BW1221">
            <v>10.055977276238897</v>
          </cell>
          <cell r="BX1221">
            <v>8.6149332270911767</v>
          </cell>
          <cell r="BY1221">
            <v>11.497021325386617</v>
          </cell>
        </row>
        <row r="1222">
          <cell r="A1222">
            <v>41148</v>
          </cell>
          <cell r="BF1222">
            <v>15.528409044996026</v>
          </cell>
          <cell r="BG1222">
            <v>17.429620749261797</v>
          </cell>
          <cell r="BH1222">
            <v>16.109902701379674</v>
          </cell>
          <cell r="BI1222">
            <v>13.839355674417275</v>
          </cell>
          <cell r="BJ1222">
            <v>18.380449728342072</v>
          </cell>
          <cell r="BU1222">
            <v>9.3408708323635796</v>
          </cell>
          <cell r="BV1222">
            <v>11.522967903511651</v>
          </cell>
          <cell r="BW1222">
            <v>10.055977276238897</v>
          </cell>
          <cell r="BX1222">
            <v>8.6149332270911767</v>
          </cell>
          <cell r="BY1222">
            <v>11.497021325386617</v>
          </cell>
        </row>
        <row r="1223">
          <cell r="A1223">
            <v>41149</v>
          </cell>
          <cell r="BF1223">
            <v>15.573297778256636</v>
          </cell>
          <cell r="BG1223">
            <v>17.429620749261797</v>
          </cell>
          <cell r="BH1223">
            <v>16.109902701379674</v>
          </cell>
          <cell r="BI1223">
            <v>13.839355674417275</v>
          </cell>
          <cell r="BJ1223">
            <v>18.380449728342072</v>
          </cell>
          <cell r="BU1223">
            <v>9.3660936637188339</v>
          </cell>
          <cell r="BV1223">
            <v>11.522967903511651</v>
          </cell>
          <cell r="BW1223">
            <v>10.055977276238897</v>
          </cell>
          <cell r="BX1223">
            <v>8.6149332270911767</v>
          </cell>
          <cell r="BY1223">
            <v>11.497021325386617</v>
          </cell>
        </row>
        <row r="1224">
          <cell r="A1224">
            <v>41150</v>
          </cell>
          <cell r="BF1224">
            <v>15.445781033565392</v>
          </cell>
          <cell r="BG1224">
            <v>17.429620749261797</v>
          </cell>
          <cell r="BH1224">
            <v>16.109902701379674</v>
          </cell>
          <cell r="BI1224">
            <v>13.839355674417275</v>
          </cell>
          <cell r="BJ1224">
            <v>18.380449728342072</v>
          </cell>
          <cell r="BU1224">
            <v>9.2929423825431705</v>
          </cell>
          <cell r="BV1224">
            <v>11.522967903511651</v>
          </cell>
          <cell r="BW1224">
            <v>10.055977276238897</v>
          </cell>
          <cell r="BX1224">
            <v>8.6149332270911767</v>
          </cell>
          <cell r="BY1224">
            <v>11.497021325386617</v>
          </cell>
        </row>
        <row r="1225">
          <cell r="A1225">
            <v>41151</v>
          </cell>
          <cell r="BF1225">
            <v>15.230260714951202</v>
          </cell>
          <cell r="BG1225">
            <v>17.429620749261797</v>
          </cell>
          <cell r="BH1225">
            <v>16.109902701379674</v>
          </cell>
          <cell r="BI1225">
            <v>13.839355674417275</v>
          </cell>
          <cell r="BJ1225">
            <v>18.380449728342072</v>
          </cell>
          <cell r="BU1225">
            <v>9.171863156049131</v>
          </cell>
          <cell r="BV1225">
            <v>11.522967903511651</v>
          </cell>
          <cell r="BW1225">
            <v>10.055977276238897</v>
          </cell>
          <cell r="BX1225">
            <v>8.6149332270911767</v>
          </cell>
          <cell r="BY1225">
            <v>11.497021325386617</v>
          </cell>
        </row>
        <row r="1226">
          <cell r="A1226">
            <v>41152</v>
          </cell>
          <cell r="BF1226">
            <v>15.03718482631351</v>
          </cell>
          <cell r="BG1226">
            <v>17.429620749261797</v>
          </cell>
          <cell r="BH1226">
            <v>16.109902701379674</v>
          </cell>
          <cell r="BI1226">
            <v>13.839355674417275</v>
          </cell>
          <cell r="BJ1226">
            <v>18.380449728342072</v>
          </cell>
          <cell r="BU1226">
            <v>9.0633932010990836</v>
          </cell>
          <cell r="BV1226">
            <v>11.522967903511651</v>
          </cell>
          <cell r="BW1226">
            <v>10.055977276238897</v>
          </cell>
          <cell r="BX1226">
            <v>8.6149332270911767</v>
          </cell>
          <cell r="BY1226">
            <v>11.497021325386617</v>
          </cell>
        </row>
        <row r="1227">
          <cell r="A1227">
            <v>41155</v>
          </cell>
          <cell r="BF1227">
            <v>15.077593510974813</v>
          </cell>
          <cell r="BG1227">
            <v>17.429620749261797</v>
          </cell>
          <cell r="BH1227">
            <v>16.109902701379674</v>
          </cell>
          <cell r="BI1227">
            <v>13.839355674417275</v>
          </cell>
          <cell r="BJ1227">
            <v>18.380449728342072</v>
          </cell>
          <cell r="BU1227">
            <v>9.0866348658145188</v>
          </cell>
          <cell r="BV1227">
            <v>11.522967903511651</v>
          </cell>
          <cell r="BW1227">
            <v>10.055977276238897</v>
          </cell>
          <cell r="BX1227">
            <v>8.6149332270911767</v>
          </cell>
          <cell r="BY1227">
            <v>11.497021325386617</v>
          </cell>
        </row>
        <row r="1228">
          <cell r="A1228">
            <v>41156</v>
          </cell>
          <cell r="BF1228">
            <v>14.947385105145825</v>
          </cell>
          <cell r="BG1228">
            <v>17.429620749261797</v>
          </cell>
          <cell r="BH1228">
            <v>16.109902701379674</v>
          </cell>
          <cell r="BI1228">
            <v>13.839355674417275</v>
          </cell>
          <cell r="BJ1228">
            <v>18.380449728342072</v>
          </cell>
          <cell r="BU1228">
            <v>9.0134794887541272</v>
          </cell>
          <cell r="BV1228">
            <v>11.522967903511651</v>
          </cell>
          <cell r="BW1228">
            <v>10.055977276238897</v>
          </cell>
          <cell r="BX1228">
            <v>8.6149332270911767</v>
          </cell>
          <cell r="BY1228">
            <v>11.497021325386617</v>
          </cell>
        </row>
        <row r="1229">
          <cell r="A1229">
            <v>41157</v>
          </cell>
          <cell r="BF1229">
            <v>15.028202474468433</v>
          </cell>
          <cell r="BG1229">
            <v>17.429620749261797</v>
          </cell>
          <cell r="BH1229">
            <v>16.109902701379674</v>
          </cell>
          <cell r="BI1229">
            <v>13.839355674417275</v>
          </cell>
          <cell r="BJ1229">
            <v>18.380449728342072</v>
          </cell>
          <cell r="BU1229">
            <v>9.0588853524399884</v>
          </cell>
          <cell r="BV1229">
            <v>11.522967903511651</v>
          </cell>
          <cell r="BW1229">
            <v>10.055977276238897</v>
          </cell>
          <cell r="BX1229">
            <v>8.6149332270911767</v>
          </cell>
          <cell r="BY1229">
            <v>11.497021325386617</v>
          </cell>
        </row>
        <row r="1230">
          <cell r="A1230">
            <v>41158</v>
          </cell>
          <cell r="BF1230">
            <v>15.122496739098713</v>
          </cell>
          <cell r="BG1230">
            <v>17.429620749261797</v>
          </cell>
          <cell r="BH1230">
            <v>16.109902701379674</v>
          </cell>
          <cell r="BI1230">
            <v>13.839355674417275</v>
          </cell>
          <cell r="BJ1230">
            <v>18.380449728342072</v>
          </cell>
          <cell r="BU1230">
            <v>9.1118629804183229</v>
          </cell>
          <cell r="BV1230">
            <v>11.522967903511651</v>
          </cell>
          <cell r="BW1230">
            <v>10.055977276238897</v>
          </cell>
          <cell r="BX1230">
            <v>8.6149332270911767</v>
          </cell>
          <cell r="BY1230">
            <v>11.497021325386617</v>
          </cell>
        </row>
        <row r="1231">
          <cell r="A1231">
            <v>41159</v>
          </cell>
          <cell r="BF1231">
            <v>15.033033630193559</v>
          </cell>
          <cell r="BG1231">
            <v>17.429620749261797</v>
          </cell>
          <cell r="BH1231">
            <v>16.109902701379674</v>
          </cell>
          <cell r="BI1231">
            <v>13.839355674417275</v>
          </cell>
          <cell r="BJ1231">
            <v>18.380449728342072</v>
          </cell>
          <cell r="BU1231">
            <v>9.0414735628568419</v>
          </cell>
          <cell r="BV1231">
            <v>11.522967903511651</v>
          </cell>
          <cell r="BW1231">
            <v>10.055977276238897</v>
          </cell>
          <cell r="BX1231">
            <v>8.6149332270911767</v>
          </cell>
          <cell r="BY1231">
            <v>11.497021325386617</v>
          </cell>
        </row>
        <row r="1232">
          <cell r="A1232">
            <v>41162</v>
          </cell>
          <cell r="BF1232">
            <v>15.033033630193559</v>
          </cell>
          <cell r="BG1232">
            <v>17.429620749261797</v>
          </cell>
          <cell r="BH1232">
            <v>16.109902701379674</v>
          </cell>
          <cell r="BI1232">
            <v>13.839355674417275</v>
          </cell>
          <cell r="BJ1232">
            <v>18.380449728342072</v>
          </cell>
          <cell r="BU1232">
            <v>9.0414735628568419</v>
          </cell>
          <cell r="BV1232">
            <v>11.522967903511651</v>
          </cell>
          <cell r="BW1232">
            <v>10.055977276238897</v>
          </cell>
          <cell r="BX1232">
            <v>8.6149332270911767</v>
          </cell>
          <cell r="BY1232">
            <v>11.497021325386617</v>
          </cell>
        </row>
        <row r="1233">
          <cell r="A1233">
            <v>41163</v>
          </cell>
          <cell r="BF1233">
            <v>15.033033630193559</v>
          </cell>
          <cell r="BG1233">
            <v>17.429620749261797</v>
          </cell>
          <cell r="BH1233">
            <v>16.109902701379674</v>
          </cell>
          <cell r="BI1233">
            <v>13.839355674417275</v>
          </cell>
          <cell r="BJ1233">
            <v>18.380449728342072</v>
          </cell>
          <cell r="BU1233">
            <v>9.0414735628568419</v>
          </cell>
          <cell r="BV1233">
            <v>11.522967903511651</v>
          </cell>
          <cell r="BW1233">
            <v>10.055977276238897</v>
          </cell>
          <cell r="BX1233">
            <v>8.6149332270911767</v>
          </cell>
          <cell r="BY1233">
            <v>11.497021325386617</v>
          </cell>
        </row>
        <row r="1234">
          <cell r="A1234">
            <v>41164</v>
          </cell>
          <cell r="BF1234">
            <v>14.992635651955327</v>
          </cell>
          <cell r="BG1234">
            <v>17.429620749261797</v>
          </cell>
          <cell r="BH1234">
            <v>16.109902701379674</v>
          </cell>
          <cell r="BI1234">
            <v>13.839355674417275</v>
          </cell>
          <cell r="BJ1234">
            <v>18.380449728342072</v>
          </cell>
          <cell r="BU1234">
            <v>9.0188266320977597</v>
          </cell>
          <cell r="BV1234">
            <v>11.522967903511651</v>
          </cell>
          <cell r="BW1234">
            <v>10.055977276238897</v>
          </cell>
          <cell r="BX1234">
            <v>8.6149332270911767</v>
          </cell>
          <cell r="BY1234">
            <v>11.497021325386617</v>
          </cell>
        </row>
        <row r="1235">
          <cell r="A1235">
            <v>41165</v>
          </cell>
          <cell r="BF1235">
            <v>15.122195120054284</v>
          </cell>
          <cell r="BG1235">
            <v>17.429620749261797</v>
          </cell>
          <cell r="BH1235">
            <v>16.109902701379674</v>
          </cell>
          <cell r="BI1235">
            <v>13.839355674417275</v>
          </cell>
          <cell r="BJ1235">
            <v>18.380449728342072</v>
          </cell>
          <cell r="BU1235">
            <v>9.1119941246807326</v>
          </cell>
          <cell r="BV1235">
            <v>11.522967903511651</v>
          </cell>
          <cell r="BW1235">
            <v>10.055977276238897</v>
          </cell>
          <cell r="BX1235">
            <v>8.6149332270911767</v>
          </cell>
          <cell r="BY1235">
            <v>11.497021325386617</v>
          </cell>
        </row>
        <row r="1236">
          <cell r="A1236">
            <v>41166</v>
          </cell>
          <cell r="BF1236">
            <v>15.068818218984941</v>
          </cell>
          <cell r="BG1236">
            <v>17.429620749261797</v>
          </cell>
          <cell r="BH1236">
            <v>16.109902701379674</v>
          </cell>
          <cell r="BI1236">
            <v>13.839355674417275</v>
          </cell>
          <cell r="BJ1236">
            <v>18.380449728342072</v>
          </cell>
          <cell r="BU1236">
            <v>9.0819851110532444</v>
          </cell>
          <cell r="BV1236">
            <v>11.522967903511651</v>
          </cell>
          <cell r="BW1236">
            <v>10.055977276238897</v>
          </cell>
          <cell r="BX1236">
            <v>8.6149332270911767</v>
          </cell>
          <cell r="BY1236">
            <v>11.497021325386617</v>
          </cell>
        </row>
        <row r="1237">
          <cell r="A1237">
            <v>41169</v>
          </cell>
          <cell r="BF1237">
            <v>15.291203441338679</v>
          </cell>
          <cell r="BG1237">
            <v>17.429620749261797</v>
          </cell>
          <cell r="BH1237">
            <v>16.109902701379674</v>
          </cell>
          <cell r="BI1237">
            <v>13.839355674417275</v>
          </cell>
          <cell r="BJ1237">
            <v>18.380449728342072</v>
          </cell>
          <cell r="BU1237">
            <v>9.2070122489062971</v>
          </cell>
          <cell r="BV1237">
            <v>11.522967903511651</v>
          </cell>
          <cell r="BW1237">
            <v>10.055977276238897</v>
          </cell>
          <cell r="BX1237">
            <v>8.6149332270911767</v>
          </cell>
          <cell r="BY1237">
            <v>11.497021325386617</v>
          </cell>
        </row>
        <row r="1238">
          <cell r="A1238">
            <v>41170</v>
          </cell>
          <cell r="BF1238">
            <v>15.504691475716491</v>
          </cell>
          <cell r="BG1238">
            <v>17.429620749261797</v>
          </cell>
          <cell r="BH1238">
            <v>16.109902701379674</v>
          </cell>
          <cell r="BI1238">
            <v>13.839355674417275</v>
          </cell>
          <cell r="BJ1238">
            <v>18.380449728342072</v>
          </cell>
          <cell r="BU1238">
            <v>9.3270373010281258</v>
          </cell>
          <cell r="BV1238">
            <v>11.522967903511651</v>
          </cell>
          <cell r="BW1238">
            <v>10.055977276238897</v>
          </cell>
          <cell r="BX1238">
            <v>8.6149332270911767</v>
          </cell>
          <cell r="BY1238">
            <v>11.497021325386617</v>
          </cell>
        </row>
        <row r="1239">
          <cell r="A1239">
            <v>41171</v>
          </cell>
          <cell r="BF1239">
            <v>15.313443297885389</v>
          </cell>
          <cell r="BG1239">
            <v>17.429620749261797</v>
          </cell>
          <cell r="BH1239">
            <v>16.109902701379674</v>
          </cell>
          <cell r="BI1239">
            <v>13.839355674417275</v>
          </cell>
          <cell r="BJ1239">
            <v>18.380449728342072</v>
          </cell>
          <cell r="BU1239">
            <v>9.2195157128544292</v>
          </cell>
          <cell r="BV1239">
            <v>11.522967903511651</v>
          </cell>
          <cell r="BW1239">
            <v>10.055977276238897</v>
          </cell>
          <cell r="BX1239">
            <v>8.6149332270911767</v>
          </cell>
          <cell r="BY1239">
            <v>11.497021325386617</v>
          </cell>
        </row>
        <row r="1240">
          <cell r="A1240">
            <v>41172</v>
          </cell>
          <cell r="BF1240">
            <v>15.171113642185881</v>
          </cell>
          <cell r="BG1240">
            <v>17.429620749261797</v>
          </cell>
          <cell r="BH1240">
            <v>16.109902701379674</v>
          </cell>
          <cell r="BI1240">
            <v>13.839355674417275</v>
          </cell>
          <cell r="BJ1240">
            <v>18.380449728342072</v>
          </cell>
          <cell r="BU1240">
            <v>9.1394965942485431</v>
          </cell>
          <cell r="BV1240">
            <v>11.522967903511651</v>
          </cell>
          <cell r="BW1240">
            <v>10.055977276238897</v>
          </cell>
          <cell r="BX1240">
            <v>8.6149332270911767</v>
          </cell>
          <cell r="BY1240">
            <v>11.497021325386617</v>
          </cell>
        </row>
        <row r="1241">
          <cell r="A1241">
            <v>41173</v>
          </cell>
          <cell r="BF1241">
            <v>15.228936023850078</v>
          </cell>
          <cell r="BG1241">
            <v>17.429620749261797</v>
          </cell>
          <cell r="BH1241">
            <v>16.109902701379674</v>
          </cell>
          <cell r="BI1241">
            <v>13.839355674417275</v>
          </cell>
          <cell r="BJ1241">
            <v>18.380449728342072</v>
          </cell>
          <cell r="BU1241">
            <v>9.1720049003617206</v>
          </cell>
          <cell r="BV1241">
            <v>11.522967903511651</v>
          </cell>
          <cell r="BW1241">
            <v>10.055977276238897</v>
          </cell>
          <cell r="BX1241">
            <v>8.6149332270911767</v>
          </cell>
          <cell r="BY1241">
            <v>11.497021325386617</v>
          </cell>
        </row>
        <row r="1242">
          <cell r="A1242">
            <v>41176</v>
          </cell>
          <cell r="BF1242">
            <v>15.215593355279298</v>
          </cell>
          <cell r="BG1242">
            <v>17.429620749261797</v>
          </cell>
          <cell r="BH1242">
            <v>16.109902701379674</v>
          </cell>
          <cell r="BI1242">
            <v>13.839355674417275</v>
          </cell>
          <cell r="BJ1242">
            <v>18.380449728342072</v>
          </cell>
          <cell r="BU1242">
            <v>9.1645035221448108</v>
          </cell>
          <cell r="BV1242">
            <v>11.522967903511651</v>
          </cell>
          <cell r="BW1242">
            <v>10.055977276238897</v>
          </cell>
          <cell r="BX1242">
            <v>8.6149332270911767</v>
          </cell>
          <cell r="BY1242">
            <v>11.497021325386617</v>
          </cell>
        </row>
        <row r="1243">
          <cell r="A1243">
            <v>41177</v>
          </cell>
          <cell r="BF1243">
            <v>15.277860772767902</v>
          </cell>
          <cell r="BG1243">
            <v>17.429620749261797</v>
          </cell>
          <cell r="BH1243">
            <v>16.109902701379674</v>
          </cell>
          <cell r="BI1243">
            <v>13.839355674417275</v>
          </cell>
          <cell r="BJ1243">
            <v>18.380449728342072</v>
          </cell>
          <cell r="BU1243">
            <v>9.1995108706893891</v>
          </cell>
          <cell r="BV1243">
            <v>11.522967903511651</v>
          </cell>
          <cell r="BW1243">
            <v>10.055977276238897</v>
          </cell>
          <cell r="BX1243">
            <v>8.6149332270911767</v>
          </cell>
          <cell r="BY1243">
            <v>11.497021325386617</v>
          </cell>
        </row>
        <row r="1244">
          <cell r="A1244">
            <v>41178</v>
          </cell>
          <cell r="BF1244">
            <v>15.148880457195844</v>
          </cell>
          <cell r="BG1244">
            <v>17.429620749261797</v>
          </cell>
          <cell r="BH1244">
            <v>16.109902701379674</v>
          </cell>
          <cell r="BI1244">
            <v>13.839355674417275</v>
          </cell>
          <cell r="BJ1244">
            <v>18.380449728342072</v>
          </cell>
          <cell r="BU1244">
            <v>9.1269968811145485</v>
          </cell>
          <cell r="BV1244">
            <v>11.522967903511651</v>
          </cell>
          <cell r="BW1244">
            <v>10.055977276238897</v>
          </cell>
          <cell r="BX1244">
            <v>8.6149332270911767</v>
          </cell>
          <cell r="BY1244">
            <v>11.497021325386617</v>
          </cell>
        </row>
        <row r="1245">
          <cell r="A1245">
            <v>41179</v>
          </cell>
          <cell r="BF1245">
            <v>15.351290394563486</v>
          </cell>
          <cell r="BG1245">
            <v>17.429620749261797</v>
          </cell>
          <cell r="BH1245">
            <v>16.109902701379674</v>
          </cell>
          <cell r="BI1245">
            <v>13.839355674417275</v>
          </cell>
          <cell r="BJ1245">
            <v>18.380449728342072</v>
          </cell>
          <cell r="BU1245">
            <v>9.2560580139200646</v>
          </cell>
          <cell r="BV1245">
            <v>11.522967903511651</v>
          </cell>
          <cell r="BW1245">
            <v>10.055977276238897</v>
          </cell>
          <cell r="BX1245">
            <v>8.6149332270911767</v>
          </cell>
          <cell r="BY1245">
            <v>11.497021325386617</v>
          </cell>
        </row>
        <row r="1246">
          <cell r="A1246">
            <v>41180</v>
          </cell>
          <cell r="BF1246">
            <v>15.653257043134575</v>
          </cell>
          <cell r="BG1246">
            <v>17.429620749261797</v>
          </cell>
          <cell r="BH1246">
            <v>16.109902701379674</v>
          </cell>
          <cell r="BI1246">
            <v>13.839355674417275</v>
          </cell>
          <cell r="BJ1246">
            <v>18.380449728342072</v>
          </cell>
          <cell r="BU1246">
            <v>9.4261248697476603</v>
          </cell>
          <cell r="BV1246">
            <v>11.522967903511651</v>
          </cell>
          <cell r="BW1246">
            <v>10.055977276238897</v>
          </cell>
          <cell r="BX1246">
            <v>8.6149332270911767</v>
          </cell>
          <cell r="BY1246">
            <v>11.497021325386617</v>
          </cell>
        </row>
        <row r="1247">
          <cell r="A1247">
            <v>41183</v>
          </cell>
          <cell r="BF1247">
            <v>15.995181905280482</v>
          </cell>
          <cell r="BG1247">
            <v>17.429620749261797</v>
          </cell>
          <cell r="BH1247">
            <v>16.109902701379674</v>
          </cell>
          <cell r="BI1247">
            <v>13.839355674417275</v>
          </cell>
          <cell r="BJ1247">
            <v>18.380449728342072</v>
          </cell>
          <cell r="BU1247">
            <v>9.6186960908066901</v>
          </cell>
          <cell r="BV1247">
            <v>11.522967903511651</v>
          </cell>
          <cell r="BW1247">
            <v>10.055977276238897</v>
          </cell>
          <cell r="BX1247">
            <v>8.6149332270911767</v>
          </cell>
          <cell r="BY1247">
            <v>11.497021325386617</v>
          </cell>
        </row>
        <row r="1248">
          <cell r="A1248">
            <v>41184</v>
          </cell>
          <cell r="BF1248">
            <v>14.975313196271632</v>
          </cell>
          <cell r="BG1248">
            <v>17.429620749261797</v>
          </cell>
          <cell r="BH1248">
            <v>16.109902701379674</v>
          </cell>
          <cell r="BI1248">
            <v>13.839355674417275</v>
          </cell>
          <cell r="BJ1248">
            <v>18.380449728342072</v>
          </cell>
          <cell r="BU1248">
            <v>9.1127154344304042</v>
          </cell>
          <cell r="BV1248">
            <v>11.522967903511651</v>
          </cell>
          <cell r="BW1248">
            <v>10.055977276238897</v>
          </cell>
          <cell r="BX1248">
            <v>8.6149332270911767</v>
          </cell>
          <cell r="BY1248">
            <v>11.497021325386617</v>
          </cell>
        </row>
        <row r="1249">
          <cell r="A1249">
            <v>41185</v>
          </cell>
          <cell r="BF1249">
            <v>15.464916951089286</v>
          </cell>
          <cell r="BG1249">
            <v>17.429620749261797</v>
          </cell>
          <cell r="BH1249">
            <v>16.109902701379674</v>
          </cell>
          <cell r="BI1249">
            <v>13.839355674417275</v>
          </cell>
          <cell r="BJ1249">
            <v>18.380449728342072</v>
          </cell>
          <cell r="BU1249">
            <v>9.3633576374434497</v>
          </cell>
          <cell r="BV1249">
            <v>11.522967903511651</v>
          </cell>
          <cell r="BW1249">
            <v>10.055977276238897</v>
          </cell>
          <cell r="BX1249">
            <v>8.6149332270911767</v>
          </cell>
          <cell r="BY1249">
            <v>11.497021325386617</v>
          </cell>
        </row>
        <row r="1250">
          <cell r="A1250">
            <v>41186</v>
          </cell>
          <cell r="BF1250">
            <v>15.565443785517443</v>
          </cell>
          <cell r="BG1250">
            <v>17.429620749261797</v>
          </cell>
          <cell r="BH1250">
            <v>16.109902701379674</v>
          </cell>
          <cell r="BI1250">
            <v>13.839355674417275</v>
          </cell>
          <cell r="BJ1250">
            <v>18.380449728342072</v>
          </cell>
          <cell r="BU1250">
            <v>9.4448527574954504</v>
          </cell>
          <cell r="BV1250">
            <v>11.522967903511651</v>
          </cell>
          <cell r="BW1250">
            <v>10.055977276238897</v>
          </cell>
          <cell r="BX1250">
            <v>8.6149332270911767</v>
          </cell>
          <cell r="BY1250">
            <v>11.497021325386617</v>
          </cell>
        </row>
        <row r="1251">
          <cell r="A1251">
            <v>41187</v>
          </cell>
          <cell r="BF1251">
            <v>15.718768982486148</v>
          </cell>
          <cell r="BG1251">
            <v>17.429620749261797</v>
          </cell>
          <cell r="BH1251">
            <v>16.109902701379674</v>
          </cell>
          <cell r="BI1251">
            <v>13.839355674417275</v>
          </cell>
          <cell r="BJ1251">
            <v>18.380449728342072</v>
          </cell>
          <cell r="BU1251">
            <v>9.5314540758041257</v>
          </cell>
          <cell r="BV1251">
            <v>11.522967903511651</v>
          </cell>
          <cell r="BW1251">
            <v>10.055977276238897</v>
          </cell>
          <cell r="BX1251">
            <v>8.6149332270911767</v>
          </cell>
          <cell r="BY1251">
            <v>11.497021325386617</v>
          </cell>
        </row>
        <row r="1252">
          <cell r="A1252">
            <v>41190</v>
          </cell>
          <cell r="BF1252">
            <v>15.62584235380638</v>
          </cell>
          <cell r="BG1252">
            <v>17.429620749261797</v>
          </cell>
          <cell r="BH1252">
            <v>16.109902701379674</v>
          </cell>
          <cell r="BI1252">
            <v>13.839355674417275</v>
          </cell>
          <cell r="BJ1252">
            <v>18.380449728342072</v>
          </cell>
          <cell r="BU1252">
            <v>9.4789671479621802</v>
          </cell>
          <cell r="BV1252">
            <v>11.522967903511651</v>
          </cell>
          <cell r="BW1252">
            <v>10.055977276238897</v>
          </cell>
          <cell r="BX1252">
            <v>8.6149332270911767</v>
          </cell>
          <cell r="BY1252">
            <v>11.497021325386617</v>
          </cell>
        </row>
        <row r="1253">
          <cell r="A1253">
            <v>41191</v>
          </cell>
          <cell r="BF1253">
            <v>15.630493401337517</v>
          </cell>
          <cell r="BG1253">
            <v>17.429620749261797</v>
          </cell>
          <cell r="BH1253">
            <v>16.109902701379674</v>
          </cell>
          <cell r="BI1253">
            <v>13.839355674417275</v>
          </cell>
          <cell r="BJ1253">
            <v>18.380449728342072</v>
          </cell>
          <cell r="BU1253">
            <v>9.481594158105823</v>
          </cell>
          <cell r="BV1253">
            <v>11.522967903511651</v>
          </cell>
          <cell r="BW1253">
            <v>10.055977276238897</v>
          </cell>
          <cell r="BX1253">
            <v>8.6149332270911767</v>
          </cell>
          <cell r="BY1253">
            <v>11.497021325386617</v>
          </cell>
        </row>
        <row r="1254">
          <cell r="A1254">
            <v>41192</v>
          </cell>
          <cell r="BF1254">
            <v>15.649075753376747</v>
          </cell>
          <cell r="BG1254">
            <v>17.429620749261797</v>
          </cell>
          <cell r="BH1254">
            <v>16.109902701379674</v>
          </cell>
          <cell r="BI1254">
            <v>13.839355674417275</v>
          </cell>
          <cell r="BJ1254">
            <v>18.380449728342072</v>
          </cell>
          <cell r="BU1254">
            <v>9.4920898640673244</v>
          </cell>
          <cell r="BV1254">
            <v>11.522967903511651</v>
          </cell>
          <cell r="BW1254">
            <v>10.055977276238897</v>
          </cell>
          <cell r="BX1254">
            <v>8.6149332270911767</v>
          </cell>
          <cell r="BY1254">
            <v>11.497021325386617</v>
          </cell>
        </row>
        <row r="1255">
          <cell r="A1255">
            <v>41193</v>
          </cell>
          <cell r="BF1255">
            <v>15.61190361505648</v>
          </cell>
          <cell r="BG1255">
            <v>17.429620749261797</v>
          </cell>
          <cell r="BH1255">
            <v>16.109902701379674</v>
          </cell>
          <cell r="BI1255">
            <v>13.839355674417275</v>
          </cell>
          <cell r="BJ1255">
            <v>18.380449728342072</v>
          </cell>
          <cell r="BU1255">
            <v>9.3344134657301883</v>
          </cell>
          <cell r="BV1255">
            <v>11.522967903511651</v>
          </cell>
          <cell r="BW1255">
            <v>10.055977276238897</v>
          </cell>
          <cell r="BX1255">
            <v>8.6149332270911767</v>
          </cell>
          <cell r="BY1255">
            <v>11.497021325386617</v>
          </cell>
        </row>
        <row r="1256">
          <cell r="A1256">
            <v>41194</v>
          </cell>
          <cell r="BF1256">
            <v>15.84422367155674</v>
          </cell>
          <cell r="BG1256">
            <v>17.429620749261797</v>
          </cell>
          <cell r="BH1256">
            <v>16.109902701379674</v>
          </cell>
          <cell r="BI1256">
            <v>13.839355674417275</v>
          </cell>
          <cell r="BJ1256">
            <v>18.380449728342072</v>
          </cell>
          <cell r="BU1256">
            <v>9.4635988127909219</v>
          </cell>
          <cell r="BV1256">
            <v>11.522967903511651</v>
          </cell>
          <cell r="BW1256">
            <v>10.055977276238897</v>
          </cell>
          <cell r="BX1256">
            <v>8.6149332270911767</v>
          </cell>
          <cell r="BY1256">
            <v>11.497021325386617</v>
          </cell>
        </row>
        <row r="1257">
          <cell r="A1257">
            <v>41197</v>
          </cell>
          <cell r="BF1257">
            <v>15.669366790399375</v>
          </cell>
          <cell r="BG1257">
            <v>17.429620749261797</v>
          </cell>
          <cell r="BH1257">
            <v>16.109902701379674</v>
          </cell>
          <cell r="BI1257">
            <v>13.839355674417275</v>
          </cell>
          <cell r="BJ1257">
            <v>18.380449728342072</v>
          </cell>
          <cell r="BU1257">
            <v>9.3886052723115796</v>
          </cell>
          <cell r="BV1257">
            <v>11.522967903511651</v>
          </cell>
          <cell r="BW1257">
            <v>10.055977276238897</v>
          </cell>
          <cell r="BX1257">
            <v>8.6149332270911767</v>
          </cell>
          <cell r="BY1257">
            <v>11.497021325386617</v>
          </cell>
        </row>
        <row r="1258">
          <cell r="A1258">
            <v>41198</v>
          </cell>
          <cell r="BF1258">
            <v>15.365284277034384</v>
          </cell>
          <cell r="BG1258">
            <v>17.429620749261797</v>
          </cell>
          <cell r="BH1258">
            <v>16.109902701379674</v>
          </cell>
          <cell r="BI1258">
            <v>13.839355674417275</v>
          </cell>
          <cell r="BJ1258">
            <v>18.380449728342072</v>
          </cell>
          <cell r="BU1258">
            <v>9.2190142080434541</v>
          </cell>
          <cell r="BV1258">
            <v>11.522967903511651</v>
          </cell>
          <cell r="BW1258">
            <v>10.055977276238897</v>
          </cell>
          <cell r="BX1258">
            <v>8.6149332270911767</v>
          </cell>
          <cell r="BY1258">
            <v>11.497021325386617</v>
          </cell>
        </row>
        <row r="1259">
          <cell r="A1259">
            <v>41199</v>
          </cell>
          <cell r="BF1259">
            <v>15.319215594732642</v>
          </cell>
          <cell r="BG1259">
            <v>17.429620749261797</v>
          </cell>
          <cell r="BH1259">
            <v>16.109902701379674</v>
          </cell>
          <cell r="BI1259">
            <v>13.839355674417275</v>
          </cell>
          <cell r="BJ1259">
            <v>18.380449728342072</v>
          </cell>
          <cell r="BU1259">
            <v>9.1933210605667224</v>
          </cell>
          <cell r="BV1259">
            <v>11.522967903511651</v>
          </cell>
          <cell r="BW1259">
            <v>10.055977276238897</v>
          </cell>
          <cell r="BX1259">
            <v>8.6149332270911767</v>
          </cell>
          <cell r="BY1259">
            <v>11.497021325386617</v>
          </cell>
        </row>
        <row r="1260">
          <cell r="A1260">
            <v>41200</v>
          </cell>
          <cell r="BF1260">
            <v>15.305387295879699</v>
          </cell>
          <cell r="BG1260">
            <v>17.429620749261797</v>
          </cell>
          <cell r="BH1260">
            <v>16.109902701379674</v>
          </cell>
          <cell r="BI1260">
            <v>13.839355674417275</v>
          </cell>
          <cell r="BJ1260">
            <v>18.380449728342072</v>
          </cell>
          <cell r="BU1260">
            <v>9.1856088251818697</v>
          </cell>
          <cell r="BV1260">
            <v>11.522967903511651</v>
          </cell>
          <cell r="BW1260">
            <v>10.055977276238897</v>
          </cell>
          <cell r="BX1260">
            <v>8.6149332270911767</v>
          </cell>
          <cell r="BY1260">
            <v>11.497021325386617</v>
          </cell>
        </row>
        <row r="1261">
          <cell r="A1261">
            <v>41201</v>
          </cell>
          <cell r="BF1261">
            <v>15.323820573976834</v>
          </cell>
          <cell r="BG1261">
            <v>17.429620749261797</v>
          </cell>
          <cell r="BH1261">
            <v>16.109902701379674</v>
          </cell>
          <cell r="BI1261">
            <v>13.839355674417275</v>
          </cell>
          <cell r="BJ1261">
            <v>18.380449728342072</v>
          </cell>
          <cell r="BU1261">
            <v>9.1958893218005322</v>
          </cell>
          <cell r="BV1261">
            <v>11.522967903511651</v>
          </cell>
          <cell r="BW1261">
            <v>10.055977276238897</v>
          </cell>
          <cell r="BX1261">
            <v>8.6149332270911767</v>
          </cell>
          <cell r="BY1261">
            <v>11.497021325386617</v>
          </cell>
        </row>
        <row r="1262">
          <cell r="A1262">
            <v>41204</v>
          </cell>
          <cell r="BF1262">
            <v>15.365284277034384</v>
          </cell>
          <cell r="BG1262">
            <v>17.429620749261797</v>
          </cell>
          <cell r="BH1262">
            <v>16.109902701379674</v>
          </cell>
          <cell r="BI1262">
            <v>13.839355674417275</v>
          </cell>
          <cell r="BJ1262">
            <v>18.380449728342072</v>
          </cell>
          <cell r="BU1262">
            <v>9.2190142080434541</v>
          </cell>
          <cell r="BV1262">
            <v>11.522967903511651</v>
          </cell>
          <cell r="BW1262">
            <v>10.055977276238897</v>
          </cell>
          <cell r="BX1262">
            <v>8.6149332270911767</v>
          </cell>
          <cell r="BY1262">
            <v>11.497021325386617</v>
          </cell>
        </row>
        <row r="1263">
          <cell r="A1263">
            <v>41205</v>
          </cell>
          <cell r="BF1263">
            <v>15.383717555131517</v>
          </cell>
          <cell r="BG1263">
            <v>17.429620749261797</v>
          </cell>
          <cell r="BH1263">
            <v>16.109902701379674</v>
          </cell>
          <cell r="BI1263">
            <v>13.839355674417275</v>
          </cell>
          <cell r="BJ1263">
            <v>18.380449728342072</v>
          </cell>
          <cell r="BU1263">
            <v>9.2292947046621165</v>
          </cell>
          <cell r="BV1263">
            <v>11.522967903511651</v>
          </cell>
          <cell r="BW1263">
            <v>10.055977276238897</v>
          </cell>
          <cell r="BX1263">
            <v>8.6149332270911767</v>
          </cell>
          <cell r="BY1263">
            <v>11.497021325386617</v>
          </cell>
        </row>
        <row r="1264">
          <cell r="A1264">
            <v>41206</v>
          </cell>
          <cell r="BF1264">
            <v>15.475861830659326</v>
          </cell>
          <cell r="BG1264">
            <v>17.429620749261797</v>
          </cell>
          <cell r="BH1264">
            <v>16.109902701379674</v>
          </cell>
          <cell r="BI1264">
            <v>13.839355674417275</v>
          </cell>
          <cell r="BJ1264">
            <v>18.380449728342072</v>
          </cell>
          <cell r="BU1264">
            <v>9.2806848539345932</v>
          </cell>
          <cell r="BV1264">
            <v>11.522967903511651</v>
          </cell>
          <cell r="BW1264">
            <v>10.055977276238897</v>
          </cell>
          <cell r="BX1264">
            <v>8.6149332270911767</v>
          </cell>
          <cell r="BY1264">
            <v>11.497021325386617</v>
          </cell>
        </row>
        <row r="1265">
          <cell r="A1265">
            <v>41207</v>
          </cell>
          <cell r="BF1265">
            <v>15.333036982661254</v>
          </cell>
          <cell r="BG1265">
            <v>17.429620749261797</v>
          </cell>
          <cell r="BH1265">
            <v>16.109902701379674</v>
          </cell>
          <cell r="BI1265">
            <v>13.839355674417275</v>
          </cell>
          <cell r="BJ1265">
            <v>18.380449728342072</v>
          </cell>
          <cell r="BU1265">
            <v>9.2010294416325618</v>
          </cell>
          <cell r="BV1265">
            <v>11.522967903511651</v>
          </cell>
          <cell r="BW1265">
            <v>10.055977276238897</v>
          </cell>
          <cell r="BX1265">
            <v>8.6149332270911767</v>
          </cell>
          <cell r="BY1265">
            <v>11.497021325386617</v>
          </cell>
        </row>
        <row r="1266">
          <cell r="A1266">
            <v>41208</v>
          </cell>
          <cell r="BF1266">
            <v>15.337641961905446</v>
          </cell>
          <cell r="BG1266">
            <v>17.429620749261797</v>
          </cell>
          <cell r="BH1266">
            <v>16.109902701379674</v>
          </cell>
          <cell r="BI1266">
            <v>13.839355674417275</v>
          </cell>
          <cell r="BJ1266">
            <v>18.380449728342072</v>
          </cell>
          <cell r="BU1266">
            <v>9.2035977028663716</v>
          </cell>
          <cell r="BV1266">
            <v>11.522967903511651</v>
          </cell>
          <cell r="BW1266">
            <v>10.055977276238897</v>
          </cell>
          <cell r="BX1266">
            <v>8.6149332270911767</v>
          </cell>
          <cell r="BY1266">
            <v>11.497021325386617</v>
          </cell>
        </row>
        <row r="1267">
          <cell r="A1267">
            <v>41211</v>
          </cell>
          <cell r="BF1267">
            <v>15.526541942401302</v>
          </cell>
          <cell r="BG1267">
            <v>17.429620749261797</v>
          </cell>
          <cell r="BH1267">
            <v>16.109902701379674</v>
          </cell>
          <cell r="BI1267">
            <v>13.839355674417275</v>
          </cell>
          <cell r="BJ1267">
            <v>18.380449728342072</v>
          </cell>
          <cell r="BU1267">
            <v>9.3089498600095482</v>
          </cell>
          <cell r="BV1267">
            <v>11.522967903511651</v>
          </cell>
          <cell r="BW1267">
            <v>10.055977276238897</v>
          </cell>
          <cell r="BX1267">
            <v>8.6149332270911767</v>
          </cell>
          <cell r="BY1267">
            <v>11.497021325386617</v>
          </cell>
        </row>
        <row r="1268">
          <cell r="A1268">
            <v>41212</v>
          </cell>
          <cell r="BF1268">
            <v>15.660150381714953</v>
          </cell>
          <cell r="BG1268">
            <v>17.429620749261797</v>
          </cell>
          <cell r="BH1268">
            <v>16.109902701379674</v>
          </cell>
          <cell r="BI1268">
            <v>13.839355674417275</v>
          </cell>
          <cell r="BJ1268">
            <v>18.380449728342072</v>
          </cell>
          <cell r="BU1268">
            <v>9.38346515247955</v>
          </cell>
          <cell r="BV1268">
            <v>11.522967903511651</v>
          </cell>
          <cell r="BW1268">
            <v>10.055977276238897</v>
          </cell>
          <cell r="BX1268">
            <v>8.6149332270911767</v>
          </cell>
          <cell r="BY1268">
            <v>11.497021325386617</v>
          </cell>
        </row>
        <row r="1269">
          <cell r="A1269">
            <v>41213</v>
          </cell>
          <cell r="BF1269">
            <v>15.646328993786337</v>
          </cell>
          <cell r="BG1269">
            <v>17.429620749261797</v>
          </cell>
          <cell r="BH1269">
            <v>16.109902701379674</v>
          </cell>
          <cell r="BI1269">
            <v>13.839355674417275</v>
          </cell>
          <cell r="BJ1269">
            <v>18.380449728342072</v>
          </cell>
          <cell r="BU1269">
            <v>9.3757567714137089</v>
          </cell>
          <cell r="BV1269">
            <v>11.522967903511651</v>
          </cell>
          <cell r="BW1269">
            <v>10.055977276238897</v>
          </cell>
          <cell r="BX1269">
            <v>8.6149332270911767</v>
          </cell>
          <cell r="BY1269">
            <v>11.497021325386617</v>
          </cell>
        </row>
        <row r="1270">
          <cell r="A1270">
            <v>41214</v>
          </cell>
          <cell r="BF1270">
            <v>15.752294657242762</v>
          </cell>
          <cell r="BG1270">
            <v>17.429620749261797</v>
          </cell>
          <cell r="BH1270">
            <v>16.109902701379674</v>
          </cell>
          <cell r="BI1270">
            <v>13.839355674417275</v>
          </cell>
          <cell r="BJ1270">
            <v>18.380449728342072</v>
          </cell>
          <cell r="BU1270">
            <v>9.4348553017520285</v>
          </cell>
          <cell r="BV1270">
            <v>11.522967903511651</v>
          </cell>
          <cell r="BW1270">
            <v>10.055977276238897</v>
          </cell>
          <cell r="BX1270">
            <v>8.6149332270911767</v>
          </cell>
          <cell r="BY1270">
            <v>11.497021325386617</v>
          </cell>
        </row>
        <row r="1271">
          <cell r="A1271">
            <v>41215</v>
          </cell>
          <cell r="BF1271">
            <v>15.733868290069958</v>
          </cell>
          <cell r="BG1271">
            <v>17.429620749261797</v>
          </cell>
          <cell r="BH1271">
            <v>16.109902701379674</v>
          </cell>
          <cell r="BI1271">
            <v>13.839355674417275</v>
          </cell>
          <cell r="BJ1271">
            <v>18.380449728342072</v>
          </cell>
          <cell r="BU1271">
            <v>9.4245786594523739</v>
          </cell>
          <cell r="BV1271">
            <v>11.522967903511651</v>
          </cell>
          <cell r="BW1271">
            <v>10.055977276238897</v>
          </cell>
          <cell r="BX1271">
            <v>8.6149332270911767</v>
          </cell>
          <cell r="BY1271">
            <v>11.497021325386617</v>
          </cell>
        </row>
        <row r="1272">
          <cell r="A1272">
            <v>41218</v>
          </cell>
          <cell r="BF1272">
            <v>15.740540233259674</v>
          </cell>
          <cell r="BG1272">
            <v>17.429620749261797</v>
          </cell>
          <cell r="BH1272">
            <v>16.109902701379674</v>
          </cell>
          <cell r="BI1272">
            <v>13.839355674417275</v>
          </cell>
          <cell r="BJ1272">
            <v>18.380449728342072</v>
          </cell>
          <cell r="BU1272">
            <v>9.4245786594523739</v>
          </cell>
          <cell r="BV1272">
            <v>11.522967903511651</v>
          </cell>
          <cell r="BW1272">
            <v>10.055977276238897</v>
          </cell>
          <cell r="BX1272">
            <v>8.6149332270911767</v>
          </cell>
          <cell r="BY1272">
            <v>11.497021325386617</v>
          </cell>
        </row>
        <row r="1273">
          <cell r="A1273">
            <v>41219</v>
          </cell>
          <cell r="BF1273">
            <v>15.740540233259674</v>
          </cell>
          <cell r="BG1273">
            <v>17.429620749261797</v>
          </cell>
          <cell r="BH1273">
            <v>16.109902701379674</v>
          </cell>
          <cell r="BI1273">
            <v>13.839355674417275</v>
          </cell>
          <cell r="BJ1273">
            <v>18.380449728342072</v>
          </cell>
          <cell r="BU1273">
            <v>9.4245786594523739</v>
          </cell>
          <cell r="BV1273">
            <v>11.522967903511651</v>
          </cell>
          <cell r="BW1273">
            <v>10.055977276238897</v>
          </cell>
          <cell r="BX1273">
            <v>8.6149332270911767</v>
          </cell>
          <cell r="BY1273">
            <v>11.497021325386617</v>
          </cell>
        </row>
        <row r="1274">
          <cell r="A1274">
            <v>41220</v>
          </cell>
          <cell r="BF1274">
            <v>15.64374349905744</v>
          </cell>
          <cell r="BG1274">
            <v>17.429620749261797</v>
          </cell>
          <cell r="BH1274">
            <v>16.109902701379674</v>
          </cell>
          <cell r="BI1274">
            <v>13.839355674417275</v>
          </cell>
          <cell r="BJ1274">
            <v>18.380449728342072</v>
          </cell>
          <cell r="BU1274">
            <v>9.3706166515816776</v>
          </cell>
          <cell r="BV1274">
            <v>11.522967903511651</v>
          </cell>
          <cell r="BW1274">
            <v>10.055977276238897</v>
          </cell>
          <cell r="BX1274">
            <v>8.6149332270911767</v>
          </cell>
          <cell r="BY1274">
            <v>11.497021325386617</v>
          </cell>
        </row>
        <row r="1275">
          <cell r="A1275">
            <v>41221</v>
          </cell>
          <cell r="BF1275">
            <v>15.62991625017249</v>
          </cell>
          <cell r="BG1275">
            <v>17.429620749261797</v>
          </cell>
          <cell r="BH1275">
            <v>16.109902701379674</v>
          </cell>
          <cell r="BI1275">
            <v>13.839355674417275</v>
          </cell>
          <cell r="BJ1275">
            <v>18.380449728342072</v>
          </cell>
          <cell r="BU1275">
            <v>9.3629082705158364</v>
          </cell>
          <cell r="BV1275">
            <v>11.522967903511651</v>
          </cell>
          <cell r="BW1275">
            <v>10.055977276238897</v>
          </cell>
          <cell r="BX1275">
            <v>8.6149332270911767</v>
          </cell>
          <cell r="BY1275">
            <v>11.497021325386617</v>
          </cell>
        </row>
        <row r="1276">
          <cell r="A1276">
            <v>41222</v>
          </cell>
          <cell r="BF1276">
            <v>15.60226175240259</v>
          </cell>
          <cell r="BG1276">
            <v>17.429620749261797</v>
          </cell>
          <cell r="BH1276">
            <v>16.109902701379674</v>
          </cell>
          <cell r="BI1276">
            <v>13.839355674417275</v>
          </cell>
          <cell r="BJ1276">
            <v>18.380449728342072</v>
          </cell>
          <cell r="BU1276">
            <v>9.3474915083841523</v>
          </cell>
          <cell r="BV1276">
            <v>11.522967903511651</v>
          </cell>
          <cell r="BW1276">
            <v>10.055977276238897</v>
          </cell>
          <cell r="BX1276">
            <v>8.6149332270911767</v>
          </cell>
          <cell r="BY1276">
            <v>11.497021325386617</v>
          </cell>
        </row>
        <row r="1277">
          <cell r="A1277">
            <v>41225</v>
          </cell>
          <cell r="BF1277">
            <v>15.777415047929956</v>
          </cell>
          <cell r="BG1277">
            <v>17.429620749261797</v>
          </cell>
          <cell r="BH1277">
            <v>16.109902701379674</v>
          </cell>
          <cell r="BI1277">
            <v>13.839355674417275</v>
          </cell>
          <cell r="BJ1277">
            <v>18.380449728342072</v>
          </cell>
          <cell r="BU1277">
            <v>9.4451355414160894</v>
          </cell>
          <cell r="BV1277">
            <v>11.522967903511651</v>
          </cell>
          <cell r="BW1277">
            <v>10.055977276238897</v>
          </cell>
          <cell r="BX1277">
            <v>8.6149332270911767</v>
          </cell>
          <cell r="BY1277">
            <v>11.497021325386617</v>
          </cell>
        </row>
        <row r="1278">
          <cell r="A1278">
            <v>41226</v>
          </cell>
          <cell r="BF1278">
            <v>15.64560215921219</v>
          </cell>
          <cell r="BG1278">
            <v>17.429620749261797</v>
          </cell>
          <cell r="BH1278">
            <v>16.109902701379674</v>
          </cell>
          <cell r="BI1278">
            <v>13.839355674417275</v>
          </cell>
          <cell r="BJ1278">
            <v>18.380449728342072</v>
          </cell>
          <cell r="BU1278">
            <v>9.3936502653305478</v>
          </cell>
          <cell r="BV1278">
            <v>11.522967903511651</v>
          </cell>
          <cell r="BW1278">
            <v>10.055977276238897</v>
          </cell>
          <cell r="BX1278">
            <v>8.6149332270911767</v>
          </cell>
          <cell r="BY1278">
            <v>11.497021325386617</v>
          </cell>
        </row>
        <row r="1279">
          <cell r="A1279">
            <v>41227</v>
          </cell>
          <cell r="BF1279">
            <v>15.853198908550564</v>
          </cell>
          <cell r="BG1279">
            <v>17.429620749261797</v>
          </cell>
          <cell r="BH1279">
            <v>16.109902701379674</v>
          </cell>
          <cell r="BI1279">
            <v>13.839355674417275</v>
          </cell>
          <cell r="BJ1279">
            <v>18.380449728342072</v>
          </cell>
          <cell r="BU1279">
            <v>9.5492652637087811</v>
          </cell>
          <cell r="BV1279">
            <v>11.522967903511651</v>
          </cell>
          <cell r="BW1279">
            <v>10.055977276238897</v>
          </cell>
          <cell r="BX1279">
            <v>8.6149332270911767</v>
          </cell>
          <cell r="BY1279">
            <v>11.497021325386617</v>
          </cell>
        </row>
        <row r="1280">
          <cell r="A1280">
            <v>41228</v>
          </cell>
          <cell r="BF1280">
            <v>15.871700552691902</v>
          </cell>
          <cell r="BG1280">
            <v>17.429620749261797</v>
          </cell>
          <cell r="BH1280">
            <v>16.109902701379674</v>
          </cell>
          <cell r="BI1280">
            <v>13.839355674417275</v>
          </cell>
          <cell r="BJ1280">
            <v>18.380449728342072</v>
          </cell>
          <cell r="BU1280">
            <v>9.5596530538808668</v>
          </cell>
          <cell r="BV1280">
            <v>11.522967903511651</v>
          </cell>
          <cell r="BW1280">
            <v>10.055977276238897</v>
          </cell>
          <cell r="BX1280">
            <v>8.6149332270911767</v>
          </cell>
          <cell r="BY1280">
            <v>11.497021325386617</v>
          </cell>
        </row>
        <row r="1281">
          <cell r="A1281">
            <v>41229</v>
          </cell>
          <cell r="BF1281">
            <v>15.85612010055589</v>
          </cell>
          <cell r="BG1281">
            <v>17.429620749261797</v>
          </cell>
          <cell r="BH1281">
            <v>16.109902701379674</v>
          </cell>
          <cell r="BI1281">
            <v>13.839355674417275</v>
          </cell>
          <cell r="BJ1281">
            <v>18.380449728342072</v>
          </cell>
          <cell r="BU1281">
            <v>9.5509053736023635</v>
          </cell>
          <cell r="BV1281">
            <v>11.522967903511651</v>
          </cell>
          <cell r="BW1281">
            <v>10.055977276238897</v>
          </cell>
          <cell r="BX1281">
            <v>8.6149332270911767</v>
          </cell>
          <cell r="BY1281">
            <v>11.497021325386617</v>
          </cell>
        </row>
        <row r="1282">
          <cell r="A1282">
            <v>41232</v>
          </cell>
          <cell r="BF1282">
            <v>16.054220686142042</v>
          </cell>
          <cell r="BG1282">
            <v>17.429620749261797</v>
          </cell>
          <cell r="BH1282">
            <v>16.109902701379674</v>
          </cell>
          <cell r="BI1282">
            <v>13.839355674417275</v>
          </cell>
          <cell r="BJ1282">
            <v>18.380449728342072</v>
          </cell>
          <cell r="BU1282">
            <v>9.6621293978196547</v>
          </cell>
          <cell r="BV1282">
            <v>11.522967903511651</v>
          </cell>
          <cell r="BW1282">
            <v>10.055977276238897</v>
          </cell>
          <cell r="BX1282">
            <v>8.6149332270911767</v>
          </cell>
          <cell r="BY1282">
            <v>11.497021325386617</v>
          </cell>
        </row>
        <row r="1283">
          <cell r="A1283">
            <v>41233</v>
          </cell>
          <cell r="BF1283">
            <v>16.063352951859038</v>
          </cell>
          <cell r="BG1283">
            <v>17.429620749261797</v>
          </cell>
          <cell r="BH1283">
            <v>16.109902701379674</v>
          </cell>
          <cell r="BI1283">
            <v>13.839355674417275</v>
          </cell>
          <cell r="BJ1283">
            <v>18.380449728342072</v>
          </cell>
          <cell r="BU1283">
            <v>9.6672567291713545</v>
          </cell>
          <cell r="BV1283">
            <v>11.522967903511651</v>
          </cell>
          <cell r="BW1283">
            <v>10.055977276238897</v>
          </cell>
          <cell r="BX1283">
            <v>8.6149332270911767</v>
          </cell>
          <cell r="BY1283">
            <v>11.497021325386617</v>
          </cell>
        </row>
        <row r="1284">
          <cell r="A1284">
            <v>41234</v>
          </cell>
          <cell r="BF1284">
            <v>16.223258289521926</v>
          </cell>
          <cell r="BG1284">
            <v>17.429620749261797</v>
          </cell>
          <cell r="BH1284">
            <v>16.109902701379674</v>
          </cell>
          <cell r="BI1284">
            <v>13.839355674417275</v>
          </cell>
          <cell r="BJ1284">
            <v>18.380449728342072</v>
          </cell>
          <cell r="BU1284">
            <v>9.7570359445940014</v>
          </cell>
          <cell r="BV1284">
            <v>11.522967903511651</v>
          </cell>
          <cell r="BW1284">
            <v>10.055977276238897</v>
          </cell>
          <cell r="BX1284">
            <v>8.6149332270911767</v>
          </cell>
          <cell r="BY1284">
            <v>11.497021325386617</v>
          </cell>
        </row>
        <row r="1285">
          <cell r="A1285">
            <v>41235</v>
          </cell>
          <cell r="BF1285">
            <v>16.264374272585957</v>
          </cell>
          <cell r="BG1285">
            <v>17.429620749261797</v>
          </cell>
          <cell r="BH1285">
            <v>16.109902701379674</v>
          </cell>
          <cell r="BI1285">
            <v>13.839355674417275</v>
          </cell>
          <cell r="BJ1285">
            <v>18.380449728342072</v>
          </cell>
          <cell r="BU1285">
            <v>9.7801206067745809</v>
          </cell>
          <cell r="BV1285">
            <v>11.522967903511651</v>
          </cell>
          <cell r="BW1285">
            <v>10.055977276238897</v>
          </cell>
          <cell r="BX1285">
            <v>8.6149332270911767</v>
          </cell>
          <cell r="BY1285">
            <v>11.497021325386617</v>
          </cell>
        </row>
        <row r="1286">
          <cell r="A1286">
            <v>41236</v>
          </cell>
          <cell r="BF1286">
            <v>16.214119170836508</v>
          </cell>
          <cell r="BG1286">
            <v>17.429620749261797</v>
          </cell>
          <cell r="BH1286">
            <v>16.109902701379674</v>
          </cell>
          <cell r="BI1286">
            <v>13.839355674417275</v>
          </cell>
          <cell r="BJ1286">
            <v>18.380449728342072</v>
          </cell>
          <cell r="BU1286">
            <v>9.7519047656276001</v>
          </cell>
          <cell r="BV1286">
            <v>11.522967903511651</v>
          </cell>
          <cell r="BW1286">
            <v>10.055977276238897</v>
          </cell>
          <cell r="BX1286">
            <v>8.6149332270911767</v>
          </cell>
          <cell r="BY1286">
            <v>11.497021325386617</v>
          </cell>
        </row>
        <row r="1287">
          <cell r="A1287">
            <v>41239</v>
          </cell>
          <cell r="BF1287">
            <v>16.268940633876735</v>
          </cell>
          <cell r="BG1287">
            <v>17.429620749261797</v>
          </cell>
          <cell r="BH1287">
            <v>16.109902701379674</v>
          </cell>
          <cell r="BI1287">
            <v>13.839355674417275</v>
          </cell>
          <cell r="BJ1287">
            <v>18.380449728342072</v>
          </cell>
          <cell r="BU1287">
            <v>9.7826844007042553</v>
          </cell>
          <cell r="BV1287">
            <v>11.522967903511651</v>
          </cell>
          <cell r="BW1287">
            <v>10.055977276238897</v>
          </cell>
          <cell r="BX1287">
            <v>8.6149332270911767</v>
          </cell>
          <cell r="BY1287">
            <v>11.497021325386617</v>
          </cell>
        </row>
        <row r="1288">
          <cell r="A1288">
            <v>41240</v>
          </cell>
          <cell r="BF1288">
            <v>15.917042905135762</v>
          </cell>
          <cell r="BG1288">
            <v>17.429620749261797</v>
          </cell>
          <cell r="BH1288">
            <v>16.109902701379674</v>
          </cell>
          <cell r="BI1288">
            <v>13.839355674417275</v>
          </cell>
          <cell r="BJ1288">
            <v>18.380449728342072</v>
          </cell>
          <cell r="BU1288">
            <v>9.5865768967992686</v>
          </cell>
          <cell r="BV1288">
            <v>11.522967903511651</v>
          </cell>
          <cell r="BW1288">
            <v>10.055977276238897</v>
          </cell>
          <cell r="BX1288">
            <v>8.6149332270911767</v>
          </cell>
          <cell r="BY1288">
            <v>11.497021325386617</v>
          </cell>
        </row>
        <row r="1289">
          <cell r="A1289">
            <v>41241</v>
          </cell>
          <cell r="BF1289">
            <v>15.921621343481213</v>
          </cell>
          <cell r="BG1289">
            <v>17.429620749261797</v>
          </cell>
          <cell r="BH1289">
            <v>16.109902701379674</v>
          </cell>
          <cell r="BI1289">
            <v>13.839355674417275</v>
          </cell>
          <cell r="BJ1289">
            <v>18.380449728342072</v>
          </cell>
          <cell r="BU1289">
            <v>9.5891476659809953</v>
          </cell>
          <cell r="BV1289">
            <v>11.522967903511651</v>
          </cell>
          <cell r="BW1289">
            <v>10.055977276238897</v>
          </cell>
          <cell r="BX1289">
            <v>8.6149332270911767</v>
          </cell>
          <cell r="BY1289">
            <v>11.497021325386617</v>
          </cell>
        </row>
        <row r="1290">
          <cell r="A1290">
            <v>41242</v>
          </cell>
          <cell r="BF1290">
            <v>16.086280922182553</v>
          </cell>
          <cell r="BG1290">
            <v>17.429620749261797</v>
          </cell>
          <cell r="BH1290">
            <v>16.109902701379674</v>
          </cell>
          <cell r="BI1290">
            <v>13.839355674417275</v>
          </cell>
          <cell r="BJ1290">
            <v>18.380449728342072</v>
          </cell>
          <cell r="BU1290">
            <v>9.6816031581078299</v>
          </cell>
          <cell r="BV1290">
            <v>11.522967903511651</v>
          </cell>
          <cell r="BW1290">
            <v>10.055977276238897</v>
          </cell>
          <cell r="BX1290">
            <v>8.6149332270911767</v>
          </cell>
          <cell r="BY1290">
            <v>11.497021325386617</v>
          </cell>
        </row>
        <row r="1291">
          <cell r="A1291">
            <v>41243</v>
          </cell>
          <cell r="BF1291">
            <v>16.218919790425527</v>
          </cell>
          <cell r="BG1291">
            <v>17.429620749261797</v>
          </cell>
          <cell r="BH1291">
            <v>16.109902701379674</v>
          </cell>
          <cell r="BI1291">
            <v>13.839355674417275</v>
          </cell>
          <cell r="BJ1291">
            <v>18.380449728342072</v>
          </cell>
          <cell r="BU1291">
            <v>9.7560791888086822</v>
          </cell>
          <cell r="BV1291">
            <v>11.522967903511651</v>
          </cell>
          <cell r="BW1291">
            <v>10.055977276238897</v>
          </cell>
          <cell r="BX1291">
            <v>8.6149332270911767</v>
          </cell>
          <cell r="BY1291">
            <v>11.497021325386617</v>
          </cell>
        </row>
        <row r="1292">
          <cell r="A1292">
            <v>41246</v>
          </cell>
          <cell r="BF1292">
            <v>16.218919790425527</v>
          </cell>
          <cell r="BG1292">
            <v>17.429620749261797</v>
          </cell>
          <cell r="BH1292">
            <v>16.109902701379674</v>
          </cell>
          <cell r="BI1292">
            <v>13.839355674417275</v>
          </cell>
          <cell r="BJ1292">
            <v>18.380449728342072</v>
          </cell>
          <cell r="BU1292">
            <v>9.7560791888086822</v>
          </cell>
          <cell r="BV1292">
            <v>11.522967903511651</v>
          </cell>
          <cell r="BW1292">
            <v>10.055977276238897</v>
          </cell>
          <cell r="BX1292">
            <v>8.6149332270911767</v>
          </cell>
          <cell r="BY1292">
            <v>11.497021325386617</v>
          </cell>
        </row>
        <row r="1293">
          <cell r="A1293">
            <v>41247</v>
          </cell>
          <cell r="BF1293">
            <v>16.374429353232692</v>
          </cell>
          <cell r="BG1293">
            <v>17.429620749261797</v>
          </cell>
          <cell r="BH1293">
            <v>16.109902701379674</v>
          </cell>
          <cell r="BI1293">
            <v>13.839355674417275</v>
          </cell>
          <cell r="BJ1293">
            <v>18.380449728342072</v>
          </cell>
          <cell r="BU1293">
            <v>9.843396994873542</v>
          </cell>
          <cell r="BV1293">
            <v>11.522967903511651</v>
          </cell>
          <cell r="BW1293">
            <v>10.055977276238897</v>
          </cell>
          <cell r="BX1293">
            <v>8.6149332270911767</v>
          </cell>
          <cell r="BY1293">
            <v>11.497021325386617</v>
          </cell>
        </row>
        <row r="1294">
          <cell r="A1294">
            <v>41248</v>
          </cell>
          <cell r="BF1294">
            <v>16.548238490441769</v>
          </cell>
          <cell r="BG1294">
            <v>17.429620749261797</v>
          </cell>
          <cell r="BH1294">
            <v>16.109902701379674</v>
          </cell>
          <cell r="BI1294">
            <v>13.839355674417275</v>
          </cell>
          <cell r="BJ1294">
            <v>18.380449728342072</v>
          </cell>
          <cell r="BU1294">
            <v>9.9409899162422573</v>
          </cell>
          <cell r="BV1294">
            <v>11.522967903511651</v>
          </cell>
          <cell r="BW1294">
            <v>10.055977276238897</v>
          </cell>
          <cell r="BX1294">
            <v>8.6149332270911767</v>
          </cell>
          <cell r="BY1294">
            <v>11.497021325386617</v>
          </cell>
        </row>
        <row r="1295">
          <cell r="A1295">
            <v>41249</v>
          </cell>
          <cell r="BF1295">
            <v>16.699176933086651</v>
          </cell>
          <cell r="BG1295">
            <v>17.429620749261797</v>
          </cell>
          <cell r="BH1295">
            <v>16.109902701379674</v>
          </cell>
          <cell r="BI1295">
            <v>13.839355674417275</v>
          </cell>
          <cell r="BJ1295">
            <v>18.380449728342072</v>
          </cell>
          <cell r="BU1295">
            <v>10.025741062246963</v>
          </cell>
          <cell r="BV1295">
            <v>11.522967903511651</v>
          </cell>
          <cell r="BW1295">
            <v>10.055977276238897</v>
          </cell>
          <cell r="BX1295">
            <v>8.6149332270911767</v>
          </cell>
          <cell r="BY1295">
            <v>11.497021325386617</v>
          </cell>
        </row>
        <row r="1296">
          <cell r="A1296">
            <v>41250</v>
          </cell>
          <cell r="BF1296">
            <v>16.758639458271489</v>
          </cell>
          <cell r="BG1296">
            <v>17.429620749261797</v>
          </cell>
          <cell r="BH1296">
            <v>16.109902701379674</v>
          </cell>
          <cell r="BI1296">
            <v>13.839355674417275</v>
          </cell>
          <cell r="BJ1296">
            <v>18.380449728342072</v>
          </cell>
          <cell r="BU1296">
            <v>10.059128959097105</v>
          </cell>
          <cell r="BV1296">
            <v>11.522967903511651</v>
          </cell>
          <cell r="BW1296">
            <v>10.055977276238897</v>
          </cell>
          <cell r="BX1296">
            <v>8.6149332270911767</v>
          </cell>
          <cell r="BY1296">
            <v>11.497021325386617</v>
          </cell>
        </row>
        <row r="1297">
          <cell r="A1297">
            <v>41253</v>
          </cell>
          <cell r="BF1297">
            <v>16.67173466097373</v>
          </cell>
          <cell r="BG1297">
            <v>17.429620749261797</v>
          </cell>
          <cell r="BH1297">
            <v>16.109902701379674</v>
          </cell>
          <cell r="BI1297">
            <v>13.839355674417275</v>
          </cell>
          <cell r="BJ1297">
            <v>18.380449728342072</v>
          </cell>
          <cell r="BU1297">
            <v>10.0103323700027</v>
          </cell>
          <cell r="BV1297">
            <v>11.522967903511651</v>
          </cell>
          <cell r="BW1297">
            <v>10.055977276238897</v>
          </cell>
          <cell r="BX1297">
            <v>8.6149332270911767</v>
          </cell>
          <cell r="BY1297">
            <v>11.497021325386617</v>
          </cell>
        </row>
        <row r="1298">
          <cell r="A1298">
            <v>41254</v>
          </cell>
          <cell r="BF1298">
            <v>16.630564849394077</v>
          </cell>
          <cell r="BG1298">
            <v>17.429620749261797</v>
          </cell>
          <cell r="BH1298">
            <v>16.109902701379674</v>
          </cell>
          <cell r="BI1298">
            <v>13.839355674417275</v>
          </cell>
          <cell r="BJ1298">
            <v>18.380449728342072</v>
          </cell>
          <cell r="BU1298">
            <v>9.987215736154937</v>
          </cell>
          <cell r="BV1298">
            <v>11.522967903511651</v>
          </cell>
          <cell r="BW1298">
            <v>10.055977276238897</v>
          </cell>
          <cell r="BX1298">
            <v>8.6149332270911767</v>
          </cell>
          <cell r="BY1298">
            <v>11.497021325386617</v>
          </cell>
        </row>
        <row r="1299">
          <cell r="A1299">
            <v>41255</v>
          </cell>
          <cell r="BF1299">
            <v>16.566530746660504</v>
          </cell>
          <cell r="BG1299">
            <v>17.429620749261797</v>
          </cell>
          <cell r="BH1299">
            <v>16.109902701379674</v>
          </cell>
          <cell r="BI1299">
            <v>13.839355674417275</v>
          </cell>
          <cell r="BJ1299">
            <v>18.380449728342072</v>
          </cell>
          <cell r="BU1299">
            <v>9.9512609224245416</v>
          </cell>
          <cell r="BV1299">
            <v>11.522967903511651</v>
          </cell>
          <cell r="BW1299">
            <v>10.055977276238897</v>
          </cell>
          <cell r="BX1299">
            <v>8.6149332270911767</v>
          </cell>
          <cell r="BY1299">
            <v>11.497021325386617</v>
          </cell>
        </row>
        <row r="1300">
          <cell r="A1300">
            <v>41256</v>
          </cell>
          <cell r="BF1300">
            <v>16.525367795877575</v>
          </cell>
          <cell r="BG1300">
            <v>17.429620749261797</v>
          </cell>
          <cell r="BH1300">
            <v>16.109902701379674</v>
          </cell>
          <cell r="BI1300">
            <v>13.839355674417275</v>
          </cell>
          <cell r="BJ1300">
            <v>18.380449728342072</v>
          </cell>
          <cell r="BU1300">
            <v>9.9281481408782462</v>
          </cell>
          <cell r="BV1300">
            <v>11.522967903511651</v>
          </cell>
          <cell r="BW1300">
            <v>10.055977276238897</v>
          </cell>
          <cell r="BX1300">
            <v>8.6149332270911767</v>
          </cell>
          <cell r="BY1300">
            <v>11.497021325386617</v>
          </cell>
        </row>
        <row r="1301">
          <cell r="A1301">
            <v>41257</v>
          </cell>
          <cell r="BF1301">
            <v>16.720742922639772</v>
          </cell>
          <cell r="BG1301">
            <v>17.429620749261797</v>
          </cell>
          <cell r="BH1301">
            <v>16.109902701379674</v>
          </cell>
          <cell r="BI1301">
            <v>13.839355674417275</v>
          </cell>
          <cell r="BJ1301">
            <v>18.380449728342072</v>
          </cell>
          <cell r="BU1301">
            <v>10.066157145928715</v>
          </cell>
          <cell r="BV1301">
            <v>11.522967903511651</v>
          </cell>
          <cell r="BW1301">
            <v>10.055977276238897</v>
          </cell>
          <cell r="BX1301">
            <v>8.6149332270911767</v>
          </cell>
          <cell r="BY1301">
            <v>11.497021325386617</v>
          </cell>
        </row>
        <row r="1302">
          <cell r="A1302">
            <v>41260</v>
          </cell>
          <cell r="BF1302">
            <v>16.630018568531252</v>
          </cell>
          <cell r="BG1302">
            <v>17.429620749261797</v>
          </cell>
          <cell r="BH1302">
            <v>16.109902701379674</v>
          </cell>
          <cell r="BI1302">
            <v>13.839355674417275</v>
          </cell>
          <cell r="BJ1302">
            <v>18.380449728342072</v>
          </cell>
          <cell r="BU1302">
            <v>10.01504507945902</v>
          </cell>
          <cell r="BV1302">
            <v>11.522967903511651</v>
          </cell>
          <cell r="BW1302">
            <v>10.055977276238897</v>
          </cell>
          <cell r="BX1302">
            <v>8.6149332270911767</v>
          </cell>
          <cell r="BY1302">
            <v>11.497021325386617</v>
          </cell>
        </row>
        <row r="1303">
          <cell r="A1303">
            <v>41261</v>
          </cell>
          <cell r="BF1303">
            <v>16.69806693743411</v>
          </cell>
          <cell r="BG1303">
            <v>17.429620749261797</v>
          </cell>
          <cell r="BH1303">
            <v>16.109902701379674</v>
          </cell>
          <cell r="BI1303">
            <v>13.839355674417275</v>
          </cell>
          <cell r="BJ1303">
            <v>18.380449728342072</v>
          </cell>
          <cell r="BU1303">
            <v>10.053382004408157</v>
          </cell>
          <cell r="BV1303">
            <v>11.522967903511651</v>
          </cell>
          <cell r="BW1303">
            <v>10.055977276238897</v>
          </cell>
          <cell r="BX1303">
            <v>8.6149332270911767</v>
          </cell>
          <cell r="BY1303">
            <v>11.497021325386617</v>
          </cell>
        </row>
        <row r="1304">
          <cell r="A1304">
            <v>41262</v>
          </cell>
          <cell r="BF1304">
            <v>16.847765274431769</v>
          </cell>
          <cell r="BG1304">
            <v>17.429620749261797</v>
          </cell>
          <cell r="BH1304">
            <v>16.109902701379674</v>
          </cell>
          <cell r="BI1304">
            <v>13.839355674417275</v>
          </cell>
          <cell r="BJ1304">
            <v>18.380449728342072</v>
          </cell>
          <cell r="BU1304">
            <v>10.137718690254104</v>
          </cell>
          <cell r="BV1304">
            <v>11.522967903511651</v>
          </cell>
          <cell r="BW1304">
            <v>10.055977276238897</v>
          </cell>
          <cell r="BX1304">
            <v>8.6149332270911767</v>
          </cell>
          <cell r="BY1304">
            <v>11.497021325386617</v>
          </cell>
        </row>
        <row r="1305">
          <cell r="A1305">
            <v>41263</v>
          </cell>
          <cell r="BF1305">
            <v>16.902198435285445</v>
          </cell>
          <cell r="BG1305">
            <v>17.429620749261797</v>
          </cell>
          <cell r="BH1305">
            <v>16.109902701379674</v>
          </cell>
          <cell r="BI1305">
            <v>13.839355674417275</v>
          </cell>
          <cell r="BJ1305">
            <v>18.380449728342072</v>
          </cell>
          <cell r="BU1305">
            <v>10.168385112330592</v>
          </cell>
          <cell r="BV1305">
            <v>11.522967903511651</v>
          </cell>
          <cell r="BW1305">
            <v>10.055977276238897</v>
          </cell>
          <cell r="BX1305">
            <v>8.6149332270911767</v>
          </cell>
          <cell r="BY1305">
            <v>11.497021325386617</v>
          </cell>
        </row>
        <row r="1306">
          <cell r="A1306">
            <v>41264</v>
          </cell>
          <cell r="BF1306">
            <v>16.92488122491973</v>
          </cell>
          <cell r="BG1306">
            <v>17.429620749261797</v>
          </cell>
          <cell r="BH1306">
            <v>16.109902701379674</v>
          </cell>
          <cell r="BI1306">
            <v>13.839355674417275</v>
          </cell>
          <cell r="BJ1306">
            <v>18.380449728342072</v>
          </cell>
          <cell r="BU1306">
            <v>10.181164087313636</v>
          </cell>
          <cell r="BV1306">
            <v>11.522967903511651</v>
          </cell>
          <cell r="BW1306">
            <v>10.055977276238897</v>
          </cell>
          <cell r="BX1306">
            <v>8.6149332270911767</v>
          </cell>
          <cell r="BY1306">
            <v>11.497021325386617</v>
          </cell>
        </row>
        <row r="1307">
          <cell r="A1307">
            <v>41267</v>
          </cell>
          <cell r="BF1307">
            <v>16.802453512222698</v>
          </cell>
          <cell r="BG1307">
            <v>17.429620749261797</v>
          </cell>
          <cell r="BH1307">
            <v>16.109902701379674</v>
          </cell>
          <cell r="BI1307">
            <v>13.839355674417275</v>
          </cell>
          <cell r="BJ1307">
            <v>18.380449728342072</v>
          </cell>
          <cell r="BU1307">
            <v>10.119827409698175</v>
          </cell>
          <cell r="BV1307">
            <v>11.522967903511651</v>
          </cell>
          <cell r="BW1307">
            <v>10.055977276238897</v>
          </cell>
          <cell r="BX1307">
            <v>8.6149332270911767</v>
          </cell>
          <cell r="BY1307">
            <v>11.497021325386617</v>
          </cell>
        </row>
        <row r="1308">
          <cell r="A1308">
            <v>41268</v>
          </cell>
          <cell r="BF1308">
            <v>16.90784844517222</v>
          </cell>
          <cell r="BG1308">
            <v>17.429620749261797</v>
          </cell>
          <cell r="BH1308">
            <v>16.109902701379674</v>
          </cell>
          <cell r="BI1308">
            <v>13.839355674417275</v>
          </cell>
          <cell r="BJ1308">
            <v>18.380449728342072</v>
          </cell>
          <cell r="BU1308">
            <v>10.178629965179805</v>
          </cell>
          <cell r="BV1308">
            <v>11.522967903511651</v>
          </cell>
          <cell r="BW1308">
            <v>10.055977276238897</v>
          </cell>
          <cell r="BX1308">
            <v>8.6149332270911767</v>
          </cell>
          <cell r="BY1308">
            <v>11.497021325386617</v>
          </cell>
        </row>
        <row r="1309">
          <cell r="A1309">
            <v>41269</v>
          </cell>
          <cell r="BF1309">
            <v>16.821813571411301</v>
          </cell>
          <cell r="BG1309">
            <v>17.429620749261797</v>
          </cell>
          <cell r="BH1309">
            <v>16.109902701379674</v>
          </cell>
          <cell r="BI1309">
            <v>13.839355674417275</v>
          </cell>
          <cell r="BJ1309">
            <v>18.380449728342072</v>
          </cell>
          <cell r="BU1309">
            <v>10.130120621944176</v>
          </cell>
          <cell r="BV1309">
            <v>11.522967903511651</v>
          </cell>
          <cell r="BW1309">
            <v>10.055977276238897</v>
          </cell>
          <cell r="BX1309">
            <v>8.6149332270911767</v>
          </cell>
          <cell r="BY1309">
            <v>11.497021325386617</v>
          </cell>
        </row>
        <row r="1310">
          <cell r="A1310">
            <v>41270</v>
          </cell>
          <cell r="BF1310">
            <v>16.790113843473428</v>
          </cell>
          <cell r="BG1310">
            <v>17.429620749261797</v>
          </cell>
          <cell r="BH1310">
            <v>16.109902701379674</v>
          </cell>
          <cell r="BI1310">
            <v>13.839355674417275</v>
          </cell>
          <cell r="BJ1310">
            <v>18.380449728342072</v>
          </cell>
          <cell r="BU1310">
            <v>10.11224725367159</v>
          </cell>
          <cell r="BV1310">
            <v>11.522967903511651</v>
          </cell>
          <cell r="BW1310">
            <v>10.055977276238897</v>
          </cell>
          <cell r="BX1310">
            <v>8.6149332270911767</v>
          </cell>
          <cell r="BY1310">
            <v>11.497021325386617</v>
          </cell>
        </row>
        <row r="1311">
          <cell r="A1311">
            <v>41271</v>
          </cell>
          <cell r="BF1311">
            <v>16.747314781694723</v>
          </cell>
          <cell r="BG1311">
            <v>17.429620749261797</v>
          </cell>
          <cell r="BH1311">
            <v>16.109902701379674</v>
          </cell>
          <cell r="BI1311">
            <v>13.839355674417275</v>
          </cell>
          <cell r="BJ1311">
            <v>18.380449728342072</v>
          </cell>
          <cell r="BU1311">
            <v>10.14799016059224</v>
          </cell>
          <cell r="BV1311">
            <v>11.522967903511651</v>
          </cell>
          <cell r="BW1311">
            <v>10.055977276238897</v>
          </cell>
          <cell r="BX1311">
            <v>8.6149332270911767</v>
          </cell>
          <cell r="BY1311">
            <v>11.497021325386617</v>
          </cell>
        </row>
        <row r="1312">
          <cell r="A1312">
            <v>41274</v>
          </cell>
          <cell r="BF1312">
            <v>16.747314781694723</v>
          </cell>
          <cell r="BG1312">
            <v>17.429620749261797</v>
          </cell>
          <cell r="BH1312">
            <v>16.109902701379674</v>
          </cell>
          <cell r="BI1312">
            <v>13.839355674417275</v>
          </cell>
          <cell r="BJ1312">
            <v>18.380449728342072</v>
          </cell>
          <cell r="BU1312">
            <v>10.14799016059224</v>
          </cell>
          <cell r="BV1312">
            <v>11.522967903511651</v>
          </cell>
          <cell r="BW1312">
            <v>10.055977276238897</v>
          </cell>
          <cell r="BX1312">
            <v>8.6149332270911767</v>
          </cell>
          <cell r="BY1312">
            <v>11.497021325386617</v>
          </cell>
        </row>
        <row r="1313">
          <cell r="A1313">
            <v>41275</v>
          </cell>
          <cell r="BF1313">
            <v>16.747314781694723</v>
          </cell>
          <cell r="BG1313">
            <v>17.429620749261797</v>
          </cell>
          <cell r="BH1313">
            <v>16.109902701379674</v>
          </cell>
          <cell r="BI1313">
            <v>13.839355674417275</v>
          </cell>
          <cell r="BJ1313">
            <v>18.380449728342072</v>
          </cell>
          <cell r="BU1313">
            <v>10.14799016059224</v>
          </cell>
          <cell r="BV1313">
            <v>11.522967903511651</v>
          </cell>
          <cell r="BW1313">
            <v>10.055977276238897</v>
          </cell>
          <cell r="BX1313">
            <v>8.6149332270911767</v>
          </cell>
          <cell r="BY1313">
            <v>11.497021325386617</v>
          </cell>
        </row>
        <row r="1314">
          <cell r="A1314">
            <v>41276</v>
          </cell>
          <cell r="BF1314">
            <v>16.670823349960745</v>
          </cell>
          <cell r="BG1314">
            <v>17.429620749261797</v>
          </cell>
          <cell r="BH1314">
            <v>16.109902701379674</v>
          </cell>
          <cell r="BI1314">
            <v>13.839355674417275</v>
          </cell>
          <cell r="BJ1314">
            <v>18.380449728342072</v>
          </cell>
          <cell r="BU1314">
            <v>10.104588259930827</v>
          </cell>
          <cell r="BV1314">
            <v>11.522967903511651</v>
          </cell>
          <cell r="BW1314">
            <v>10.055977276238897</v>
          </cell>
          <cell r="BX1314">
            <v>8.6149332270911767</v>
          </cell>
          <cell r="BY1314">
            <v>11.497021325386617</v>
          </cell>
        </row>
        <row r="1315">
          <cell r="A1315">
            <v>41277</v>
          </cell>
          <cell r="BF1315">
            <v>16.064534830511391</v>
          </cell>
          <cell r="BG1315">
            <v>17.429620749261797</v>
          </cell>
          <cell r="BH1315">
            <v>16.109902701379674</v>
          </cell>
          <cell r="BI1315">
            <v>13.839355674417275</v>
          </cell>
          <cell r="BJ1315">
            <v>18.380449728342072</v>
          </cell>
          <cell r="BU1315">
            <v>9.8144210087092265</v>
          </cell>
          <cell r="BV1315">
            <v>11.522967903511651</v>
          </cell>
          <cell r="BW1315">
            <v>10.055977276238897</v>
          </cell>
          <cell r="BX1315">
            <v>8.6149332270911767</v>
          </cell>
          <cell r="BY1315">
            <v>11.497021325386617</v>
          </cell>
        </row>
        <row r="1316">
          <cell r="A1316">
            <v>41278</v>
          </cell>
          <cell r="BF1316">
            <v>16.301972837581136</v>
          </cell>
          <cell r="BG1316">
            <v>17.429620749261797</v>
          </cell>
          <cell r="BH1316">
            <v>16.109902701379674</v>
          </cell>
          <cell r="BI1316">
            <v>13.839355674417275</v>
          </cell>
          <cell r="BJ1316">
            <v>18.380449728342072</v>
          </cell>
          <cell r="BU1316">
            <v>9.8771467370509924</v>
          </cell>
          <cell r="BV1316">
            <v>11.522967903511651</v>
          </cell>
          <cell r="BW1316">
            <v>10.055977276238897</v>
          </cell>
          <cell r="BX1316">
            <v>8.6149332270911767</v>
          </cell>
          <cell r="BY1316">
            <v>11.497021325386617</v>
          </cell>
        </row>
        <row r="1317">
          <cell r="A1317">
            <v>41281</v>
          </cell>
          <cell r="BF1317">
            <v>16.184369282266807</v>
          </cell>
          <cell r="BG1317">
            <v>17.429620749261797</v>
          </cell>
          <cell r="BH1317">
            <v>16.109902701379674</v>
          </cell>
          <cell r="BI1317">
            <v>13.839355674417275</v>
          </cell>
          <cell r="BJ1317">
            <v>18.380449728342072</v>
          </cell>
          <cell r="BU1317">
            <v>9.8122176742248985</v>
          </cell>
          <cell r="BV1317">
            <v>11.522967903511651</v>
          </cell>
          <cell r="BW1317">
            <v>10.055977276238897</v>
          </cell>
          <cell r="BX1317">
            <v>8.6149332270911767</v>
          </cell>
          <cell r="BY1317">
            <v>11.497021325386617</v>
          </cell>
        </row>
        <row r="1318">
          <cell r="A1318">
            <v>41282</v>
          </cell>
          <cell r="BF1318">
            <v>16.188890321268971</v>
          </cell>
          <cell r="BG1318">
            <v>17.429620749261797</v>
          </cell>
          <cell r="BH1318">
            <v>16.109902701379674</v>
          </cell>
          <cell r="BI1318">
            <v>13.839355674417275</v>
          </cell>
          <cell r="BJ1318">
            <v>18.380449728342072</v>
          </cell>
          <cell r="BU1318">
            <v>9.8147607309215328</v>
          </cell>
          <cell r="BV1318">
            <v>11.522967903511651</v>
          </cell>
          <cell r="BW1318">
            <v>10.055977276238897</v>
          </cell>
          <cell r="BX1318">
            <v>8.6149332270911767</v>
          </cell>
          <cell r="BY1318">
            <v>11.497021325386617</v>
          </cell>
        </row>
        <row r="1319">
          <cell r="A1319">
            <v>41283</v>
          </cell>
          <cell r="BF1319">
            <v>16.365298594385884</v>
          </cell>
          <cell r="BG1319">
            <v>17.429620749261797</v>
          </cell>
          <cell r="BH1319">
            <v>16.109902701379674</v>
          </cell>
          <cell r="BI1319">
            <v>13.839355674417275</v>
          </cell>
          <cell r="BJ1319">
            <v>18.380449728342072</v>
          </cell>
          <cell r="BU1319">
            <v>9.9139893020701777</v>
          </cell>
          <cell r="BV1319">
            <v>11.522967903511651</v>
          </cell>
          <cell r="BW1319">
            <v>10.055977276238897</v>
          </cell>
          <cell r="BX1319">
            <v>8.6149332270911767</v>
          </cell>
          <cell r="BY1319">
            <v>11.497021325386617</v>
          </cell>
        </row>
        <row r="1320">
          <cell r="A1320">
            <v>41284</v>
          </cell>
          <cell r="BF1320">
            <v>16.335005641287676</v>
          </cell>
          <cell r="BG1320">
            <v>17.429620749261797</v>
          </cell>
          <cell r="BH1320">
            <v>16.109902701379674</v>
          </cell>
          <cell r="BI1320">
            <v>13.839355674417275</v>
          </cell>
          <cell r="BJ1320">
            <v>18.380449728342072</v>
          </cell>
          <cell r="BU1320">
            <v>9.9546995815787565</v>
          </cell>
          <cell r="BV1320">
            <v>11.522967903511651</v>
          </cell>
          <cell r="BW1320">
            <v>10.055977276238897</v>
          </cell>
          <cell r="BX1320">
            <v>8.6149332270911767</v>
          </cell>
          <cell r="BY1320">
            <v>11.497021325386617</v>
          </cell>
        </row>
        <row r="1321">
          <cell r="A1321">
            <v>41285</v>
          </cell>
          <cell r="BF1321">
            <v>16.252947156738866</v>
          </cell>
          <cell r="BG1321">
            <v>17.429620749261797</v>
          </cell>
          <cell r="BH1321">
            <v>16.109902701379674</v>
          </cell>
          <cell r="BI1321">
            <v>13.839355674417275</v>
          </cell>
          <cell r="BJ1321">
            <v>18.380449728342072</v>
          </cell>
          <cell r="BU1321">
            <v>9.7291066402836854</v>
          </cell>
          <cell r="BV1321">
            <v>11.522967903511651</v>
          </cell>
          <cell r="BW1321">
            <v>10.055977276238897</v>
          </cell>
          <cell r="BX1321">
            <v>8.6149332270911767</v>
          </cell>
          <cell r="BY1321">
            <v>11.497021325386617</v>
          </cell>
        </row>
        <row r="1322">
          <cell r="A1322">
            <v>41288</v>
          </cell>
          <cell r="BF1322">
            <v>16.19497875300581</v>
          </cell>
          <cell r="BG1322">
            <v>17.429620749261797</v>
          </cell>
          <cell r="BH1322">
            <v>16.109902701379674</v>
          </cell>
          <cell r="BI1322">
            <v>13.839355674417275</v>
          </cell>
          <cell r="BJ1322">
            <v>18.380449728342072</v>
          </cell>
          <cell r="BU1322">
            <v>9.6969215706684562</v>
          </cell>
          <cell r="BV1322">
            <v>11.522967903511651</v>
          </cell>
          <cell r="BW1322">
            <v>10.055977276238897</v>
          </cell>
          <cell r="BX1322">
            <v>8.6149332270911767</v>
          </cell>
          <cell r="BY1322">
            <v>11.497021325386617</v>
          </cell>
        </row>
        <row r="1323">
          <cell r="A1323">
            <v>41289</v>
          </cell>
          <cell r="BF1323">
            <v>16.266323623182881</v>
          </cell>
          <cell r="BG1323">
            <v>17.429620749261797</v>
          </cell>
          <cell r="BH1323">
            <v>16.109902701379674</v>
          </cell>
          <cell r="BI1323">
            <v>13.839355674417275</v>
          </cell>
          <cell r="BJ1323">
            <v>18.380449728342072</v>
          </cell>
          <cell r="BU1323">
            <v>9.736533487945195</v>
          </cell>
          <cell r="BV1323">
            <v>11.522967903511651</v>
          </cell>
          <cell r="BW1323">
            <v>10.055977276238897</v>
          </cell>
          <cell r="BX1323">
            <v>8.6149332270911767</v>
          </cell>
          <cell r="BY1323">
            <v>11.497021325386617</v>
          </cell>
        </row>
        <row r="1324">
          <cell r="A1324">
            <v>41290</v>
          </cell>
          <cell r="BF1324">
            <v>16.248484172884798</v>
          </cell>
          <cell r="BG1324">
            <v>17.429620749261797</v>
          </cell>
          <cell r="BH1324">
            <v>16.109902701379674</v>
          </cell>
          <cell r="BI1324">
            <v>13.839355674417275</v>
          </cell>
          <cell r="BJ1324">
            <v>18.380449728342072</v>
          </cell>
          <cell r="BU1324">
            <v>9.726628713744665</v>
          </cell>
          <cell r="BV1324">
            <v>11.522967903511651</v>
          </cell>
          <cell r="BW1324">
            <v>10.055977276238897</v>
          </cell>
          <cell r="BX1324">
            <v>8.6149332270911767</v>
          </cell>
          <cell r="BY1324">
            <v>11.497021325386617</v>
          </cell>
        </row>
        <row r="1325">
          <cell r="A1325">
            <v>41291</v>
          </cell>
          <cell r="BF1325">
            <v>16.301996281219957</v>
          </cell>
          <cell r="BG1325">
            <v>17.429620749261797</v>
          </cell>
          <cell r="BH1325">
            <v>16.109902701379674</v>
          </cell>
          <cell r="BI1325">
            <v>13.839355674417275</v>
          </cell>
          <cell r="BJ1325">
            <v>18.380449728342072</v>
          </cell>
          <cell r="BU1325">
            <v>9.7563395703684854</v>
          </cell>
          <cell r="BV1325">
            <v>11.522967903511651</v>
          </cell>
          <cell r="BW1325">
            <v>10.055977276238897</v>
          </cell>
          <cell r="BX1325">
            <v>8.6149332270911767</v>
          </cell>
          <cell r="BY1325">
            <v>11.497021325386617</v>
          </cell>
        </row>
        <row r="1326">
          <cell r="A1326">
            <v>41292</v>
          </cell>
          <cell r="BF1326">
            <v>16.431303312570996</v>
          </cell>
          <cell r="BG1326">
            <v>17.429620749261797</v>
          </cell>
          <cell r="BH1326">
            <v>16.109902701379674</v>
          </cell>
          <cell r="BI1326">
            <v>13.839355674417275</v>
          </cell>
          <cell r="BJ1326">
            <v>18.380449728342072</v>
          </cell>
          <cell r="BU1326">
            <v>9.8281330912826821</v>
          </cell>
          <cell r="BV1326">
            <v>11.522967903511651</v>
          </cell>
          <cell r="BW1326">
            <v>10.055977276238897</v>
          </cell>
          <cell r="BX1326">
            <v>8.6149332270911767</v>
          </cell>
          <cell r="BY1326">
            <v>11.497021325386617</v>
          </cell>
        </row>
        <row r="1327">
          <cell r="A1327">
            <v>41295</v>
          </cell>
          <cell r="BF1327">
            <v>16.573993944719295</v>
          </cell>
          <cell r="BG1327">
            <v>17.429620749261797</v>
          </cell>
          <cell r="BH1327">
            <v>16.109902701379674</v>
          </cell>
          <cell r="BI1327">
            <v>13.839355674417275</v>
          </cell>
          <cell r="BJ1327">
            <v>18.380449728342072</v>
          </cell>
          <cell r="BU1327">
            <v>9.9073574209758473</v>
          </cell>
          <cell r="BV1327">
            <v>11.522967903511651</v>
          </cell>
          <cell r="BW1327">
            <v>10.055977276238897</v>
          </cell>
          <cell r="BX1327">
            <v>8.6149332270911767</v>
          </cell>
          <cell r="BY1327">
            <v>11.497021325386617</v>
          </cell>
        </row>
        <row r="1328">
          <cell r="A1328">
            <v>41296</v>
          </cell>
          <cell r="BF1328">
            <v>16.578450240117192</v>
          </cell>
          <cell r="BG1328">
            <v>17.429620749261797</v>
          </cell>
          <cell r="BH1328">
            <v>16.109902701379674</v>
          </cell>
          <cell r="BI1328">
            <v>13.839355674417275</v>
          </cell>
          <cell r="BJ1328">
            <v>18.380449728342072</v>
          </cell>
          <cell r="BU1328">
            <v>9.9098316339672508</v>
          </cell>
          <cell r="BV1328">
            <v>11.522967903511651</v>
          </cell>
          <cell r="BW1328">
            <v>10.055977276238897</v>
          </cell>
          <cell r="BX1328">
            <v>8.6149332270911767</v>
          </cell>
          <cell r="BY1328">
            <v>11.497021325386617</v>
          </cell>
        </row>
        <row r="1329">
          <cell r="A1329">
            <v>41297</v>
          </cell>
          <cell r="BF1329">
            <v>16.667628318033255</v>
          </cell>
          <cell r="BG1329">
            <v>17.429620749261797</v>
          </cell>
          <cell r="BH1329">
            <v>16.109902701379674</v>
          </cell>
          <cell r="BI1329">
            <v>13.839355674417275</v>
          </cell>
          <cell r="BJ1329">
            <v>18.380449728342072</v>
          </cell>
          <cell r="BU1329">
            <v>9.9593448594667482</v>
          </cell>
          <cell r="BV1329">
            <v>11.522967903511651</v>
          </cell>
          <cell r="BW1329">
            <v>10.055977276238897</v>
          </cell>
          <cell r="BX1329">
            <v>8.6149332270911767</v>
          </cell>
          <cell r="BY1329">
            <v>11.497021325386617</v>
          </cell>
        </row>
        <row r="1330">
          <cell r="A1330">
            <v>41298</v>
          </cell>
          <cell r="BF1330">
            <v>16.698844234775358</v>
          </cell>
          <cell r="BG1330">
            <v>17.429620749261797</v>
          </cell>
          <cell r="BH1330">
            <v>16.109902701379674</v>
          </cell>
          <cell r="BI1330">
            <v>13.839355674417275</v>
          </cell>
          <cell r="BJ1330">
            <v>18.380449728342072</v>
          </cell>
          <cell r="BU1330">
            <v>9.9766764813287967</v>
          </cell>
          <cell r="BV1330">
            <v>11.522967903511651</v>
          </cell>
          <cell r="BW1330">
            <v>10.055977276238897</v>
          </cell>
          <cell r="BX1330">
            <v>8.6149332270911767</v>
          </cell>
          <cell r="BY1330">
            <v>11.497021325386617</v>
          </cell>
        </row>
        <row r="1331">
          <cell r="A1331">
            <v>41299</v>
          </cell>
          <cell r="BF1331">
            <v>16.591826706561207</v>
          </cell>
          <cell r="BG1331">
            <v>17.429620749261797</v>
          </cell>
          <cell r="BH1331">
            <v>16.109902701379674</v>
          </cell>
          <cell r="BI1331">
            <v>13.839355674417275</v>
          </cell>
          <cell r="BJ1331">
            <v>18.380449728342072</v>
          </cell>
          <cell r="BU1331">
            <v>9.9172584816287603</v>
          </cell>
          <cell r="BV1331">
            <v>11.522967903511651</v>
          </cell>
          <cell r="BW1331">
            <v>10.055977276238897</v>
          </cell>
          <cell r="BX1331">
            <v>8.6149332270911767</v>
          </cell>
          <cell r="BY1331">
            <v>11.497021325386617</v>
          </cell>
        </row>
        <row r="1332">
          <cell r="A1332">
            <v>41302</v>
          </cell>
          <cell r="BF1332">
            <v>16.50710536994012</v>
          </cell>
          <cell r="BG1332">
            <v>17.429620749261797</v>
          </cell>
          <cell r="BH1332">
            <v>16.109902701379674</v>
          </cell>
          <cell r="BI1332">
            <v>13.839355674417275</v>
          </cell>
          <cell r="BJ1332">
            <v>18.380449728342072</v>
          </cell>
          <cell r="BU1332">
            <v>9.8702197166905083</v>
          </cell>
          <cell r="BV1332">
            <v>11.522967903511651</v>
          </cell>
          <cell r="BW1332">
            <v>10.055977276238897</v>
          </cell>
          <cell r="BX1332">
            <v>8.6149332270911767</v>
          </cell>
          <cell r="BY1332">
            <v>11.497021325386617</v>
          </cell>
        </row>
        <row r="1333">
          <cell r="A1333">
            <v>41303</v>
          </cell>
          <cell r="BF1333">
            <v>16.878644975960686</v>
          </cell>
          <cell r="BG1333">
            <v>17.429620749261797</v>
          </cell>
          <cell r="BH1333">
            <v>16.109902701379674</v>
          </cell>
          <cell r="BI1333">
            <v>13.839355674417275</v>
          </cell>
          <cell r="BJ1333">
            <v>18.380449728342072</v>
          </cell>
          <cell r="BU1333">
            <v>9.9585778948506558</v>
          </cell>
          <cell r="BV1333">
            <v>11.522967903511651</v>
          </cell>
          <cell r="BW1333">
            <v>10.055977276238897</v>
          </cell>
          <cell r="BX1333">
            <v>8.6149332270911767</v>
          </cell>
          <cell r="BY1333">
            <v>11.497021325386617</v>
          </cell>
        </row>
        <row r="1334">
          <cell r="A1334">
            <v>41304</v>
          </cell>
          <cell r="BF1334">
            <v>17.067332717601033</v>
          </cell>
          <cell r="BG1334">
            <v>17.429620749261797</v>
          </cell>
          <cell r="BH1334">
            <v>16.109902701379674</v>
          </cell>
          <cell r="BI1334">
            <v>13.839355674417275</v>
          </cell>
          <cell r="BJ1334">
            <v>18.380449728342072</v>
          </cell>
          <cell r="BU1334">
            <v>10.062059969082055</v>
          </cell>
          <cell r="BV1334">
            <v>11.522967903511651</v>
          </cell>
          <cell r="BW1334">
            <v>10.055977276238897</v>
          </cell>
          <cell r="BX1334">
            <v>8.6149332270911767</v>
          </cell>
          <cell r="BY1334">
            <v>11.497021325386617</v>
          </cell>
        </row>
        <row r="1335">
          <cell r="A1335">
            <v>41305</v>
          </cell>
          <cell r="BF1335">
            <v>16.896612177831702</v>
          </cell>
          <cell r="BG1335">
            <v>17.429620749261797</v>
          </cell>
          <cell r="BH1335">
            <v>16.109902701379674</v>
          </cell>
          <cell r="BI1335">
            <v>13.839355674417275</v>
          </cell>
          <cell r="BJ1335">
            <v>18.380449728342072</v>
          </cell>
          <cell r="BU1335">
            <v>9.9684316527131589</v>
          </cell>
          <cell r="BV1335">
            <v>11.522967903511651</v>
          </cell>
          <cell r="BW1335">
            <v>10.055977276238897</v>
          </cell>
          <cell r="BX1335">
            <v>8.6149332270911767</v>
          </cell>
          <cell r="BY1335">
            <v>11.497021325386617</v>
          </cell>
        </row>
        <row r="1336">
          <cell r="A1336">
            <v>41306</v>
          </cell>
          <cell r="BF1336">
            <v>16.955018050840511</v>
          </cell>
          <cell r="BG1336">
            <v>17.429620749261797</v>
          </cell>
          <cell r="BH1336">
            <v>16.109902701379674</v>
          </cell>
          <cell r="BI1336">
            <v>13.839355674417275</v>
          </cell>
          <cell r="BJ1336">
            <v>18.380449728342072</v>
          </cell>
          <cell r="BU1336">
            <v>10.000463203007335</v>
          </cell>
          <cell r="BV1336">
            <v>11.522967903511651</v>
          </cell>
          <cell r="BW1336">
            <v>10.055977276238897</v>
          </cell>
          <cell r="BX1336">
            <v>8.6149332270911767</v>
          </cell>
          <cell r="BY1336">
            <v>11.497021325386617</v>
          </cell>
        </row>
        <row r="1337">
          <cell r="A1337">
            <v>41309</v>
          </cell>
          <cell r="BF1337">
            <v>16.84720001407841</v>
          </cell>
          <cell r="BG1337">
            <v>17.429620749261797</v>
          </cell>
          <cell r="BH1337">
            <v>16.109902701379674</v>
          </cell>
          <cell r="BI1337">
            <v>13.839355674417275</v>
          </cell>
          <cell r="BJ1337">
            <v>18.380449728342072</v>
          </cell>
          <cell r="BU1337">
            <v>9.9413325250591829</v>
          </cell>
          <cell r="BV1337">
            <v>11.522967903511651</v>
          </cell>
          <cell r="BW1337">
            <v>10.055977276238897</v>
          </cell>
          <cell r="BX1337">
            <v>8.6149332270911767</v>
          </cell>
          <cell r="BY1337">
            <v>11.497021325386617</v>
          </cell>
        </row>
        <row r="1338">
          <cell r="A1338">
            <v>41310</v>
          </cell>
          <cell r="BF1338">
            <v>16.842703384079989</v>
          </cell>
          <cell r="BG1338">
            <v>17.429620749261797</v>
          </cell>
          <cell r="BH1338">
            <v>16.109902701379674</v>
          </cell>
          <cell r="BI1338">
            <v>13.839355674417275</v>
          </cell>
          <cell r="BJ1338">
            <v>18.380449728342072</v>
          </cell>
          <cell r="BU1338">
            <v>9.9388664369326154</v>
          </cell>
          <cell r="BV1338">
            <v>11.522967903511651</v>
          </cell>
          <cell r="BW1338">
            <v>10.055977276238897</v>
          </cell>
          <cell r="BX1338">
            <v>8.6149332270911767</v>
          </cell>
          <cell r="BY1338">
            <v>11.497021325386617</v>
          </cell>
        </row>
        <row r="1339">
          <cell r="A1339">
            <v>41311</v>
          </cell>
          <cell r="BF1339">
            <v>16.914586118582722</v>
          </cell>
          <cell r="BG1339">
            <v>17.429620749261797</v>
          </cell>
          <cell r="BH1339">
            <v>16.109902701379674</v>
          </cell>
          <cell r="BI1339">
            <v>13.839355674417275</v>
          </cell>
          <cell r="BJ1339">
            <v>18.380449728342072</v>
          </cell>
          <cell r="BU1339">
            <v>9.978289106381629</v>
          </cell>
          <cell r="BV1339">
            <v>11.522967903511651</v>
          </cell>
          <cell r="BW1339">
            <v>10.055977276238897</v>
          </cell>
          <cell r="BX1339">
            <v>8.6149332270911767</v>
          </cell>
          <cell r="BY1339">
            <v>11.497021325386617</v>
          </cell>
        </row>
        <row r="1340">
          <cell r="A1340">
            <v>41312</v>
          </cell>
          <cell r="BF1340">
            <v>17.089796998729138</v>
          </cell>
          <cell r="BG1340">
            <v>17.429620749261797</v>
          </cell>
          <cell r="BH1340">
            <v>16.109902701379674</v>
          </cell>
          <cell r="BI1340">
            <v>13.839355674417275</v>
          </cell>
          <cell r="BJ1340">
            <v>18.380449728342072</v>
          </cell>
          <cell r="BU1340">
            <v>10.074831886417199</v>
          </cell>
          <cell r="BV1340">
            <v>11.522967903511651</v>
          </cell>
          <cell r="BW1340">
            <v>10.055977276238897</v>
          </cell>
          <cell r="BX1340">
            <v>8.6149332270911767</v>
          </cell>
          <cell r="BY1340">
            <v>11.497021325386617</v>
          </cell>
        </row>
        <row r="1341">
          <cell r="A1341">
            <v>41313</v>
          </cell>
          <cell r="BF1341">
            <v>17.089796998729138</v>
          </cell>
          <cell r="BG1341">
            <v>17.429620749261797</v>
          </cell>
          <cell r="BH1341">
            <v>16.109902701379674</v>
          </cell>
          <cell r="BI1341">
            <v>13.839355674417275</v>
          </cell>
          <cell r="BJ1341">
            <v>18.380449728342072</v>
          </cell>
          <cell r="BU1341">
            <v>10.074831886417199</v>
          </cell>
          <cell r="BV1341">
            <v>11.522967903511651</v>
          </cell>
          <cell r="BW1341">
            <v>10.055977276238897</v>
          </cell>
          <cell r="BX1341">
            <v>8.6149332270911767</v>
          </cell>
          <cell r="BY1341">
            <v>11.497021325386617</v>
          </cell>
        </row>
        <row r="1342">
          <cell r="A1342">
            <v>41316</v>
          </cell>
          <cell r="BF1342">
            <v>16.823592209237621</v>
          </cell>
          <cell r="BG1342">
            <v>17.429620749261797</v>
          </cell>
          <cell r="BH1342">
            <v>16.109902701379674</v>
          </cell>
          <cell r="BI1342">
            <v>13.839355674417275</v>
          </cell>
          <cell r="BJ1342">
            <v>18.380449728342072</v>
          </cell>
          <cell r="BU1342">
            <v>9.9642291269344891</v>
          </cell>
          <cell r="BV1342">
            <v>11.522967903511651</v>
          </cell>
          <cell r="BW1342">
            <v>10.055977276238897</v>
          </cell>
          <cell r="BX1342">
            <v>8.6149332270911767</v>
          </cell>
          <cell r="BY1342">
            <v>11.497021325386617</v>
          </cell>
        </row>
        <row r="1343">
          <cell r="A1343">
            <v>41317</v>
          </cell>
          <cell r="BF1343">
            <v>16.770172064552032</v>
          </cell>
          <cell r="BG1343">
            <v>17.429620749261797</v>
          </cell>
          <cell r="BH1343">
            <v>16.109902701379674</v>
          </cell>
          <cell r="BI1343">
            <v>13.839355674417275</v>
          </cell>
          <cell r="BJ1343">
            <v>18.380449728342072</v>
          </cell>
          <cell r="BU1343">
            <v>9.9348072793288988</v>
          </cell>
          <cell r="BV1343">
            <v>11.522967903511651</v>
          </cell>
          <cell r="BW1343">
            <v>10.055977276238897</v>
          </cell>
          <cell r="BX1343">
            <v>8.6149332270911767</v>
          </cell>
          <cell r="BY1343">
            <v>11.497021325386617</v>
          </cell>
        </row>
        <row r="1344">
          <cell r="A1344">
            <v>41318</v>
          </cell>
          <cell r="BF1344">
            <v>16.476347245409016</v>
          </cell>
          <cell r="BG1344">
            <v>17.429620749261797</v>
          </cell>
          <cell r="BH1344">
            <v>16.109902701379674</v>
          </cell>
          <cell r="BI1344">
            <v>13.839355674417275</v>
          </cell>
          <cell r="BJ1344">
            <v>18.380449728342072</v>
          </cell>
          <cell r="BU1344">
            <v>9.7729793939413252</v>
          </cell>
          <cell r="BV1344">
            <v>11.522967903511651</v>
          </cell>
          <cell r="BW1344">
            <v>10.055977276238897</v>
          </cell>
          <cell r="BX1344">
            <v>8.6149332270911767</v>
          </cell>
          <cell r="BY1344">
            <v>11.497021325386617</v>
          </cell>
        </row>
        <row r="1345">
          <cell r="A1345">
            <v>41319</v>
          </cell>
          <cell r="BF1345">
            <v>16.569832387312186</v>
          </cell>
          <cell r="BG1345">
            <v>17.429620749261797</v>
          </cell>
          <cell r="BH1345">
            <v>16.109902701379674</v>
          </cell>
          <cell r="BI1345">
            <v>13.839355674417275</v>
          </cell>
          <cell r="BJ1345">
            <v>18.380449728342072</v>
          </cell>
          <cell r="BU1345">
            <v>9.8244675659530412</v>
          </cell>
          <cell r="BV1345">
            <v>11.522967903511651</v>
          </cell>
          <cell r="BW1345">
            <v>10.055977276238897</v>
          </cell>
          <cell r="BX1345">
            <v>8.6149332270911767</v>
          </cell>
          <cell r="BY1345">
            <v>11.497021325386617</v>
          </cell>
        </row>
        <row r="1346">
          <cell r="A1346">
            <v>41320</v>
          </cell>
          <cell r="BF1346">
            <v>16.409565275459098</v>
          </cell>
          <cell r="BG1346">
            <v>17.429620749261797</v>
          </cell>
          <cell r="BH1346">
            <v>16.109902701379674</v>
          </cell>
          <cell r="BI1346">
            <v>13.839355674417275</v>
          </cell>
          <cell r="BJ1346">
            <v>18.380449728342072</v>
          </cell>
          <cell r="BU1346">
            <v>9.7361983452520686</v>
          </cell>
          <cell r="BV1346">
            <v>11.522967903511651</v>
          </cell>
          <cell r="BW1346">
            <v>10.055977276238897</v>
          </cell>
          <cell r="BX1346">
            <v>8.6149332270911767</v>
          </cell>
          <cell r="BY1346">
            <v>11.497021325386617</v>
          </cell>
        </row>
        <row r="1347">
          <cell r="A1347">
            <v>41323</v>
          </cell>
          <cell r="BF1347">
            <v>16.600998998330553</v>
          </cell>
          <cell r="BG1347">
            <v>17.429620749261797</v>
          </cell>
          <cell r="BH1347">
            <v>16.109902701379674</v>
          </cell>
          <cell r="BI1347">
            <v>13.839355674417275</v>
          </cell>
          <cell r="BJ1347">
            <v>18.380449728342072</v>
          </cell>
          <cell r="BU1347">
            <v>9.8416329870720229</v>
          </cell>
          <cell r="BV1347">
            <v>11.522967903511651</v>
          </cell>
          <cell r="BW1347">
            <v>10.055977276238897</v>
          </cell>
          <cell r="BX1347">
            <v>8.6149332270911767</v>
          </cell>
          <cell r="BY1347">
            <v>11.497021325386617</v>
          </cell>
        </row>
        <row r="1348">
          <cell r="A1348">
            <v>41324</v>
          </cell>
          <cell r="BF1348">
            <v>16.325709760178469</v>
          </cell>
          <cell r="BG1348">
            <v>17.429620749261797</v>
          </cell>
          <cell r="BH1348">
            <v>16.109902701379674</v>
          </cell>
          <cell r="BI1348">
            <v>13.839355674417275</v>
          </cell>
          <cell r="BJ1348">
            <v>18.380449728342072</v>
          </cell>
          <cell r="BU1348">
            <v>9.6970624456010786</v>
          </cell>
          <cell r="BV1348">
            <v>11.522967903511651</v>
          </cell>
          <cell r="BW1348">
            <v>10.055977276238897</v>
          </cell>
          <cell r="BX1348">
            <v>8.6149332270911767</v>
          </cell>
          <cell r="BY1348">
            <v>11.497021325386617</v>
          </cell>
        </row>
        <row r="1349">
          <cell r="A1349">
            <v>41325</v>
          </cell>
          <cell r="BF1349">
            <v>16.383708198549915</v>
          </cell>
          <cell r="BG1349">
            <v>17.429620749261797</v>
          </cell>
          <cell r="BH1349">
            <v>16.109902701379674</v>
          </cell>
          <cell r="BI1349">
            <v>13.839355674417275</v>
          </cell>
          <cell r="BJ1349">
            <v>18.380449728342072</v>
          </cell>
          <cell r="BU1349">
            <v>9.7290239454988559</v>
          </cell>
          <cell r="BV1349">
            <v>11.522967903511651</v>
          </cell>
          <cell r="BW1349">
            <v>10.055977276238897</v>
          </cell>
          <cell r="BX1349">
            <v>8.6149332270911767</v>
          </cell>
          <cell r="BY1349">
            <v>11.497021325386617</v>
          </cell>
        </row>
        <row r="1350">
          <cell r="A1350">
            <v>41326</v>
          </cell>
          <cell r="BF1350">
            <v>16.640267261572781</v>
          </cell>
          <cell r="BG1350">
            <v>17.429620749261797</v>
          </cell>
          <cell r="BH1350">
            <v>16.109902701379674</v>
          </cell>
          <cell r="BI1350">
            <v>13.839355674417275</v>
          </cell>
          <cell r="BJ1350">
            <v>18.380449728342072</v>
          </cell>
          <cell r="BU1350">
            <v>9.8704072774786358</v>
          </cell>
          <cell r="BV1350">
            <v>11.522967903511651</v>
          </cell>
          <cell r="BW1350">
            <v>10.055977276238897</v>
          </cell>
          <cell r="BX1350">
            <v>8.6149332270911767</v>
          </cell>
          <cell r="BY1350">
            <v>11.497021325386617</v>
          </cell>
        </row>
        <row r="1351">
          <cell r="A1351">
            <v>41327</v>
          </cell>
          <cell r="BF1351">
            <v>16.633574567763524</v>
          </cell>
          <cell r="BG1351">
            <v>17.429620749261797</v>
          </cell>
          <cell r="BH1351">
            <v>16.109902701379674</v>
          </cell>
          <cell r="BI1351">
            <v>13.839355674417275</v>
          </cell>
          <cell r="BJ1351">
            <v>18.380449728342072</v>
          </cell>
          <cell r="BU1351">
            <v>9.8667191000292611</v>
          </cell>
          <cell r="BV1351">
            <v>11.522967903511651</v>
          </cell>
          <cell r="BW1351">
            <v>10.055977276238897</v>
          </cell>
          <cell r="BX1351">
            <v>8.6149332270911767</v>
          </cell>
          <cell r="BY1351">
            <v>11.497021325386617</v>
          </cell>
        </row>
        <row r="1352">
          <cell r="A1352">
            <v>41330</v>
          </cell>
          <cell r="BF1352">
            <v>16.361405019520355</v>
          </cell>
          <cell r="BG1352">
            <v>17.429620749261797</v>
          </cell>
          <cell r="BH1352">
            <v>16.109902701379674</v>
          </cell>
          <cell r="BI1352">
            <v>13.839355674417275</v>
          </cell>
          <cell r="BJ1352">
            <v>18.380449728342072</v>
          </cell>
          <cell r="BU1352">
            <v>9.716733217088068</v>
          </cell>
          <cell r="BV1352">
            <v>11.522967903511651</v>
          </cell>
          <cell r="BW1352">
            <v>10.055977276238897</v>
          </cell>
          <cell r="BX1352">
            <v>8.6149332270911767</v>
          </cell>
          <cell r="BY1352">
            <v>11.497021325386617</v>
          </cell>
        </row>
        <row r="1353">
          <cell r="A1353">
            <v>41331</v>
          </cell>
          <cell r="BF1353">
            <v>16.666070151282138</v>
          </cell>
          <cell r="BG1353">
            <v>17.429620749261797</v>
          </cell>
          <cell r="BH1353">
            <v>16.109902701379674</v>
          </cell>
          <cell r="BI1353">
            <v>13.839355674417275</v>
          </cell>
          <cell r="BJ1353">
            <v>18.380449728342072</v>
          </cell>
          <cell r="BU1353">
            <v>9.8667191000292611</v>
          </cell>
          <cell r="BV1353">
            <v>11.522967903511651</v>
          </cell>
          <cell r="BW1353">
            <v>10.055977276238897</v>
          </cell>
          <cell r="BX1353">
            <v>8.6149332270911767</v>
          </cell>
          <cell r="BY1353">
            <v>11.497021325386617</v>
          </cell>
        </row>
        <row r="1354">
          <cell r="A1354">
            <v>41332</v>
          </cell>
          <cell r="BF1354">
            <v>16.420190622652978</v>
          </cell>
          <cell r="BG1354">
            <v>17.429620749261797</v>
          </cell>
          <cell r="BH1354">
            <v>16.109902701379674</v>
          </cell>
          <cell r="BI1354">
            <v>13.839355674417275</v>
          </cell>
          <cell r="BJ1354">
            <v>18.380449728342072</v>
          </cell>
          <cell r="BU1354">
            <v>9.7306517537960993</v>
          </cell>
          <cell r="BV1354">
            <v>11.522967903511651</v>
          </cell>
          <cell r="BW1354">
            <v>10.055977276238897</v>
          </cell>
          <cell r="BX1354">
            <v>8.6149332270911767</v>
          </cell>
          <cell r="BY1354">
            <v>11.497021325386617</v>
          </cell>
        </row>
        <row r="1355">
          <cell r="A1355">
            <v>41333</v>
          </cell>
          <cell r="BF1355">
            <v>16.306190318658132</v>
          </cell>
          <cell r="BG1355">
            <v>17.429620749261797</v>
          </cell>
          <cell r="BH1355">
            <v>16.109902701379674</v>
          </cell>
          <cell r="BI1355">
            <v>13.839355674417275</v>
          </cell>
          <cell r="BJ1355">
            <v>18.380449728342072</v>
          </cell>
          <cell r="BU1355">
            <v>9.6679568776134737</v>
          </cell>
          <cell r="BV1355">
            <v>11.522967903511651</v>
          </cell>
          <cell r="BW1355">
            <v>10.055977276238897</v>
          </cell>
          <cell r="BX1355">
            <v>8.6149332270911767</v>
          </cell>
          <cell r="BY1355">
            <v>11.497021325386617</v>
          </cell>
        </row>
        <row r="1356">
          <cell r="A1356">
            <v>41334</v>
          </cell>
          <cell r="BF1356">
            <v>16.630305157183219</v>
          </cell>
          <cell r="BG1356">
            <v>17.429620749261797</v>
          </cell>
          <cell r="BH1356">
            <v>16.109902701379674</v>
          </cell>
          <cell r="BI1356">
            <v>13.839355674417275</v>
          </cell>
          <cell r="BJ1356">
            <v>18.380449728342072</v>
          </cell>
          <cell r="BU1356">
            <v>9.8462049958921849</v>
          </cell>
          <cell r="BV1356">
            <v>11.522967903511651</v>
          </cell>
          <cell r="BW1356">
            <v>10.055977276238897</v>
          </cell>
          <cell r="BX1356">
            <v>8.6149332270911767</v>
          </cell>
          <cell r="BY1356">
            <v>11.497021325386617</v>
          </cell>
        </row>
        <row r="1357">
          <cell r="A1357">
            <v>41337</v>
          </cell>
          <cell r="BF1357">
            <v>16.572186706484029</v>
          </cell>
          <cell r="BG1357">
            <v>17.429620749261797</v>
          </cell>
          <cell r="BH1357">
            <v>16.109902701379674</v>
          </cell>
          <cell r="BI1357">
            <v>13.839355674417275</v>
          </cell>
          <cell r="BJ1357">
            <v>18.380449728342072</v>
          </cell>
          <cell r="BU1357">
            <v>9.8142425454176951</v>
          </cell>
          <cell r="BV1357">
            <v>11.522967903511651</v>
          </cell>
          <cell r="BW1357">
            <v>10.055977276238897</v>
          </cell>
          <cell r="BX1357">
            <v>8.6149332270911767</v>
          </cell>
          <cell r="BY1357">
            <v>11.497021325386617</v>
          </cell>
        </row>
        <row r="1358">
          <cell r="A1358">
            <v>41338</v>
          </cell>
          <cell r="BF1358">
            <v>16.666070151282138</v>
          </cell>
          <cell r="BG1358">
            <v>17.429620749261797</v>
          </cell>
          <cell r="BH1358">
            <v>16.109902701379674</v>
          </cell>
          <cell r="BI1358">
            <v>13.839355674417275</v>
          </cell>
          <cell r="BJ1358">
            <v>18.380449728342072</v>
          </cell>
          <cell r="BU1358">
            <v>9.8658740827115103</v>
          </cell>
          <cell r="BV1358">
            <v>11.522967903511651</v>
          </cell>
          <cell r="BW1358">
            <v>10.055977276238897</v>
          </cell>
          <cell r="BX1358">
            <v>8.6149332270911767</v>
          </cell>
          <cell r="BY1358">
            <v>11.497021325386617</v>
          </cell>
        </row>
        <row r="1359">
          <cell r="A1359">
            <v>41339</v>
          </cell>
          <cell r="BF1359">
            <v>16.831476878509349</v>
          </cell>
          <cell r="BG1359">
            <v>17.429620749261797</v>
          </cell>
          <cell r="BH1359">
            <v>16.109902701379674</v>
          </cell>
          <cell r="BI1359">
            <v>13.839355674417275</v>
          </cell>
          <cell r="BJ1359">
            <v>18.380449728342072</v>
          </cell>
          <cell r="BU1359">
            <v>9.9568401057823976</v>
          </cell>
          <cell r="BV1359">
            <v>11.522967903511651</v>
          </cell>
          <cell r="BW1359">
            <v>10.055977276238897</v>
          </cell>
          <cell r="BX1359">
            <v>8.6149332270911767</v>
          </cell>
          <cell r="BY1359">
            <v>11.497021325386617</v>
          </cell>
        </row>
        <row r="1360">
          <cell r="A1360">
            <v>41340</v>
          </cell>
          <cell r="BF1360">
            <v>16.867241872608275</v>
          </cell>
          <cell r="BG1360">
            <v>17.429620749261797</v>
          </cell>
          <cell r="BH1360">
            <v>16.109902701379674</v>
          </cell>
          <cell r="BI1360">
            <v>13.839355674417275</v>
          </cell>
          <cell r="BJ1360">
            <v>18.380449728342072</v>
          </cell>
          <cell r="BU1360">
            <v>9.9765091926017231</v>
          </cell>
          <cell r="BV1360">
            <v>11.522967903511651</v>
          </cell>
          <cell r="BW1360">
            <v>10.055977276238897</v>
          </cell>
          <cell r="BX1360">
            <v>8.6149332270911767</v>
          </cell>
          <cell r="BY1360">
            <v>11.497021325386617</v>
          </cell>
        </row>
        <row r="1361">
          <cell r="A1361">
            <v>41341</v>
          </cell>
          <cell r="BF1361">
            <v>16.751004077107396</v>
          </cell>
          <cell r="BG1361">
            <v>17.429620749261797</v>
          </cell>
          <cell r="BH1361">
            <v>16.109902701379674</v>
          </cell>
          <cell r="BI1361">
            <v>13.839355674417275</v>
          </cell>
          <cell r="BJ1361">
            <v>18.380449728342072</v>
          </cell>
          <cell r="BU1361">
            <v>9.9125837999378739</v>
          </cell>
          <cell r="BV1361">
            <v>11.522967903511651</v>
          </cell>
          <cell r="BW1361">
            <v>10.055977276238897</v>
          </cell>
          <cell r="BX1361">
            <v>8.6149332270911767</v>
          </cell>
          <cell r="BY1361">
            <v>11.497021325386617</v>
          </cell>
        </row>
        <row r="1362">
          <cell r="A1362">
            <v>41344</v>
          </cell>
          <cell r="BF1362">
            <v>16.853830782160866</v>
          </cell>
          <cell r="BG1362">
            <v>17.429620749261797</v>
          </cell>
          <cell r="BH1362">
            <v>16.109902701379674</v>
          </cell>
          <cell r="BI1362">
            <v>13.839355674417275</v>
          </cell>
          <cell r="BJ1362">
            <v>18.380449728342072</v>
          </cell>
          <cell r="BU1362">
            <v>9.9691337152949959</v>
          </cell>
          <cell r="BV1362">
            <v>11.522967903511651</v>
          </cell>
          <cell r="BW1362">
            <v>10.055977276238897</v>
          </cell>
          <cell r="BX1362">
            <v>8.6149332270911767</v>
          </cell>
          <cell r="BY1362">
            <v>11.497021325386617</v>
          </cell>
        </row>
        <row r="1363">
          <cell r="A1363">
            <v>41345</v>
          </cell>
          <cell r="BF1363">
            <v>16.96559359464969</v>
          </cell>
          <cell r="BG1363">
            <v>17.429620749261797</v>
          </cell>
          <cell r="BH1363">
            <v>16.109902701379674</v>
          </cell>
          <cell r="BI1363">
            <v>13.839355674417275</v>
          </cell>
          <cell r="BJ1363">
            <v>18.380449728342072</v>
          </cell>
          <cell r="BU1363">
            <v>10.030598074996403</v>
          </cell>
          <cell r="BV1363">
            <v>11.522967903511651</v>
          </cell>
          <cell r="BW1363">
            <v>10.055977276238897</v>
          </cell>
          <cell r="BX1363">
            <v>8.6149332270911767</v>
          </cell>
          <cell r="BY1363">
            <v>11.497021325386617</v>
          </cell>
        </row>
        <row r="1364">
          <cell r="A1364">
            <v>41346</v>
          </cell>
          <cell r="BF1364">
            <v>16.702827848986029</v>
          </cell>
          <cell r="BG1364">
            <v>17.429620749261797</v>
          </cell>
          <cell r="BH1364">
            <v>16.109902701379674</v>
          </cell>
          <cell r="BI1364">
            <v>13.839355674417275</v>
          </cell>
          <cell r="BJ1364">
            <v>18.380449728342072</v>
          </cell>
          <cell r="BU1364">
            <v>9.9180424204726378</v>
          </cell>
          <cell r="BV1364">
            <v>11.522967903511651</v>
          </cell>
          <cell r="BW1364">
            <v>10.055977276238897</v>
          </cell>
          <cell r="BX1364">
            <v>8.6149332270911767</v>
          </cell>
          <cell r="BY1364">
            <v>11.497021325386617</v>
          </cell>
        </row>
        <row r="1365">
          <cell r="A1365">
            <v>41347</v>
          </cell>
          <cell r="BF1365">
            <v>16.920088768417557</v>
          </cell>
          <cell r="BG1365">
            <v>17.429620749261797</v>
          </cell>
          <cell r="BH1365">
            <v>16.109902701379674</v>
          </cell>
          <cell r="BI1365">
            <v>13.839355674417275</v>
          </cell>
          <cell r="BJ1365">
            <v>18.380449728342072</v>
          </cell>
          <cell r="BU1365">
            <v>10.037981447939453</v>
          </cell>
          <cell r="BV1365">
            <v>11.522967903511651</v>
          </cell>
          <cell r="BW1365">
            <v>10.055977276238897</v>
          </cell>
          <cell r="BX1365">
            <v>8.6149332270911767</v>
          </cell>
          <cell r="BY1365">
            <v>11.497021325386617</v>
          </cell>
        </row>
        <row r="1366">
          <cell r="A1366">
            <v>41348</v>
          </cell>
          <cell r="BF1366">
            <v>17.044239955543638</v>
          </cell>
          <cell r="BG1366">
            <v>17.429620749261797</v>
          </cell>
          <cell r="BH1366">
            <v>16.109902701379674</v>
          </cell>
          <cell r="BI1366">
            <v>13.839355674417275</v>
          </cell>
          <cell r="BJ1366">
            <v>18.380449728342072</v>
          </cell>
          <cell r="BU1366">
            <v>10.106519189019233</v>
          </cell>
          <cell r="BV1366">
            <v>11.522967903511651</v>
          </cell>
          <cell r="BW1366">
            <v>10.055977276238897</v>
          </cell>
          <cell r="BX1366">
            <v>8.6149332270911767</v>
          </cell>
          <cell r="BY1366">
            <v>11.497021325386617</v>
          </cell>
        </row>
        <row r="1367">
          <cell r="A1367">
            <v>41351</v>
          </cell>
          <cell r="BF1367">
            <v>17.066411219761957</v>
          </cell>
          <cell r="BG1367">
            <v>17.429620749261797</v>
          </cell>
          <cell r="BH1367">
            <v>16.109902701379674</v>
          </cell>
          <cell r="BI1367">
            <v>13.839355674417275</v>
          </cell>
          <cell r="BJ1367">
            <v>18.380449728342072</v>
          </cell>
          <cell r="BU1367">
            <v>10.118758849400921</v>
          </cell>
          <cell r="BV1367">
            <v>11.522967903511651</v>
          </cell>
          <cell r="BW1367">
            <v>10.055977276238897</v>
          </cell>
          <cell r="BX1367">
            <v>8.6149332270911767</v>
          </cell>
          <cell r="BY1367">
            <v>11.497021325386617</v>
          </cell>
        </row>
        <row r="1368">
          <cell r="A1368">
            <v>41352</v>
          </cell>
          <cell r="BF1368">
            <v>17.088582483980275</v>
          </cell>
          <cell r="BG1368">
            <v>17.429620749261797</v>
          </cell>
          <cell r="BH1368">
            <v>16.109902701379674</v>
          </cell>
          <cell r="BI1368">
            <v>13.839355674417275</v>
          </cell>
          <cell r="BJ1368">
            <v>18.380449728342072</v>
          </cell>
          <cell r="BU1368">
            <v>10.130998509782607</v>
          </cell>
          <cell r="BV1368">
            <v>11.522967903511651</v>
          </cell>
          <cell r="BW1368">
            <v>10.055977276238897</v>
          </cell>
          <cell r="BX1368">
            <v>8.6149332270911767</v>
          </cell>
          <cell r="BY1368">
            <v>11.497021325386617</v>
          </cell>
        </row>
        <row r="1369">
          <cell r="A1369">
            <v>41353</v>
          </cell>
          <cell r="BF1369">
            <v>17.230466514533415</v>
          </cell>
          <cell r="BG1369">
            <v>17.429620749261797</v>
          </cell>
          <cell r="BH1369">
            <v>16.109902701379674</v>
          </cell>
          <cell r="BI1369">
            <v>13.839355674417275</v>
          </cell>
          <cell r="BJ1369">
            <v>18.380449728342072</v>
          </cell>
          <cell r="BU1369">
            <v>10.209325678249643</v>
          </cell>
          <cell r="BV1369">
            <v>11.522967903511651</v>
          </cell>
          <cell r="BW1369">
            <v>10.055977276238897</v>
          </cell>
          <cell r="BX1369">
            <v>8.6149332270911767</v>
          </cell>
          <cell r="BY1369">
            <v>11.497021325386617</v>
          </cell>
        </row>
        <row r="1370">
          <cell r="A1370">
            <v>41354</v>
          </cell>
          <cell r="BF1370">
            <v>17.199432154091671</v>
          </cell>
          <cell r="BG1370">
            <v>17.429620749261797</v>
          </cell>
          <cell r="BH1370">
            <v>16.109902701379674</v>
          </cell>
          <cell r="BI1370">
            <v>13.839355674417275</v>
          </cell>
          <cell r="BJ1370">
            <v>18.380449728342072</v>
          </cell>
          <cell r="BU1370">
            <v>10.192193140013233</v>
          </cell>
          <cell r="BV1370">
            <v>11.522967903511651</v>
          </cell>
          <cell r="BW1370">
            <v>10.055977276238897</v>
          </cell>
          <cell r="BX1370">
            <v>8.6149332270911767</v>
          </cell>
          <cell r="BY1370">
            <v>11.497021325386617</v>
          </cell>
        </row>
        <row r="1371">
          <cell r="A1371">
            <v>41355</v>
          </cell>
          <cell r="BF1371">
            <v>17.199432154091671</v>
          </cell>
          <cell r="BG1371">
            <v>17.429620749261797</v>
          </cell>
          <cell r="BH1371">
            <v>16.109902701379674</v>
          </cell>
          <cell r="BI1371">
            <v>13.839355674417275</v>
          </cell>
          <cell r="BJ1371">
            <v>18.380449728342072</v>
          </cell>
          <cell r="BU1371">
            <v>10.192193140013233</v>
          </cell>
          <cell r="BV1371">
            <v>11.522967903511651</v>
          </cell>
          <cell r="BW1371">
            <v>10.055977276238897</v>
          </cell>
          <cell r="BX1371">
            <v>8.6149332270911767</v>
          </cell>
          <cell r="BY1371">
            <v>11.497021325386617</v>
          </cell>
        </row>
        <row r="1372">
          <cell r="A1372">
            <v>41358</v>
          </cell>
          <cell r="BF1372">
            <v>17.048677932936219</v>
          </cell>
          <cell r="BG1372">
            <v>17.429620749261797</v>
          </cell>
          <cell r="BH1372">
            <v>16.109902701379674</v>
          </cell>
          <cell r="BI1372">
            <v>13.839355674417275</v>
          </cell>
          <cell r="BJ1372">
            <v>18.380449728342072</v>
          </cell>
          <cell r="BU1372">
            <v>10.108969177235148</v>
          </cell>
          <cell r="BV1372">
            <v>11.522967903511651</v>
          </cell>
          <cell r="BW1372">
            <v>10.055977276238897</v>
          </cell>
          <cell r="BX1372">
            <v>8.6149332270911767</v>
          </cell>
          <cell r="BY1372">
            <v>11.497021325386617</v>
          </cell>
        </row>
        <row r="1373">
          <cell r="A1373">
            <v>41359</v>
          </cell>
          <cell r="BF1373">
            <v>17.146226529431601</v>
          </cell>
          <cell r="BG1373">
            <v>17.429620749261797</v>
          </cell>
          <cell r="BH1373">
            <v>16.109902701379674</v>
          </cell>
          <cell r="BI1373">
            <v>13.839355674417275</v>
          </cell>
          <cell r="BJ1373">
            <v>18.380449728342072</v>
          </cell>
          <cell r="BU1373">
            <v>10.175417222820107</v>
          </cell>
          <cell r="BV1373">
            <v>11.522967903511651</v>
          </cell>
          <cell r="BW1373">
            <v>10.055977276238897</v>
          </cell>
          <cell r="BX1373">
            <v>8.6149332270911767</v>
          </cell>
          <cell r="BY1373">
            <v>11.497021325386617</v>
          </cell>
        </row>
        <row r="1374">
          <cell r="A1374">
            <v>41360</v>
          </cell>
          <cell r="BF1374">
            <v>17.252637778751737</v>
          </cell>
          <cell r="BG1374">
            <v>17.429620749261797</v>
          </cell>
          <cell r="BH1374">
            <v>16.109902701379674</v>
          </cell>
          <cell r="BI1374">
            <v>13.839355674417275</v>
          </cell>
          <cell r="BJ1374">
            <v>18.380449728342072</v>
          </cell>
          <cell r="BU1374">
            <v>10.234234430643436</v>
          </cell>
          <cell r="BV1374">
            <v>11.522967903511651</v>
          </cell>
          <cell r="BW1374">
            <v>10.055977276238897</v>
          </cell>
          <cell r="BX1374">
            <v>8.6149332270911767</v>
          </cell>
          <cell r="BY1374">
            <v>11.497021325386617</v>
          </cell>
        </row>
        <row r="1375">
          <cell r="A1375">
            <v>41361</v>
          </cell>
          <cell r="BF1375">
            <v>17.168390699271036</v>
          </cell>
          <cell r="BG1375">
            <v>17.429620749261797</v>
          </cell>
          <cell r="BH1375">
            <v>16.109902701379674</v>
          </cell>
          <cell r="BI1375">
            <v>13.839355674417275</v>
          </cell>
          <cell r="BJ1375">
            <v>18.380449728342072</v>
          </cell>
          <cell r="BU1375">
            <v>10.18766813230577</v>
          </cell>
          <cell r="BV1375">
            <v>11.522967903511651</v>
          </cell>
          <cell r="BW1375">
            <v>10.055977276238897</v>
          </cell>
          <cell r="BX1375">
            <v>8.6149332270911767</v>
          </cell>
          <cell r="BY1375">
            <v>11.497021325386617</v>
          </cell>
        </row>
        <row r="1376">
          <cell r="A1376">
            <v>41362</v>
          </cell>
          <cell r="BF1376">
            <v>17.165677366865665</v>
          </cell>
          <cell r="BG1376">
            <v>17.429620749261797</v>
          </cell>
          <cell r="BH1376">
            <v>16.109902701379674</v>
          </cell>
          <cell r="BI1376">
            <v>13.839355674417275</v>
          </cell>
          <cell r="BJ1376">
            <v>18.380449728342072</v>
          </cell>
          <cell r="BU1376">
            <v>10.189665388131351</v>
          </cell>
          <cell r="BV1376">
            <v>11.522967903511651</v>
          </cell>
          <cell r="BW1376">
            <v>10.055977276238897</v>
          </cell>
          <cell r="BX1376">
            <v>8.6149332270911767</v>
          </cell>
          <cell r="BY1376">
            <v>11.497021325386617</v>
          </cell>
        </row>
        <row r="1377">
          <cell r="A1377">
            <v>41365</v>
          </cell>
          <cell r="BF1377">
            <v>17.214494378699989</v>
          </cell>
          <cell r="BG1377">
            <v>17.429620749261797</v>
          </cell>
          <cell r="BH1377">
            <v>16.109902701379674</v>
          </cell>
          <cell r="BI1377">
            <v>13.839355674417275</v>
          </cell>
          <cell r="BJ1377">
            <v>18.380449728342072</v>
          </cell>
          <cell r="BU1377">
            <v>10.216655896271833</v>
          </cell>
          <cell r="BV1377">
            <v>11.522967903511651</v>
          </cell>
          <cell r="BW1377">
            <v>10.055977276238897</v>
          </cell>
          <cell r="BX1377">
            <v>8.6149332270911767</v>
          </cell>
          <cell r="BY1377">
            <v>11.497021325386617</v>
          </cell>
        </row>
        <row r="1378">
          <cell r="A1378">
            <v>41366</v>
          </cell>
          <cell r="BF1378">
            <v>17.409761538463322</v>
          </cell>
          <cell r="BG1378">
            <v>17.429620749261797</v>
          </cell>
          <cell r="BH1378">
            <v>16.109902701379674</v>
          </cell>
          <cell r="BI1378">
            <v>13.839355674417275</v>
          </cell>
          <cell r="BJ1378">
            <v>18.380449728342072</v>
          </cell>
          <cell r="BU1378">
            <v>10.362579308777182</v>
          </cell>
          <cell r="BV1378">
            <v>11.522967903511651</v>
          </cell>
          <cell r="BW1378">
            <v>10.055977276238897</v>
          </cell>
          <cell r="BX1378">
            <v>8.6149332270911767</v>
          </cell>
          <cell r="BY1378">
            <v>11.497021325386617</v>
          </cell>
        </row>
        <row r="1379">
          <cell r="A1379">
            <v>41367</v>
          </cell>
          <cell r="BF1379">
            <v>17.352517505466146</v>
          </cell>
          <cell r="BG1379">
            <v>17.429620749261797</v>
          </cell>
          <cell r="BH1379">
            <v>16.109902701379674</v>
          </cell>
          <cell r="BI1379">
            <v>13.839355674417275</v>
          </cell>
          <cell r="BJ1379">
            <v>18.380449728342072</v>
          </cell>
          <cell r="BU1379">
            <v>10.339239745509028</v>
          </cell>
          <cell r="BV1379">
            <v>11.522967903511651</v>
          </cell>
          <cell r="BW1379">
            <v>10.055977276238897</v>
          </cell>
          <cell r="BX1379">
            <v>8.6149332270911767</v>
          </cell>
          <cell r="BY1379">
            <v>11.497021325386617</v>
          </cell>
        </row>
        <row r="1380">
          <cell r="A1380">
            <v>41368</v>
          </cell>
          <cell r="BF1380">
            <v>17.67110862224693</v>
          </cell>
          <cell r="BG1380">
            <v>17.429620749261797</v>
          </cell>
          <cell r="BH1380">
            <v>16.109902701379674</v>
          </cell>
          <cell r="BI1380">
            <v>13.839355674417275</v>
          </cell>
          <cell r="BJ1380">
            <v>18.380449728342072</v>
          </cell>
          <cell r="BU1380">
            <v>10.303471304534259</v>
          </cell>
          <cell r="BV1380">
            <v>11.522967903511651</v>
          </cell>
          <cell r="BW1380">
            <v>10.055977276238897</v>
          </cell>
          <cell r="BX1380">
            <v>8.6149332270911767</v>
          </cell>
          <cell r="BY1380">
            <v>11.497021325386617</v>
          </cell>
        </row>
        <row r="1381">
          <cell r="A1381">
            <v>41369</v>
          </cell>
          <cell r="BF1381">
            <v>17.784544760611773</v>
          </cell>
          <cell r="BG1381">
            <v>17.429620749261797</v>
          </cell>
          <cell r="BH1381">
            <v>16.109902701379674</v>
          </cell>
          <cell r="BI1381">
            <v>13.839355674417275</v>
          </cell>
          <cell r="BJ1381">
            <v>18.380449728342072</v>
          </cell>
          <cell r="BU1381">
            <v>10.267052717480825</v>
          </cell>
          <cell r="BV1381">
            <v>11.522967903511651</v>
          </cell>
          <cell r="BW1381">
            <v>10.055977276238897</v>
          </cell>
          <cell r="BX1381">
            <v>8.6149332270911767</v>
          </cell>
          <cell r="BY1381">
            <v>11.497021325386617</v>
          </cell>
        </row>
        <row r="1382">
          <cell r="A1382">
            <v>41372</v>
          </cell>
          <cell r="BF1382">
            <v>17.784544760611773</v>
          </cell>
          <cell r="BG1382">
            <v>17.429620749261797</v>
          </cell>
          <cell r="BH1382">
            <v>16.109902701379674</v>
          </cell>
          <cell r="BI1382">
            <v>13.839355674417275</v>
          </cell>
          <cell r="BJ1382">
            <v>18.380449728342072</v>
          </cell>
          <cell r="BU1382">
            <v>10.256196629398859</v>
          </cell>
          <cell r="BV1382">
            <v>11.522967903511651</v>
          </cell>
          <cell r="BW1382">
            <v>10.055977276238897</v>
          </cell>
          <cell r="BX1382">
            <v>8.6149332270911767</v>
          </cell>
          <cell r="BY1382">
            <v>11.497021325386617</v>
          </cell>
        </row>
        <row r="1383">
          <cell r="A1383">
            <v>41373</v>
          </cell>
          <cell r="BF1383">
            <v>18.044721823776413</v>
          </cell>
          <cell r="BG1383">
            <v>17.429620749261797</v>
          </cell>
          <cell r="BH1383">
            <v>16.109902701379674</v>
          </cell>
          <cell r="BI1383">
            <v>13.839355674417275</v>
          </cell>
          <cell r="BJ1383">
            <v>18.380449728342072</v>
          </cell>
          <cell r="BU1383">
            <v>10.373832379463265</v>
          </cell>
          <cell r="BV1383">
            <v>11.522967903511651</v>
          </cell>
          <cell r="BW1383">
            <v>10.055977276238897</v>
          </cell>
          <cell r="BX1383">
            <v>8.6149332270911767</v>
          </cell>
          <cell r="BY1383">
            <v>11.497021325386617</v>
          </cell>
        </row>
        <row r="1384">
          <cell r="A1384">
            <v>41374</v>
          </cell>
          <cell r="BF1384">
            <v>17.694734190699386</v>
          </cell>
          <cell r="BG1384">
            <v>17.429620749261797</v>
          </cell>
          <cell r="BH1384">
            <v>16.109902701379674</v>
          </cell>
          <cell r="BI1384">
            <v>13.839355674417275</v>
          </cell>
          <cell r="BJ1384">
            <v>18.380449728342072</v>
          </cell>
          <cell r="BU1384">
            <v>10.18259306060588</v>
          </cell>
          <cell r="BV1384">
            <v>11.522967903511651</v>
          </cell>
          <cell r="BW1384">
            <v>10.055977276238897</v>
          </cell>
          <cell r="BX1384">
            <v>8.6149332270911767</v>
          </cell>
          <cell r="BY1384">
            <v>11.497021325386617</v>
          </cell>
        </row>
        <row r="1385">
          <cell r="A1385">
            <v>41375</v>
          </cell>
          <cell r="BF1385">
            <v>17.762910518401259</v>
          </cell>
          <cell r="BG1385">
            <v>17.429620749261797</v>
          </cell>
          <cell r="BH1385">
            <v>16.109902701379674</v>
          </cell>
          <cell r="BI1385">
            <v>13.839355674417275</v>
          </cell>
          <cell r="BJ1385">
            <v>18.380449728342072</v>
          </cell>
          <cell r="BU1385">
            <v>10.219845789673123</v>
          </cell>
          <cell r="BV1385">
            <v>11.522967903511651</v>
          </cell>
          <cell r="BW1385">
            <v>10.055977276238897</v>
          </cell>
          <cell r="BX1385">
            <v>8.6149332270911767</v>
          </cell>
          <cell r="BY1385">
            <v>11.497021325386617</v>
          </cell>
        </row>
        <row r="1386">
          <cell r="A1386">
            <v>41376</v>
          </cell>
          <cell r="BF1386">
            <v>17.762910518401259</v>
          </cell>
          <cell r="BG1386">
            <v>17.429620749261797</v>
          </cell>
          <cell r="BH1386">
            <v>16.109902701379674</v>
          </cell>
          <cell r="BI1386">
            <v>13.839355674417275</v>
          </cell>
          <cell r="BJ1386">
            <v>18.380449728342072</v>
          </cell>
          <cell r="BU1386">
            <v>10.219845789673123</v>
          </cell>
          <cell r="BV1386">
            <v>11.522967903511651</v>
          </cell>
          <cell r="BW1386">
            <v>10.055977276238897</v>
          </cell>
          <cell r="BX1386">
            <v>8.6149332270911767</v>
          </cell>
          <cell r="BY1386">
            <v>11.497021325386617</v>
          </cell>
        </row>
        <row r="1387">
          <cell r="A1387">
            <v>41379</v>
          </cell>
          <cell r="BF1387">
            <v>17.683599258863008</v>
          </cell>
          <cell r="BG1387">
            <v>17.429620749261797</v>
          </cell>
          <cell r="BH1387">
            <v>16.109902701379674</v>
          </cell>
          <cell r="BI1387">
            <v>13.839355674417275</v>
          </cell>
          <cell r="BJ1387">
            <v>18.380449728342072</v>
          </cell>
          <cell r="BU1387">
            <v>10.210633181460429</v>
          </cell>
          <cell r="BV1387">
            <v>11.522967903511651</v>
          </cell>
          <cell r="BW1387">
            <v>10.055977276238897</v>
          </cell>
          <cell r="BX1387">
            <v>8.6149332270911767</v>
          </cell>
          <cell r="BY1387">
            <v>11.497021325386617</v>
          </cell>
        </row>
        <row r="1388">
          <cell r="A1388">
            <v>41380</v>
          </cell>
          <cell r="BF1388">
            <v>17.584379408969923</v>
          </cell>
          <cell r="BG1388">
            <v>17.429620749261797</v>
          </cell>
          <cell r="BH1388">
            <v>16.109902701379674</v>
          </cell>
          <cell r="BI1388">
            <v>13.839355674417275</v>
          </cell>
          <cell r="BJ1388">
            <v>18.380449728342072</v>
          </cell>
          <cell r="BU1388">
            <v>10.156214594415344</v>
          </cell>
          <cell r="BV1388">
            <v>11.522967903511651</v>
          </cell>
          <cell r="BW1388">
            <v>10.055977276238897</v>
          </cell>
          <cell r="BX1388">
            <v>8.6149332270911767</v>
          </cell>
          <cell r="BY1388">
            <v>11.497021325386617</v>
          </cell>
        </row>
        <row r="1389">
          <cell r="A1389">
            <v>41381</v>
          </cell>
          <cell r="BF1389">
            <v>17.318292374013847</v>
          </cell>
          <cell r="BG1389">
            <v>17.429620749261797</v>
          </cell>
          <cell r="BH1389">
            <v>16.109902701379674</v>
          </cell>
          <cell r="BI1389">
            <v>13.839355674417275</v>
          </cell>
          <cell r="BJ1389">
            <v>18.380449728342072</v>
          </cell>
          <cell r="BU1389">
            <v>10.010275243681305</v>
          </cell>
          <cell r="BV1389">
            <v>11.522967903511651</v>
          </cell>
          <cell r="BW1389">
            <v>10.055977276238897</v>
          </cell>
          <cell r="BX1389">
            <v>8.6149332270911767</v>
          </cell>
          <cell r="BY1389">
            <v>11.497021325386617</v>
          </cell>
        </row>
        <row r="1390">
          <cell r="A1390">
            <v>41382</v>
          </cell>
          <cell r="BF1390">
            <v>17.322800091704593</v>
          </cell>
          <cell r="BG1390">
            <v>17.429620749261797</v>
          </cell>
          <cell r="BH1390">
            <v>16.109902701379674</v>
          </cell>
          <cell r="BI1390">
            <v>13.839355674417275</v>
          </cell>
          <cell r="BJ1390">
            <v>18.380449728342072</v>
          </cell>
          <cell r="BU1390">
            <v>10.012747567795815</v>
          </cell>
          <cell r="BV1390">
            <v>11.522967903511651</v>
          </cell>
          <cell r="BW1390">
            <v>10.055977276238897</v>
          </cell>
          <cell r="BX1390">
            <v>8.6149332270911767</v>
          </cell>
          <cell r="BY1390">
            <v>11.497021325386617</v>
          </cell>
        </row>
        <row r="1391">
          <cell r="A1391">
            <v>41383</v>
          </cell>
          <cell r="BF1391">
            <v>17.579871691279177</v>
          </cell>
          <cell r="BG1391">
            <v>17.429620749261797</v>
          </cell>
          <cell r="BH1391">
            <v>16.109902701379674</v>
          </cell>
          <cell r="BI1391">
            <v>13.839355674417275</v>
          </cell>
          <cell r="BJ1391">
            <v>18.380449728342072</v>
          </cell>
          <cell r="BU1391">
            <v>10.153742270300837</v>
          </cell>
          <cell r="BV1391">
            <v>11.522967903511651</v>
          </cell>
          <cell r="BW1391">
            <v>10.055977276238897</v>
          </cell>
          <cell r="BX1391">
            <v>8.6149332270911767</v>
          </cell>
          <cell r="BY1391">
            <v>11.497021325386617</v>
          </cell>
        </row>
        <row r="1392">
          <cell r="A1392">
            <v>41386</v>
          </cell>
          <cell r="BF1392">
            <v>17.697128725896992</v>
          </cell>
          <cell r="BG1392">
            <v>17.429620749261797</v>
          </cell>
          <cell r="BH1392">
            <v>16.109902701379674</v>
          </cell>
          <cell r="BI1392">
            <v>13.839355674417275</v>
          </cell>
          <cell r="BJ1392">
            <v>18.380449728342072</v>
          </cell>
          <cell r="BU1392">
            <v>10.218053616789204</v>
          </cell>
          <cell r="BV1392">
            <v>11.522967903511651</v>
          </cell>
          <cell r="BW1392">
            <v>10.055977276238897</v>
          </cell>
          <cell r="BX1392">
            <v>8.6149332270911767</v>
          </cell>
          <cell r="BY1392">
            <v>11.497021325386617</v>
          </cell>
        </row>
        <row r="1393">
          <cell r="A1393">
            <v>41387</v>
          </cell>
          <cell r="BF1393">
            <v>17.620460092381116</v>
          </cell>
          <cell r="BG1393">
            <v>17.429620749261797</v>
          </cell>
          <cell r="BH1393">
            <v>16.109902701379674</v>
          </cell>
          <cell r="BI1393">
            <v>13.839355674417275</v>
          </cell>
          <cell r="BJ1393">
            <v>18.380449728342072</v>
          </cell>
          <cell r="BU1393">
            <v>10.176003576287158</v>
          </cell>
          <cell r="BV1393">
            <v>11.522967903511651</v>
          </cell>
          <cell r="BW1393">
            <v>10.055977276238897</v>
          </cell>
          <cell r="BX1393">
            <v>8.6149332270911767</v>
          </cell>
          <cell r="BY1393">
            <v>11.497021325386617</v>
          </cell>
        </row>
        <row r="1394">
          <cell r="A1394">
            <v>41388</v>
          </cell>
          <cell r="BF1394">
            <v>17.491339442211885</v>
          </cell>
          <cell r="BG1394">
            <v>17.429620749261797</v>
          </cell>
          <cell r="BH1394">
            <v>16.109902701379674</v>
          </cell>
          <cell r="BI1394">
            <v>13.839355674417275</v>
          </cell>
          <cell r="BJ1394">
            <v>18.380449728342072</v>
          </cell>
          <cell r="BU1394">
            <v>10.141597864847684</v>
          </cell>
          <cell r="BV1394">
            <v>11.522967903511651</v>
          </cell>
          <cell r="BW1394">
            <v>10.055977276238897</v>
          </cell>
          <cell r="BX1394">
            <v>8.6149332270911767</v>
          </cell>
          <cell r="BY1394">
            <v>11.497021325386617</v>
          </cell>
        </row>
        <row r="1395">
          <cell r="A1395">
            <v>41389</v>
          </cell>
          <cell r="BF1395">
            <v>17.671543601890441</v>
          </cell>
          <cell r="BG1395">
            <v>17.429620749261797</v>
          </cell>
          <cell r="BH1395">
            <v>16.109902701379674</v>
          </cell>
          <cell r="BI1395">
            <v>13.839355674417275</v>
          </cell>
          <cell r="BJ1395">
            <v>18.380449728342072</v>
          </cell>
          <cell r="BU1395">
            <v>10.236192402652438</v>
          </cell>
          <cell r="BV1395">
            <v>11.522967903511651</v>
          </cell>
          <cell r="BW1395">
            <v>10.055977276238897</v>
          </cell>
          <cell r="BX1395">
            <v>8.6149332270911767</v>
          </cell>
          <cell r="BY1395">
            <v>11.497021325386617</v>
          </cell>
        </row>
        <row r="1396">
          <cell r="A1396">
            <v>41390</v>
          </cell>
          <cell r="BF1396">
            <v>17.573779126224608</v>
          </cell>
          <cell r="BG1396">
            <v>17.429620749261797</v>
          </cell>
          <cell r="BH1396">
            <v>16.109902701379674</v>
          </cell>
          <cell r="BI1396">
            <v>13.839355674417275</v>
          </cell>
          <cell r="BJ1396">
            <v>18.380449728342072</v>
          </cell>
          <cell r="BU1396">
            <v>10.164001487121689</v>
          </cell>
          <cell r="BV1396">
            <v>11.522967903511651</v>
          </cell>
          <cell r="BW1396">
            <v>10.055977276238897</v>
          </cell>
          <cell r="BX1396">
            <v>8.6149332270911767</v>
          </cell>
          <cell r="BY1396">
            <v>11.497021325386617</v>
          </cell>
        </row>
        <row r="1397">
          <cell r="A1397">
            <v>41393</v>
          </cell>
          <cell r="BF1397">
            <v>17.85745096714783</v>
          </cell>
          <cell r="BG1397">
            <v>17.429620749261797</v>
          </cell>
          <cell r="BH1397">
            <v>16.109902701379674</v>
          </cell>
          <cell r="BI1397">
            <v>13.839355674417275</v>
          </cell>
          <cell r="BJ1397">
            <v>18.380449728342072</v>
          </cell>
          <cell r="BU1397">
            <v>10.346829520351104</v>
          </cell>
          <cell r="BV1397">
            <v>11.522967903511651</v>
          </cell>
          <cell r="BW1397">
            <v>10.055977276238897</v>
          </cell>
          <cell r="BX1397">
            <v>8.6149332270911767</v>
          </cell>
          <cell r="BY1397">
            <v>11.497021325386617</v>
          </cell>
        </row>
        <row r="1398">
          <cell r="A1398">
            <v>41394</v>
          </cell>
          <cell r="BF1398">
            <v>17.798242643081249</v>
          </cell>
          <cell r="BG1398">
            <v>17.429620749261797</v>
          </cell>
          <cell r="BH1398">
            <v>16.109902701379674</v>
          </cell>
          <cell r="BI1398">
            <v>13.839355674417275</v>
          </cell>
          <cell r="BJ1398">
            <v>18.380449728342072</v>
          </cell>
          <cell r="BU1398">
            <v>10.314243053048719</v>
          </cell>
          <cell r="BV1398">
            <v>11.522967903511651</v>
          </cell>
          <cell r="BW1398">
            <v>10.055977276238897</v>
          </cell>
          <cell r="BX1398">
            <v>8.6149332270911767</v>
          </cell>
          <cell r="BY1398">
            <v>11.497021325386617</v>
          </cell>
        </row>
        <row r="1399">
          <cell r="A1399">
            <v>41395</v>
          </cell>
          <cell r="BF1399">
            <v>17.447565682658936</v>
          </cell>
          <cell r="BG1399">
            <v>17.429620749261797</v>
          </cell>
          <cell r="BH1399">
            <v>16.109902701379674</v>
          </cell>
          <cell r="BI1399">
            <v>13.839355674417275</v>
          </cell>
          <cell r="BJ1399">
            <v>18.380449728342072</v>
          </cell>
          <cell r="BU1399">
            <v>10.121241081034574</v>
          </cell>
          <cell r="BV1399">
            <v>11.522967903511651</v>
          </cell>
          <cell r="BW1399">
            <v>10.055977276238897</v>
          </cell>
          <cell r="BX1399">
            <v>8.6149332270911767</v>
          </cell>
          <cell r="BY1399">
            <v>11.497021325386617</v>
          </cell>
        </row>
        <row r="1400">
          <cell r="A1400">
            <v>41396</v>
          </cell>
          <cell r="BF1400">
            <v>16.992134552574854</v>
          </cell>
          <cell r="BG1400">
            <v>17.429620749261797</v>
          </cell>
          <cell r="BH1400">
            <v>16.109902701379674</v>
          </cell>
          <cell r="BI1400">
            <v>13.839355674417275</v>
          </cell>
          <cell r="BJ1400">
            <v>18.380449728342072</v>
          </cell>
          <cell r="BU1400">
            <v>9.8705855885351443</v>
          </cell>
          <cell r="BV1400">
            <v>11.522967903511651</v>
          </cell>
          <cell r="BW1400">
            <v>10.055977276238897</v>
          </cell>
          <cell r="BX1400">
            <v>8.6149332270911767</v>
          </cell>
          <cell r="BY1400">
            <v>11.497021325386617</v>
          </cell>
        </row>
        <row r="1401">
          <cell r="A1401">
            <v>41397</v>
          </cell>
          <cell r="BF1401">
            <v>17.042232432315231</v>
          </cell>
          <cell r="BG1401">
            <v>17.429620749261797</v>
          </cell>
          <cell r="BH1401">
            <v>16.109902701379674</v>
          </cell>
          <cell r="BI1401">
            <v>13.839355674417275</v>
          </cell>
          <cell r="BJ1401">
            <v>18.380449728342072</v>
          </cell>
          <cell r="BU1401">
            <v>9.8981579433655771</v>
          </cell>
          <cell r="BV1401">
            <v>11.522967903511651</v>
          </cell>
          <cell r="BW1401">
            <v>10.055977276238897</v>
          </cell>
          <cell r="BX1401">
            <v>8.6149332270911767</v>
          </cell>
          <cell r="BY1401">
            <v>11.497021325386617</v>
          </cell>
        </row>
        <row r="1402">
          <cell r="A1402">
            <v>41400</v>
          </cell>
          <cell r="BF1402">
            <v>16.960251185451057</v>
          </cell>
          <cell r="BG1402">
            <v>17.429620749261797</v>
          </cell>
          <cell r="BH1402">
            <v>16.109902701379674</v>
          </cell>
          <cell r="BI1402">
            <v>13.839355674417275</v>
          </cell>
          <cell r="BJ1402">
            <v>18.380449728342072</v>
          </cell>
          <cell r="BU1402">
            <v>9.8530379494717391</v>
          </cell>
          <cell r="BV1402">
            <v>11.522967903511651</v>
          </cell>
          <cell r="BW1402">
            <v>10.055977276238897</v>
          </cell>
          <cell r="BX1402">
            <v>8.6149332270911767</v>
          </cell>
          <cell r="BY1402">
            <v>11.497021325386617</v>
          </cell>
        </row>
        <row r="1403">
          <cell r="A1403">
            <v>41401</v>
          </cell>
          <cell r="BF1403">
            <v>16.98757568696271</v>
          </cell>
          <cell r="BG1403">
            <v>17.429620749261797</v>
          </cell>
          <cell r="BH1403">
            <v>16.109902701379674</v>
          </cell>
          <cell r="BI1403">
            <v>13.839355674417275</v>
          </cell>
          <cell r="BJ1403">
            <v>18.380449728342072</v>
          </cell>
          <cell r="BU1403">
            <v>9.8680765270552264</v>
          </cell>
          <cell r="BV1403">
            <v>11.522967903511651</v>
          </cell>
          <cell r="BW1403">
            <v>10.055977276238897</v>
          </cell>
          <cell r="BX1403">
            <v>8.6149332270911767</v>
          </cell>
          <cell r="BY1403">
            <v>11.497021325386617</v>
          </cell>
        </row>
        <row r="1404">
          <cell r="A1404">
            <v>41402</v>
          </cell>
          <cell r="BF1404">
            <v>16.942036672834476</v>
          </cell>
          <cell r="BG1404">
            <v>17.429620749261797</v>
          </cell>
          <cell r="BH1404">
            <v>16.109902701379674</v>
          </cell>
          <cell r="BI1404">
            <v>13.839355674417275</v>
          </cell>
          <cell r="BJ1404">
            <v>18.380449728342072</v>
          </cell>
          <cell r="BU1404">
            <v>9.7495644691315313</v>
          </cell>
          <cell r="BV1404">
            <v>11.522967903511651</v>
          </cell>
          <cell r="BW1404">
            <v>10.055977276238897</v>
          </cell>
          <cell r="BX1404">
            <v>8.6149332270911767</v>
          </cell>
          <cell r="BY1404">
            <v>11.497021325386617</v>
          </cell>
        </row>
        <row r="1405">
          <cell r="A1405">
            <v>41403</v>
          </cell>
          <cell r="BF1405">
            <v>17.115095947955126</v>
          </cell>
          <cell r="BG1405">
            <v>17.429620749261797</v>
          </cell>
          <cell r="BH1405">
            <v>16.109902701379674</v>
          </cell>
          <cell r="BI1405">
            <v>13.839355674417275</v>
          </cell>
          <cell r="BJ1405">
            <v>18.380449728342072</v>
          </cell>
          <cell r="BU1405">
            <v>9.8438564906158046</v>
          </cell>
          <cell r="BV1405">
            <v>11.522967903511651</v>
          </cell>
          <cell r="BW1405">
            <v>10.055977276238897</v>
          </cell>
          <cell r="BX1405">
            <v>8.6149332270911767</v>
          </cell>
          <cell r="BY1405">
            <v>11.497021325386617</v>
          </cell>
        </row>
        <row r="1406">
          <cell r="A1406">
            <v>41404</v>
          </cell>
          <cell r="BF1406">
            <v>17.124206392281327</v>
          </cell>
          <cell r="BG1406">
            <v>17.429620749261797</v>
          </cell>
          <cell r="BH1406">
            <v>16.109902701379674</v>
          </cell>
          <cell r="BI1406">
            <v>13.839355674417275</v>
          </cell>
          <cell r="BJ1406">
            <v>18.380449728342072</v>
          </cell>
          <cell r="BU1406">
            <v>9.8488203517641786</v>
          </cell>
          <cell r="BV1406">
            <v>11.522967903511651</v>
          </cell>
          <cell r="BW1406">
            <v>10.055977276238897</v>
          </cell>
          <cell r="BX1406">
            <v>8.6149332270911767</v>
          </cell>
          <cell r="BY1406">
            <v>11.497021325386617</v>
          </cell>
        </row>
        <row r="1407">
          <cell r="A1407">
            <v>41407</v>
          </cell>
          <cell r="BF1407">
            <v>17.046229261190685</v>
          </cell>
          <cell r="BG1407">
            <v>17.429620749261797</v>
          </cell>
          <cell r="BH1407">
            <v>16.109902701379674</v>
          </cell>
          <cell r="BI1407">
            <v>13.839355674417275</v>
          </cell>
          <cell r="BJ1407">
            <v>18.380449728342072</v>
          </cell>
          <cell r="BU1407">
            <v>9.8405438843333659</v>
          </cell>
          <cell r="BV1407">
            <v>11.522967903511651</v>
          </cell>
          <cell r="BW1407">
            <v>10.055977276238897</v>
          </cell>
          <cell r="BX1407">
            <v>8.6149332270911767</v>
          </cell>
          <cell r="BY1407">
            <v>11.497021325386617</v>
          </cell>
        </row>
        <row r="1408">
          <cell r="A1408">
            <v>41408</v>
          </cell>
          <cell r="BF1408">
            <v>17.104958112942011</v>
          </cell>
          <cell r="BG1408">
            <v>17.429620749261797</v>
          </cell>
          <cell r="BH1408">
            <v>16.109902701379674</v>
          </cell>
          <cell r="BI1408">
            <v>13.839355674417275</v>
          </cell>
          <cell r="BJ1408">
            <v>18.380449728342072</v>
          </cell>
          <cell r="BU1408">
            <v>9.872667720259388</v>
          </cell>
          <cell r="BV1408">
            <v>11.522967903511651</v>
          </cell>
          <cell r="BW1408">
            <v>10.055977276238897</v>
          </cell>
          <cell r="BX1408">
            <v>8.6149332270911767</v>
          </cell>
          <cell r="BY1408">
            <v>11.497021325386617</v>
          </cell>
        </row>
        <row r="1409">
          <cell r="A1409">
            <v>41409</v>
          </cell>
          <cell r="BF1409">
            <v>17.050744953730533</v>
          </cell>
          <cell r="BG1409">
            <v>17.429620749261797</v>
          </cell>
          <cell r="BH1409">
            <v>16.109902701379674</v>
          </cell>
          <cell r="BI1409">
            <v>13.839355674417275</v>
          </cell>
          <cell r="BJ1409">
            <v>18.380449728342072</v>
          </cell>
          <cell r="BU1409">
            <v>9.8430139031046604</v>
          </cell>
          <cell r="BV1409">
            <v>11.522967903511651</v>
          </cell>
          <cell r="BW1409">
            <v>10.055977276238897</v>
          </cell>
          <cell r="BX1409">
            <v>8.6149332270911767</v>
          </cell>
          <cell r="BY1409">
            <v>11.497021325386617</v>
          </cell>
        </row>
        <row r="1410">
          <cell r="A1410">
            <v>41410</v>
          </cell>
          <cell r="BF1410">
            <v>17.050744953730533</v>
          </cell>
          <cell r="BG1410">
            <v>17.429620749261797</v>
          </cell>
          <cell r="BH1410">
            <v>16.109902701379674</v>
          </cell>
          <cell r="BI1410">
            <v>13.839355674417275</v>
          </cell>
          <cell r="BJ1410">
            <v>18.380449728342072</v>
          </cell>
          <cell r="BU1410">
            <v>9.8430139031046604</v>
          </cell>
          <cell r="BV1410">
            <v>11.522967903511651</v>
          </cell>
          <cell r="BW1410">
            <v>10.055977276238897</v>
          </cell>
          <cell r="BX1410">
            <v>8.6149332270911767</v>
          </cell>
          <cell r="BY1410">
            <v>11.497021325386617</v>
          </cell>
        </row>
        <row r="1411">
          <cell r="A1411">
            <v>41411</v>
          </cell>
          <cell r="BF1411">
            <v>17.15465557961365</v>
          </cell>
          <cell r="BG1411">
            <v>17.429620749261797</v>
          </cell>
          <cell r="BH1411">
            <v>16.109902701379674</v>
          </cell>
          <cell r="BI1411">
            <v>13.839355674417275</v>
          </cell>
          <cell r="BJ1411">
            <v>18.380449728342072</v>
          </cell>
          <cell r="BU1411">
            <v>9.8998515186428229</v>
          </cell>
          <cell r="BV1411">
            <v>11.522967903511651</v>
          </cell>
          <cell r="BW1411">
            <v>10.055977276238897</v>
          </cell>
          <cell r="BX1411">
            <v>8.6149332270911767</v>
          </cell>
          <cell r="BY1411">
            <v>11.497021325386617</v>
          </cell>
        </row>
        <row r="1412">
          <cell r="A1412">
            <v>41414</v>
          </cell>
          <cell r="BF1412">
            <v>17.312787045225825</v>
          </cell>
          <cell r="BG1412">
            <v>17.429620749261797</v>
          </cell>
          <cell r="BH1412">
            <v>16.109902701379674</v>
          </cell>
          <cell r="BI1412">
            <v>13.839355674417275</v>
          </cell>
          <cell r="BJ1412">
            <v>18.380449728342072</v>
          </cell>
          <cell r="BU1412">
            <v>9.986347152468193</v>
          </cell>
          <cell r="BV1412">
            <v>11.522967903511651</v>
          </cell>
          <cell r="BW1412">
            <v>10.055977276238897</v>
          </cell>
          <cell r="BX1412">
            <v>8.6149332270911767</v>
          </cell>
          <cell r="BY1412">
            <v>11.497021325386617</v>
          </cell>
        </row>
        <row r="1413">
          <cell r="A1413">
            <v>41415</v>
          </cell>
          <cell r="BF1413">
            <v>17.425735833115905</v>
          </cell>
          <cell r="BG1413">
            <v>17.429620749261797</v>
          </cell>
          <cell r="BH1413">
            <v>16.109902701379674</v>
          </cell>
          <cell r="BI1413">
            <v>13.839355674417275</v>
          </cell>
          <cell r="BJ1413">
            <v>18.380449728342072</v>
          </cell>
          <cell r="BU1413">
            <v>10.048128512430543</v>
          </cell>
          <cell r="BV1413">
            <v>11.522967903511651</v>
          </cell>
          <cell r="BW1413">
            <v>10.055977276238897</v>
          </cell>
          <cell r="BX1413">
            <v>8.6149332270911767</v>
          </cell>
          <cell r="BY1413">
            <v>11.497021325386617</v>
          </cell>
        </row>
        <row r="1414">
          <cell r="A1414">
            <v>41416</v>
          </cell>
          <cell r="BF1414">
            <v>17.658066147763275</v>
          </cell>
          <cell r="BG1414">
            <v>17.429620749261797</v>
          </cell>
          <cell r="BH1414">
            <v>16.109902701379674</v>
          </cell>
          <cell r="BI1414">
            <v>13.839355674417275</v>
          </cell>
          <cell r="BJ1414">
            <v>18.380449728342072</v>
          </cell>
          <cell r="BU1414">
            <v>10.1745552516531</v>
          </cell>
          <cell r="BV1414">
            <v>11.522967903511651</v>
          </cell>
          <cell r="BW1414">
            <v>10.055977276238897</v>
          </cell>
          <cell r="BX1414">
            <v>8.6149332270911767</v>
          </cell>
          <cell r="BY1414">
            <v>11.497021325386617</v>
          </cell>
        </row>
        <row r="1415">
          <cell r="A1415">
            <v>41417</v>
          </cell>
          <cell r="BF1415">
            <v>17.754309242003966</v>
          </cell>
          <cell r="BG1415">
            <v>17.429620749261797</v>
          </cell>
          <cell r="BH1415">
            <v>16.109902701379674</v>
          </cell>
          <cell r="BI1415">
            <v>13.839355674417275</v>
          </cell>
          <cell r="BJ1415">
            <v>18.380449728342072</v>
          </cell>
          <cell r="BU1415">
            <v>10.205713683546417</v>
          </cell>
          <cell r="BV1415">
            <v>11.522967903511651</v>
          </cell>
          <cell r="BW1415">
            <v>10.055977276238897</v>
          </cell>
          <cell r="BX1415">
            <v>8.6149332270911767</v>
          </cell>
          <cell r="BY1415">
            <v>11.497021325386617</v>
          </cell>
        </row>
        <row r="1416">
          <cell r="A1416">
            <v>41418</v>
          </cell>
          <cell r="BF1416">
            <v>17.876039453529618</v>
          </cell>
          <cell r="BG1416">
            <v>17.429620749261797</v>
          </cell>
          <cell r="BH1416">
            <v>16.109902701379674</v>
          </cell>
          <cell r="BI1416">
            <v>13.839355674417275</v>
          </cell>
          <cell r="BJ1416">
            <v>18.380449728342072</v>
          </cell>
          <cell r="BU1416">
            <v>10.2017746777141</v>
          </cell>
          <cell r="BV1416">
            <v>11.522967903511651</v>
          </cell>
          <cell r="BW1416">
            <v>10.055977276238897</v>
          </cell>
          <cell r="BX1416">
            <v>8.6149332270911767</v>
          </cell>
          <cell r="BY1416">
            <v>11.497021325386617</v>
          </cell>
        </row>
        <row r="1417">
          <cell r="A1417">
            <v>41421</v>
          </cell>
          <cell r="BF1417">
            <v>17.946182157167609</v>
          </cell>
          <cell r="BG1417">
            <v>17.429620749261797</v>
          </cell>
          <cell r="BH1417">
            <v>16.109902701379674</v>
          </cell>
          <cell r="BI1417">
            <v>13.839355674417275</v>
          </cell>
          <cell r="BJ1417">
            <v>18.380449728342072</v>
          </cell>
          <cell r="BU1417">
            <v>10.237311159058653</v>
          </cell>
          <cell r="BV1417">
            <v>11.522967903511651</v>
          </cell>
          <cell r="BW1417">
            <v>10.055977276238897</v>
          </cell>
          <cell r="BX1417">
            <v>8.6149332270911767</v>
          </cell>
          <cell r="BY1417">
            <v>11.497021325386617</v>
          </cell>
        </row>
        <row r="1418">
          <cell r="A1418">
            <v>41422</v>
          </cell>
          <cell r="BF1418">
            <v>17.901151865941763</v>
          </cell>
          <cell r="BG1418">
            <v>17.429620749261797</v>
          </cell>
          <cell r="BH1418">
            <v>16.109902701379674</v>
          </cell>
          <cell r="BI1418">
            <v>13.839355674417275</v>
          </cell>
          <cell r="BJ1418">
            <v>18.380449728342072</v>
          </cell>
          <cell r="BU1418">
            <v>10.212912787130477</v>
          </cell>
          <cell r="BV1418">
            <v>11.522967903511651</v>
          </cell>
          <cell r="BW1418">
            <v>10.055977276238897</v>
          </cell>
          <cell r="BX1418">
            <v>8.6149332270911767</v>
          </cell>
          <cell r="BY1418">
            <v>11.497021325386617</v>
          </cell>
        </row>
        <row r="1419">
          <cell r="A1419">
            <v>41423</v>
          </cell>
          <cell r="BF1419">
            <v>17.937173486930469</v>
          </cell>
          <cell r="BG1419">
            <v>17.429620749261797</v>
          </cell>
          <cell r="BH1419">
            <v>16.109902701379674</v>
          </cell>
          <cell r="BI1419">
            <v>13.839355674417275</v>
          </cell>
          <cell r="BJ1419">
            <v>18.380449728342072</v>
          </cell>
          <cell r="BU1419">
            <v>10.232430069440072</v>
          </cell>
          <cell r="BV1419">
            <v>11.522967903511651</v>
          </cell>
          <cell r="BW1419">
            <v>10.055977276238897</v>
          </cell>
          <cell r="BX1419">
            <v>8.6149332270911767</v>
          </cell>
          <cell r="BY1419">
            <v>11.497021325386617</v>
          </cell>
        </row>
        <row r="1420">
          <cell r="A1420">
            <v>41424</v>
          </cell>
          <cell r="BF1420">
            <v>18.135325952954869</v>
          </cell>
          <cell r="BG1420">
            <v>17.429620749261797</v>
          </cell>
          <cell r="BH1420">
            <v>16.109902701379674</v>
          </cell>
          <cell r="BI1420">
            <v>13.839355674417275</v>
          </cell>
          <cell r="BJ1420">
            <v>18.380449728342072</v>
          </cell>
          <cell r="BU1420">
            <v>10.339793300565994</v>
          </cell>
          <cell r="BV1420">
            <v>11.522967903511651</v>
          </cell>
          <cell r="BW1420">
            <v>10.055977276238897</v>
          </cell>
          <cell r="BX1420">
            <v>8.6149332270911767</v>
          </cell>
          <cell r="BY1420">
            <v>11.497021325386617</v>
          </cell>
        </row>
        <row r="1421">
          <cell r="A1421">
            <v>41425</v>
          </cell>
          <cell r="BF1421">
            <v>18.171353878751784</v>
          </cell>
          <cell r="BG1421">
            <v>17.429620749261797</v>
          </cell>
          <cell r="BH1421">
            <v>16.109902701379674</v>
          </cell>
          <cell r="BI1421">
            <v>13.839355674417275</v>
          </cell>
          <cell r="BJ1421">
            <v>18.380449728342072</v>
          </cell>
          <cell r="BU1421">
            <v>10.359313998955106</v>
          </cell>
          <cell r="BV1421">
            <v>11.522967903511651</v>
          </cell>
          <cell r="BW1421">
            <v>10.055977276238897</v>
          </cell>
          <cell r="BX1421">
            <v>8.6149332270911767</v>
          </cell>
          <cell r="BY1421">
            <v>11.497021325386617</v>
          </cell>
        </row>
        <row r="1422">
          <cell r="A1422">
            <v>41428</v>
          </cell>
          <cell r="BF1422">
            <v>18.225392840214766</v>
          </cell>
          <cell r="BG1422">
            <v>17.429620749261797</v>
          </cell>
          <cell r="BH1422">
            <v>16.109902701379674</v>
          </cell>
          <cell r="BI1422">
            <v>13.839355674417275</v>
          </cell>
          <cell r="BJ1422">
            <v>18.380449728342072</v>
          </cell>
          <cell r="BU1422">
            <v>10.388593460501854</v>
          </cell>
          <cell r="BV1422">
            <v>11.522967903511651</v>
          </cell>
          <cell r="BW1422">
            <v>10.055977276238897</v>
          </cell>
          <cell r="BX1422">
            <v>8.6149332270911767</v>
          </cell>
          <cell r="BY1422">
            <v>11.497021325386617</v>
          </cell>
        </row>
        <row r="1423">
          <cell r="A1423">
            <v>41429</v>
          </cell>
          <cell r="BF1423">
            <v>18.193872401940528</v>
          </cell>
          <cell r="BG1423">
            <v>17.429620749261797</v>
          </cell>
          <cell r="BH1423">
            <v>16.109902701379674</v>
          </cell>
          <cell r="BI1423">
            <v>13.839355674417275</v>
          </cell>
          <cell r="BJ1423">
            <v>18.380449728342072</v>
          </cell>
          <cell r="BU1423">
            <v>10.371515014961789</v>
          </cell>
          <cell r="BV1423">
            <v>11.522967903511651</v>
          </cell>
          <cell r="BW1423">
            <v>10.055977276238897</v>
          </cell>
          <cell r="BX1423">
            <v>8.6149332270911767</v>
          </cell>
          <cell r="BY1423">
            <v>11.497021325386617</v>
          </cell>
        </row>
        <row r="1424">
          <cell r="A1424">
            <v>41430</v>
          </cell>
          <cell r="BF1424">
            <v>18.0722778709113</v>
          </cell>
          <cell r="BG1424">
            <v>17.429620749261797</v>
          </cell>
          <cell r="BH1424">
            <v>16.109902701379674</v>
          </cell>
          <cell r="BI1424">
            <v>13.839355674417275</v>
          </cell>
          <cell r="BJ1424">
            <v>18.380449728342072</v>
          </cell>
          <cell r="BU1424">
            <v>10.305632505394986</v>
          </cell>
          <cell r="BV1424">
            <v>11.522967903511651</v>
          </cell>
          <cell r="BW1424">
            <v>10.055977276238897</v>
          </cell>
          <cell r="BX1424">
            <v>8.6149332270911767</v>
          </cell>
          <cell r="BY1424">
            <v>11.497021325386617</v>
          </cell>
        </row>
        <row r="1425">
          <cell r="A1425">
            <v>41431</v>
          </cell>
          <cell r="BF1425">
            <v>18.261421216355121</v>
          </cell>
          <cell r="BG1425">
            <v>17.429620749261797</v>
          </cell>
          <cell r="BH1425">
            <v>16.109902701379674</v>
          </cell>
          <cell r="BI1425">
            <v>13.839355674417275</v>
          </cell>
          <cell r="BJ1425">
            <v>18.380449728342072</v>
          </cell>
          <cell r="BU1425">
            <v>10.408114402896647</v>
          </cell>
          <cell r="BV1425">
            <v>11.522967903511651</v>
          </cell>
          <cell r="BW1425">
            <v>10.055977276238897</v>
          </cell>
          <cell r="BX1425">
            <v>8.6149332270911767</v>
          </cell>
          <cell r="BY1425">
            <v>11.497021325386617</v>
          </cell>
        </row>
        <row r="1426">
          <cell r="A1426">
            <v>41432</v>
          </cell>
          <cell r="BF1426">
            <v>18.279439007172844</v>
          </cell>
          <cell r="BG1426">
            <v>17.429620749261797</v>
          </cell>
          <cell r="BH1426">
            <v>16.109902701379674</v>
          </cell>
          <cell r="BI1426">
            <v>13.839355674417275</v>
          </cell>
          <cell r="BJ1426">
            <v>18.380449728342072</v>
          </cell>
          <cell r="BU1426">
            <v>10.417876826139484</v>
          </cell>
          <cell r="BV1426">
            <v>11.522967903511651</v>
          </cell>
          <cell r="BW1426">
            <v>10.055977276238897</v>
          </cell>
          <cell r="BX1426">
            <v>8.6149332270911767</v>
          </cell>
          <cell r="BY1426">
            <v>11.497021325386617</v>
          </cell>
        </row>
        <row r="1427">
          <cell r="A1427">
            <v>41435</v>
          </cell>
          <cell r="BF1427">
            <v>18.247911813746956</v>
          </cell>
          <cell r="BG1427">
            <v>17.429620749261797</v>
          </cell>
          <cell r="BH1427">
            <v>16.109902701379674</v>
          </cell>
          <cell r="BI1427">
            <v>13.839355674417275</v>
          </cell>
          <cell r="BJ1427">
            <v>18.380449728342072</v>
          </cell>
          <cell r="BU1427">
            <v>10.400794720514222</v>
          </cell>
          <cell r="BV1427">
            <v>11.522967903511651</v>
          </cell>
          <cell r="BW1427">
            <v>10.055977276238897</v>
          </cell>
          <cell r="BX1427">
            <v>8.6149332270911767</v>
          </cell>
          <cell r="BY1427">
            <v>11.497021325386617</v>
          </cell>
        </row>
        <row r="1428">
          <cell r="A1428">
            <v>41436</v>
          </cell>
          <cell r="BF1428">
            <v>18.346987821587437</v>
          </cell>
          <cell r="BG1428">
            <v>17.429620749261797</v>
          </cell>
          <cell r="BH1428">
            <v>16.109902701379674</v>
          </cell>
          <cell r="BI1428">
            <v>13.839355674417275</v>
          </cell>
          <cell r="BJ1428">
            <v>18.380449728342072</v>
          </cell>
          <cell r="BU1428">
            <v>10.454476214074338</v>
          </cell>
          <cell r="BV1428">
            <v>11.522967903511651</v>
          </cell>
          <cell r="BW1428">
            <v>10.055977276238897</v>
          </cell>
          <cell r="BX1428">
            <v>8.6149332270911767</v>
          </cell>
          <cell r="BY1428">
            <v>11.497021325386617</v>
          </cell>
        </row>
        <row r="1429">
          <cell r="A1429">
            <v>41437</v>
          </cell>
          <cell r="BF1429">
            <v>18.414543391153678</v>
          </cell>
          <cell r="BG1429">
            <v>17.429620749261797</v>
          </cell>
          <cell r="BH1429">
            <v>16.109902701379674</v>
          </cell>
          <cell r="BI1429">
            <v>13.839355674417275</v>
          </cell>
          <cell r="BJ1429">
            <v>18.380449728342072</v>
          </cell>
          <cell r="BU1429">
            <v>10.491079262094395</v>
          </cell>
          <cell r="BV1429">
            <v>11.522967903511651</v>
          </cell>
          <cell r="BW1429">
            <v>10.055977276238897</v>
          </cell>
          <cell r="BX1429">
            <v>8.6149332270911767</v>
          </cell>
          <cell r="BY1429">
            <v>11.497021325386617</v>
          </cell>
        </row>
        <row r="1430">
          <cell r="A1430">
            <v>41438</v>
          </cell>
          <cell r="BF1430">
            <v>18.598308107804158</v>
          </cell>
          <cell r="BG1430">
            <v>17.429620749261797</v>
          </cell>
          <cell r="BH1430">
            <v>16.109902701379674</v>
          </cell>
          <cell r="BI1430">
            <v>13.839355674417275</v>
          </cell>
          <cell r="BJ1430">
            <v>18.380449728342072</v>
          </cell>
          <cell r="BU1430">
            <v>10.62626729575611</v>
          </cell>
          <cell r="BV1430">
            <v>11.522967903511651</v>
          </cell>
          <cell r="BW1430">
            <v>10.055977276238897</v>
          </cell>
          <cell r="BX1430">
            <v>8.6149332270911767</v>
          </cell>
          <cell r="BY1430">
            <v>11.497021325386617</v>
          </cell>
        </row>
        <row r="1431">
          <cell r="A1431">
            <v>41439</v>
          </cell>
          <cell r="BF1431">
            <v>18.687635817377561</v>
          </cell>
          <cell r="BG1431">
            <v>17.429620749261797</v>
          </cell>
          <cell r="BH1431">
            <v>16.109902701379674</v>
          </cell>
          <cell r="BI1431">
            <v>13.839355674417275</v>
          </cell>
          <cell r="BJ1431">
            <v>18.380449728342072</v>
          </cell>
          <cell r="BU1431">
            <v>10.674849090657551</v>
          </cell>
          <cell r="BV1431">
            <v>11.522967903511651</v>
          </cell>
          <cell r="BW1431">
            <v>10.055977276238897</v>
          </cell>
          <cell r="BX1431">
            <v>8.6149332270911767</v>
          </cell>
          <cell r="BY1431">
            <v>11.497021325386617</v>
          </cell>
        </row>
        <row r="1432">
          <cell r="A1432">
            <v>41442</v>
          </cell>
          <cell r="BF1432">
            <v>18.656367523532627</v>
          </cell>
          <cell r="BG1432">
            <v>17.429620749261797</v>
          </cell>
          <cell r="BH1432">
            <v>16.109902701379674</v>
          </cell>
          <cell r="BI1432">
            <v>13.839355674417275</v>
          </cell>
          <cell r="BJ1432">
            <v>18.380449728342072</v>
          </cell>
          <cell r="BU1432">
            <v>10.657843506995469</v>
          </cell>
          <cell r="BV1432">
            <v>11.522967903511651</v>
          </cell>
          <cell r="BW1432">
            <v>10.055977276238897</v>
          </cell>
          <cell r="BX1432">
            <v>8.6149332270911767</v>
          </cell>
          <cell r="BY1432">
            <v>11.497021325386617</v>
          </cell>
        </row>
        <row r="1433">
          <cell r="A1433">
            <v>41443</v>
          </cell>
          <cell r="BF1433">
            <v>18.672001447132473</v>
          </cell>
          <cell r="BG1433">
            <v>17.429620749261797</v>
          </cell>
          <cell r="BH1433">
            <v>16.109902701379674</v>
          </cell>
          <cell r="BI1433">
            <v>13.839355674417275</v>
          </cell>
          <cell r="BJ1433">
            <v>18.380449728342072</v>
          </cell>
          <cell r="BU1433">
            <v>10.666346177370205</v>
          </cell>
          <cell r="BV1433">
            <v>11.522967903511651</v>
          </cell>
          <cell r="BW1433">
            <v>10.055977276238897</v>
          </cell>
          <cell r="BX1433">
            <v>8.6149332270911767</v>
          </cell>
          <cell r="BY1433">
            <v>11.497021325386617</v>
          </cell>
        </row>
        <row r="1434">
          <cell r="A1434">
            <v>41444</v>
          </cell>
          <cell r="BF1434">
            <v>18.665302215064532</v>
          </cell>
          <cell r="BG1434">
            <v>17.429620749261797</v>
          </cell>
          <cell r="BH1434">
            <v>16.109902701379674</v>
          </cell>
          <cell r="BI1434">
            <v>13.839355674417275</v>
          </cell>
          <cell r="BJ1434">
            <v>18.380449728342072</v>
          </cell>
          <cell r="BU1434">
            <v>10.662702731009874</v>
          </cell>
          <cell r="BV1434">
            <v>11.522967903511651</v>
          </cell>
          <cell r="BW1434">
            <v>10.055977276238897</v>
          </cell>
          <cell r="BX1434">
            <v>8.6149332270911767</v>
          </cell>
          <cell r="BY1434">
            <v>11.497021325386617</v>
          </cell>
        </row>
        <row r="1435">
          <cell r="A1435">
            <v>41445</v>
          </cell>
          <cell r="BF1435">
            <v>18.879690147305492</v>
          </cell>
          <cell r="BG1435">
            <v>17.429620749261797</v>
          </cell>
          <cell r="BH1435">
            <v>16.109902701379674</v>
          </cell>
          <cell r="BI1435">
            <v>13.839355674417275</v>
          </cell>
          <cell r="BJ1435">
            <v>18.380449728342072</v>
          </cell>
          <cell r="BU1435">
            <v>10.779299816093712</v>
          </cell>
          <cell r="BV1435">
            <v>11.522967903511651</v>
          </cell>
          <cell r="BW1435">
            <v>10.055977276238897</v>
          </cell>
          <cell r="BX1435">
            <v>8.6149332270911767</v>
          </cell>
          <cell r="BY1435">
            <v>11.497021325386617</v>
          </cell>
        </row>
        <row r="1436">
          <cell r="A1436">
            <v>41446</v>
          </cell>
          <cell r="BF1436">
            <v>18.799297129263991</v>
          </cell>
          <cell r="BG1436">
            <v>17.429620749261797</v>
          </cell>
          <cell r="BH1436">
            <v>16.109902701379674</v>
          </cell>
          <cell r="BI1436">
            <v>13.839355674417275</v>
          </cell>
          <cell r="BJ1436">
            <v>18.380449728342072</v>
          </cell>
          <cell r="BU1436">
            <v>10.735577245206672</v>
          </cell>
          <cell r="BV1436">
            <v>11.522967903511651</v>
          </cell>
          <cell r="BW1436">
            <v>10.055977276238897</v>
          </cell>
          <cell r="BX1436">
            <v>8.6149332270911767</v>
          </cell>
          <cell r="BY1436">
            <v>11.497021325386617</v>
          </cell>
        </row>
        <row r="1437">
          <cell r="A1437">
            <v>41449</v>
          </cell>
          <cell r="BF1437">
            <v>18.902023749618518</v>
          </cell>
          <cell r="BG1437">
            <v>17.429620749261797</v>
          </cell>
          <cell r="BH1437">
            <v>16.109902701379674</v>
          </cell>
          <cell r="BI1437">
            <v>13.839355674417275</v>
          </cell>
          <cell r="BJ1437">
            <v>18.380449728342072</v>
          </cell>
          <cell r="BU1437">
            <v>10.79144617574139</v>
          </cell>
          <cell r="BV1437">
            <v>11.522967903511651</v>
          </cell>
          <cell r="BW1437">
            <v>10.055977276238897</v>
          </cell>
          <cell r="BX1437">
            <v>8.6149332270911767</v>
          </cell>
          <cell r="BY1437">
            <v>11.497021325386617</v>
          </cell>
        </row>
        <row r="1438">
          <cell r="A1438">
            <v>41450</v>
          </cell>
          <cell r="BF1438">
            <v>18.996736217331748</v>
          </cell>
          <cell r="BG1438">
            <v>17.429620749261797</v>
          </cell>
          <cell r="BH1438">
            <v>16.109902701379674</v>
          </cell>
          <cell r="BI1438">
            <v>13.839355674417275</v>
          </cell>
          <cell r="BJ1438">
            <v>18.380449728342072</v>
          </cell>
          <cell r="BU1438">
            <v>10.859461223011168</v>
          </cell>
          <cell r="BV1438">
            <v>11.522967903511651</v>
          </cell>
          <cell r="BW1438">
            <v>10.055977276238897</v>
          </cell>
          <cell r="BX1438">
            <v>8.6149332270911767</v>
          </cell>
          <cell r="BY1438">
            <v>11.497021325386617</v>
          </cell>
        </row>
        <row r="1439">
          <cell r="A1439">
            <v>41451</v>
          </cell>
          <cell r="BF1439">
            <v>18.885253000015272</v>
          </cell>
          <cell r="BG1439">
            <v>17.429620749261797</v>
          </cell>
          <cell r="BH1439">
            <v>16.109902701379674</v>
          </cell>
          <cell r="BI1439">
            <v>13.839355674417275</v>
          </cell>
          <cell r="BJ1439">
            <v>18.380449728342072</v>
          </cell>
          <cell r="BU1439">
            <v>10.798733068462049</v>
          </cell>
          <cell r="BV1439">
            <v>11.522967903511651</v>
          </cell>
          <cell r="BW1439">
            <v>10.055977276238897</v>
          </cell>
          <cell r="BX1439">
            <v>8.6149332270911767</v>
          </cell>
          <cell r="BY1439">
            <v>11.497021325386617</v>
          </cell>
        </row>
        <row r="1440">
          <cell r="A1440">
            <v>41452</v>
          </cell>
          <cell r="BF1440">
            <v>18.546346694970396</v>
          </cell>
          <cell r="BG1440">
            <v>17.429620749261797</v>
          </cell>
          <cell r="BH1440">
            <v>16.109902701379674</v>
          </cell>
          <cell r="BI1440">
            <v>13.839355674417275</v>
          </cell>
          <cell r="BJ1440">
            <v>18.380449728342072</v>
          </cell>
          <cell r="BU1440">
            <v>10.614120936108431</v>
          </cell>
          <cell r="BV1440">
            <v>11.522967903511651</v>
          </cell>
          <cell r="BW1440">
            <v>10.055977276238897</v>
          </cell>
          <cell r="BX1440">
            <v>8.6149332270911767</v>
          </cell>
          <cell r="BY1440">
            <v>11.497021325386617</v>
          </cell>
        </row>
        <row r="1441">
          <cell r="A1441">
            <v>41453</v>
          </cell>
          <cell r="BF1441">
            <v>18.496981765858159</v>
          </cell>
          <cell r="BG1441">
            <v>17.429620749261797</v>
          </cell>
          <cell r="BH1441">
            <v>16.109902701379674</v>
          </cell>
          <cell r="BI1441">
            <v>13.839355674417275</v>
          </cell>
          <cell r="BJ1441">
            <v>18.380449728342072</v>
          </cell>
          <cell r="BU1441">
            <v>10.597115352446352</v>
          </cell>
          <cell r="BV1441">
            <v>11.522967903511651</v>
          </cell>
          <cell r="BW1441">
            <v>10.055977276238897</v>
          </cell>
          <cell r="BX1441">
            <v>8.6149332270911767</v>
          </cell>
          <cell r="BY1441">
            <v>11.497021325386617</v>
          </cell>
        </row>
        <row r="1442">
          <cell r="A1442">
            <v>41456</v>
          </cell>
          <cell r="BF1442">
            <v>18.456616033719566</v>
          </cell>
          <cell r="BG1442">
            <v>17.429620749261797</v>
          </cell>
          <cell r="BH1442">
            <v>16.109902701379674</v>
          </cell>
          <cell r="BI1442">
            <v>13.839355674417275</v>
          </cell>
          <cell r="BJ1442">
            <v>18.380449728342072</v>
          </cell>
          <cell r="BU1442">
            <v>10.561262139546859</v>
          </cell>
          <cell r="BV1442">
            <v>11.522967903511651</v>
          </cell>
          <cell r="BW1442">
            <v>10.055977276238897</v>
          </cell>
          <cell r="BX1442">
            <v>8.6149332270911767</v>
          </cell>
          <cell r="BY1442">
            <v>11.497021325386617</v>
          </cell>
        </row>
        <row r="1443">
          <cell r="A1443">
            <v>41457</v>
          </cell>
          <cell r="BF1443">
            <v>18.634644330609952</v>
          </cell>
          <cell r="BG1443">
            <v>17.429620749261797</v>
          </cell>
          <cell r="BH1443">
            <v>16.109902701379674</v>
          </cell>
          <cell r="BI1443">
            <v>13.839355674417275</v>
          </cell>
          <cell r="BJ1443">
            <v>18.380449728342072</v>
          </cell>
          <cell r="BU1443">
            <v>10.658211994950079</v>
          </cell>
          <cell r="BV1443">
            <v>11.522967903511651</v>
          </cell>
          <cell r="BW1443">
            <v>10.055977276238897</v>
          </cell>
          <cell r="BX1443">
            <v>8.6149332270911767</v>
          </cell>
          <cell r="BY1443">
            <v>11.497021325386617</v>
          </cell>
        </row>
        <row r="1444">
          <cell r="A1444">
            <v>41458</v>
          </cell>
          <cell r="BF1444">
            <v>18.546965911875919</v>
          </cell>
          <cell r="BG1444">
            <v>17.429620749261797</v>
          </cell>
          <cell r="BH1444">
            <v>16.109902701379674</v>
          </cell>
          <cell r="BI1444">
            <v>13.839355674417275</v>
          </cell>
          <cell r="BJ1444">
            <v>18.380449728342072</v>
          </cell>
          <cell r="BU1444">
            <v>10.604890422768337</v>
          </cell>
          <cell r="BV1444">
            <v>11.522967903511651</v>
          </cell>
          <cell r="BW1444">
            <v>10.055977276238897</v>
          </cell>
          <cell r="BX1444">
            <v>8.6149332270911767</v>
          </cell>
          <cell r="BY1444">
            <v>11.497021325386617</v>
          </cell>
        </row>
        <row r="1445">
          <cell r="A1445">
            <v>41459</v>
          </cell>
          <cell r="BF1445">
            <v>18.062115022884932</v>
          </cell>
          <cell r="BG1445">
            <v>17.429620749261797</v>
          </cell>
          <cell r="BH1445">
            <v>16.109902701379674</v>
          </cell>
          <cell r="BI1445">
            <v>13.839355674417275</v>
          </cell>
          <cell r="BJ1445">
            <v>18.380449728342072</v>
          </cell>
          <cell r="BU1445">
            <v>10.42813085860657</v>
          </cell>
          <cell r="BV1445">
            <v>11.522967903511651</v>
          </cell>
          <cell r="BW1445">
            <v>10.055977276238897</v>
          </cell>
          <cell r="BX1445">
            <v>8.6149332270911767</v>
          </cell>
          <cell r="BY1445">
            <v>11.497021325386617</v>
          </cell>
        </row>
        <row r="1446">
          <cell r="A1446">
            <v>41460</v>
          </cell>
          <cell r="BF1446">
            <v>18.172148000444931</v>
          </cell>
          <cell r="BG1446">
            <v>17.429620749261797</v>
          </cell>
          <cell r="BH1446">
            <v>16.109902701379674</v>
          </cell>
          <cell r="BI1446">
            <v>13.839355674417275</v>
          </cell>
          <cell r="BJ1446">
            <v>18.380449728342072</v>
          </cell>
          <cell r="BU1446">
            <v>10.389782816606612</v>
          </cell>
          <cell r="BV1446">
            <v>11.522967903511651</v>
          </cell>
          <cell r="BW1446">
            <v>10.055977276238897</v>
          </cell>
          <cell r="BX1446">
            <v>8.6149332270911767</v>
          </cell>
          <cell r="BY1446">
            <v>11.497021325386617</v>
          </cell>
        </row>
        <row r="1447">
          <cell r="A1447">
            <v>41463</v>
          </cell>
          <cell r="BF1447">
            <v>17.947173190605671</v>
          </cell>
          <cell r="BG1447">
            <v>17.429620749261797</v>
          </cell>
          <cell r="BH1447">
            <v>16.109902701379674</v>
          </cell>
          <cell r="BI1447">
            <v>13.839355674417275</v>
          </cell>
          <cell r="BJ1447">
            <v>18.380449728342072</v>
          </cell>
          <cell r="BU1447">
            <v>10.250370002379366</v>
          </cell>
          <cell r="BV1447">
            <v>11.522967903511651</v>
          </cell>
          <cell r="BW1447">
            <v>10.055977276238897</v>
          </cell>
          <cell r="BX1447">
            <v>8.6149332270911767</v>
          </cell>
          <cell r="BY1447">
            <v>11.497021325386617</v>
          </cell>
        </row>
        <row r="1448">
          <cell r="A1448">
            <v>41464</v>
          </cell>
          <cell r="BF1448">
            <v>17.678622400301421</v>
          </cell>
          <cell r="BG1448">
            <v>17.429620749261797</v>
          </cell>
          <cell r="BH1448">
            <v>16.109902701379674</v>
          </cell>
          <cell r="BI1448">
            <v>13.839355674417275</v>
          </cell>
          <cell r="BJ1448">
            <v>18.380449728342072</v>
          </cell>
          <cell r="BU1448">
            <v>10.062185593290272</v>
          </cell>
          <cell r="BV1448">
            <v>11.522967903511651</v>
          </cell>
          <cell r="BW1448">
            <v>10.055977276238897</v>
          </cell>
          <cell r="BX1448">
            <v>8.6149332270911767</v>
          </cell>
          <cell r="BY1448">
            <v>11.497021325386617</v>
          </cell>
        </row>
        <row r="1449">
          <cell r="A1449">
            <v>41465</v>
          </cell>
          <cell r="BF1449">
            <v>17.607835341621886</v>
          </cell>
          <cell r="BG1449">
            <v>17.429620749261797</v>
          </cell>
          <cell r="BH1449">
            <v>16.109902701379674</v>
          </cell>
          <cell r="BI1449">
            <v>13.839355674417275</v>
          </cell>
          <cell r="BJ1449">
            <v>18.380449728342072</v>
          </cell>
          <cell r="BU1449">
            <v>10.104775918611454</v>
          </cell>
          <cell r="BV1449">
            <v>11.522967903511651</v>
          </cell>
          <cell r="BW1449">
            <v>10.055977276238897</v>
          </cell>
          <cell r="BX1449">
            <v>8.6149332270911767</v>
          </cell>
          <cell r="BY1449">
            <v>11.497021325386617</v>
          </cell>
        </row>
        <row r="1450">
          <cell r="A1450">
            <v>41466</v>
          </cell>
          <cell r="BF1450">
            <v>17.687472331064562</v>
          </cell>
          <cell r="BG1450">
            <v>17.429620749261797</v>
          </cell>
          <cell r="BH1450">
            <v>16.109902701379674</v>
          </cell>
          <cell r="BI1450">
            <v>13.839355674417275</v>
          </cell>
          <cell r="BJ1450">
            <v>18.380449728342072</v>
          </cell>
          <cell r="BU1450">
            <v>10.147840510230402</v>
          </cell>
          <cell r="BV1450">
            <v>11.522967903511651</v>
          </cell>
          <cell r="BW1450">
            <v>10.055977276238897</v>
          </cell>
          <cell r="BX1450">
            <v>8.6149332270911767</v>
          </cell>
          <cell r="BY1450">
            <v>11.497021325386617</v>
          </cell>
        </row>
        <row r="1451">
          <cell r="A1451">
            <v>41467</v>
          </cell>
          <cell r="BF1451">
            <v>17.643228870961654</v>
          </cell>
          <cell r="BG1451">
            <v>17.429620749261797</v>
          </cell>
          <cell r="BH1451">
            <v>16.109902701379674</v>
          </cell>
          <cell r="BI1451">
            <v>13.839355674417275</v>
          </cell>
          <cell r="BJ1451">
            <v>18.380449728342072</v>
          </cell>
          <cell r="BU1451">
            <v>10.123915364962166</v>
          </cell>
          <cell r="BV1451">
            <v>11.522967903511651</v>
          </cell>
          <cell r="BW1451">
            <v>10.055977276238897</v>
          </cell>
          <cell r="BX1451">
            <v>8.6149332270911767</v>
          </cell>
          <cell r="BY1451">
            <v>11.497021325386617</v>
          </cell>
        </row>
        <row r="1452">
          <cell r="A1452">
            <v>41470</v>
          </cell>
          <cell r="BF1452">
            <v>17.482054551068764</v>
          </cell>
          <cell r="BG1452">
            <v>17.429620749261797</v>
          </cell>
          <cell r="BH1452">
            <v>16.109902701379674</v>
          </cell>
          <cell r="BI1452">
            <v>13.839355674417275</v>
          </cell>
          <cell r="BJ1452">
            <v>18.380449728342072</v>
          </cell>
          <cell r="BU1452">
            <v>10.06111384856187</v>
          </cell>
          <cell r="BV1452">
            <v>11.522967903511651</v>
          </cell>
          <cell r="BW1452">
            <v>10.055977276238897</v>
          </cell>
          <cell r="BX1452">
            <v>8.6149332270911767</v>
          </cell>
          <cell r="BY1452">
            <v>11.497021325386617</v>
          </cell>
        </row>
        <row r="1453">
          <cell r="A1453">
            <v>41471</v>
          </cell>
          <cell r="BF1453">
            <v>17.460134907314664</v>
          </cell>
          <cell r="BG1453">
            <v>17.429620749261797</v>
          </cell>
          <cell r="BH1453">
            <v>16.109902701379674</v>
          </cell>
          <cell r="BI1453">
            <v>13.839355674417275</v>
          </cell>
          <cell r="BJ1453">
            <v>18.380449728342072</v>
          </cell>
          <cell r="BU1453">
            <v>10.04922548315632</v>
          </cell>
          <cell r="BV1453">
            <v>11.522967903511651</v>
          </cell>
          <cell r="BW1453">
            <v>10.055977276238897</v>
          </cell>
          <cell r="BX1453">
            <v>8.6149332270911767</v>
          </cell>
          <cell r="BY1453">
            <v>11.497021325386617</v>
          </cell>
        </row>
        <row r="1454">
          <cell r="A1454">
            <v>41472</v>
          </cell>
          <cell r="BF1454">
            <v>17.539044397403021</v>
          </cell>
          <cell r="BG1454">
            <v>17.429620749261797</v>
          </cell>
          <cell r="BH1454">
            <v>16.109902701379674</v>
          </cell>
          <cell r="BI1454">
            <v>13.839355674417275</v>
          </cell>
          <cell r="BJ1454">
            <v>18.380449728342072</v>
          </cell>
          <cell r="BU1454">
            <v>10.092022932907788</v>
          </cell>
          <cell r="BV1454">
            <v>11.522967903511651</v>
          </cell>
          <cell r="BW1454">
            <v>10.055977276238897</v>
          </cell>
          <cell r="BX1454">
            <v>8.6149332270911767</v>
          </cell>
          <cell r="BY1454">
            <v>11.497021325386617</v>
          </cell>
        </row>
        <row r="1455">
          <cell r="A1455">
            <v>41473</v>
          </cell>
          <cell r="BF1455">
            <v>17.565345515055128</v>
          </cell>
          <cell r="BG1455">
            <v>17.429620749261797</v>
          </cell>
          <cell r="BH1455">
            <v>16.109902701379674</v>
          </cell>
          <cell r="BI1455">
            <v>13.839355674417275</v>
          </cell>
          <cell r="BJ1455">
            <v>18.380449728342072</v>
          </cell>
          <cell r="BU1455">
            <v>10.106287639977408</v>
          </cell>
          <cell r="BV1455">
            <v>11.522967903511651</v>
          </cell>
          <cell r="BW1455">
            <v>10.055977276238897</v>
          </cell>
          <cell r="BX1455">
            <v>8.6149332270911767</v>
          </cell>
          <cell r="BY1455">
            <v>11.497021325386617</v>
          </cell>
        </row>
        <row r="1456">
          <cell r="A1456">
            <v>41474</v>
          </cell>
          <cell r="BF1456">
            <v>17.547813482331062</v>
          </cell>
          <cell r="BG1456">
            <v>17.429620749261797</v>
          </cell>
          <cell r="BH1456">
            <v>16.109902701379674</v>
          </cell>
          <cell r="BI1456">
            <v>13.839355674417275</v>
          </cell>
          <cell r="BJ1456">
            <v>18.380449728342072</v>
          </cell>
          <cell r="BU1456">
            <v>10.096778944778528</v>
          </cell>
          <cell r="BV1456">
            <v>11.522967903511651</v>
          </cell>
          <cell r="BW1456">
            <v>10.055977276238897</v>
          </cell>
          <cell r="BX1456">
            <v>8.6149332270911767</v>
          </cell>
          <cell r="BY1456">
            <v>11.497021325386617</v>
          </cell>
        </row>
        <row r="1457">
          <cell r="A1457">
            <v>41477</v>
          </cell>
          <cell r="BF1457">
            <v>17.648636040674926</v>
          </cell>
          <cell r="BG1457">
            <v>17.429620749261797</v>
          </cell>
          <cell r="BH1457">
            <v>16.109902701379674</v>
          </cell>
          <cell r="BI1457">
            <v>13.839355674417275</v>
          </cell>
          <cell r="BJ1457">
            <v>18.380449728342072</v>
          </cell>
          <cell r="BU1457">
            <v>10.151461193639904</v>
          </cell>
          <cell r="BV1457">
            <v>11.522967903511651</v>
          </cell>
          <cell r="BW1457">
            <v>10.055977276238897</v>
          </cell>
          <cell r="BX1457">
            <v>8.6149332270911767</v>
          </cell>
          <cell r="BY1457">
            <v>11.497021325386617</v>
          </cell>
        </row>
        <row r="1458">
          <cell r="A1458">
            <v>41478</v>
          </cell>
          <cell r="BF1458">
            <v>17.819598565812527</v>
          </cell>
          <cell r="BG1458">
            <v>17.429620749261797</v>
          </cell>
          <cell r="BH1458">
            <v>16.109902701379674</v>
          </cell>
          <cell r="BI1458">
            <v>13.839355674417275</v>
          </cell>
          <cell r="BJ1458">
            <v>18.380449728342072</v>
          </cell>
          <cell r="BU1458">
            <v>10.244184642628959</v>
          </cell>
          <cell r="BV1458">
            <v>11.522967903511651</v>
          </cell>
          <cell r="BW1458">
            <v>10.055977276238897</v>
          </cell>
          <cell r="BX1458">
            <v>8.6149332270911767</v>
          </cell>
          <cell r="BY1458">
            <v>11.497021325386617</v>
          </cell>
        </row>
        <row r="1459">
          <cell r="A1459">
            <v>41479</v>
          </cell>
          <cell r="BF1459">
            <v>17.968641885562601</v>
          </cell>
          <cell r="BG1459">
            <v>17.429620749261797</v>
          </cell>
          <cell r="BH1459">
            <v>16.109902701379674</v>
          </cell>
          <cell r="BI1459">
            <v>13.839355674417275</v>
          </cell>
          <cell r="BJ1459">
            <v>18.380449728342072</v>
          </cell>
          <cell r="BU1459">
            <v>10.325019963965508</v>
          </cell>
          <cell r="BV1459">
            <v>11.522967903511651</v>
          </cell>
          <cell r="BW1459">
            <v>10.055977276238897</v>
          </cell>
          <cell r="BX1459">
            <v>8.6149332270911767</v>
          </cell>
          <cell r="BY1459">
            <v>11.497021325386617</v>
          </cell>
        </row>
        <row r="1460">
          <cell r="A1460">
            <v>41480</v>
          </cell>
          <cell r="BF1460">
            <v>17.973029496592634</v>
          </cell>
          <cell r="BG1460">
            <v>17.429620749261797</v>
          </cell>
          <cell r="BH1460">
            <v>16.109902701379674</v>
          </cell>
          <cell r="BI1460">
            <v>13.839355674417275</v>
          </cell>
          <cell r="BJ1460">
            <v>18.380449728342072</v>
          </cell>
          <cell r="BU1460">
            <v>10.327399634172178</v>
          </cell>
          <cell r="BV1460">
            <v>11.522967903511651</v>
          </cell>
          <cell r="BW1460">
            <v>10.055977276238897</v>
          </cell>
          <cell r="BX1460">
            <v>8.6149332270911767</v>
          </cell>
          <cell r="BY1460">
            <v>11.497021325386617</v>
          </cell>
        </row>
        <row r="1461">
          <cell r="A1461">
            <v>41481</v>
          </cell>
          <cell r="BF1461">
            <v>17.94234076791049</v>
          </cell>
          <cell r="BG1461">
            <v>17.429620749261797</v>
          </cell>
          <cell r="BH1461">
            <v>16.109902701379674</v>
          </cell>
          <cell r="BI1461">
            <v>13.839355674417275</v>
          </cell>
          <cell r="BJ1461">
            <v>18.380449728342072</v>
          </cell>
          <cell r="BU1461">
            <v>10.310755256895884</v>
          </cell>
          <cell r="BV1461">
            <v>11.522967903511651</v>
          </cell>
          <cell r="BW1461">
            <v>10.055977276238897</v>
          </cell>
          <cell r="BX1461">
            <v>8.6149332270911767</v>
          </cell>
          <cell r="BY1461">
            <v>11.497021325386617</v>
          </cell>
        </row>
        <row r="1462">
          <cell r="A1462">
            <v>41484</v>
          </cell>
          <cell r="BF1462">
            <v>18.07823352883451</v>
          </cell>
          <cell r="BG1462">
            <v>17.429620749261797</v>
          </cell>
          <cell r="BH1462">
            <v>16.109902701379674</v>
          </cell>
          <cell r="BI1462">
            <v>13.839355674417275</v>
          </cell>
          <cell r="BJ1462">
            <v>18.380449728342072</v>
          </cell>
          <cell r="BU1462">
            <v>10.384458224697624</v>
          </cell>
          <cell r="BV1462">
            <v>11.522967903511651</v>
          </cell>
          <cell r="BW1462">
            <v>10.055977276238897</v>
          </cell>
          <cell r="BX1462">
            <v>8.6149332270911767</v>
          </cell>
          <cell r="BY1462">
            <v>11.497021325386617</v>
          </cell>
        </row>
        <row r="1463">
          <cell r="A1463">
            <v>41485</v>
          </cell>
          <cell r="BF1463">
            <v>18.095771698690594</v>
          </cell>
          <cell r="BG1463">
            <v>17.429620749261797</v>
          </cell>
          <cell r="BH1463">
            <v>16.109902701379674</v>
          </cell>
          <cell r="BI1463">
            <v>13.839355674417275</v>
          </cell>
          <cell r="BJ1463">
            <v>18.380449728342072</v>
          </cell>
          <cell r="BU1463">
            <v>10.393970248439103</v>
          </cell>
          <cell r="BV1463">
            <v>11.522967903511651</v>
          </cell>
          <cell r="BW1463">
            <v>10.055977276238897</v>
          </cell>
          <cell r="BX1463">
            <v>8.6149332270911767</v>
          </cell>
          <cell r="BY1463">
            <v>11.497021325386617</v>
          </cell>
        </row>
        <row r="1464">
          <cell r="A1464">
            <v>41486</v>
          </cell>
          <cell r="BF1464">
            <v>18.108922257516653</v>
          </cell>
          <cell r="BG1464">
            <v>17.429620749261797</v>
          </cell>
          <cell r="BH1464">
            <v>16.109902701379674</v>
          </cell>
          <cell r="BI1464">
            <v>13.839355674417275</v>
          </cell>
          <cell r="BJ1464">
            <v>18.380449728342072</v>
          </cell>
          <cell r="BU1464">
            <v>10.401102601973916</v>
          </cell>
          <cell r="BV1464">
            <v>11.522967903511651</v>
          </cell>
          <cell r="BW1464">
            <v>10.055977276238897</v>
          </cell>
          <cell r="BX1464">
            <v>8.6149332270911767</v>
          </cell>
          <cell r="BY1464">
            <v>11.497021325386617</v>
          </cell>
        </row>
        <row r="1465">
          <cell r="A1465">
            <v>41487</v>
          </cell>
          <cell r="BF1465">
            <v>18.06070149611044</v>
          </cell>
          <cell r="BG1465">
            <v>17.429620749261797</v>
          </cell>
          <cell r="BH1465">
            <v>16.109902701379674</v>
          </cell>
          <cell r="BI1465">
            <v>13.839355674417275</v>
          </cell>
          <cell r="BJ1465">
            <v>18.380449728342072</v>
          </cell>
          <cell r="BU1465">
            <v>10.374949529498741</v>
          </cell>
          <cell r="BV1465">
            <v>11.522967903511651</v>
          </cell>
          <cell r="BW1465">
            <v>10.055977276238897</v>
          </cell>
          <cell r="BX1465">
            <v>8.6149332270911767</v>
          </cell>
          <cell r="BY1465">
            <v>11.497021325386617</v>
          </cell>
        </row>
        <row r="1466">
          <cell r="A1466">
            <v>41488</v>
          </cell>
          <cell r="BF1466">
            <v>17.876588412146781</v>
          </cell>
          <cell r="BG1466">
            <v>17.429620749261797</v>
          </cell>
          <cell r="BH1466">
            <v>16.109902701379674</v>
          </cell>
          <cell r="BI1466">
            <v>13.839355674417275</v>
          </cell>
          <cell r="BJ1466">
            <v>18.380449728342072</v>
          </cell>
          <cell r="BU1466">
            <v>10.275093726974875</v>
          </cell>
          <cell r="BV1466">
            <v>11.522967903511651</v>
          </cell>
          <cell r="BW1466">
            <v>10.055977276238897</v>
          </cell>
          <cell r="BX1466">
            <v>8.6149332270911767</v>
          </cell>
          <cell r="BY1466">
            <v>11.497021325386617</v>
          </cell>
        </row>
        <row r="1467">
          <cell r="A1467">
            <v>41491</v>
          </cell>
          <cell r="BF1467">
            <v>17.854668768392681</v>
          </cell>
          <cell r="BG1467">
            <v>17.429620749261797</v>
          </cell>
          <cell r="BH1467">
            <v>16.109902701379674</v>
          </cell>
          <cell r="BI1467">
            <v>13.839355674417275</v>
          </cell>
          <cell r="BJ1467">
            <v>18.380449728342072</v>
          </cell>
          <cell r="BU1467">
            <v>10.263205361569321</v>
          </cell>
          <cell r="BV1467">
            <v>11.522967903511651</v>
          </cell>
          <cell r="BW1467">
            <v>10.055977276238897</v>
          </cell>
          <cell r="BX1467">
            <v>8.6149332270911767</v>
          </cell>
          <cell r="BY1467">
            <v>11.497021325386617</v>
          </cell>
        </row>
        <row r="1468">
          <cell r="A1468">
            <v>41492</v>
          </cell>
          <cell r="BF1468">
            <v>17.688087278786522</v>
          </cell>
          <cell r="BG1468">
            <v>17.429620749261797</v>
          </cell>
          <cell r="BH1468">
            <v>16.109902701379674</v>
          </cell>
          <cell r="BI1468">
            <v>13.839355674417275</v>
          </cell>
          <cell r="BJ1468">
            <v>18.380449728342072</v>
          </cell>
          <cell r="BU1468">
            <v>10.172858016491293</v>
          </cell>
          <cell r="BV1468">
            <v>11.522967903511651</v>
          </cell>
          <cell r="BW1468">
            <v>10.055977276238897</v>
          </cell>
          <cell r="BX1468">
            <v>8.6149332270911767</v>
          </cell>
          <cell r="BY1468">
            <v>11.497021325386617</v>
          </cell>
        </row>
        <row r="1469">
          <cell r="A1469">
            <v>41493</v>
          </cell>
          <cell r="BF1469">
            <v>17.59818786306856</v>
          </cell>
          <cell r="BG1469">
            <v>17.429620749261797</v>
          </cell>
          <cell r="BH1469">
            <v>16.109902701379674</v>
          </cell>
          <cell r="BI1469">
            <v>13.839355674417275</v>
          </cell>
          <cell r="BJ1469">
            <v>18.380449728342072</v>
          </cell>
          <cell r="BU1469">
            <v>10.125212779566017</v>
          </cell>
          <cell r="BV1469">
            <v>11.522967903511651</v>
          </cell>
          <cell r="BW1469">
            <v>10.055977276238897</v>
          </cell>
          <cell r="BX1469">
            <v>8.6149332270911767</v>
          </cell>
          <cell r="BY1469">
            <v>11.497021325386617</v>
          </cell>
        </row>
        <row r="1470">
          <cell r="A1470">
            <v>41494</v>
          </cell>
          <cell r="BF1470">
            <v>17.670860610633277</v>
          </cell>
          <cell r="BG1470">
            <v>17.429620749261797</v>
          </cell>
          <cell r="BH1470">
            <v>16.109902701379674</v>
          </cell>
          <cell r="BI1470">
            <v>13.839355674417275</v>
          </cell>
          <cell r="BJ1470">
            <v>18.380449728342072</v>
          </cell>
          <cell r="BU1470">
            <v>10.163258983523937</v>
          </cell>
          <cell r="BV1470">
            <v>11.522967903511651</v>
          </cell>
          <cell r="BW1470">
            <v>10.055977276238897</v>
          </cell>
          <cell r="BX1470">
            <v>8.6149332270911767</v>
          </cell>
          <cell r="BY1470">
            <v>11.497021325386617</v>
          </cell>
        </row>
        <row r="1471">
          <cell r="A1471">
            <v>41495</v>
          </cell>
          <cell r="BF1471">
            <v>17.526160335704404</v>
          </cell>
          <cell r="BG1471">
            <v>17.429620749261797</v>
          </cell>
          <cell r="BH1471">
            <v>16.109902701379674</v>
          </cell>
          <cell r="BI1471">
            <v>13.839355674417275</v>
          </cell>
          <cell r="BJ1471">
            <v>18.380449728342072</v>
          </cell>
          <cell r="BU1471">
            <v>10.084782326533899</v>
          </cell>
          <cell r="BV1471">
            <v>11.522967903511651</v>
          </cell>
          <cell r="BW1471">
            <v>10.055977276238897</v>
          </cell>
          <cell r="BX1471">
            <v>8.6149332270911767</v>
          </cell>
          <cell r="BY1471">
            <v>11.497021325386617</v>
          </cell>
        </row>
        <row r="1472">
          <cell r="A1472">
            <v>41498</v>
          </cell>
          <cell r="BF1472">
            <v>17.620439447688593</v>
          </cell>
          <cell r="BG1472">
            <v>17.429620749261797</v>
          </cell>
          <cell r="BH1472">
            <v>16.109902701379674</v>
          </cell>
          <cell r="BI1472">
            <v>13.839355674417275</v>
          </cell>
          <cell r="BJ1472">
            <v>18.380449728342072</v>
          </cell>
          <cell r="BU1472">
            <v>10.13591360141327</v>
          </cell>
          <cell r="BV1472">
            <v>11.522967903511651</v>
          </cell>
          <cell r="BW1472">
            <v>10.055977276238897</v>
          </cell>
          <cell r="BX1472">
            <v>8.6149332270911767</v>
          </cell>
          <cell r="BY1472">
            <v>11.497021325386617</v>
          </cell>
        </row>
        <row r="1473">
          <cell r="A1473">
            <v>41499</v>
          </cell>
          <cell r="BF1473">
            <v>17.540003259416999</v>
          </cell>
          <cell r="BG1473">
            <v>17.429620749261797</v>
          </cell>
          <cell r="BH1473">
            <v>16.109902701379674</v>
          </cell>
          <cell r="BI1473">
            <v>13.839355674417275</v>
          </cell>
          <cell r="BJ1473">
            <v>18.380449728342072</v>
          </cell>
          <cell r="BU1473">
            <v>10.115318632541435</v>
          </cell>
          <cell r="BV1473">
            <v>11.522967903511651</v>
          </cell>
          <cell r="BW1473">
            <v>10.055977276238897</v>
          </cell>
          <cell r="BX1473">
            <v>8.6149332270911767</v>
          </cell>
          <cell r="BY1473">
            <v>11.497021325386617</v>
          </cell>
        </row>
        <row r="1474">
          <cell r="A1474">
            <v>41500</v>
          </cell>
          <cell r="BF1474">
            <v>17.383557327712648</v>
          </cell>
          <cell r="BG1474">
            <v>17.429620749261797</v>
          </cell>
          <cell r="BH1474">
            <v>16.109902701379674</v>
          </cell>
          <cell r="BI1474">
            <v>13.839355674417275</v>
          </cell>
          <cell r="BJ1474">
            <v>18.380449728342072</v>
          </cell>
          <cell r="BU1474">
            <v>10.030234839590261</v>
          </cell>
          <cell r="BV1474">
            <v>11.522967903511651</v>
          </cell>
          <cell r="BW1474">
            <v>10.055977276238897</v>
          </cell>
          <cell r="BX1474">
            <v>8.6149332270911767</v>
          </cell>
          <cell r="BY1474">
            <v>11.497021325386617</v>
          </cell>
        </row>
        <row r="1475">
          <cell r="A1475">
            <v>41501</v>
          </cell>
          <cell r="BF1475">
            <v>17.331402309840179</v>
          </cell>
          <cell r="BG1475">
            <v>17.429620749261797</v>
          </cell>
          <cell r="BH1475">
            <v>16.109902701379674</v>
          </cell>
          <cell r="BI1475">
            <v>13.839355674417275</v>
          </cell>
          <cell r="BJ1475">
            <v>18.380449728342072</v>
          </cell>
          <cell r="BU1475">
            <v>9.9581324168534646</v>
          </cell>
          <cell r="BV1475">
            <v>11.522967903511651</v>
          </cell>
          <cell r="BW1475">
            <v>10.055977276238897</v>
          </cell>
          <cell r="BX1475">
            <v>8.6149332270911767</v>
          </cell>
          <cell r="BY1475">
            <v>11.497021325386617</v>
          </cell>
        </row>
        <row r="1476">
          <cell r="A1476">
            <v>41502</v>
          </cell>
          <cell r="BF1476">
            <v>17.346019634641085</v>
          </cell>
          <cell r="BG1476">
            <v>17.429620749261797</v>
          </cell>
          <cell r="BH1476">
            <v>16.109902701379674</v>
          </cell>
          <cell r="BI1476">
            <v>13.839355674417275</v>
          </cell>
          <cell r="BJ1476">
            <v>18.380449728342072</v>
          </cell>
          <cell r="BU1476">
            <v>10.026377189835754</v>
          </cell>
          <cell r="BV1476">
            <v>11.522967903511651</v>
          </cell>
          <cell r="BW1476">
            <v>10.055977276238897</v>
          </cell>
          <cell r="BX1476">
            <v>8.6149332270911767</v>
          </cell>
          <cell r="BY1476">
            <v>11.497021325386617</v>
          </cell>
        </row>
        <row r="1477">
          <cell r="A1477">
            <v>41505</v>
          </cell>
          <cell r="BF1477">
            <v>17.233743341948049</v>
          </cell>
          <cell r="BG1477">
            <v>17.429620749261797</v>
          </cell>
          <cell r="BH1477">
            <v>16.109902701379674</v>
          </cell>
          <cell r="BI1477">
            <v>13.839355674417275</v>
          </cell>
          <cell r="BJ1477">
            <v>18.380449728342072</v>
          </cell>
          <cell r="BU1477">
            <v>9.9651917665450132</v>
          </cell>
          <cell r="BV1477">
            <v>11.522967903511651</v>
          </cell>
          <cell r="BW1477">
            <v>10.055977276238897</v>
          </cell>
          <cell r="BX1477">
            <v>8.6149332270911767</v>
          </cell>
          <cell r="BY1477">
            <v>11.497021325386617</v>
          </cell>
        </row>
        <row r="1478">
          <cell r="A1478">
            <v>41506</v>
          </cell>
          <cell r="BF1478">
            <v>17.095565904728591</v>
          </cell>
          <cell r="BG1478">
            <v>17.429620749261797</v>
          </cell>
          <cell r="BH1478">
            <v>16.109902701379674</v>
          </cell>
          <cell r="BI1478">
            <v>13.839355674417275</v>
          </cell>
          <cell r="BJ1478">
            <v>18.380449728342072</v>
          </cell>
          <cell r="BU1478">
            <v>9.8898914089831802</v>
          </cell>
          <cell r="BV1478">
            <v>11.522967903511651</v>
          </cell>
          <cell r="BW1478">
            <v>10.055977276238897</v>
          </cell>
          <cell r="BX1478">
            <v>8.6149332270911767</v>
          </cell>
          <cell r="BY1478">
            <v>11.497021325386617</v>
          </cell>
        </row>
        <row r="1479">
          <cell r="A1479">
            <v>41507</v>
          </cell>
          <cell r="BF1479">
            <v>17.462605012080033</v>
          </cell>
          <cell r="BG1479">
            <v>17.429620749261797</v>
          </cell>
          <cell r="BH1479">
            <v>16.109902701379674</v>
          </cell>
          <cell r="BI1479">
            <v>13.839355674417275</v>
          </cell>
          <cell r="BJ1479">
            <v>18.380449728342072</v>
          </cell>
          <cell r="BU1479">
            <v>10.089910866420672</v>
          </cell>
          <cell r="BV1479">
            <v>11.522967903511651</v>
          </cell>
          <cell r="BW1479">
            <v>10.055977276238897</v>
          </cell>
          <cell r="BX1479">
            <v>8.6149332270911767</v>
          </cell>
          <cell r="BY1479">
            <v>11.497021325386617</v>
          </cell>
        </row>
        <row r="1480">
          <cell r="A1480">
            <v>41508</v>
          </cell>
          <cell r="BF1480">
            <v>17.475558607050246</v>
          </cell>
          <cell r="BG1480">
            <v>17.429620749261797</v>
          </cell>
          <cell r="BH1480">
            <v>16.109902701379674</v>
          </cell>
          <cell r="BI1480">
            <v>13.839355674417275</v>
          </cell>
          <cell r="BJ1480">
            <v>18.380449728342072</v>
          </cell>
          <cell r="BU1480">
            <v>10.09696998079272</v>
          </cell>
          <cell r="BV1480">
            <v>11.522967903511651</v>
          </cell>
          <cell r="BW1480">
            <v>10.055977276238897</v>
          </cell>
          <cell r="BX1480">
            <v>8.6149332270911767</v>
          </cell>
          <cell r="BY1480">
            <v>11.497021325386617</v>
          </cell>
        </row>
        <row r="1481">
          <cell r="A1481">
            <v>41509</v>
          </cell>
          <cell r="BF1481">
            <v>17.438858194018927</v>
          </cell>
          <cell r="BG1481">
            <v>17.429620749261797</v>
          </cell>
          <cell r="BH1481">
            <v>16.109902701379674</v>
          </cell>
          <cell r="BI1481">
            <v>13.839355674417275</v>
          </cell>
          <cell r="BJ1481">
            <v>18.380449728342072</v>
          </cell>
          <cell r="BU1481">
            <v>10.076969941136925</v>
          </cell>
          <cell r="BV1481">
            <v>11.522967903511651</v>
          </cell>
          <cell r="BW1481">
            <v>10.055977276238897</v>
          </cell>
          <cell r="BX1481">
            <v>8.6149332270911767</v>
          </cell>
          <cell r="BY1481">
            <v>11.497021325386617</v>
          </cell>
        </row>
        <row r="1482">
          <cell r="A1482">
            <v>41512</v>
          </cell>
          <cell r="BF1482">
            <v>17.471243045075038</v>
          </cell>
          <cell r="BG1482">
            <v>17.429620749261797</v>
          </cell>
          <cell r="BH1482">
            <v>16.109902701379674</v>
          </cell>
          <cell r="BI1482">
            <v>13.839355674417275</v>
          </cell>
          <cell r="BJ1482">
            <v>18.380449728342072</v>
          </cell>
          <cell r="BU1482">
            <v>10.094618197706039</v>
          </cell>
          <cell r="BV1482">
            <v>11.522967903511651</v>
          </cell>
          <cell r="BW1482">
            <v>10.055977276238897</v>
          </cell>
          <cell r="BX1482">
            <v>8.6149332270911767</v>
          </cell>
          <cell r="BY1482">
            <v>11.497021325386617</v>
          </cell>
        </row>
        <row r="1483">
          <cell r="A1483">
            <v>41513</v>
          </cell>
          <cell r="BF1483">
            <v>17.204167971813156</v>
          </cell>
          <cell r="BG1483">
            <v>17.429620749261797</v>
          </cell>
          <cell r="BH1483">
            <v>16.109902701379674</v>
          </cell>
          <cell r="BI1483">
            <v>13.839355674417275</v>
          </cell>
          <cell r="BJ1483">
            <v>18.380449728342072</v>
          </cell>
          <cell r="BU1483">
            <v>9.948505583226444</v>
          </cell>
          <cell r="BV1483">
            <v>11.522967903511651</v>
          </cell>
          <cell r="BW1483">
            <v>10.055977276238897</v>
          </cell>
          <cell r="BX1483">
            <v>8.6149332270911767</v>
          </cell>
          <cell r="BY1483">
            <v>11.497021325386617</v>
          </cell>
        </row>
        <row r="1484">
          <cell r="A1484">
            <v>41514</v>
          </cell>
          <cell r="BF1484">
            <v>17.48302016424363</v>
          </cell>
          <cell r="BG1484">
            <v>17.429620749261797</v>
          </cell>
          <cell r="BH1484">
            <v>16.109902701379674</v>
          </cell>
          <cell r="BI1484">
            <v>13.839355674417275</v>
          </cell>
          <cell r="BJ1484">
            <v>18.380449728342072</v>
          </cell>
          <cell r="BU1484">
            <v>10.101662569185825</v>
          </cell>
          <cell r="BV1484">
            <v>11.522967903511651</v>
          </cell>
          <cell r="BW1484">
            <v>10.055977276238897</v>
          </cell>
          <cell r="BX1484">
            <v>8.6149332270911767</v>
          </cell>
          <cell r="BY1484">
            <v>11.497021325386617</v>
          </cell>
        </row>
        <row r="1485">
          <cell r="A1485">
            <v>41515</v>
          </cell>
          <cell r="BF1485">
            <v>17.705495749728819</v>
          </cell>
          <cell r="BG1485">
            <v>17.429620749261797</v>
          </cell>
          <cell r="BH1485">
            <v>16.109902701379674</v>
          </cell>
          <cell r="BI1485">
            <v>13.839355674417275</v>
          </cell>
          <cell r="BJ1485">
            <v>18.380449728342072</v>
          </cell>
          <cell r="BU1485">
            <v>10.221757850628734</v>
          </cell>
          <cell r="BV1485">
            <v>11.522967903511651</v>
          </cell>
          <cell r="BW1485">
            <v>10.055977276238897</v>
          </cell>
          <cell r="BX1485">
            <v>8.6149332270911767</v>
          </cell>
          <cell r="BY1485">
            <v>11.497021325386617</v>
          </cell>
        </row>
        <row r="1486">
          <cell r="A1486">
            <v>41516</v>
          </cell>
          <cell r="BF1486">
            <v>17.925900508649633</v>
          </cell>
          <cell r="BG1486">
            <v>17.429620749261797</v>
          </cell>
          <cell r="BH1486">
            <v>16.109902701379674</v>
          </cell>
          <cell r="BI1486">
            <v>13.839355674417275</v>
          </cell>
          <cell r="BJ1486">
            <v>18.380449728342072</v>
          </cell>
          <cell r="BU1486">
            <v>10.341856899811068</v>
          </cell>
          <cell r="BV1486">
            <v>11.522967903511651</v>
          </cell>
          <cell r="BW1486">
            <v>10.055977276238897</v>
          </cell>
          <cell r="BX1486">
            <v>8.6149332270911767</v>
          </cell>
          <cell r="BY1486">
            <v>11.497021325386617</v>
          </cell>
        </row>
        <row r="1487">
          <cell r="A1487">
            <v>41519</v>
          </cell>
          <cell r="BF1487">
            <v>17.891327026711664</v>
          </cell>
          <cell r="BG1487">
            <v>17.429620749261797</v>
          </cell>
          <cell r="BH1487">
            <v>16.109902701379674</v>
          </cell>
          <cell r="BI1487">
            <v>13.839355674417275</v>
          </cell>
          <cell r="BJ1487">
            <v>18.380449728342072</v>
          </cell>
          <cell r="BU1487">
            <v>10.323017731691454</v>
          </cell>
          <cell r="BV1487">
            <v>11.522967903511651</v>
          </cell>
          <cell r="BW1487">
            <v>10.055977276238897</v>
          </cell>
          <cell r="BX1487">
            <v>8.6149332270911767</v>
          </cell>
          <cell r="BY1487">
            <v>11.497021325386617</v>
          </cell>
        </row>
        <row r="1488">
          <cell r="A1488">
            <v>41520</v>
          </cell>
          <cell r="BF1488">
            <v>17.899972341905897</v>
          </cell>
          <cell r="BG1488">
            <v>17.429620749261797</v>
          </cell>
          <cell r="BH1488">
            <v>16.109902701379674</v>
          </cell>
          <cell r="BI1488">
            <v>13.839355674417275</v>
          </cell>
          <cell r="BJ1488">
            <v>18.380449728342072</v>
          </cell>
          <cell r="BU1488">
            <v>10.327728583398072</v>
          </cell>
          <cell r="BV1488">
            <v>11.522967903511651</v>
          </cell>
          <cell r="BW1488">
            <v>10.055977276238897</v>
          </cell>
          <cell r="BX1488">
            <v>8.6149332270911767</v>
          </cell>
          <cell r="BY1488">
            <v>11.497021325386617</v>
          </cell>
        </row>
        <row r="1489">
          <cell r="A1489">
            <v>41521</v>
          </cell>
          <cell r="BF1489">
            <v>17.913052328156773</v>
          </cell>
          <cell r="BG1489">
            <v>17.429620749261797</v>
          </cell>
          <cell r="BH1489">
            <v>16.109902701379674</v>
          </cell>
          <cell r="BI1489">
            <v>13.839355674417275</v>
          </cell>
          <cell r="BJ1489">
            <v>18.380449728342072</v>
          </cell>
          <cell r="BU1489">
            <v>10.33286285675702</v>
          </cell>
          <cell r="BV1489">
            <v>11.522967903511651</v>
          </cell>
          <cell r="BW1489">
            <v>10.055977276238897</v>
          </cell>
          <cell r="BX1489">
            <v>8.6149332270911767</v>
          </cell>
          <cell r="BY1489">
            <v>11.497021325386617</v>
          </cell>
        </row>
        <row r="1490">
          <cell r="A1490">
            <v>41522</v>
          </cell>
          <cell r="BF1490">
            <v>17.926016711647375</v>
          </cell>
          <cell r="BG1490">
            <v>17.429620749261797</v>
          </cell>
          <cell r="BH1490">
            <v>16.109902701379674</v>
          </cell>
          <cell r="BI1490">
            <v>13.839355674417275</v>
          </cell>
          <cell r="BJ1490">
            <v>18.380449728342072</v>
          </cell>
          <cell r="BU1490">
            <v>10.339925813626428</v>
          </cell>
          <cell r="BV1490">
            <v>11.522967903511651</v>
          </cell>
          <cell r="BW1490">
            <v>10.055977276238897</v>
          </cell>
          <cell r="BX1490">
            <v>8.6149332270911767</v>
          </cell>
          <cell r="BY1490">
            <v>11.497021325386617</v>
          </cell>
        </row>
        <row r="1491">
          <cell r="A1491">
            <v>41523</v>
          </cell>
          <cell r="BF1491">
            <v>17.969228874373098</v>
          </cell>
          <cell r="BG1491">
            <v>17.429620749261797</v>
          </cell>
          <cell r="BH1491">
            <v>16.109902701379674</v>
          </cell>
          <cell r="BI1491">
            <v>13.839355674417275</v>
          </cell>
          <cell r="BJ1491">
            <v>18.380449728342072</v>
          </cell>
          <cell r="BU1491">
            <v>10.363467669032584</v>
          </cell>
          <cell r="BV1491">
            <v>11.522967903511651</v>
          </cell>
          <cell r="BW1491">
            <v>10.055977276238897</v>
          </cell>
          <cell r="BX1491">
            <v>8.6149332270911767</v>
          </cell>
          <cell r="BY1491">
            <v>11.497021325386617</v>
          </cell>
        </row>
        <row r="1492">
          <cell r="A1492">
            <v>41526</v>
          </cell>
          <cell r="BF1492">
            <v>18.034056842073419</v>
          </cell>
          <cell r="BG1492">
            <v>17.429620749261797</v>
          </cell>
          <cell r="BH1492">
            <v>16.109902701379674</v>
          </cell>
          <cell r="BI1492">
            <v>13.839355674417275</v>
          </cell>
          <cell r="BJ1492">
            <v>18.380449728342072</v>
          </cell>
          <cell r="BU1492">
            <v>10.398785749536049</v>
          </cell>
          <cell r="BV1492">
            <v>11.522967903511651</v>
          </cell>
          <cell r="BW1492">
            <v>10.055977276238897</v>
          </cell>
          <cell r="BX1492">
            <v>8.6149332270911767</v>
          </cell>
          <cell r="BY1492">
            <v>11.497021325386617</v>
          </cell>
        </row>
        <row r="1493">
          <cell r="A1493">
            <v>41527</v>
          </cell>
          <cell r="BF1493">
            <v>18.280384882160629</v>
          </cell>
          <cell r="BG1493">
            <v>17.429620749261797</v>
          </cell>
          <cell r="BH1493">
            <v>16.109902701379674</v>
          </cell>
          <cell r="BI1493">
            <v>13.839355674417275</v>
          </cell>
          <cell r="BJ1493">
            <v>18.380449728342072</v>
          </cell>
          <cell r="BU1493">
            <v>10.532984519892036</v>
          </cell>
          <cell r="BV1493">
            <v>11.522967903511651</v>
          </cell>
          <cell r="BW1493">
            <v>10.055977276238897</v>
          </cell>
          <cell r="BX1493">
            <v>8.6149332270911767</v>
          </cell>
          <cell r="BY1493">
            <v>11.497021325386617</v>
          </cell>
        </row>
        <row r="1494">
          <cell r="A1494">
            <v>41528</v>
          </cell>
          <cell r="BF1494">
            <v>18.289030253397321</v>
          </cell>
          <cell r="BG1494">
            <v>17.429620749261797</v>
          </cell>
          <cell r="BH1494">
            <v>16.109902701379674</v>
          </cell>
          <cell r="BI1494">
            <v>13.839355674417275</v>
          </cell>
          <cell r="BJ1494">
            <v>18.380449728342072</v>
          </cell>
          <cell r="BU1494">
            <v>10.537694491963522</v>
          </cell>
          <cell r="BV1494">
            <v>11.522967903511651</v>
          </cell>
          <cell r="BW1494">
            <v>10.055977276238897</v>
          </cell>
          <cell r="BX1494">
            <v>8.6149332270911767</v>
          </cell>
          <cell r="BY1494">
            <v>11.497021325386617</v>
          </cell>
        </row>
        <row r="1495">
          <cell r="A1495">
            <v>41529</v>
          </cell>
          <cell r="BF1495">
            <v>18.371141616842163</v>
          </cell>
          <cell r="BG1495">
            <v>17.429620749261797</v>
          </cell>
          <cell r="BH1495">
            <v>16.109902701379674</v>
          </cell>
          <cell r="BI1495">
            <v>13.839355674417275</v>
          </cell>
          <cell r="BJ1495">
            <v>18.380449728342072</v>
          </cell>
          <cell r="BU1495">
            <v>10.582428514134323</v>
          </cell>
          <cell r="BV1495">
            <v>11.522967903511651</v>
          </cell>
          <cell r="BW1495">
            <v>10.055977276238897</v>
          </cell>
          <cell r="BX1495">
            <v>8.6149332270911767</v>
          </cell>
          <cell r="BY1495">
            <v>11.497021325386617</v>
          </cell>
        </row>
        <row r="1496">
          <cell r="A1496">
            <v>41530</v>
          </cell>
          <cell r="BF1496">
            <v>18.261079041052444</v>
          </cell>
          <cell r="BG1496">
            <v>17.429620749261797</v>
          </cell>
          <cell r="BH1496">
            <v>16.109902701379674</v>
          </cell>
          <cell r="BI1496">
            <v>13.839355674417275</v>
          </cell>
          <cell r="BJ1496">
            <v>18.380449728342072</v>
          </cell>
          <cell r="BU1496">
            <v>10.550811479894771</v>
          </cell>
          <cell r="BV1496">
            <v>11.522967903511651</v>
          </cell>
          <cell r="BW1496">
            <v>10.055977276238897</v>
          </cell>
          <cell r="BX1496">
            <v>8.6149332270911767</v>
          </cell>
          <cell r="BY1496">
            <v>11.497021325386617</v>
          </cell>
        </row>
        <row r="1497">
          <cell r="A1497">
            <v>41533</v>
          </cell>
          <cell r="BF1497">
            <v>18.488057315693126</v>
          </cell>
          <cell r="BG1497">
            <v>17.429620749261797</v>
          </cell>
          <cell r="BH1497">
            <v>16.109902701379674</v>
          </cell>
          <cell r="BI1497">
            <v>13.839355674417275</v>
          </cell>
          <cell r="BJ1497">
            <v>18.380449728342072</v>
          </cell>
          <cell r="BU1497">
            <v>10.674862693419842</v>
          </cell>
          <cell r="BV1497">
            <v>11.522967903511651</v>
          </cell>
          <cell r="BW1497">
            <v>10.055977276238897</v>
          </cell>
          <cell r="BX1497">
            <v>8.6149332270911767</v>
          </cell>
          <cell r="BY1497">
            <v>11.497021325386617</v>
          </cell>
        </row>
        <row r="1498">
          <cell r="A1498">
            <v>41534</v>
          </cell>
          <cell r="BF1498">
            <v>18.325315727020634</v>
          </cell>
          <cell r="BG1498">
            <v>17.429620749261797</v>
          </cell>
          <cell r="BH1498">
            <v>16.109902701379674</v>
          </cell>
          <cell r="BI1498">
            <v>13.839355674417275</v>
          </cell>
          <cell r="BJ1498">
            <v>18.380449728342072</v>
          </cell>
          <cell r="BU1498">
            <v>10.585918975798497</v>
          </cell>
          <cell r="BV1498">
            <v>11.522967903511651</v>
          </cell>
          <cell r="BW1498">
            <v>10.055977276238897</v>
          </cell>
          <cell r="BX1498">
            <v>8.6149332270911767</v>
          </cell>
          <cell r="BY1498">
            <v>11.497021325386617</v>
          </cell>
        </row>
        <row r="1499">
          <cell r="A1499">
            <v>41535</v>
          </cell>
          <cell r="BF1499">
            <v>18.458075570348242</v>
          </cell>
          <cell r="BG1499">
            <v>17.429620749261797</v>
          </cell>
          <cell r="BH1499">
            <v>16.109902701379674</v>
          </cell>
          <cell r="BI1499">
            <v>13.839355674417275</v>
          </cell>
          <cell r="BJ1499">
            <v>18.380449728342072</v>
          </cell>
          <cell r="BU1499">
            <v>10.658476667490618</v>
          </cell>
          <cell r="BV1499">
            <v>11.522967903511651</v>
          </cell>
          <cell r="BW1499">
            <v>10.055977276238897</v>
          </cell>
          <cell r="BX1499">
            <v>8.6149332270911767</v>
          </cell>
          <cell r="BY1499">
            <v>11.497021325386617</v>
          </cell>
        </row>
        <row r="1500">
          <cell r="A1500">
            <v>41536</v>
          </cell>
          <cell r="BF1500">
            <v>18.338163149866613</v>
          </cell>
          <cell r="BG1500">
            <v>17.429620749261797</v>
          </cell>
          <cell r="BH1500">
            <v>16.109902701379674</v>
          </cell>
          <cell r="BI1500">
            <v>13.839355674417275</v>
          </cell>
          <cell r="BJ1500">
            <v>18.380449728342072</v>
          </cell>
          <cell r="BU1500">
            <v>10.59294052179111</v>
          </cell>
          <cell r="BV1500">
            <v>11.522967903511651</v>
          </cell>
          <cell r="BW1500">
            <v>10.055977276238897</v>
          </cell>
          <cell r="BX1500">
            <v>8.6149332270911767</v>
          </cell>
          <cell r="BY1500">
            <v>11.497021325386617</v>
          </cell>
        </row>
        <row r="1501">
          <cell r="A1501">
            <v>41537</v>
          </cell>
          <cell r="BF1501">
            <v>18.522318680241984</v>
          </cell>
          <cell r="BG1501">
            <v>17.429620749261797</v>
          </cell>
          <cell r="BH1501">
            <v>16.109902701379674</v>
          </cell>
          <cell r="BI1501">
            <v>13.839355674417275</v>
          </cell>
          <cell r="BJ1501">
            <v>18.380449728342072</v>
          </cell>
          <cell r="BU1501">
            <v>10.693587674284373</v>
          </cell>
          <cell r="BV1501">
            <v>11.522967903511651</v>
          </cell>
          <cell r="BW1501">
            <v>10.055977276238897</v>
          </cell>
          <cell r="BX1501">
            <v>8.6149332270911767</v>
          </cell>
          <cell r="BY1501">
            <v>11.497021325386617</v>
          </cell>
        </row>
        <row r="1502">
          <cell r="A1502">
            <v>41540</v>
          </cell>
          <cell r="BF1502">
            <v>18.518032208850759</v>
          </cell>
          <cell r="BG1502">
            <v>17.429620749261797</v>
          </cell>
          <cell r="BH1502">
            <v>16.109902701379674</v>
          </cell>
          <cell r="BI1502">
            <v>13.839355674417275</v>
          </cell>
          <cell r="BJ1502">
            <v>18.380449728342072</v>
          </cell>
          <cell r="BU1502">
            <v>10.691244974399707</v>
          </cell>
          <cell r="BV1502">
            <v>11.522967903511651</v>
          </cell>
          <cell r="BW1502">
            <v>10.055977276238897</v>
          </cell>
          <cell r="BX1502">
            <v>8.6149332270911767</v>
          </cell>
          <cell r="BY1502">
            <v>11.497021325386617</v>
          </cell>
        </row>
        <row r="1503">
          <cell r="A1503">
            <v>41541</v>
          </cell>
          <cell r="BF1503">
            <v>18.519882858720212</v>
          </cell>
          <cell r="BG1503">
            <v>17.429620749261797</v>
          </cell>
          <cell r="BH1503">
            <v>16.109902701379674</v>
          </cell>
          <cell r="BI1503">
            <v>13.839355674417275</v>
          </cell>
          <cell r="BJ1503">
            <v>18.380449728342072</v>
          </cell>
          <cell r="BU1503">
            <v>10.692471143415677</v>
          </cell>
          <cell r="BV1503">
            <v>11.522967903511651</v>
          </cell>
          <cell r="BW1503">
            <v>10.055977276238897</v>
          </cell>
          <cell r="BX1503">
            <v>8.6149332270911767</v>
          </cell>
          <cell r="BY1503">
            <v>11.497021325386617</v>
          </cell>
        </row>
        <row r="1504">
          <cell r="A1504">
            <v>41542</v>
          </cell>
          <cell r="BF1504">
            <v>18.721186403475372</v>
          </cell>
          <cell r="BG1504">
            <v>17.429620749261797</v>
          </cell>
          <cell r="BH1504">
            <v>16.109902701379674</v>
          </cell>
          <cell r="BI1504">
            <v>13.839355674417275</v>
          </cell>
          <cell r="BJ1504">
            <v>18.380449728342072</v>
          </cell>
          <cell r="BU1504">
            <v>10.802491881685425</v>
          </cell>
          <cell r="BV1504">
            <v>11.522967903511651</v>
          </cell>
          <cell r="BW1504">
            <v>10.055977276238897</v>
          </cell>
          <cell r="BX1504">
            <v>8.6149332270911767</v>
          </cell>
          <cell r="BY1504">
            <v>11.497021325386617</v>
          </cell>
        </row>
        <row r="1505">
          <cell r="A1505">
            <v>41543</v>
          </cell>
          <cell r="BF1505">
            <v>18.961036068594812</v>
          </cell>
          <cell r="BG1505">
            <v>17.429620749261797</v>
          </cell>
          <cell r="BH1505">
            <v>16.109902701379674</v>
          </cell>
          <cell r="BI1505">
            <v>13.839355674417275</v>
          </cell>
          <cell r="BJ1505">
            <v>18.380449728342072</v>
          </cell>
          <cell r="BU1505">
            <v>10.93357967381689</v>
          </cell>
          <cell r="BV1505">
            <v>11.522967903511651</v>
          </cell>
          <cell r="BW1505">
            <v>10.055977276238897</v>
          </cell>
          <cell r="BX1505">
            <v>8.6149332270911767</v>
          </cell>
          <cell r="BY1505">
            <v>11.497021325386617</v>
          </cell>
        </row>
        <row r="1506">
          <cell r="A1506">
            <v>41544</v>
          </cell>
          <cell r="BF1506">
            <v>18.708337696687281</v>
          </cell>
          <cell r="BG1506">
            <v>17.429620749261797</v>
          </cell>
          <cell r="BH1506">
            <v>16.109902701379674</v>
          </cell>
          <cell r="BI1506">
            <v>13.839355674417275</v>
          </cell>
          <cell r="BJ1506">
            <v>18.380449728342072</v>
          </cell>
          <cell r="BU1506">
            <v>10.795469530398185</v>
          </cell>
          <cell r="BV1506">
            <v>11.522967903511651</v>
          </cell>
          <cell r="BW1506">
            <v>10.055977276238897</v>
          </cell>
          <cell r="BX1506">
            <v>8.6149332270911767</v>
          </cell>
          <cell r="BY1506">
            <v>11.497021325386617</v>
          </cell>
        </row>
        <row r="1507">
          <cell r="A1507">
            <v>41547</v>
          </cell>
          <cell r="BF1507">
            <v>18.477056263152086</v>
          </cell>
          <cell r="BG1507">
            <v>17.429620749261797</v>
          </cell>
          <cell r="BH1507">
            <v>16.109902701379674</v>
          </cell>
          <cell r="BI1507">
            <v>13.839355674417275</v>
          </cell>
          <cell r="BJ1507">
            <v>18.380449728342072</v>
          </cell>
          <cell r="BU1507">
            <v>10.669825745848231</v>
          </cell>
          <cell r="BV1507">
            <v>11.522967903511651</v>
          </cell>
          <cell r="BW1507">
            <v>10.055977276238897</v>
          </cell>
          <cell r="BX1507">
            <v>8.6149332270911767</v>
          </cell>
          <cell r="BY1507">
            <v>11.497021325386617</v>
          </cell>
        </row>
        <row r="1508">
          <cell r="A1508">
            <v>41548</v>
          </cell>
          <cell r="BF1508">
            <v>18.385740471436637</v>
          </cell>
          <cell r="BG1508">
            <v>17.429620749261797</v>
          </cell>
          <cell r="BH1508">
            <v>16.109902701379674</v>
          </cell>
          <cell r="BI1508">
            <v>13.839355674417275</v>
          </cell>
          <cell r="BJ1508">
            <v>18.380449728342072</v>
          </cell>
          <cell r="BU1508">
            <v>10.608956656425571</v>
          </cell>
          <cell r="BV1508">
            <v>11.522967903511651</v>
          </cell>
          <cell r="BW1508">
            <v>10.055977276238897</v>
          </cell>
          <cell r="BX1508">
            <v>8.6149332270911767</v>
          </cell>
          <cell r="BY1508">
            <v>11.497021325386617</v>
          </cell>
        </row>
        <row r="1509">
          <cell r="A1509">
            <v>41549</v>
          </cell>
          <cell r="BF1509">
            <v>18.275558151824796</v>
          </cell>
          <cell r="BG1509">
            <v>17.429620749261797</v>
          </cell>
          <cell r="BH1509">
            <v>16.109902701379674</v>
          </cell>
          <cell r="BI1509">
            <v>13.839355674417275</v>
          </cell>
          <cell r="BJ1509">
            <v>18.380449728342072</v>
          </cell>
          <cell r="BU1509">
            <v>10.593649646014221</v>
          </cell>
          <cell r="BV1509">
            <v>11.522967903511651</v>
          </cell>
          <cell r="BW1509">
            <v>10.055977276238897</v>
          </cell>
          <cell r="BX1509">
            <v>8.6149332270911767</v>
          </cell>
          <cell r="BY1509">
            <v>11.497021325386617</v>
          </cell>
        </row>
        <row r="1510">
          <cell r="A1510">
            <v>41550</v>
          </cell>
          <cell r="BF1510">
            <v>17.667498088457425</v>
          </cell>
          <cell r="BG1510">
            <v>17.429620749261797</v>
          </cell>
          <cell r="BH1510">
            <v>16.109902701379674</v>
          </cell>
          <cell r="BI1510">
            <v>13.839355674417275</v>
          </cell>
          <cell r="BJ1510">
            <v>18.380449728342072</v>
          </cell>
          <cell r="BU1510">
            <v>10.466947371087784</v>
          </cell>
          <cell r="BV1510">
            <v>11.522967903511651</v>
          </cell>
          <cell r="BW1510">
            <v>10.055977276238897</v>
          </cell>
          <cell r="BX1510">
            <v>8.6149332270911767</v>
          </cell>
          <cell r="BY1510">
            <v>11.497021325386617</v>
          </cell>
        </row>
        <row r="1511">
          <cell r="A1511">
            <v>41551</v>
          </cell>
          <cell r="BF1511">
            <v>18.100631801610493</v>
          </cell>
          <cell r="BG1511">
            <v>17.429620749261797</v>
          </cell>
          <cell r="BH1511">
            <v>16.109902701379674</v>
          </cell>
          <cell r="BI1511">
            <v>13.839355674417275</v>
          </cell>
          <cell r="BJ1511">
            <v>18.380449728342072</v>
          </cell>
          <cell r="BU1511">
            <v>10.686932559423058</v>
          </cell>
          <cell r="BV1511">
            <v>11.522967903511651</v>
          </cell>
          <cell r="BW1511">
            <v>10.055977276238897</v>
          </cell>
          <cell r="BX1511">
            <v>8.6149332270911767</v>
          </cell>
          <cell r="BY1511">
            <v>11.497021325386617</v>
          </cell>
        </row>
        <row r="1512">
          <cell r="A1512">
            <v>41554</v>
          </cell>
          <cell r="BF1512">
            <v>18.196058532468221</v>
          </cell>
          <cell r="BG1512">
            <v>17.429620749261797</v>
          </cell>
          <cell r="BH1512">
            <v>16.109902701379674</v>
          </cell>
          <cell r="BI1512">
            <v>13.839355674417275</v>
          </cell>
          <cell r="BJ1512">
            <v>18.380449728342072</v>
          </cell>
          <cell r="BU1512">
            <v>10.73918374700281</v>
          </cell>
          <cell r="BV1512">
            <v>11.522967903511651</v>
          </cell>
          <cell r="BW1512">
            <v>10.055977276238897</v>
          </cell>
          <cell r="BX1512">
            <v>8.6149332270911767</v>
          </cell>
          <cell r="BY1512">
            <v>11.497021325386617</v>
          </cell>
        </row>
        <row r="1513">
          <cell r="A1513">
            <v>41555</v>
          </cell>
          <cell r="BF1513">
            <v>18.031229556996013</v>
          </cell>
          <cell r="BG1513">
            <v>17.429620749261797</v>
          </cell>
          <cell r="BH1513">
            <v>16.109902701379674</v>
          </cell>
          <cell r="BI1513">
            <v>13.839355674417275</v>
          </cell>
          <cell r="BJ1513">
            <v>18.380449728342072</v>
          </cell>
          <cell r="BU1513">
            <v>10.648931155946148</v>
          </cell>
          <cell r="BV1513">
            <v>11.522967903511651</v>
          </cell>
          <cell r="BW1513">
            <v>10.055977276238897</v>
          </cell>
          <cell r="BX1513">
            <v>8.6149332270911767</v>
          </cell>
          <cell r="BY1513">
            <v>11.497021325386617</v>
          </cell>
        </row>
        <row r="1514">
          <cell r="A1514">
            <v>41556</v>
          </cell>
          <cell r="BF1514">
            <v>17.935802392382392</v>
          </cell>
          <cell r="BG1514">
            <v>17.429620749261797</v>
          </cell>
          <cell r="BH1514">
            <v>16.109902701379674</v>
          </cell>
          <cell r="BI1514">
            <v>13.839355674417275</v>
          </cell>
          <cell r="BJ1514">
            <v>18.380449728342072</v>
          </cell>
          <cell r="BU1514">
            <v>10.596679730862077</v>
          </cell>
          <cell r="BV1514">
            <v>11.522967903511651</v>
          </cell>
          <cell r="BW1514">
            <v>10.055977276238897</v>
          </cell>
          <cell r="BX1514">
            <v>8.6149332270911767</v>
          </cell>
          <cell r="BY1514">
            <v>11.497021325386617</v>
          </cell>
        </row>
        <row r="1515">
          <cell r="A1515">
            <v>41557</v>
          </cell>
          <cell r="BF1515">
            <v>17.935802392382392</v>
          </cell>
          <cell r="BG1515">
            <v>17.429620749261797</v>
          </cell>
          <cell r="BH1515">
            <v>16.109902701379674</v>
          </cell>
          <cell r="BI1515">
            <v>13.839355674417275</v>
          </cell>
          <cell r="BJ1515">
            <v>18.380449728342072</v>
          </cell>
          <cell r="BU1515">
            <v>10.596679730862077</v>
          </cell>
          <cell r="BV1515">
            <v>11.522967903511651</v>
          </cell>
          <cell r="BW1515">
            <v>10.055977276238897</v>
          </cell>
          <cell r="BX1515">
            <v>8.6149332270911767</v>
          </cell>
          <cell r="BY1515">
            <v>11.497021325386617</v>
          </cell>
        </row>
        <row r="1516">
          <cell r="A1516">
            <v>41558</v>
          </cell>
          <cell r="BF1516">
            <v>17.996528217810834</v>
          </cell>
          <cell r="BG1516">
            <v>17.429620749261797</v>
          </cell>
          <cell r="BH1516">
            <v>16.109902701379674</v>
          </cell>
          <cell r="BI1516">
            <v>13.839355674417275</v>
          </cell>
          <cell r="BJ1516">
            <v>18.380449728342072</v>
          </cell>
          <cell r="BU1516">
            <v>10.629930335455537</v>
          </cell>
          <cell r="BV1516">
            <v>11.522967903511651</v>
          </cell>
          <cell r="BW1516">
            <v>10.055977276238897</v>
          </cell>
          <cell r="BX1516">
            <v>8.6149332270911767</v>
          </cell>
          <cell r="BY1516">
            <v>11.497021325386617</v>
          </cell>
        </row>
        <row r="1517">
          <cell r="A1517">
            <v>41561</v>
          </cell>
          <cell r="BF1517">
            <v>17.776031022775793</v>
          </cell>
          <cell r="BG1517">
            <v>17.429620749261797</v>
          </cell>
          <cell r="BH1517">
            <v>16.109902701379674</v>
          </cell>
          <cell r="BI1517">
            <v>13.839355674417275</v>
          </cell>
          <cell r="BJ1517">
            <v>18.380449728342072</v>
          </cell>
          <cell r="BU1517">
            <v>10.55162372899124</v>
          </cell>
          <cell r="BV1517">
            <v>11.522967903511651</v>
          </cell>
          <cell r="BW1517">
            <v>10.055977276238897</v>
          </cell>
          <cell r="BX1517">
            <v>8.6149332270911767</v>
          </cell>
          <cell r="BY1517">
            <v>11.497021325386617</v>
          </cell>
        </row>
        <row r="1518">
          <cell r="A1518">
            <v>41562</v>
          </cell>
          <cell r="BF1518">
            <v>17.767429383917921</v>
          </cell>
          <cell r="BG1518">
            <v>17.429620749261797</v>
          </cell>
          <cell r="BH1518">
            <v>16.109902701379674</v>
          </cell>
          <cell r="BI1518">
            <v>13.839355674417275</v>
          </cell>
          <cell r="BJ1518">
            <v>18.380449728342072</v>
          </cell>
          <cell r="BU1518">
            <v>10.546891016201895</v>
          </cell>
          <cell r="BV1518">
            <v>11.522967903511651</v>
          </cell>
          <cell r="BW1518">
            <v>10.055977276238897</v>
          </cell>
          <cell r="BX1518">
            <v>8.6149332270911767</v>
          </cell>
          <cell r="BY1518">
            <v>11.497021325386617</v>
          </cell>
        </row>
        <row r="1519">
          <cell r="A1519">
            <v>41563</v>
          </cell>
          <cell r="BF1519">
            <v>17.638429310818598</v>
          </cell>
          <cell r="BG1519">
            <v>17.429620749261797</v>
          </cell>
          <cell r="BH1519">
            <v>16.109902701379674</v>
          </cell>
          <cell r="BI1519">
            <v>13.839355674417275</v>
          </cell>
          <cell r="BJ1519">
            <v>18.380449728342072</v>
          </cell>
          <cell r="BU1519">
            <v>10.475913809896085</v>
          </cell>
          <cell r="BV1519">
            <v>11.522967903511651</v>
          </cell>
          <cell r="BW1519">
            <v>10.055977276238897</v>
          </cell>
          <cell r="BX1519">
            <v>8.6149332270911767</v>
          </cell>
          <cell r="BY1519">
            <v>11.497021325386617</v>
          </cell>
        </row>
        <row r="1520">
          <cell r="A1520">
            <v>41564</v>
          </cell>
          <cell r="BF1520">
            <v>17.616927793649573</v>
          </cell>
          <cell r="BG1520">
            <v>17.429620749261797</v>
          </cell>
          <cell r="BH1520">
            <v>16.109902701379674</v>
          </cell>
          <cell r="BI1520">
            <v>13.839355674417275</v>
          </cell>
          <cell r="BJ1520">
            <v>18.380449728342072</v>
          </cell>
          <cell r="BU1520">
            <v>10.464083447452655</v>
          </cell>
          <cell r="BV1520">
            <v>11.522967903511651</v>
          </cell>
          <cell r="BW1520">
            <v>10.055977276238897</v>
          </cell>
          <cell r="BX1520">
            <v>8.6149332270911767</v>
          </cell>
          <cell r="BY1520">
            <v>11.497021325386617</v>
          </cell>
        </row>
        <row r="1521">
          <cell r="A1521">
            <v>41565</v>
          </cell>
          <cell r="BF1521">
            <v>17.956628459139999</v>
          </cell>
          <cell r="BG1521">
            <v>17.429620749261797</v>
          </cell>
          <cell r="BH1521">
            <v>16.109902701379674</v>
          </cell>
          <cell r="BI1521">
            <v>13.839355674417275</v>
          </cell>
          <cell r="BJ1521">
            <v>18.380449728342072</v>
          </cell>
          <cell r="BU1521">
            <v>10.650990350971783</v>
          </cell>
          <cell r="BV1521">
            <v>11.522967903511651</v>
          </cell>
          <cell r="BW1521">
            <v>10.055977276238897</v>
          </cell>
          <cell r="BX1521">
            <v>8.6149332270911767</v>
          </cell>
          <cell r="BY1521">
            <v>11.497021325386617</v>
          </cell>
        </row>
        <row r="1522">
          <cell r="A1522">
            <v>41568</v>
          </cell>
          <cell r="BF1522">
            <v>17.857731112071626</v>
          </cell>
          <cell r="BG1522">
            <v>17.429620749261797</v>
          </cell>
          <cell r="BH1522">
            <v>16.109902701379674</v>
          </cell>
          <cell r="BI1522">
            <v>13.839355674417275</v>
          </cell>
          <cell r="BJ1522">
            <v>18.380449728342072</v>
          </cell>
          <cell r="BU1522">
            <v>10.596575983310418</v>
          </cell>
          <cell r="BV1522">
            <v>11.522967903511651</v>
          </cell>
          <cell r="BW1522">
            <v>10.055977276238897</v>
          </cell>
          <cell r="BX1522">
            <v>8.6149332270911767</v>
          </cell>
          <cell r="BY1522">
            <v>11.497021325386617</v>
          </cell>
        </row>
        <row r="1523">
          <cell r="A1523">
            <v>41569</v>
          </cell>
          <cell r="BF1523">
            <v>17.97382528691659</v>
          </cell>
          <cell r="BG1523">
            <v>17.429620749261797</v>
          </cell>
          <cell r="BH1523">
            <v>16.109902701379674</v>
          </cell>
          <cell r="BI1523">
            <v>13.839355674417275</v>
          </cell>
          <cell r="BJ1523">
            <v>18.380449728342072</v>
          </cell>
          <cell r="BU1523">
            <v>10.660452227725642</v>
          </cell>
          <cell r="BV1523">
            <v>11.522967903511651</v>
          </cell>
          <cell r="BW1523">
            <v>10.055977276238897</v>
          </cell>
          <cell r="BX1523">
            <v>8.6149332270911767</v>
          </cell>
          <cell r="BY1523">
            <v>11.497021325386617</v>
          </cell>
        </row>
        <row r="1524">
          <cell r="A1524">
            <v>41570</v>
          </cell>
          <cell r="BF1524">
            <v>17.539531963750228</v>
          </cell>
          <cell r="BG1524">
            <v>17.429620749261797</v>
          </cell>
          <cell r="BH1524">
            <v>16.109902701379674</v>
          </cell>
          <cell r="BI1524">
            <v>13.839355674417275</v>
          </cell>
          <cell r="BJ1524">
            <v>18.380449728342072</v>
          </cell>
          <cell r="BU1524">
            <v>10.421499442234724</v>
          </cell>
          <cell r="BV1524">
            <v>11.522967903511651</v>
          </cell>
          <cell r="BW1524">
            <v>10.055977276238897</v>
          </cell>
          <cell r="BX1524">
            <v>8.6149332270911767</v>
          </cell>
          <cell r="BY1524">
            <v>11.497021325386617</v>
          </cell>
        </row>
        <row r="1525">
          <cell r="A1525">
            <v>41571</v>
          </cell>
          <cell r="BF1525">
            <v>17.41483572005145</v>
          </cell>
          <cell r="BG1525">
            <v>17.429620749261797</v>
          </cell>
          <cell r="BH1525">
            <v>16.109902701379674</v>
          </cell>
          <cell r="BI1525">
            <v>13.839355674417275</v>
          </cell>
          <cell r="BJ1525">
            <v>18.380449728342072</v>
          </cell>
          <cell r="BU1525">
            <v>10.352890248441835</v>
          </cell>
          <cell r="BV1525">
            <v>11.522967903511651</v>
          </cell>
          <cell r="BW1525">
            <v>10.055977276238897</v>
          </cell>
          <cell r="BX1525">
            <v>8.6149332270911767</v>
          </cell>
          <cell r="BY1525">
            <v>11.497021325386617</v>
          </cell>
        </row>
        <row r="1526">
          <cell r="A1526">
            <v>41572</v>
          </cell>
          <cell r="BF1526">
            <v>17.34603507907082</v>
          </cell>
          <cell r="BG1526">
            <v>17.429620749261797</v>
          </cell>
          <cell r="BH1526">
            <v>16.109902701379674</v>
          </cell>
          <cell r="BI1526">
            <v>13.839355674417275</v>
          </cell>
          <cell r="BJ1526">
            <v>18.380449728342072</v>
          </cell>
          <cell r="BU1526">
            <v>10.315035407188418</v>
          </cell>
          <cell r="BV1526">
            <v>11.522967903511651</v>
          </cell>
          <cell r="BW1526">
            <v>10.055977276238897</v>
          </cell>
          <cell r="BX1526">
            <v>8.6149332270911767</v>
          </cell>
          <cell r="BY1526">
            <v>11.497021325386617</v>
          </cell>
        </row>
        <row r="1527">
          <cell r="A1527">
            <v>41575</v>
          </cell>
          <cell r="BF1527">
            <v>17.354630267989542</v>
          </cell>
          <cell r="BG1527">
            <v>17.429620749261797</v>
          </cell>
          <cell r="BH1527">
            <v>16.109902701379674</v>
          </cell>
          <cell r="BI1527">
            <v>13.839355674417275</v>
          </cell>
          <cell r="BJ1527">
            <v>18.380449728342072</v>
          </cell>
          <cell r="BU1527">
            <v>10.319764571152934</v>
          </cell>
          <cell r="BV1527">
            <v>11.522967903511651</v>
          </cell>
          <cell r="BW1527">
            <v>10.055977276238897</v>
          </cell>
          <cell r="BX1527">
            <v>8.6149332270911767</v>
          </cell>
          <cell r="BY1527">
            <v>11.497021325386617</v>
          </cell>
        </row>
        <row r="1528">
          <cell r="A1528">
            <v>41576</v>
          </cell>
          <cell r="BF1528">
            <v>17.264334559779044</v>
          </cell>
          <cell r="BG1528">
            <v>17.429620749261797</v>
          </cell>
          <cell r="BH1528">
            <v>16.109902701379674</v>
          </cell>
          <cell r="BI1528">
            <v>13.839355674417275</v>
          </cell>
          <cell r="BJ1528">
            <v>18.380449728342072</v>
          </cell>
          <cell r="BU1528">
            <v>10.270082916280915</v>
          </cell>
          <cell r="BV1528">
            <v>11.522967903511651</v>
          </cell>
          <cell r="BW1528">
            <v>10.055977276238897</v>
          </cell>
          <cell r="BX1528">
            <v>8.6149332270911767</v>
          </cell>
          <cell r="BY1528">
            <v>11.497021325386617</v>
          </cell>
        </row>
        <row r="1529">
          <cell r="A1529">
            <v>41577</v>
          </cell>
          <cell r="BF1529">
            <v>17.470730892773659</v>
          </cell>
          <cell r="BG1529">
            <v>17.429620749261797</v>
          </cell>
          <cell r="BH1529">
            <v>16.109902701379674</v>
          </cell>
          <cell r="BI1529">
            <v>13.839355674417275</v>
          </cell>
          <cell r="BJ1529">
            <v>18.380449728342072</v>
          </cell>
          <cell r="BU1529">
            <v>10.383644364392984</v>
          </cell>
          <cell r="BV1529">
            <v>11.522967903511651</v>
          </cell>
          <cell r="BW1529">
            <v>10.055977276238897</v>
          </cell>
          <cell r="BX1529">
            <v>8.6149332270911767</v>
          </cell>
          <cell r="BY1529">
            <v>11.497021325386617</v>
          </cell>
        </row>
        <row r="1530">
          <cell r="A1530">
            <v>41578</v>
          </cell>
          <cell r="BF1530">
            <v>17.423431338966111</v>
          </cell>
          <cell r="BG1530">
            <v>17.429620749261797</v>
          </cell>
          <cell r="BH1530">
            <v>16.109902701379674</v>
          </cell>
          <cell r="BI1530">
            <v>13.839355674417275</v>
          </cell>
          <cell r="BJ1530">
            <v>18.380449728342072</v>
          </cell>
          <cell r="BU1530">
            <v>10.357619648994675</v>
          </cell>
          <cell r="BV1530">
            <v>11.522967903511651</v>
          </cell>
          <cell r="BW1530">
            <v>10.055977276238897</v>
          </cell>
          <cell r="BX1530">
            <v>8.6149332270911767</v>
          </cell>
          <cell r="BY1530">
            <v>11.497021325386617</v>
          </cell>
        </row>
        <row r="1531">
          <cell r="A1531">
            <v>41579</v>
          </cell>
          <cell r="BF1531">
            <v>17.41483572005145</v>
          </cell>
          <cell r="BG1531">
            <v>17.429620749261797</v>
          </cell>
          <cell r="BH1531">
            <v>16.109902701379674</v>
          </cell>
          <cell r="BI1531">
            <v>13.839355674417275</v>
          </cell>
          <cell r="BJ1531">
            <v>18.380449728342072</v>
          </cell>
          <cell r="BU1531">
            <v>10.352890248441835</v>
          </cell>
          <cell r="BV1531">
            <v>11.522967903511651</v>
          </cell>
          <cell r="BW1531">
            <v>10.055977276238897</v>
          </cell>
          <cell r="BX1531">
            <v>8.6149332270911767</v>
          </cell>
          <cell r="BY1531">
            <v>11.497021325386617</v>
          </cell>
        </row>
        <row r="1532">
          <cell r="A1532">
            <v>41582</v>
          </cell>
          <cell r="BF1532">
            <v>17.535234154292898</v>
          </cell>
          <cell r="BG1532">
            <v>17.429620749261797</v>
          </cell>
          <cell r="BH1532">
            <v>16.109902701379674</v>
          </cell>
          <cell r="BI1532">
            <v>13.839355674417275</v>
          </cell>
          <cell r="BJ1532">
            <v>18.380449728342072</v>
          </cell>
          <cell r="BU1532">
            <v>10.419134741958302</v>
          </cell>
          <cell r="BV1532">
            <v>11.522967903511651</v>
          </cell>
          <cell r="BW1532">
            <v>10.055977276238897</v>
          </cell>
          <cell r="BX1532">
            <v>8.6149332270911767</v>
          </cell>
          <cell r="BY1532">
            <v>11.497021325386617</v>
          </cell>
        </row>
        <row r="1533">
          <cell r="A1533">
            <v>41583</v>
          </cell>
          <cell r="BF1533">
            <v>17.582534138096388</v>
          </cell>
          <cell r="BG1533">
            <v>17.429620749261797</v>
          </cell>
          <cell r="BH1533">
            <v>16.109902701379674</v>
          </cell>
          <cell r="BI1533">
            <v>13.839355674417275</v>
          </cell>
          <cell r="BJ1533">
            <v>18.380449728342072</v>
          </cell>
          <cell r="BU1533">
            <v>10.445159693944936</v>
          </cell>
          <cell r="BV1533">
            <v>11.522967903511651</v>
          </cell>
          <cell r="BW1533">
            <v>10.055977276238897</v>
          </cell>
          <cell r="BX1533">
            <v>8.6149332270911767</v>
          </cell>
          <cell r="BY1533">
            <v>11.497021325386617</v>
          </cell>
        </row>
        <row r="1534">
          <cell r="A1534">
            <v>41584</v>
          </cell>
          <cell r="BF1534">
            <v>17.582534138096388</v>
          </cell>
          <cell r="BG1534">
            <v>17.429620749261797</v>
          </cell>
          <cell r="BH1534">
            <v>16.109902701379674</v>
          </cell>
          <cell r="BI1534">
            <v>13.839355674417275</v>
          </cell>
          <cell r="BJ1534">
            <v>18.380449728342072</v>
          </cell>
          <cell r="BU1534">
            <v>10.445159693944936</v>
          </cell>
          <cell r="BV1534">
            <v>11.522967903511651</v>
          </cell>
          <cell r="BW1534">
            <v>10.055977276238897</v>
          </cell>
          <cell r="BX1534">
            <v>8.6149332270911767</v>
          </cell>
          <cell r="BY1534">
            <v>11.497021325386617</v>
          </cell>
        </row>
        <row r="1535">
          <cell r="A1535">
            <v>41585</v>
          </cell>
          <cell r="BF1535">
            <v>17.582534138096388</v>
          </cell>
          <cell r="BG1535">
            <v>17.429620749261797</v>
          </cell>
          <cell r="BH1535">
            <v>16.109902701379674</v>
          </cell>
          <cell r="BI1535">
            <v>13.839355674417275</v>
          </cell>
          <cell r="BJ1535">
            <v>18.380449728342072</v>
          </cell>
          <cell r="BU1535">
            <v>10.445159693944936</v>
          </cell>
          <cell r="BV1535">
            <v>11.522967903511651</v>
          </cell>
          <cell r="BW1535">
            <v>10.055977276238897</v>
          </cell>
          <cell r="BX1535">
            <v>8.6149332270911767</v>
          </cell>
          <cell r="BY1535">
            <v>11.497021325386617</v>
          </cell>
        </row>
        <row r="1536">
          <cell r="A1536">
            <v>41586</v>
          </cell>
          <cell r="BF1536">
            <v>17.668532036849552</v>
          </cell>
          <cell r="BG1536">
            <v>17.429620749261797</v>
          </cell>
          <cell r="BH1536">
            <v>16.109902701379674</v>
          </cell>
          <cell r="BI1536">
            <v>13.839355674417275</v>
          </cell>
          <cell r="BJ1536">
            <v>18.380449728342072</v>
          </cell>
          <cell r="BU1536">
            <v>10.492476648540533</v>
          </cell>
          <cell r="BV1536">
            <v>11.522967903511651</v>
          </cell>
          <cell r="BW1536">
            <v>10.055977276238897</v>
          </cell>
          <cell r="BX1536">
            <v>8.6149332270911767</v>
          </cell>
          <cell r="BY1536">
            <v>11.497021325386617</v>
          </cell>
        </row>
        <row r="1537">
          <cell r="A1537">
            <v>41589</v>
          </cell>
          <cell r="BF1537">
            <v>17.707229951799228</v>
          </cell>
          <cell r="BG1537">
            <v>17.429620749261797</v>
          </cell>
          <cell r="BH1537">
            <v>16.109902701379674</v>
          </cell>
          <cell r="BI1537">
            <v>13.839355674417275</v>
          </cell>
          <cell r="BJ1537">
            <v>18.380449728342072</v>
          </cell>
          <cell r="BU1537">
            <v>10.513768651149503</v>
          </cell>
          <cell r="BV1537">
            <v>11.522967903511651</v>
          </cell>
          <cell r="BW1537">
            <v>10.055977276238897</v>
          </cell>
          <cell r="BX1537">
            <v>8.6149332270911767</v>
          </cell>
          <cell r="BY1537">
            <v>11.497021325386617</v>
          </cell>
        </row>
        <row r="1538">
          <cell r="A1538">
            <v>41590</v>
          </cell>
          <cell r="BF1538">
            <v>17.7158315906571</v>
          </cell>
          <cell r="BG1538">
            <v>17.429620749261797</v>
          </cell>
          <cell r="BH1538">
            <v>16.109902701379674</v>
          </cell>
          <cell r="BI1538">
            <v>13.839355674417275</v>
          </cell>
          <cell r="BJ1538">
            <v>18.380449728342072</v>
          </cell>
          <cell r="BU1538">
            <v>10.518501363938848</v>
          </cell>
          <cell r="BV1538">
            <v>11.522967903511651</v>
          </cell>
          <cell r="BW1538">
            <v>10.055977276238897</v>
          </cell>
          <cell r="BX1538">
            <v>8.6149332270911767</v>
          </cell>
          <cell r="BY1538">
            <v>11.497021325386617</v>
          </cell>
        </row>
        <row r="1539">
          <cell r="A1539">
            <v>41591</v>
          </cell>
          <cell r="BF1539">
            <v>17.563584122433539</v>
          </cell>
          <cell r="BG1539">
            <v>17.429620749261797</v>
          </cell>
          <cell r="BH1539">
            <v>16.109902701379674</v>
          </cell>
          <cell r="BI1539">
            <v>13.839355674417275</v>
          </cell>
          <cell r="BJ1539">
            <v>18.380449728342072</v>
          </cell>
          <cell r="BU1539">
            <v>10.453626410877657</v>
          </cell>
          <cell r="BV1539">
            <v>11.522967903511651</v>
          </cell>
          <cell r="BW1539">
            <v>10.055977276238897</v>
          </cell>
          <cell r="BX1539">
            <v>8.6149332270911767</v>
          </cell>
          <cell r="BY1539">
            <v>11.497021325386617</v>
          </cell>
        </row>
        <row r="1540">
          <cell r="A1540">
            <v>41592</v>
          </cell>
          <cell r="BF1540">
            <v>17.393060039113085</v>
          </cell>
          <cell r="BG1540">
            <v>17.429620749261797</v>
          </cell>
          <cell r="BH1540">
            <v>16.109902701379674</v>
          </cell>
          <cell r="BI1540">
            <v>13.839355674417275</v>
          </cell>
          <cell r="BJ1540">
            <v>18.380449728342072</v>
          </cell>
          <cell r="BU1540">
            <v>10.359572648241246</v>
          </cell>
          <cell r="BV1540">
            <v>11.522967903511651</v>
          </cell>
          <cell r="BW1540">
            <v>10.055977276238897</v>
          </cell>
          <cell r="BX1540">
            <v>8.6149332270911767</v>
          </cell>
          <cell r="BY1540">
            <v>11.497021325386617</v>
          </cell>
        </row>
        <row r="1541">
          <cell r="A1541">
            <v>41593</v>
          </cell>
          <cell r="BF1541">
            <v>17.618998939577221</v>
          </cell>
          <cell r="BG1541">
            <v>17.429620749261797</v>
          </cell>
          <cell r="BH1541">
            <v>16.109902701379674</v>
          </cell>
          <cell r="BI1541">
            <v>13.839355674417275</v>
          </cell>
          <cell r="BJ1541">
            <v>18.380449728342072</v>
          </cell>
          <cell r="BU1541">
            <v>10.48419084469066</v>
          </cell>
          <cell r="BV1541">
            <v>11.522967903511651</v>
          </cell>
          <cell r="BW1541">
            <v>10.055977276238897</v>
          </cell>
          <cell r="BX1541">
            <v>8.6149332270911767</v>
          </cell>
          <cell r="BY1541">
            <v>11.497021325386617</v>
          </cell>
        </row>
        <row r="1542">
          <cell r="A1542">
            <v>41596</v>
          </cell>
          <cell r="BF1542">
            <v>17.457008968299224</v>
          </cell>
          <cell r="BG1542">
            <v>17.429620749261797</v>
          </cell>
          <cell r="BH1542">
            <v>16.109902701379674</v>
          </cell>
          <cell r="BI1542">
            <v>13.839355674417275</v>
          </cell>
          <cell r="BJ1542">
            <v>18.380449728342072</v>
          </cell>
          <cell r="BU1542">
            <v>10.394844131831178</v>
          </cell>
          <cell r="BV1542">
            <v>11.522967903511651</v>
          </cell>
          <cell r="BW1542">
            <v>10.055977276238897</v>
          </cell>
          <cell r="BX1542">
            <v>8.6149332270911767</v>
          </cell>
          <cell r="BY1542">
            <v>11.497021325386617</v>
          </cell>
        </row>
        <row r="1543">
          <cell r="A1543">
            <v>41597</v>
          </cell>
          <cell r="BF1543">
            <v>17.725574093711536</v>
          </cell>
          <cell r="BG1543">
            <v>17.429620749261797</v>
          </cell>
          <cell r="BH1543">
            <v>16.109902701379674</v>
          </cell>
          <cell r="BI1543">
            <v>13.839355674417275</v>
          </cell>
          <cell r="BJ1543">
            <v>18.380449728342072</v>
          </cell>
          <cell r="BU1543">
            <v>10.542973123737138</v>
          </cell>
          <cell r="BV1543">
            <v>11.522967903511651</v>
          </cell>
          <cell r="BW1543">
            <v>10.055977276238897</v>
          </cell>
          <cell r="BX1543">
            <v>8.6149332270911767</v>
          </cell>
          <cell r="BY1543">
            <v>11.497021325386617</v>
          </cell>
        </row>
        <row r="1544">
          <cell r="A1544">
            <v>41598</v>
          </cell>
          <cell r="BF1544">
            <v>17.589161306824543</v>
          </cell>
          <cell r="BG1544">
            <v>17.429620749261797</v>
          </cell>
          <cell r="BH1544">
            <v>16.109902701379674</v>
          </cell>
          <cell r="BI1544">
            <v>13.839355674417275</v>
          </cell>
          <cell r="BJ1544">
            <v>18.380449728342072</v>
          </cell>
          <cell r="BU1544">
            <v>10.467733687590577</v>
          </cell>
          <cell r="BV1544">
            <v>11.522967903511651</v>
          </cell>
          <cell r="BW1544">
            <v>10.055977276238897</v>
          </cell>
          <cell r="BX1544">
            <v>8.6149332270911767</v>
          </cell>
          <cell r="BY1544">
            <v>11.497021325386617</v>
          </cell>
        </row>
        <row r="1545">
          <cell r="A1545">
            <v>41599</v>
          </cell>
          <cell r="BF1545">
            <v>17.61856755776493</v>
          </cell>
          <cell r="BG1545">
            <v>17.429620749261797</v>
          </cell>
          <cell r="BH1545">
            <v>16.109902701379674</v>
          </cell>
          <cell r="BI1545">
            <v>13.839355674417275</v>
          </cell>
          <cell r="BJ1545">
            <v>18.380449728342072</v>
          </cell>
          <cell r="BU1545">
            <v>10.474787325947037</v>
          </cell>
          <cell r="BV1545">
            <v>11.522967903511651</v>
          </cell>
          <cell r="BW1545">
            <v>10.055977276238897</v>
          </cell>
          <cell r="BX1545">
            <v>8.6149332270911767</v>
          </cell>
          <cell r="BY1545">
            <v>11.497021325386617</v>
          </cell>
        </row>
        <row r="1546">
          <cell r="A1546">
            <v>41600</v>
          </cell>
          <cell r="BF1546">
            <v>17.473489791128845</v>
          </cell>
          <cell r="BG1546">
            <v>17.429620749261797</v>
          </cell>
          <cell r="BH1546">
            <v>16.109902701379674</v>
          </cell>
          <cell r="BI1546">
            <v>13.839355674417275</v>
          </cell>
          <cell r="BJ1546">
            <v>18.380449728342072</v>
          </cell>
          <cell r="BU1546">
            <v>10.394844131831178</v>
          </cell>
          <cell r="BV1546">
            <v>11.522967903511651</v>
          </cell>
          <cell r="BW1546">
            <v>10.055977276238897</v>
          </cell>
          <cell r="BX1546">
            <v>8.6149332270911767</v>
          </cell>
          <cell r="BY1546">
            <v>11.497021325386617</v>
          </cell>
        </row>
        <row r="1547">
          <cell r="A1547">
            <v>41603</v>
          </cell>
          <cell r="BF1547">
            <v>17.285739583111095</v>
          </cell>
          <cell r="BG1547">
            <v>17.429620749261797</v>
          </cell>
          <cell r="BH1547">
            <v>16.109902701379674</v>
          </cell>
          <cell r="BI1547">
            <v>13.839355674417275</v>
          </cell>
          <cell r="BJ1547">
            <v>18.380449728342072</v>
          </cell>
          <cell r="BU1547">
            <v>10.302508126673889</v>
          </cell>
          <cell r="BV1547">
            <v>11.522967903511651</v>
          </cell>
          <cell r="BW1547">
            <v>10.055977276238897</v>
          </cell>
          <cell r="BX1547">
            <v>8.6149332270911767</v>
          </cell>
          <cell r="BY1547">
            <v>11.497021325386617</v>
          </cell>
        </row>
        <row r="1548">
          <cell r="A1548">
            <v>41604</v>
          </cell>
          <cell r="BF1548">
            <v>17.443617588700903</v>
          </cell>
          <cell r="BG1548">
            <v>17.429620749261797</v>
          </cell>
          <cell r="BH1548">
            <v>16.109902701379674</v>
          </cell>
          <cell r="BI1548">
            <v>13.839355674417275</v>
          </cell>
          <cell r="BJ1548">
            <v>18.380449728342072</v>
          </cell>
          <cell r="BU1548">
            <v>10.389598735951886</v>
          </cell>
          <cell r="BV1548">
            <v>11.522967903511651</v>
          </cell>
          <cell r="BW1548">
            <v>10.055977276238897</v>
          </cell>
          <cell r="BX1548">
            <v>8.6149332270911767</v>
          </cell>
          <cell r="BY1548">
            <v>11.497021325386617</v>
          </cell>
        </row>
        <row r="1549">
          <cell r="A1549">
            <v>41605</v>
          </cell>
          <cell r="BF1549">
            <v>17.49055535405688</v>
          </cell>
          <cell r="BG1549">
            <v>17.429620749261797</v>
          </cell>
          <cell r="BH1549">
            <v>16.109902701379674</v>
          </cell>
          <cell r="BI1549">
            <v>13.839355674417275</v>
          </cell>
          <cell r="BJ1549">
            <v>18.380449728342072</v>
          </cell>
          <cell r="BU1549">
            <v>10.415491123987369</v>
          </cell>
          <cell r="BV1549">
            <v>11.522967903511651</v>
          </cell>
          <cell r="BW1549">
            <v>10.055977276238897</v>
          </cell>
          <cell r="BX1549">
            <v>8.6149332270911767</v>
          </cell>
          <cell r="BY1549">
            <v>11.497021325386617</v>
          </cell>
        </row>
        <row r="1550">
          <cell r="A1550">
            <v>41606</v>
          </cell>
          <cell r="BF1550">
            <v>17.580165560794523</v>
          </cell>
          <cell r="BG1550">
            <v>17.429620749261797</v>
          </cell>
          <cell r="BH1550">
            <v>16.109902701379674</v>
          </cell>
          <cell r="BI1550">
            <v>13.839355674417275</v>
          </cell>
          <cell r="BJ1550">
            <v>18.380449728342072</v>
          </cell>
          <cell r="BU1550">
            <v>10.464923009531864</v>
          </cell>
          <cell r="BV1550">
            <v>11.522967903511651</v>
          </cell>
          <cell r="BW1550">
            <v>10.055977276238897</v>
          </cell>
          <cell r="BX1550">
            <v>8.6149332270911767</v>
          </cell>
          <cell r="BY1550">
            <v>11.497021325386617</v>
          </cell>
        </row>
        <row r="1551">
          <cell r="A1551">
            <v>41607</v>
          </cell>
          <cell r="BF1551">
            <v>17.486290456785646</v>
          </cell>
          <cell r="BG1551">
            <v>17.429620749261797</v>
          </cell>
          <cell r="BH1551">
            <v>16.109902701379674</v>
          </cell>
          <cell r="BI1551">
            <v>13.839355674417275</v>
          </cell>
          <cell r="BJ1551">
            <v>18.380449728342072</v>
          </cell>
          <cell r="BU1551">
            <v>10.4131384688441</v>
          </cell>
          <cell r="BV1551">
            <v>11.522967903511651</v>
          </cell>
          <cell r="BW1551">
            <v>10.055977276238897</v>
          </cell>
          <cell r="BX1551">
            <v>8.6149332270911767</v>
          </cell>
          <cell r="BY1551">
            <v>11.497021325386617</v>
          </cell>
        </row>
        <row r="1552">
          <cell r="A1552">
            <v>41610</v>
          </cell>
          <cell r="BF1552">
            <v>17.486290456785646</v>
          </cell>
          <cell r="BG1552">
            <v>17.429620749261797</v>
          </cell>
          <cell r="BH1552">
            <v>16.109902701379674</v>
          </cell>
          <cell r="BI1552">
            <v>13.839355674417275</v>
          </cell>
          <cell r="BJ1552">
            <v>18.380449728342072</v>
          </cell>
          <cell r="BU1552">
            <v>10.4131384688441</v>
          </cell>
          <cell r="BV1552">
            <v>11.522967903511651</v>
          </cell>
          <cell r="BW1552">
            <v>10.055977276238897</v>
          </cell>
          <cell r="BX1552">
            <v>8.6149332270911767</v>
          </cell>
          <cell r="BY1552">
            <v>11.497021325386617</v>
          </cell>
        </row>
        <row r="1553">
          <cell r="A1553">
            <v>41611</v>
          </cell>
          <cell r="BF1553">
            <v>17.635632693989887</v>
          </cell>
          <cell r="BG1553">
            <v>17.429620749261797</v>
          </cell>
          <cell r="BH1553">
            <v>16.109902701379674</v>
          </cell>
          <cell r="BI1553">
            <v>13.839355674417275</v>
          </cell>
          <cell r="BJ1553">
            <v>18.380449728342072</v>
          </cell>
          <cell r="BU1553">
            <v>10.495520472470677</v>
          </cell>
          <cell r="BV1553">
            <v>11.522967903511651</v>
          </cell>
          <cell r="BW1553">
            <v>10.055977276238897</v>
          </cell>
          <cell r="BX1553">
            <v>8.6149332270911767</v>
          </cell>
          <cell r="BY1553">
            <v>11.497021325386617</v>
          </cell>
        </row>
        <row r="1554">
          <cell r="A1554">
            <v>41612</v>
          </cell>
          <cell r="BF1554">
            <v>17.708177764502572</v>
          </cell>
          <cell r="BG1554">
            <v>17.429620749261797</v>
          </cell>
          <cell r="BH1554">
            <v>16.109902701379674</v>
          </cell>
          <cell r="BI1554">
            <v>13.839355674417275</v>
          </cell>
          <cell r="BJ1554">
            <v>18.380449728342072</v>
          </cell>
          <cell r="BU1554">
            <v>10.535538677460419</v>
          </cell>
          <cell r="BV1554">
            <v>11.522967903511651</v>
          </cell>
          <cell r="BW1554">
            <v>10.055977276238897</v>
          </cell>
          <cell r="BX1554">
            <v>8.6149332270911767</v>
          </cell>
          <cell r="BY1554">
            <v>11.497021325386617</v>
          </cell>
        </row>
        <row r="1555">
          <cell r="A1555">
            <v>41613</v>
          </cell>
          <cell r="BF1555">
            <v>17.358278253077597</v>
          </cell>
          <cell r="BG1555">
            <v>17.429620749261797</v>
          </cell>
          <cell r="BH1555">
            <v>16.109902701379674</v>
          </cell>
          <cell r="BI1555">
            <v>13.839355674417275</v>
          </cell>
          <cell r="BJ1555">
            <v>18.380449728342072</v>
          </cell>
          <cell r="BU1555">
            <v>10.342522800915546</v>
          </cell>
          <cell r="BV1555">
            <v>11.522967903511651</v>
          </cell>
          <cell r="BW1555">
            <v>10.055977276238897</v>
          </cell>
          <cell r="BX1555">
            <v>8.6149332270911767</v>
          </cell>
          <cell r="BY1555">
            <v>11.497021325386617</v>
          </cell>
        </row>
        <row r="1556">
          <cell r="A1556">
            <v>41614</v>
          </cell>
          <cell r="BF1556">
            <v>17.063852275394169</v>
          </cell>
          <cell r="BG1556">
            <v>17.429620749261797</v>
          </cell>
          <cell r="BH1556">
            <v>16.109902701379674</v>
          </cell>
          <cell r="BI1556">
            <v>13.839355674417275</v>
          </cell>
          <cell r="BJ1556">
            <v>18.380449728342072</v>
          </cell>
          <cell r="BU1556">
            <v>10.180107918057573</v>
          </cell>
          <cell r="BV1556">
            <v>11.522967903511651</v>
          </cell>
          <cell r="BW1556">
            <v>10.055977276238897</v>
          </cell>
          <cell r="BX1556">
            <v>8.6149332270911767</v>
          </cell>
          <cell r="BY1556">
            <v>11.497021325386617</v>
          </cell>
        </row>
        <row r="1557">
          <cell r="A1557">
            <v>41617</v>
          </cell>
          <cell r="BF1557">
            <v>17.00411384438139</v>
          </cell>
          <cell r="BG1557">
            <v>17.429620749261797</v>
          </cell>
          <cell r="BH1557">
            <v>16.109902701379674</v>
          </cell>
          <cell r="BI1557">
            <v>13.839355674417275</v>
          </cell>
          <cell r="BJ1557">
            <v>18.380449728342072</v>
          </cell>
          <cell r="BU1557">
            <v>10.1471542692274</v>
          </cell>
          <cell r="BV1557">
            <v>11.522967903511651</v>
          </cell>
          <cell r="BW1557">
            <v>10.055977276238897</v>
          </cell>
          <cell r="BX1557">
            <v>8.6149332270911767</v>
          </cell>
          <cell r="BY1557">
            <v>11.497021325386617</v>
          </cell>
        </row>
        <row r="1558">
          <cell r="A1558">
            <v>41618</v>
          </cell>
          <cell r="BF1558">
            <v>17.115054511318299</v>
          </cell>
          <cell r="BG1558">
            <v>17.429620749261797</v>
          </cell>
          <cell r="BH1558">
            <v>16.109902701379674</v>
          </cell>
          <cell r="BI1558">
            <v>13.839355674417275</v>
          </cell>
          <cell r="BJ1558">
            <v>18.380449728342072</v>
          </cell>
          <cell r="BU1558">
            <v>10.208352725853114</v>
          </cell>
          <cell r="BV1558">
            <v>11.522967903511651</v>
          </cell>
          <cell r="BW1558">
            <v>10.055977276238897</v>
          </cell>
          <cell r="BX1558">
            <v>8.6149332270911767</v>
          </cell>
          <cell r="BY1558">
            <v>11.497021325386617</v>
          </cell>
        </row>
        <row r="1559">
          <cell r="A1559">
            <v>41619</v>
          </cell>
          <cell r="BF1559">
            <v>17.059587378122934</v>
          </cell>
          <cell r="BG1559">
            <v>17.429620749261797</v>
          </cell>
          <cell r="BH1559">
            <v>16.109902701379674</v>
          </cell>
          <cell r="BI1559">
            <v>13.839355674417275</v>
          </cell>
          <cell r="BJ1559">
            <v>18.380449728342072</v>
          </cell>
          <cell r="BU1559">
            <v>10.177755262914301</v>
          </cell>
          <cell r="BV1559">
            <v>11.522967903511651</v>
          </cell>
          <cell r="BW1559">
            <v>10.055977276238897</v>
          </cell>
          <cell r="BX1559">
            <v>8.6149332270911767</v>
          </cell>
          <cell r="BY1559">
            <v>11.497021325386617</v>
          </cell>
        </row>
        <row r="1560">
          <cell r="A1560">
            <v>41620</v>
          </cell>
          <cell r="BF1560">
            <v>17.183328710716648</v>
          </cell>
          <cell r="BG1560">
            <v>17.429620749261797</v>
          </cell>
          <cell r="BH1560">
            <v>16.109902701379674</v>
          </cell>
          <cell r="BI1560">
            <v>13.839355674417275</v>
          </cell>
          <cell r="BJ1560">
            <v>18.380449728342072</v>
          </cell>
          <cell r="BU1560">
            <v>10.246014980334706</v>
          </cell>
          <cell r="BV1560">
            <v>11.522967903511651</v>
          </cell>
          <cell r="BW1560">
            <v>10.055977276238897</v>
          </cell>
          <cell r="BX1560">
            <v>8.6149332270911767</v>
          </cell>
          <cell r="BY1560">
            <v>11.497021325386617</v>
          </cell>
        </row>
        <row r="1561">
          <cell r="A1561">
            <v>41621</v>
          </cell>
          <cell r="BF1561">
            <v>17.055217986515022</v>
          </cell>
          <cell r="BG1561">
            <v>17.429620749261797</v>
          </cell>
          <cell r="BH1561">
            <v>16.109902701379674</v>
          </cell>
          <cell r="BI1561">
            <v>13.839355674417275</v>
          </cell>
          <cell r="BJ1561">
            <v>18.380449728342072</v>
          </cell>
          <cell r="BU1561">
            <v>10.173046657262882</v>
          </cell>
          <cell r="BV1561">
            <v>11.522967903511651</v>
          </cell>
          <cell r="BW1561">
            <v>10.055977276238897</v>
          </cell>
          <cell r="BX1561">
            <v>8.6149332270911767</v>
          </cell>
          <cell r="BY1561">
            <v>11.497021325386617</v>
          </cell>
        </row>
        <row r="1562">
          <cell r="A1562">
            <v>41624</v>
          </cell>
          <cell r="BF1562">
            <v>16.52637894441494</v>
          </cell>
          <cell r="BG1562">
            <v>17.429620749261797</v>
          </cell>
          <cell r="BH1562">
            <v>16.109902701379674</v>
          </cell>
          <cell r="BI1562">
            <v>13.839355674417275</v>
          </cell>
          <cell r="BJ1562">
            <v>18.380449728342072</v>
          </cell>
          <cell r="BU1562">
            <v>9.8989160572526238</v>
          </cell>
          <cell r="BV1562">
            <v>11.522967903511651</v>
          </cell>
          <cell r="BW1562">
            <v>10.055977276238897</v>
          </cell>
          <cell r="BX1562">
            <v>8.6149332270911767</v>
          </cell>
          <cell r="BY1562">
            <v>11.497021325386617</v>
          </cell>
        </row>
        <row r="1563">
          <cell r="A1563">
            <v>41625</v>
          </cell>
          <cell r="BF1563">
            <v>16.614483314262944</v>
          </cell>
          <cell r="BG1563">
            <v>17.429620749261797</v>
          </cell>
          <cell r="BH1563">
            <v>16.109902701379674</v>
          </cell>
          <cell r="BI1563">
            <v>13.839355674417275</v>
          </cell>
          <cell r="BJ1563">
            <v>18.380449728342072</v>
          </cell>
          <cell r="BU1563">
            <v>9.9457122054310556</v>
          </cell>
          <cell r="BV1563">
            <v>11.522967903511651</v>
          </cell>
          <cell r="BW1563">
            <v>10.055977276238897</v>
          </cell>
          <cell r="BX1563">
            <v>8.6149332270911767</v>
          </cell>
          <cell r="BY1563">
            <v>11.497021325386617</v>
          </cell>
        </row>
        <row r="1564">
          <cell r="A1564">
            <v>41626</v>
          </cell>
          <cell r="BF1564">
            <v>16.669507943206156</v>
          </cell>
          <cell r="BG1564">
            <v>17.429620749261797</v>
          </cell>
          <cell r="BH1564">
            <v>16.109902701379674</v>
          </cell>
          <cell r="BI1564">
            <v>13.839355674417275</v>
          </cell>
          <cell r="BJ1564">
            <v>18.380449728342072</v>
          </cell>
          <cell r="BU1564">
            <v>9.9761255371397279</v>
          </cell>
          <cell r="BV1564">
            <v>11.522967903511651</v>
          </cell>
          <cell r="BW1564">
            <v>10.055977276238897</v>
          </cell>
          <cell r="BX1564">
            <v>8.6149332270911767</v>
          </cell>
          <cell r="BY1564">
            <v>11.497021325386617</v>
          </cell>
        </row>
        <row r="1565">
          <cell r="A1565">
            <v>41627</v>
          </cell>
          <cell r="BF1565">
            <v>16.728769794518175</v>
          </cell>
          <cell r="BG1565">
            <v>17.429620749261797</v>
          </cell>
          <cell r="BH1565">
            <v>16.109902701379674</v>
          </cell>
          <cell r="BI1565">
            <v>13.839355674417275</v>
          </cell>
          <cell r="BJ1565">
            <v>18.380449728342072</v>
          </cell>
          <cell r="BU1565">
            <v>10.008880875544326</v>
          </cell>
          <cell r="BV1565">
            <v>11.522967903511651</v>
          </cell>
          <cell r="BW1565">
            <v>10.055977276238897</v>
          </cell>
          <cell r="BX1565">
            <v>8.6149332270911767</v>
          </cell>
          <cell r="BY1565">
            <v>11.497021325386617</v>
          </cell>
        </row>
        <row r="1566">
          <cell r="A1566">
            <v>41628</v>
          </cell>
          <cell r="BF1566">
            <v>16.800729767370612</v>
          </cell>
          <cell r="BG1566">
            <v>17.429620749261797</v>
          </cell>
          <cell r="BH1566">
            <v>16.109902701379674</v>
          </cell>
          <cell r="BI1566">
            <v>13.839355674417275</v>
          </cell>
          <cell r="BJ1566">
            <v>18.380449728342072</v>
          </cell>
          <cell r="BU1566">
            <v>10.048654747102219</v>
          </cell>
          <cell r="BV1566">
            <v>11.522967903511651</v>
          </cell>
          <cell r="BW1566">
            <v>10.055977276238897</v>
          </cell>
          <cell r="BX1566">
            <v>8.6149332270911767</v>
          </cell>
          <cell r="BY1566">
            <v>11.497021325386617</v>
          </cell>
        </row>
        <row r="1567">
          <cell r="A1567">
            <v>41631</v>
          </cell>
          <cell r="BF1567">
            <v>17.058942119515844</v>
          </cell>
          <cell r="BG1567">
            <v>17.429620749261797</v>
          </cell>
          <cell r="BH1567">
            <v>16.109902701379674</v>
          </cell>
          <cell r="BI1567">
            <v>13.839355674417275</v>
          </cell>
          <cell r="BJ1567">
            <v>18.380449728342072</v>
          </cell>
          <cell r="BU1567">
            <v>10.191374435865114</v>
          </cell>
          <cell r="BV1567">
            <v>11.522967903511651</v>
          </cell>
          <cell r="BW1567">
            <v>10.055977276238897</v>
          </cell>
          <cell r="BX1567">
            <v>8.6149332270911767</v>
          </cell>
          <cell r="BY1567">
            <v>11.497021325386617</v>
          </cell>
        </row>
        <row r="1568">
          <cell r="A1568">
            <v>41632</v>
          </cell>
          <cell r="BF1568">
            <v>17.1901639436803</v>
          </cell>
          <cell r="BG1568">
            <v>17.429620749261797</v>
          </cell>
          <cell r="BH1568">
            <v>16.109902701379674</v>
          </cell>
          <cell r="BI1568">
            <v>13.839355674417275</v>
          </cell>
          <cell r="BJ1568">
            <v>18.380449728342072</v>
          </cell>
          <cell r="BU1568">
            <v>10.263903645827604</v>
          </cell>
          <cell r="BV1568">
            <v>11.522967903511651</v>
          </cell>
          <cell r="BW1568">
            <v>10.055977276238897</v>
          </cell>
          <cell r="BX1568">
            <v>8.6149332270911767</v>
          </cell>
          <cell r="BY1568">
            <v>11.497021325386617</v>
          </cell>
        </row>
        <row r="1569">
          <cell r="A1569">
            <v>41633</v>
          </cell>
          <cell r="BF1569">
            <v>16.965815929869446</v>
          </cell>
          <cell r="BG1569">
            <v>17.429620749261797</v>
          </cell>
          <cell r="BH1569">
            <v>16.109902701379674</v>
          </cell>
          <cell r="BI1569">
            <v>13.839355674417275</v>
          </cell>
          <cell r="BJ1569">
            <v>18.380449728342072</v>
          </cell>
          <cell r="BU1569">
            <v>10.139901527262612</v>
          </cell>
          <cell r="BV1569">
            <v>11.522967903511651</v>
          </cell>
          <cell r="BW1569">
            <v>10.055977276238897</v>
          </cell>
          <cell r="BX1569">
            <v>8.6149332270911767</v>
          </cell>
          <cell r="BY1569">
            <v>11.497021325386617</v>
          </cell>
        </row>
        <row r="1570">
          <cell r="A1570">
            <v>41634</v>
          </cell>
          <cell r="BF1570">
            <v>17.09704410351797</v>
          </cell>
          <cell r="BG1570">
            <v>17.429620749261797</v>
          </cell>
          <cell r="BH1570">
            <v>16.109902701379674</v>
          </cell>
          <cell r="BI1570">
            <v>13.839355674417275</v>
          </cell>
          <cell r="BJ1570">
            <v>18.380449728342072</v>
          </cell>
          <cell r="BU1570">
            <v>10.212434246725648</v>
          </cell>
          <cell r="BV1570">
            <v>11.522967903511651</v>
          </cell>
          <cell r="BW1570">
            <v>10.055977276238897</v>
          </cell>
          <cell r="BX1570">
            <v>8.6149332270911767</v>
          </cell>
          <cell r="BY1570">
            <v>11.497021325386617</v>
          </cell>
        </row>
        <row r="1571">
          <cell r="A1571">
            <v>41635</v>
          </cell>
          <cell r="BF1571">
            <v>17.058942119515844</v>
          </cell>
          <cell r="BG1571">
            <v>17.429620749261797</v>
          </cell>
          <cell r="BH1571">
            <v>16.109902701379674</v>
          </cell>
          <cell r="BI1571">
            <v>13.839355674417275</v>
          </cell>
          <cell r="BJ1571">
            <v>18.380449728342072</v>
          </cell>
          <cell r="BU1571">
            <v>10.191374435865114</v>
          </cell>
          <cell r="BV1571">
            <v>11.522967903511651</v>
          </cell>
          <cell r="BW1571">
            <v>10.055977276238897</v>
          </cell>
          <cell r="BX1571">
            <v>8.6149332270911767</v>
          </cell>
          <cell r="BY1571">
            <v>11.497021325386617</v>
          </cell>
        </row>
        <row r="1572">
          <cell r="A1572">
            <v>41638</v>
          </cell>
          <cell r="BF1572">
            <v>17.058942119515844</v>
          </cell>
          <cell r="BG1572">
            <v>17.429620749261797</v>
          </cell>
          <cell r="BH1572">
            <v>16.109902701379674</v>
          </cell>
          <cell r="BI1572">
            <v>13.839355674417275</v>
          </cell>
          <cell r="BJ1572">
            <v>18.380449728342072</v>
          </cell>
          <cell r="BU1572">
            <v>10.192142698898232</v>
          </cell>
          <cell r="BV1572">
            <v>11.522967903511651</v>
          </cell>
          <cell r="BW1572">
            <v>10.055977276238897</v>
          </cell>
          <cell r="BX1572">
            <v>8.6149332270911767</v>
          </cell>
          <cell r="BY1572">
            <v>11.497021325386617</v>
          </cell>
        </row>
        <row r="1573">
          <cell r="A1573">
            <v>41639</v>
          </cell>
          <cell r="BF1573">
            <v>16.923489845765587</v>
          </cell>
          <cell r="BG1573">
            <v>17.429620749261797</v>
          </cell>
          <cell r="BH1573">
            <v>16.109902701379674</v>
          </cell>
          <cell r="BI1573">
            <v>13.839355674417275</v>
          </cell>
          <cell r="BJ1573">
            <v>18.380449728342072</v>
          </cell>
          <cell r="BU1573">
            <v>10.117269581923443</v>
          </cell>
          <cell r="BV1573">
            <v>11.522967903511651</v>
          </cell>
          <cell r="BW1573">
            <v>10.055977276238897</v>
          </cell>
          <cell r="BX1573">
            <v>8.6149332270911767</v>
          </cell>
          <cell r="BY1573">
            <v>11.497021325386617</v>
          </cell>
        </row>
        <row r="1574">
          <cell r="A1574">
            <v>41640</v>
          </cell>
          <cell r="BF1574">
            <v>16.821895984164577</v>
          </cell>
          <cell r="BG1574">
            <v>17.429620749261797</v>
          </cell>
          <cell r="BH1574">
            <v>16.109902701379674</v>
          </cell>
          <cell r="BI1574">
            <v>13.839355674417275</v>
          </cell>
          <cell r="BJ1574">
            <v>18.380449728342072</v>
          </cell>
          <cell r="BU1574">
            <v>10.061112170364613</v>
          </cell>
          <cell r="BV1574">
            <v>11.522967903511651</v>
          </cell>
          <cell r="BW1574">
            <v>10.055977276238897</v>
          </cell>
          <cell r="BX1574">
            <v>8.6149332270911767</v>
          </cell>
          <cell r="BY1574">
            <v>11.497021325386617</v>
          </cell>
        </row>
        <row r="1575">
          <cell r="A1575">
            <v>41641</v>
          </cell>
          <cell r="BF1575">
            <v>17.203824581749878</v>
          </cell>
          <cell r="BG1575">
            <v>17.429620749261797</v>
          </cell>
          <cell r="BH1575">
            <v>16.109902701379674</v>
          </cell>
          <cell r="BI1575">
            <v>13.839355674417275</v>
          </cell>
          <cell r="BJ1575">
            <v>18.380449728342072</v>
          </cell>
          <cell r="BU1575">
            <v>10.374656576220977</v>
          </cell>
          <cell r="BV1575">
            <v>11.522967903511651</v>
          </cell>
          <cell r="BW1575">
            <v>10.055977276238897</v>
          </cell>
          <cell r="BX1575">
            <v>8.6149332270911767</v>
          </cell>
          <cell r="BY1575">
            <v>11.497021325386617</v>
          </cell>
        </row>
        <row r="1576">
          <cell r="A1576">
            <v>41642</v>
          </cell>
          <cell r="BF1576">
            <v>17.349137016477371</v>
          </cell>
          <cell r="BG1576">
            <v>17.429620749261797</v>
          </cell>
          <cell r="BH1576">
            <v>16.109902701379674</v>
          </cell>
          <cell r="BI1576">
            <v>13.839355674417275</v>
          </cell>
          <cell r="BJ1576">
            <v>18.380449728342072</v>
          </cell>
          <cell r="BU1576">
            <v>10.435906006461627</v>
          </cell>
          <cell r="BV1576">
            <v>11.522967903511651</v>
          </cell>
          <cell r="BW1576">
            <v>10.055977276238897</v>
          </cell>
          <cell r="BX1576">
            <v>8.6149332270911767</v>
          </cell>
          <cell r="BY1576">
            <v>11.497021325386617</v>
          </cell>
        </row>
        <row r="1577">
          <cell r="A1577">
            <v>41645</v>
          </cell>
          <cell r="BF1577">
            <v>17.395389922577525</v>
          </cell>
          <cell r="BG1577">
            <v>17.429620749261797</v>
          </cell>
          <cell r="BH1577">
            <v>16.109902701379674</v>
          </cell>
          <cell r="BI1577">
            <v>13.839355674417275</v>
          </cell>
          <cell r="BJ1577">
            <v>18.380449728342072</v>
          </cell>
          <cell r="BU1577">
            <v>10.462661116243117</v>
          </cell>
          <cell r="BV1577">
            <v>11.522967903511651</v>
          </cell>
          <cell r="BW1577">
            <v>10.055977276238897</v>
          </cell>
          <cell r="BX1577">
            <v>8.6149332270911767</v>
          </cell>
          <cell r="BY1577">
            <v>11.497021325386617</v>
          </cell>
        </row>
        <row r="1578">
          <cell r="A1578">
            <v>41646</v>
          </cell>
          <cell r="BF1578">
            <v>17.335729094385794</v>
          </cell>
          <cell r="BG1578">
            <v>17.429620749261797</v>
          </cell>
          <cell r="BH1578">
            <v>16.109902701379674</v>
          </cell>
          <cell r="BI1578">
            <v>13.839355674417275</v>
          </cell>
          <cell r="BJ1578">
            <v>18.380449728342072</v>
          </cell>
          <cell r="BU1578">
            <v>10.429794342032226</v>
          </cell>
          <cell r="BV1578">
            <v>11.522967903511651</v>
          </cell>
          <cell r="BW1578">
            <v>10.055977276238897</v>
          </cell>
          <cell r="BX1578">
            <v>8.6149332270911767</v>
          </cell>
          <cell r="BY1578">
            <v>11.497021325386617</v>
          </cell>
        </row>
        <row r="1579">
          <cell r="A1579">
            <v>41647</v>
          </cell>
          <cell r="BF1579">
            <v>17.284593372393882</v>
          </cell>
          <cell r="BG1579">
            <v>17.429620749261797</v>
          </cell>
          <cell r="BH1579">
            <v>16.109902701379674</v>
          </cell>
          <cell r="BI1579">
            <v>13.839355674417275</v>
          </cell>
          <cell r="BJ1579">
            <v>18.380449728342072</v>
          </cell>
          <cell r="BU1579">
            <v>10.401623995093397</v>
          </cell>
          <cell r="BV1579">
            <v>11.522967903511651</v>
          </cell>
          <cell r="BW1579">
            <v>10.055977276238897</v>
          </cell>
          <cell r="BX1579">
            <v>8.6149332270911767</v>
          </cell>
          <cell r="BY1579">
            <v>11.497021325386617</v>
          </cell>
        </row>
        <row r="1580">
          <cell r="A1580">
            <v>41648</v>
          </cell>
          <cell r="BF1580">
            <v>17.408173533463927</v>
          </cell>
          <cell r="BG1580">
            <v>17.429620749261797</v>
          </cell>
          <cell r="BH1580">
            <v>16.109902701379674</v>
          </cell>
          <cell r="BI1580">
            <v>13.839355674417275</v>
          </cell>
          <cell r="BJ1580">
            <v>18.380449728342072</v>
          </cell>
          <cell r="BU1580">
            <v>10.469703526905823</v>
          </cell>
          <cell r="BV1580">
            <v>11.522967903511651</v>
          </cell>
          <cell r="BW1580">
            <v>10.055977276238897</v>
          </cell>
          <cell r="BX1580">
            <v>8.6149332270911767</v>
          </cell>
          <cell r="BY1580">
            <v>11.497021325386617</v>
          </cell>
        </row>
        <row r="1581">
          <cell r="A1581">
            <v>41649</v>
          </cell>
          <cell r="BF1581">
            <v>17.540278800733795</v>
          </cell>
          <cell r="BG1581">
            <v>17.429620749261797</v>
          </cell>
          <cell r="BH1581">
            <v>16.109902701379674</v>
          </cell>
          <cell r="BI1581">
            <v>13.839355674417275</v>
          </cell>
          <cell r="BJ1581">
            <v>18.380449728342072</v>
          </cell>
          <cell r="BU1581">
            <v>10.542479485990311</v>
          </cell>
          <cell r="BV1581">
            <v>11.522967903511651</v>
          </cell>
          <cell r="BW1581">
            <v>10.055977276238897</v>
          </cell>
          <cell r="BX1581">
            <v>8.6149332270911767</v>
          </cell>
          <cell r="BY1581">
            <v>11.497021325386617</v>
          </cell>
        </row>
        <row r="1582">
          <cell r="A1582">
            <v>41652</v>
          </cell>
          <cell r="BF1582">
            <v>17.25541244520246</v>
          </cell>
          <cell r="BG1582">
            <v>17.429620749261797</v>
          </cell>
          <cell r="BH1582">
            <v>16.109902701379674</v>
          </cell>
          <cell r="BI1582">
            <v>13.839355674417275</v>
          </cell>
          <cell r="BJ1582">
            <v>18.380449728342072</v>
          </cell>
          <cell r="BU1582">
            <v>10.255974425304348</v>
          </cell>
          <cell r="BV1582">
            <v>11.522967903511651</v>
          </cell>
          <cell r="BW1582">
            <v>10.055977276238897</v>
          </cell>
          <cell r="BX1582">
            <v>8.6149332270911767</v>
          </cell>
          <cell r="BY1582">
            <v>11.497021325386617</v>
          </cell>
        </row>
        <row r="1583">
          <cell r="A1583">
            <v>41653</v>
          </cell>
          <cell r="BF1583">
            <v>17.636222386540986</v>
          </cell>
          <cell r="BG1583">
            <v>17.429620749261797</v>
          </cell>
          <cell r="BH1583">
            <v>16.109902701379674</v>
          </cell>
          <cell r="BI1583">
            <v>13.839355674417275</v>
          </cell>
          <cell r="BJ1583">
            <v>18.380449728342072</v>
          </cell>
          <cell r="BU1583">
            <v>10.451283731063755</v>
          </cell>
          <cell r="BV1583">
            <v>11.522967903511651</v>
          </cell>
          <cell r="BW1583">
            <v>10.055977276238897</v>
          </cell>
          <cell r="BX1583">
            <v>8.6149332270911767</v>
          </cell>
          <cell r="BY1583">
            <v>11.497021325386617</v>
          </cell>
        </row>
        <row r="1584">
          <cell r="A1584">
            <v>41654</v>
          </cell>
          <cell r="BF1584">
            <v>17.606600044219224</v>
          </cell>
          <cell r="BG1584">
            <v>17.429620749261797</v>
          </cell>
          <cell r="BH1584">
            <v>16.109902701379674</v>
          </cell>
          <cell r="BI1584">
            <v>13.839355674417275</v>
          </cell>
          <cell r="BJ1584">
            <v>18.380449728342072</v>
          </cell>
          <cell r="BU1584">
            <v>10.435197940412513</v>
          </cell>
          <cell r="BV1584">
            <v>11.522967903511651</v>
          </cell>
          <cell r="BW1584">
            <v>10.055977276238897</v>
          </cell>
          <cell r="BX1584">
            <v>8.6149332270911767</v>
          </cell>
          <cell r="BY1584">
            <v>11.497021325386617</v>
          </cell>
        </row>
        <row r="1585">
          <cell r="A1585">
            <v>41655</v>
          </cell>
          <cell r="BF1585">
            <v>17.77162823023318</v>
          </cell>
          <cell r="BG1585">
            <v>17.429620749261797</v>
          </cell>
          <cell r="BH1585">
            <v>16.109902701379674</v>
          </cell>
          <cell r="BI1585">
            <v>13.839355674417275</v>
          </cell>
          <cell r="BJ1585">
            <v>18.380449728342072</v>
          </cell>
          <cell r="BU1585">
            <v>10.524813029690057</v>
          </cell>
          <cell r="BV1585">
            <v>11.522967903511651</v>
          </cell>
          <cell r="BW1585">
            <v>10.055977276238897</v>
          </cell>
          <cell r="BX1585">
            <v>8.6149332270911767</v>
          </cell>
          <cell r="BY1585">
            <v>11.497021325386617</v>
          </cell>
        </row>
        <row r="1586">
          <cell r="A1586">
            <v>41656</v>
          </cell>
          <cell r="BF1586">
            <v>17.77162823023318</v>
          </cell>
          <cell r="BG1586">
            <v>17.429620749261797</v>
          </cell>
          <cell r="BH1586">
            <v>16.109902701379674</v>
          </cell>
          <cell r="BI1586">
            <v>13.839355674417275</v>
          </cell>
          <cell r="BJ1586">
            <v>18.380449728342072</v>
          </cell>
          <cell r="BU1586">
            <v>10.524813029690057</v>
          </cell>
          <cell r="BV1586">
            <v>11.522967903511651</v>
          </cell>
          <cell r="BW1586">
            <v>10.055977276238897</v>
          </cell>
          <cell r="BX1586">
            <v>8.6149332270911767</v>
          </cell>
          <cell r="BY1586">
            <v>11.497021325386617</v>
          </cell>
        </row>
        <row r="1587">
          <cell r="A1587">
            <v>41659</v>
          </cell>
          <cell r="BF1587">
            <v>17.712033799278679</v>
          </cell>
          <cell r="BG1587">
            <v>17.429620749261797</v>
          </cell>
          <cell r="BH1587">
            <v>16.109902701379674</v>
          </cell>
          <cell r="BI1587">
            <v>13.839355674417275</v>
          </cell>
          <cell r="BJ1587">
            <v>18.380449728342072</v>
          </cell>
          <cell r="BU1587">
            <v>10.492641448387577</v>
          </cell>
          <cell r="BV1587">
            <v>11.522967903511651</v>
          </cell>
          <cell r="BW1587">
            <v>10.055977276238897</v>
          </cell>
          <cell r="BX1587">
            <v>8.6149332270911767</v>
          </cell>
          <cell r="BY1587">
            <v>11.497021325386617</v>
          </cell>
        </row>
        <row r="1588">
          <cell r="A1588">
            <v>41660</v>
          </cell>
          <cell r="BF1588">
            <v>17.860130315649954</v>
          </cell>
          <cell r="BG1588">
            <v>17.429620749261797</v>
          </cell>
          <cell r="BH1588">
            <v>16.109902701379674</v>
          </cell>
          <cell r="BI1588">
            <v>13.839355674417275</v>
          </cell>
          <cell r="BJ1588">
            <v>18.380449728342072</v>
          </cell>
          <cell r="BU1588">
            <v>10.573063738196856</v>
          </cell>
          <cell r="BV1588">
            <v>11.522967903511651</v>
          </cell>
          <cell r="BW1588">
            <v>10.055977276238897</v>
          </cell>
          <cell r="BX1588">
            <v>8.6149332270911767</v>
          </cell>
          <cell r="BY1588">
            <v>11.497021325386617</v>
          </cell>
        </row>
        <row r="1589">
          <cell r="A1589">
            <v>41661</v>
          </cell>
          <cell r="BF1589">
            <v>17.944520065416125</v>
          </cell>
          <cell r="BG1589">
            <v>17.429620749261797</v>
          </cell>
          <cell r="BH1589">
            <v>16.109902701379674</v>
          </cell>
          <cell r="BI1589">
            <v>13.839355674417275</v>
          </cell>
          <cell r="BJ1589">
            <v>18.380449728342072</v>
          </cell>
          <cell r="BU1589">
            <v>10.619017855254812</v>
          </cell>
          <cell r="BV1589">
            <v>11.522967903511651</v>
          </cell>
          <cell r="BW1589">
            <v>10.055977276238897</v>
          </cell>
          <cell r="BX1589">
            <v>8.6149332270911767</v>
          </cell>
          <cell r="BY1589">
            <v>11.497021325386617</v>
          </cell>
        </row>
        <row r="1590">
          <cell r="A1590">
            <v>41662</v>
          </cell>
          <cell r="BF1590">
            <v>17.690651795406218</v>
          </cell>
          <cell r="BG1590">
            <v>17.429620749261797</v>
          </cell>
          <cell r="BH1590">
            <v>16.109902701379674</v>
          </cell>
          <cell r="BI1590">
            <v>13.839355674417275</v>
          </cell>
          <cell r="BJ1590">
            <v>18.380449728342072</v>
          </cell>
          <cell r="BU1590">
            <v>10.481155504080947</v>
          </cell>
          <cell r="BV1590">
            <v>11.522967903511651</v>
          </cell>
          <cell r="BW1590">
            <v>10.055977276238897</v>
          </cell>
          <cell r="BX1590">
            <v>8.6149332270911767</v>
          </cell>
          <cell r="BY1590">
            <v>11.497021325386617</v>
          </cell>
        </row>
        <row r="1591">
          <cell r="A1591">
            <v>41663</v>
          </cell>
          <cell r="BF1591">
            <v>17.411390817025516</v>
          </cell>
          <cell r="BG1591">
            <v>17.429620749261797</v>
          </cell>
          <cell r="BH1591">
            <v>16.109902701379674</v>
          </cell>
          <cell r="BI1591">
            <v>13.839355674417275</v>
          </cell>
          <cell r="BJ1591">
            <v>18.380449728342072</v>
          </cell>
          <cell r="BU1591">
            <v>10.329503723930653</v>
          </cell>
          <cell r="BV1591">
            <v>11.522967903511651</v>
          </cell>
          <cell r="BW1591">
            <v>10.055977276238897</v>
          </cell>
          <cell r="BX1591">
            <v>8.6149332270911767</v>
          </cell>
          <cell r="BY1591">
            <v>11.497021325386617</v>
          </cell>
        </row>
        <row r="1592">
          <cell r="A1592">
            <v>41666</v>
          </cell>
          <cell r="BF1592">
            <v>17.580636330365451</v>
          </cell>
          <cell r="BG1592">
            <v>17.429620749261797</v>
          </cell>
          <cell r="BH1592">
            <v>16.109902701379674</v>
          </cell>
          <cell r="BI1592">
            <v>13.839355674417275</v>
          </cell>
          <cell r="BJ1592">
            <v>18.380449728342072</v>
          </cell>
          <cell r="BU1592">
            <v>10.421411958046562</v>
          </cell>
          <cell r="BV1592">
            <v>11.522967903511651</v>
          </cell>
          <cell r="BW1592">
            <v>10.055977276238897</v>
          </cell>
          <cell r="BX1592">
            <v>8.6149332270911767</v>
          </cell>
          <cell r="BY1592">
            <v>11.497021325386617</v>
          </cell>
        </row>
        <row r="1593">
          <cell r="A1593">
            <v>41667</v>
          </cell>
          <cell r="BF1593">
            <v>17.682187700322665</v>
          </cell>
          <cell r="BG1593">
            <v>17.429620749261797</v>
          </cell>
          <cell r="BH1593">
            <v>16.109902701379674</v>
          </cell>
          <cell r="BI1593">
            <v>13.839355674417275</v>
          </cell>
          <cell r="BJ1593">
            <v>18.380449728342072</v>
          </cell>
          <cell r="BU1593">
            <v>10.476559104346814</v>
          </cell>
          <cell r="BV1593">
            <v>11.522967903511651</v>
          </cell>
          <cell r="BW1593">
            <v>10.055977276238897</v>
          </cell>
          <cell r="BX1593">
            <v>8.6149332270911767</v>
          </cell>
          <cell r="BY1593">
            <v>11.497021325386617</v>
          </cell>
        </row>
        <row r="1594">
          <cell r="A1594">
            <v>41668</v>
          </cell>
          <cell r="BF1594">
            <v>17.618722219520677</v>
          </cell>
          <cell r="BG1594">
            <v>17.429620749261797</v>
          </cell>
          <cell r="BH1594">
            <v>16.109902701379674</v>
          </cell>
          <cell r="BI1594">
            <v>13.839355674417275</v>
          </cell>
          <cell r="BJ1594">
            <v>18.380449728342072</v>
          </cell>
          <cell r="BU1594">
            <v>10.442094378205967</v>
          </cell>
          <cell r="BV1594">
            <v>11.522967903511651</v>
          </cell>
          <cell r="BW1594">
            <v>10.055977276238897</v>
          </cell>
          <cell r="BX1594">
            <v>8.6149332270911767</v>
          </cell>
          <cell r="BY1594">
            <v>11.497021325386617</v>
          </cell>
        </row>
        <row r="1595">
          <cell r="A1595">
            <v>41669</v>
          </cell>
          <cell r="BF1595">
            <v>17.606382756657535</v>
          </cell>
          <cell r="BG1595">
            <v>17.429620749261797</v>
          </cell>
          <cell r="BH1595">
            <v>16.109902701379674</v>
          </cell>
          <cell r="BI1595">
            <v>13.839355674417275</v>
          </cell>
          <cell r="BJ1595">
            <v>18.380449728342072</v>
          </cell>
          <cell r="BU1595">
            <v>10.435197940412513</v>
          </cell>
          <cell r="BV1595">
            <v>11.522967903511651</v>
          </cell>
          <cell r="BW1595">
            <v>10.055977276238897</v>
          </cell>
          <cell r="BX1595">
            <v>8.6149332270911767</v>
          </cell>
          <cell r="BY1595">
            <v>11.497021325386617</v>
          </cell>
        </row>
        <row r="1596">
          <cell r="A1596">
            <v>41670</v>
          </cell>
          <cell r="BF1596">
            <v>17.407518152226512</v>
          </cell>
          <cell r="BG1596">
            <v>17.429620749261797</v>
          </cell>
          <cell r="BH1596">
            <v>16.109902701379674</v>
          </cell>
          <cell r="BI1596">
            <v>13.839355674417275</v>
          </cell>
          <cell r="BJ1596">
            <v>18.380449728342072</v>
          </cell>
          <cell r="BU1596">
            <v>10.327207362255843</v>
          </cell>
          <cell r="BV1596">
            <v>11.522967903511651</v>
          </cell>
          <cell r="BW1596">
            <v>10.055977276238897</v>
          </cell>
          <cell r="BX1596">
            <v>8.6149332270911767</v>
          </cell>
          <cell r="BY1596">
            <v>11.497021325386617</v>
          </cell>
        </row>
        <row r="1597">
          <cell r="A1597">
            <v>41673</v>
          </cell>
          <cell r="BF1597">
            <v>17.348280122539791</v>
          </cell>
          <cell r="BG1597">
            <v>17.429620749261797</v>
          </cell>
          <cell r="BH1597">
            <v>16.109902701379674</v>
          </cell>
          <cell r="BI1597">
            <v>13.839355674417275</v>
          </cell>
          <cell r="BJ1597">
            <v>18.380449728342072</v>
          </cell>
          <cell r="BU1597">
            <v>10.295038997789806</v>
          </cell>
          <cell r="BV1597">
            <v>11.522967903511651</v>
          </cell>
          <cell r="BW1597">
            <v>10.055977276238897</v>
          </cell>
          <cell r="BX1597">
            <v>8.6149332270911767</v>
          </cell>
          <cell r="BY1597">
            <v>11.497021325386617</v>
          </cell>
        </row>
        <row r="1598">
          <cell r="A1598">
            <v>41674</v>
          </cell>
          <cell r="BF1598">
            <v>17.344045026545974</v>
          </cell>
          <cell r="BG1598">
            <v>17.429620749261797</v>
          </cell>
          <cell r="BH1598">
            <v>16.109902701379674</v>
          </cell>
          <cell r="BI1598">
            <v>13.839355674417275</v>
          </cell>
          <cell r="BJ1598">
            <v>18.380449728342072</v>
          </cell>
          <cell r="BU1598">
            <v>10.292739189504516</v>
          </cell>
          <cell r="BV1598">
            <v>11.522967903511651</v>
          </cell>
          <cell r="BW1598">
            <v>10.055977276238897</v>
          </cell>
          <cell r="BX1598">
            <v>8.6149332270911767</v>
          </cell>
          <cell r="BY1598">
            <v>11.497021325386617</v>
          </cell>
        </row>
        <row r="1599">
          <cell r="A1599">
            <v>41675</v>
          </cell>
          <cell r="BF1599">
            <v>17.369431484168217</v>
          </cell>
          <cell r="BG1599">
            <v>17.429620749261797</v>
          </cell>
          <cell r="BH1599">
            <v>16.109902701379674</v>
          </cell>
          <cell r="BI1599">
            <v>13.839355674417275</v>
          </cell>
          <cell r="BJ1599">
            <v>18.380449728342072</v>
          </cell>
          <cell r="BU1599">
            <v>10.306524942096436</v>
          </cell>
          <cell r="BV1599">
            <v>11.522967903511651</v>
          </cell>
          <cell r="BW1599">
            <v>10.055977276238897</v>
          </cell>
          <cell r="BX1599">
            <v>8.6149332270911767</v>
          </cell>
          <cell r="BY1599">
            <v>11.497021325386617</v>
          </cell>
        </row>
        <row r="1600">
          <cell r="A1600">
            <v>41676</v>
          </cell>
          <cell r="BF1600">
            <v>17.243703077679736</v>
          </cell>
          <cell r="BG1600">
            <v>17.429620749261797</v>
          </cell>
          <cell r="BH1600">
            <v>16.109902701379674</v>
          </cell>
          <cell r="BI1600">
            <v>13.839355674417275</v>
          </cell>
          <cell r="BJ1600">
            <v>18.380449728342072</v>
          </cell>
          <cell r="BU1600">
            <v>10.246785072446562</v>
          </cell>
          <cell r="BV1600">
            <v>11.522967903511651</v>
          </cell>
          <cell r="BW1600">
            <v>10.055977276238897</v>
          </cell>
          <cell r="BX1600">
            <v>8.6149332270911767</v>
          </cell>
          <cell r="BY1600">
            <v>11.497021325386617</v>
          </cell>
        </row>
        <row r="1601">
          <cell r="A1601">
            <v>41677</v>
          </cell>
          <cell r="BF1601">
            <v>17.34516362109532</v>
          </cell>
          <cell r="BG1601">
            <v>17.429620749261797</v>
          </cell>
          <cell r="BH1601">
            <v>16.109902701379674</v>
          </cell>
          <cell r="BI1601">
            <v>13.839355674417275</v>
          </cell>
          <cell r="BJ1601">
            <v>18.380449728342072</v>
          </cell>
          <cell r="BU1601">
            <v>10.301931988972781</v>
          </cell>
          <cell r="BV1601">
            <v>11.522967903511651</v>
          </cell>
          <cell r="BW1601">
            <v>10.055977276238897</v>
          </cell>
          <cell r="BX1601">
            <v>8.6149332270911767</v>
          </cell>
          <cell r="BY1601">
            <v>11.497021325386617</v>
          </cell>
        </row>
        <row r="1602">
          <cell r="A1602">
            <v>41680</v>
          </cell>
          <cell r="BF1602">
            <v>17.653764653787164</v>
          </cell>
          <cell r="BG1602">
            <v>17.429620749261797</v>
          </cell>
          <cell r="BH1602">
            <v>16.109902701379674</v>
          </cell>
          <cell r="BI1602">
            <v>13.839355674417275</v>
          </cell>
          <cell r="BJ1602">
            <v>18.380449728342072</v>
          </cell>
          <cell r="BU1602">
            <v>10.469666113163839</v>
          </cell>
          <cell r="BV1602">
            <v>11.522967903511651</v>
          </cell>
          <cell r="BW1602">
            <v>10.055977276238897</v>
          </cell>
          <cell r="BX1602">
            <v>8.6149332270911767</v>
          </cell>
          <cell r="BY1602">
            <v>11.497021325386617</v>
          </cell>
        </row>
        <row r="1603">
          <cell r="A1603">
            <v>41681</v>
          </cell>
          <cell r="BF1603">
            <v>17.668047791388659</v>
          </cell>
          <cell r="BG1603">
            <v>17.429620749261797</v>
          </cell>
          <cell r="BH1603">
            <v>16.109902701379674</v>
          </cell>
          <cell r="BI1603">
            <v>13.839355674417275</v>
          </cell>
          <cell r="BJ1603">
            <v>18.380449728342072</v>
          </cell>
          <cell r="BU1603">
            <v>10.490914654182919</v>
          </cell>
          <cell r="BV1603">
            <v>11.522967903511651</v>
          </cell>
          <cell r="BW1603">
            <v>10.055977276238897</v>
          </cell>
          <cell r="BX1603">
            <v>8.6149332270911767</v>
          </cell>
          <cell r="BY1603">
            <v>11.497021325386617</v>
          </cell>
        </row>
        <row r="1604">
          <cell r="A1604">
            <v>41682</v>
          </cell>
          <cell r="BF1604">
            <v>17.739339827974486</v>
          </cell>
          <cell r="BG1604">
            <v>17.429620749261797</v>
          </cell>
          <cell r="BH1604">
            <v>16.109902701379674</v>
          </cell>
          <cell r="BI1604">
            <v>13.839355674417275</v>
          </cell>
          <cell r="BJ1604">
            <v>18.380449728342072</v>
          </cell>
          <cell r="BU1604">
            <v>10.529739790065776</v>
          </cell>
          <cell r="BV1604">
            <v>11.522967903511651</v>
          </cell>
          <cell r="BW1604">
            <v>10.055977276238897</v>
          </cell>
          <cell r="BX1604">
            <v>8.6149332270911767</v>
          </cell>
          <cell r="BY1604">
            <v>11.497021325386617</v>
          </cell>
        </row>
        <row r="1605">
          <cell r="A1605">
            <v>41683</v>
          </cell>
          <cell r="BF1605">
            <v>18.037095360511298</v>
          </cell>
          <cell r="BG1605">
            <v>17.429620749261797</v>
          </cell>
          <cell r="BH1605">
            <v>16.109902701379674</v>
          </cell>
          <cell r="BI1605">
            <v>13.839355674417275</v>
          </cell>
          <cell r="BJ1605">
            <v>18.380449728342072</v>
          </cell>
          <cell r="BU1605">
            <v>10.691895334559117</v>
          </cell>
          <cell r="BV1605">
            <v>11.522967903511651</v>
          </cell>
          <cell r="BW1605">
            <v>10.055977276238897</v>
          </cell>
          <cell r="BX1605">
            <v>8.6149332270911767</v>
          </cell>
          <cell r="BY1605">
            <v>11.497021325386617</v>
          </cell>
        </row>
        <row r="1606">
          <cell r="A1606">
            <v>41684</v>
          </cell>
          <cell r="BF1606">
            <v>17.810631864560314</v>
          </cell>
          <cell r="BG1606">
            <v>17.429620749261797</v>
          </cell>
          <cell r="BH1606">
            <v>16.109902701379674</v>
          </cell>
          <cell r="BI1606">
            <v>13.839355674417275</v>
          </cell>
          <cell r="BJ1606">
            <v>18.380449728342072</v>
          </cell>
          <cell r="BU1606">
            <v>10.568564925948632</v>
          </cell>
          <cell r="BV1606">
            <v>11.522967903511651</v>
          </cell>
          <cell r="BW1606">
            <v>10.055977276238897</v>
          </cell>
          <cell r="BX1606">
            <v>8.6149332270911767</v>
          </cell>
          <cell r="BY1606">
            <v>11.497021325386617</v>
          </cell>
        </row>
        <row r="1607">
          <cell r="A1607">
            <v>41687</v>
          </cell>
          <cell r="BF1607">
            <v>17.538044394492836</v>
          </cell>
          <cell r="BG1607">
            <v>17.429620749261797</v>
          </cell>
          <cell r="BH1607">
            <v>16.109902701379674</v>
          </cell>
          <cell r="BI1607">
            <v>13.839355674417275</v>
          </cell>
          <cell r="BJ1607">
            <v>18.380449728342072</v>
          </cell>
          <cell r="BU1607">
            <v>10.420115729205699</v>
          </cell>
          <cell r="BV1607">
            <v>11.522967903511651</v>
          </cell>
          <cell r="BW1607">
            <v>10.055977276238897</v>
          </cell>
          <cell r="BX1607">
            <v>8.6149332270911767</v>
          </cell>
          <cell r="BY1607">
            <v>11.497021325386617</v>
          </cell>
        </row>
        <row r="1608">
          <cell r="A1608">
            <v>41688</v>
          </cell>
          <cell r="BF1608">
            <v>17.684826359911597</v>
          </cell>
          <cell r="BG1608">
            <v>17.429620749261797</v>
          </cell>
          <cell r="BH1608">
            <v>16.109902701379674</v>
          </cell>
          <cell r="BI1608">
            <v>13.839355674417275</v>
          </cell>
          <cell r="BJ1608">
            <v>18.380449728342072</v>
          </cell>
          <cell r="BU1608">
            <v>10.500052143221245</v>
          </cell>
          <cell r="BV1608">
            <v>11.522967903511651</v>
          </cell>
          <cell r="BW1608">
            <v>10.055977276238897</v>
          </cell>
          <cell r="BX1608">
            <v>8.6149332270911767</v>
          </cell>
          <cell r="BY1608">
            <v>11.497021325386617</v>
          </cell>
        </row>
        <row r="1609">
          <cell r="A1609">
            <v>41689</v>
          </cell>
          <cell r="BF1609">
            <v>18.037095360511298</v>
          </cell>
          <cell r="BG1609">
            <v>17.429620749261797</v>
          </cell>
          <cell r="BH1609">
            <v>16.109902701379674</v>
          </cell>
          <cell r="BI1609">
            <v>13.839355674417275</v>
          </cell>
          <cell r="BJ1609">
            <v>18.380449728342072</v>
          </cell>
          <cell r="BU1609">
            <v>10.691895334559117</v>
          </cell>
          <cell r="BV1609">
            <v>11.522967903511651</v>
          </cell>
          <cell r="BW1609">
            <v>10.055977276238897</v>
          </cell>
          <cell r="BX1609">
            <v>8.6149332270911767</v>
          </cell>
          <cell r="BY1609">
            <v>11.497021325386617</v>
          </cell>
        </row>
        <row r="1610">
          <cell r="A1610">
            <v>41690</v>
          </cell>
          <cell r="BF1610">
            <v>17.437393113108246</v>
          </cell>
          <cell r="BG1610">
            <v>17.429620749261797</v>
          </cell>
          <cell r="BH1610">
            <v>16.109902701379674</v>
          </cell>
          <cell r="BI1610">
            <v>13.839355674417275</v>
          </cell>
          <cell r="BJ1610">
            <v>18.380449728342072</v>
          </cell>
          <cell r="BU1610">
            <v>10.365301757496027</v>
          </cell>
          <cell r="BV1610">
            <v>11.522967903511651</v>
          </cell>
          <cell r="BW1610">
            <v>10.055977276238897</v>
          </cell>
          <cell r="BX1610">
            <v>8.6149332270911767</v>
          </cell>
          <cell r="BY1610">
            <v>11.497021325386617</v>
          </cell>
        </row>
        <row r="1611">
          <cell r="A1611">
            <v>41691</v>
          </cell>
          <cell r="BF1611">
            <v>17.118674539636743</v>
          </cell>
          <cell r="BG1611">
            <v>17.429620749261797</v>
          </cell>
          <cell r="BH1611">
            <v>16.109902701379674</v>
          </cell>
          <cell r="BI1611">
            <v>13.839355674417275</v>
          </cell>
          <cell r="BJ1611">
            <v>18.380449728342072</v>
          </cell>
          <cell r="BU1611">
            <v>10.19172989006138</v>
          </cell>
          <cell r="BV1611">
            <v>11.522967903511651</v>
          </cell>
          <cell r="BW1611">
            <v>10.055977276238897</v>
          </cell>
          <cell r="BX1611">
            <v>8.6149332270911767</v>
          </cell>
          <cell r="BY1611">
            <v>11.497021325386617</v>
          </cell>
        </row>
        <row r="1612">
          <cell r="A1612">
            <v>41694</v>
          </cell>
          <cell r="BF1612">
            <v>17.248677936532566</v>
          </cell>
          <cell r="BG1612">
            <v>17.429620749261797</v>
          </cell>
          <cell r="BH1612">
            <v>16.109902701379674</v>
          </cell>
          <cell r="BI1612">
            <v>13.839355674417275</v>
          </cell>
          <cell r="BJ1612">
            <v>18.380449728342072</v>
          </cell>
          <cell r="BU1612">
            <v>10.262528815038602</v>
          </cell>
          <cell r="BV1612">
            <v>11.522967903511651</v>
          </cell>
          <cell r="BW1612">
            <v>10.055977276238897</v>
          </cell>
          <cell r="BX1612">
            <v>8.6149332270911767</v>
          </cell>
          <cell r="BY1612">
            <v>11.497021325386617</v>
          </cell>
        </row>
        <row r="1613">
          <cell r="A1613">
            <v>41695</v>
          </cell>
          <cell r="BF1613">
            <v>17.356389602107772</v>
          </cell>
          <cell r="BG1613">
            <v>17.429620749261797</v>
          </cell>
          <cell r="BH1613">
            <v>16.109902701379674</v>
          </cell>
          <cell r="BI1613">
            <v>13.839355674417275</v>
          </cell>
          <cell r="BJ1613">
            <v>18.380449728342072</v>
          </cell>
          <cell r="BU1613">
            <v>10.319860218569676</v>
          </cell>
          <cell r="BV1613">
            <v>11.522967903511651</v>
          </cell>
          <cell r="BW1613">
            <v>10.055977276238897</v>
          </cell>
          <cell r="BX1613">
            <v>8.6149332270911767</v>
          </cell>
          <cell r="BY1613">
            <v>11.497021325386617</v>
          </cell>
        </row>
        <row r="1614">
          <cell r="A1614">
            <v>41696</v>
          </cell>
          <cell r="BF1614">
            <v>17.108861954387553</v>
          </cell>
          <cell r="BG1614">
            <v>17.429620749261797</v>
          </cell>
          <cell r="BH1614">
            <v>16.109902701379674</v>
          </cell>
          <cell r="BI1614">
            <v>13.839355674417275</v>
          </cell>
          <cell r="BJ1614">
            <v>18.380449728342072</v>
          </cell>
          <cell r="BU1614">
            <v>10.185080380371449</v>
          </cell>
          <cell r="BV1614">
            <v>11.522967903511651</v>
          </cell>
          <cell r="BW1614">
            <v>10.055977276238897</v>
          </cell>
          <cell r="BX1614">
            <v>8.6149332270911767</v>
          </cell>
          <cell r="BY1614">
            <v>11.497021325386617</v>
          </cell>
        </row>
        <row r="1615">
          <cell r="A1615">
            <v>41697</v>
          </cell>
          <cell r="BF1615">
            <v>17.21794039168303</v>
          </cell>
          <cell r="BG1615">
            <v>17.429620749261797</v>
          </cell>
          <cell r="BH1615">
            <v>16.109902701379674</v>
          </cell>
          <cell r="BI1615">
            <v>13.839355674417275</v>
          </cell>
          <cell r="BJ1615">
            <v>18.380449728342072</v>
          </cell>
          <cell r="BU1615">
            <v>10.244474045139826</v>
          </cell>
          <cell r="BV1615">
            <v>11.522967903511651</v>
          </cell>
          <cell r="BW1615">
            <v>10.055977276238897</v>
          </cell>
          <cell r="BX1615">
            <v>8.6149332270911767</v>
          </cell>
          <cell r="BY1615">
            <v>11.497021325386617</v>
          </cell>
        </row>
        <row r="1616">
          <cell r="A1616">
            <v>41698</v>
          </cell>
          <cell r="BF1616">
            <v>17.21794039168303</v>
          </cell>
          <cell r="BG1616">
            <v>17.429620749261797</v>
          </cell>
          <cell r="BH1616">
            <v>16.109902701379674</v>
          </cell>
          <cell r="BI1616">
            <v>13.839355674417275</v>
          </cell>
          <cell r="BJ1616">
            <v>18.380449728342072</v>
          </cell>
          <cell r="BU1616">
            <v>10.244474045139826</v>
          </cell>
          <cell r="BV1616">
            <v>11.522967903511651</v>
          </cell>
          <cell r="BW1616">
            <v>10.055977276238897</v>
          </cell>
          <cell r="BX1616">
            <v>8.6149332270911767</v>
          </cell>
          <cell r="BY1616">
            <v>11.497021325386617</v>
          </cell>
        </row>
        <row r="1617">
          <cell r="A1617">
            <v>41701</v>
          </cell>
          <cell r="BF1617">
            <v>17.322825521488866</v>
          </cell>
          <cell r="BG1617">
            <v>17.429620749261797</v>
          </cell>
          <cell r="BH1617">
            <v>16.109902701379674</v>
          </cell>
          <cell r="BI1617">
            <v>13.839355674417275</v>
          </cell>
          <cell r="BJ1617">
            <v>18.380449728342072</v>
          </cell>
          <cell r="BU1617">
            <v>10.301584436463099</v>
          </cell>
          <cell r="BV1617">
            <v>11.522967903511651</v>
          </cell>
          <cell r="BW1617">
            <v>10.055977276238897</v>
          </cell>
          <cell r="BX1617">
            <v>8.6149332270911767</v>
          </cell>
          <cell r="BY1617">
            <v>11.497021325386617</v>
          </cell>
        </row>
        <row r="1618">
          <cell r="A1618">
            <v>41702</v>
          </cell>
          <cell r="BF1618">
            <v>17.30741434487161</v>
          </cell>
          <cell r="BG1618">
            <v>17.429620749261797</v>
          </cell>
          <cell r="BH1618">
            <v>16.109902701379674</v>
          </cell>
          <cell r="BI1618">
            <v>13.839355674417275</v>
          </cell>
          <cell r="BJ1618">
            <v>18.380449728342072</v>
          </cell>
          <cell r="BU1618">
            <v>10.288487749698277</v>
          </cell>
          <cell r="BV1618">
            <v>11.522967903511651</v>
          </cell>
          <cell r="BW1618">
            <v>10.055977276238897</v>
          </cell>
          <cell r="BX1618">
            <v>8.6149332270911767</v>
          </cell>
          <cell r="BY1618">
            <v>11.497021325386617</v>
          </cell>
        </row>
        <row r="1619">
          <cell r="A1619">
            <v>41703</v>
          </cell>
          <cell r="BF1619">
            <v>17.303216634608116</v>
          </cell>
          <cell r="BG1619">
            <v>17.429620749261797</v>
          </cell>
          <cell r="BH1619">
            <v>16.109902701379674</v>
          </cell>
          <cell r="BI1619">
            <v>13.839355674417275</v>
          </cell>
          <cell r="BJ1619">
            <v>18.380449728342072</v>
          </cell>
          <cell r="BU1619">
            <v>10.286203326303166</v>
          </cell>
          <cell r="BV1619">
            <v>11.522967903511651</v>
          </cell>
          <cell r="BW1619">
            <v>10.055977276238897</v>
          </cell>
          <cell r="BX1619">
            <v>8.6149332270911767</v>
          </cell>
          <cell r="BY1619">
            <v>11.497021325386617</v>
          </cell>
        </row>
        <row r="1620">
          <cell r="A1620">
            <v>41704</v>
          </cell>
          <cell r="BF1620">
            <v>17.189820080132378</v>
          </cell>
          <cell r="BG1620">
            <v>17.429620749261797</v>
          </cell>
          <cell r="BH1620">
            <v>16.109902701379674</v>
          </cell>
          <cell r="BI1620">
            <v>13.839355674417275</v>
          </cell>
          <cell r="BJ1620">
            <v>18.380449728342072</v>
          </cell>
          <cell r="BU1620">
            <v>10.22449212526527</v>
          </cell>
          <cell r="BV1620">
            <v>11.522967903511651</v>
          </cell>
          <cell r="BW1620">
            <v>10.055977276238897</v>
          </cell>
          <cell r="BX1620">
            <v>8.6149332270911767</v>
          </cell>
          <cell r="BY1620">
            <v>11.497021325386617</v>
          </cell>
        </row>
        <row r="1621">
          <cell r="A1621">
            <v>41705</v>
          </cell>
          <cell r="BF1621">
            <v>17.181418779871152</v>
          </cell>
          <cell r="BG1621">
            <v>17.429620749261797</v>
          </cell>
          <cell r="BH1621">
            <v>16.109902701379674</v>
          </cell>
          <cell r="BI1621">
            <v>13.839355674417275</v>
          </cell>
          <cell r="BJ1621">
            <v>18.380449728342072</v>
          </cell>
          <cell r="BU1621">
            <v>10.219920078682396</v>
          </cell>
          <cell r="BV1621">
            <v>11.522967903511651</v>
          </cell>
          <cell r="BW1621">
            <v>10.055977276238897</v>
          </cell>
          <cell r="BX1621">
            <v>8.6149332270911767</v>
          </cell>
          <cell r="BY1621">
            <v>11.497021325386617</v>
          </cell>
        </row>
        <row r="1622">
          <cell r="A1622">
            <v>41708</v>
          </cell>
          <cell r="BF1622">
            <v>17.22761711170655</v>
          </cell>
          <cell r="BG1622">
            <v>17.429620749261797</v>
          </cell>
          <cell r="BH1622">
            <v>16.109902701379674</v>
          </cell>
          <cell r="BI1622">
            <v>13.839355674417275</v>
          </cell>
          <cell r="BJ1622">
            <v>18.380449728342072</v>
          </cell>
          <cell r="BU1622">
            <v>10.245061535199223</v>
          </cell>
          <cell r="BV1622">
            <v>11.522967903511651</v>
          </cell>
          <cell r="BW1622">
            <v>10.055977276238897</v>
          </cell>
          <cell r="BX1622">
            <v>8.6149332270911767</v>
          </cell>
          <cell r="BY1622">
            <v>11.497021325386617</v>
          </cell>
        </row>
        <row r="1623">
          <cell r="A1623">
            <v>41709</v>
          </cell>
          <cell r="BF1623">
            <v>17.22761711170655</v>
          </cell>
          <cell r="BG1623">
            <v>17.429620749261797</v>
          </cell>
          <cell r="BH1623">
            <v>16.109902701379674</v>
          </cell>
          <cell r="BI1623">
            <v>13.839355674417275</v>
          </cell>
          <cell r="BJ1623">
            <v>18.380449728342072</v>
          </cell>
          <cell r="BU1623">
            <v>10.245061535199223</v>
          </cell>
          <cell r="BV1623">
            <v>11.522967903511651</v>
          </cell>
          <cell r="BW1623">
            <v>10.055977276238897</v>
          </cell>
          <cell r="BX1623">
            <v>8.6149332270911767</v>
          </cell>
          <cell r="BY1623">
            <v>11.497021325386617</v>
          </cell>
        </row>
        <row r="1624">
          <cell r="A1624">
            <v>41710</v>
          </cell>
          <cell r="BF1624">
            <v>17.093226126179097</v>
          </cell>
          <cell r="BG1624">
            <v>17.429620749261797</v>
          </cell>
          <cell r="BH1624">
            <v>16.109902701379674</v>
          </cell>
          <cell r="BI1624">
            <v>13.839355674417275</v>
          </cell>
          <cell r="BJ1624">
            <v>18.380449728342072</v>
          </cell>
          <cell r="BU1624">
            <v>10.171925017393118</v>
          </cell>
          <cell r="BV1624">
            <v>11.522967903511651</v>
          </cell>
          <cell r="BW1624">
            <v>10.055977276238897</v>
          </cell>
          <cell r="BX1624">
            <v>8.6149332270911767</v>
          </cell>
          <cell r="BY1624">
            <v>11.497021325386617</v>
          </cell>
        </row>
        <row r="1625">
          <cell r="A1625">
            <v>41711</v>
          </cell>
          <cell r="BF1625">
            <v>17.017814302764215</v>
          </cell>
          <cell r="BG1625">
            <v>17.429620749261797</v>
          </cell>
          <cell r="BH1625">
            <v>16.109902701379674</v>
          </cell>
          <cell r="BI1625">
            <v>13.839355674417275</v>
          </cell>
          <cell r="BJ1625">
            <v>18.380449728342072</v>
          </cell>
          <cell r="BU1625">
            <v>10.156571049275449</v>
          </cell>
          <cell r="BV1625">
            <v>11.522967903511651</v>
          </cell>
          <cell r="BW1625">
            <v>10.055977276238897</v>
          </cell>
          <cell r="BX1625">
            <v>8.6149332270911767</v>
          </cell>
          <cell r="BY1625">
            <v>11.497021325386617</v>
          </cell>
        </row>
        <row r="1626">
          <cell r="A1626">
            <v>41712</v>
          </cell>
          <cell r="BF1626">
            <v>16.867730245503125</v>
          </cell>
          <cell r="BG1626">
            <v>17.429620749261797</v>
          </cell>
          <cell r="BH1626">
            <v>16.109902701379674</v>
          </cell>
          <cell r="BI1626">
            <v>13.839355674417275</v>
          </cell>
          <cell r="BJ1626">
            <v>18.380449728342072</v>
          </cell>
          <cell r="BU1626">
            <v>10.074635553602464</v>
          </cell>
          <cell r="BV1626">
            <v>11.522967903511651</v>
          </cell>
          <cell r="BW1626">
            <v>10.055977276238897</v>
          </cell>
          <cell r="BX1626">
            <v>8.6149332270911767</v>
          </cell>
          <cell r="BY1626">
            <v>11.497021325386617</v>
          </cell>
        </row>
        <row r="1627">
          <cell r="A1627">
            <v>41715</v>
          </cell>
          <cell r="BF1627">
            <v>16.909422646997712</v>
          </cell>
          <cell r="BG1627">
            <v>17.429620749261797</v>
          </cell>
          <cell r="BH1627">
            <v>16.109902701379674</v>
          </cell>
          <cell r="BI1627">
            <v>13.839355674417275</v>
          </cell>
          <cell r="BJ1627">
            <v>18.380449728342072</v>
          </cell>
          <cell r="BU1627">
            <v>10.097396715877771</v>
          </cell>
          <cell r="BV1627">
            <v>11.522967903511651</v>
          </cell>
          <cell r="BW1627">
            <v>10.055977276238897</v>
          </cell>
          <cell r="BX1627">
            <v>8.6149332270911767</v>
          </cell>
          <cell r="BY1627">
            <v>11.497021325386617</v>
          </cell>
        </row>
        <row r="1628">
          <cell r="A1628">
            <v>41716</v>
          </cell>
          <cell r="BF1628">
            <v>16.829014913529715</v>
          </cell>
          <cell r="BG1628">
            <v>17.429620749261797</v>
          </cell>
          <cell r="BH1628">
            <v>16.109902701379674</v>
          </cell>
          <cell r="BI1628">
            <v>13.839355674417275</v>
          </cell>
          <cell r="BJ1628">
            <v>18.380449728342072</v>
          </cell>
          <cell r="BU1628">
            <v>10.035944354429638</v>
          </cell>
          <cell r="BV1628">
            <v>11.522967903511651</v>
          </cell>
          <cell r="BW1628">
            <v>10.055977276238897</v>
          </cell>
          <cell r="BX1628">
            <v>8.6149332270911767</v>
          </cell>
          <cell r="BY1628">
            <v>11.497021325386617</v>
          </cell>
        </row>
        <row r="1629">
          <cell r="A1629">
            <v>41717</v>
          </cell>
          <cell r="BF1629">
            <v>16.916733817283603</v>
          </cell>
          <cell r="BG1629">
            <v>17.429620749261797</v>
          </cell>
          <cell r="BH1629">
            <v>16.109902701379674</v>
          </cell>
          <cell r="BI1629">
            <v>13.839355674417275</v>
          </cell>
          <cell r="BJ1629">
            <v>18.380449728342072</v>
          </cell>
          <cell r="BU1629">
            <v>10.083741293061202</v>
          </cell>
          <cell r="BV1629">
            <v>11.522967903511651</v>
          </cell>
          <cell r="BW1629">
            <v>10.055977276238897</v>
          </cell>
          <cell r="BX1629">
            <v>8.6149332270911767</v>
          </cell>
          <cell r="BY1629">
            <v>11.497021325386617</v>
          </cell>
        </row>
        <row r="1630">
          <cell r="A1630">
            <v>41718</v>
          </cell>
          <cell r="BF1630">
            <v>16.925083582938107</v>
          </cell>
          <cell r="BG1630">
            <v>17.429620749261797</v>
          </cell>
          <cell r="BH1630">
            <v>16.109902701379674</v>
          </cell>
          <cell r="BI1630">
            <v>13.839355674417275</v>
          </cell>
          <cell r="BJ1630">
            <v>18.380449728342072</v>
          </cell>
          <cell r="BU1630">
            <v>10.088290976419035</v>
          </cell>
          <cell r="BV1630">
            <v>11.522967903511651</v>
          </cell>
          <cell r="BW1630">
            <v>10.055977276238897</v>
          </cell>
          <cell r="BX1630">
            <v>8.6149332270911767</v>
          </cell>
          <cell r="BY1630">
            <v>11.497021325386617</v>
          </cell>
        </row>
        <row r="1631">
          <cell r="A1631">
            <v>41719</v>
          </cell>
          <cell r="BF1631">
            <v>17.271772619606732</v>
          </cell>
          <cell r="BG1631">
            <v>17.429620749261797</v>
          </cell>
          <cell r="BH1631">
            <v>16.109902701379674</v>
          </cell>
          <cell r="BI1631">
            <v>13.839355674417275</v>
          </cell>
          <cell r="BJ1631">
            <v>18.380449728342072</v>
          </cell>
          <cell r="BU1631">
            <v>10.277197516523294</v>
          </cell>
          <cell r="BV1631">
            <v>11.522967903511651</v>
          </cell>
          <cell r="BW1631">
            <v>10.055977276238897</v>
          </cell>
          <cell r="BX1631">
            <v>8.6149332270911767</v>
          </cell>
          <cell r="BY1631">
            <v>11.497021325386617</v>
          </cell>
        </row>
        <row r="1632">
          <cell r="A1632">
            <v>41722</v>
          </cell>
          <cell r="BF1632">
            <v>17.351136327643406</v>
          </cell>
          <cell r="BG1632">
            <v>17.429620749261797</v>
          </cell>
          <cell r="BH1632">
            <v>16.109902701379674</v>
          </cell>
          <cell r="BI1632">
            <v>13.839355674417275</v>
          </cell>
          <cell r="BJ1632">
            <v>18.380449728342072</v>
          </cell>
          <cell r="BU1632">
            <v>10.320441813023452</v>
          </cell>
          <cell r="BV1632">
            <v>11.522967903511651</v>
          </cell>
          <cell r="BW1632">
            <v>10.055977276238897</v>
          </cell>
          <cell r="BX1632">
            <v>8.6149332270911767</v>
          </cell>
          <cell r="BY1632">
            <v>11.497021325386617</v>
          </cell>
        </row>
        <row r="1633">
          <cell r="A1633">
            <v>41723</v>
          </cell>
          <cell r="BF1633">
            <v>17.330250217987466</v>
          </cell>
          <cell r="BG1633">
            <v>17.429620749261797</v>
          </cell>
          <cell r="BH1633">
            <v>16.109902701379674</v>
          </cell>
          <cell r="BI1633">
            <v>13.839355674417275</v>
          </cell>
          <cell r="BJ1633">
            <v>18.380449728342072</v>
          </cell>
          <cell r="BU1633">
            <v>10.309061231885801</v>
          </cell>
          <cell r="BV1633">
            <v>11.522967903511651</v>
          </cell>
          <cell r="BW1633">
            <v>10.055977276238897</v>
          </cell>
          <cell r="BX1633">
            <v>8.6149332270911767</v>
          </cell>
          <cell r="BY1633">
            <v>11.497021325386617</v>
          </cell>
        </row>
        <row r="1634">
          <cell r="A1634">
            <v>41724</v>
          </cell>
          <cell r="BF1634">
            <v>17.209120556095876</v>
          </cell>
          <cell r="BG1634">
            <v>17.429620749261797</v>
          </cell>
          <cell r="BH1634">
            <v>16.109902701379674</v>
          </cell>
          <cell r="BI1634">
            <v>13.839355674417275</v>
          </cell>
          <cell r="BJ1634">
            <v>18.380449728342072</v>
          </cell>
          <cell r="BU1634">
            <v>10.243059187079838</v>
          </cell>
          <cell r="BV1634">
            <v>11.522967903511651</v>
          </cell>
          <cell r="BW1634">
            <v>10.055977276238897</v>
          </cell>
          <cell r="BX1634">
            <v>8.6149332270911767</v>
          </cell>
          <cell r="BY1634">
            <v>11.497021325386617</v>
          </cell>
        </row>
        <row r="1635">
          <cell r="A1635">
            <v>41725</v>
          </cell>
          <cell r="BF1635">
            <v>17.071280085072729</v>
          </cell>
          <cell r="BG1635">
            <v>17.429620749261797</v>
          </cell>
          <cell r="BH1635">
            <v>16.109902701379674</v>
          </cell>
          <cell r="BI1635">
            <v>13.839355674417275</v>
          </cell>
          <cell r="BJ1635">
            <v>18.380449728342072</v>
          </cell>
          <cell r="BU1635">
            <v>10.167951630413103</v>
          </cell>
          <cell r="BV1635">
            <v>11.522967903511651</v>
          </cell>
          <cell r="BW1635">
            <v>10.055977276238897</v>
          </cell>
          <cell r="BX1635">
            <v>8.6149332270911767</v>
          </cell>
          <cell r="BY1635">
            <v>11.497021325386617</v>
          </cell>
        </row>
        <row r="1636">
          <cell r="A1636">
            <v>41726</v>
          </cell>
          <cell r="BF1636">
            <v>17.17987883302559</v>
          </cell>
          <cell r="BG1636">
            <v>17.429620749261797</v>
          </cell>
          <cell r="BH1636">
            <v>16.109902701379674</v>
          </cell>
          <cell r="BI1636">
            <v>13.839355674417275</v>
          </cell>
          <cell r="BJ1636">
            <v>18.380449728342072</v>
          </cell>
          <cell r="BU1636">
            <v>10.227125736212816</v>
          </cell>
          <cell r="BV1636">
            <v>11.522967903511651</v>
          </cell>
          <cell r="BW1636">
            <v>10.055977276238897</v>
          </cell>
          <cell r="BX1636">
            <v>8.6149332270911767</v>
          </cell>
          <cell r="BY1636">
            <v>11.497021325386617</v>
          </cell>
        </row>
        <row r="1637">
          <cell r="A1637">
            <v>41729</v>
          </cell>
          <cell r="BF1637">
            <v>17.21746990405325</v>
          </cell>
          <cell r="BG1637">
            <v>17.429620749261797</v>
          </cell>
          <cell r="BH1637">
            <v>16.109902701379674</v>
          </cell>
          <cell r="BI1637">
            <v>13.839355674417275</v>
          </cell>
          <cell r="BJ1637">
            <v>18.380449728342072</v>
          </cell>
          <cell r="BU1637">
            <v>10.245777987795663</v>
          </cell>
          <cell r="BV1637">
            <v>11.522967903511651</v>
          </cell>
          <cell r="BW1637">
            <v>10.055977276238897</v>
          </cell>
          <cell r="BX1637">
            <v>8.6149332270911767</v>
          </cell>
          <cell r="BY1637">
            <v>11.497021325386617</v>
          </cell>
        </row>
        <row r="1638">
          <cell r="A1638">
            <v>41730</v>
          </cell>
          <cell r="BF1638">
            <v>16.983560763621711</v>
          </cell>
          <cell r="BG1638">
            <v>17.429620749261797</v>
          </cell>
          <cell r="BH1638">
            <v>16.109902701379674</v>
          </cell>
          <cell r="BI1638">
            <v>13.839355674417275</v>
          </cell>
          <cell r="BJ1638">
            <v>18.380449728342072</v>
          </cell>
          <cell r="BU1638">
            <v>10.118346577830572</v>
          </cell>
          <cell r="BV1638">
            <v>11.522967903511651</v>
          </cell>
          <cell r="BW1638">
            <v>10.055977276238897</v>
          </cell>
          <cell r="BX1638">
            <v>8.6149332270911767</v>
          </cell>
          <cell r="BY1638">
            <v>11.497021325386617</v>
          </cell>
        </row>
        <row r="1639">
          <cell r="A1639">
            <v>41731</v>
          </cell>
          <cell r="BF1639">
            <v>17.138112879170674</v>
          </cell>
          <cell r="BG1639">
            <v>17.429620749261797</v>
          </cell>
          <cell r="BH1639">
            <v>16.109902701379674</v>
          </cell>
          <cell r="BI1639">
            <v>13.839355674417275</v>
          </cell>
          <cell r="BJ1639">
            <v>18.380449728342072</v>
          </cell>
          <cell r="BU1639">
            <v>10.202545057467397</v>
          </cell>
          <cell r="BV1639">
            <v>11.522967903511651</v>
          </cell>
          <cell r="BW1639">
            <v>10.055977276238897</v>
          </cell>
          <cell r="BX1639">
            <v>8.6149332270911767</v>
          </cell>
          <cell r="BY1639">
            <v>11.497021325386617</v>
          </cell>
        </row>
        <row r="1640">
          <cell r="A1640">
            <v>41732</v>
          </cell>
          <cell r="BF1640">
            <v>16.811738648791472</v>
          </cell>
          <cell r="BG1640">
            <v>17.429620749261797</v>
          </cell>
          <cell r="BH1640">
            <v>16.109902701379674</v>
          </cell>
          <cell r="BI1640">
            <v>13.839355674417275</v>
          </cell>
          <cell r="BJ1640">
            <v>18.380449728342072</v>
          </cell>
          <cell r="BU1640">
            <v>10.029550013706137</v>
          </cell>
          <cell r="BV1640">
            <v>11.522967903511651</v>
          </cell>
          <cell r="BW1640">
            <v>10.055977276238897</v>
          </cell>
          <cell r="BX1640">
            <v>8.6149332270911767</v>
          </cell>
          <cell r="BY1640">
            <v>11.497021325386617</v>
          </cell>
        </row>
        <row r="1641">
          <cell r="A1641">
            <v>41733</v>
          </cell>
          <cell r="BF1641">
            <v>16.943488590890919</v>
          </cell>
          <cell r="BG1641">
            <v>17.429620749261797</v>
          </cell>
          <cell r="BH1641">
            <v>16.109902701379674</v>
          </cell>
          <cell r="BI1641">
            <v>13.839355674417275</v>
          </cell>
          <cell r="BJ1641">
            <v>18.380449728342072</v>
          </cell>
          <cell r="BU1641">
            <v>10.175253112993047</v>
          </cell>
          <cell r="BV1641">
            <v>11.522967903511651</v>
          </cell>
          <cell r="BW1641">
            <v>10.055977276238897</v>
          </cell>
          <cell r="BX1641">
            <v>8.6149332270911767</v>
          </cell>
          <cell r="BY1641">
            <v>11.497021325386617</v>
          </cell>
        </row>
        <row r="1642">
          <cell r="A1642">
            <v>41736</v>
          </cell>
          <cell r="BF1642">
            <v>16.943488590890919</v>
          </cell>
          <cell r="BG1642">
            <v>17.429620749261797</v>
          </cell>
          <cell r="BH1642">
            <v>16.109902701379674</v>
          </cell>
          <cell r="BI1642">
            <v>13.839355674417275</v>
          </cell>
          <cell r="BJ1642">
            <v>18.380449728342072</v>
          </cell>
          <cell r="BU1642">
            <v>10.175253112993047</v>
          </cell>
          <cell r="BV1642">
            <v>11.522967903511651</v>
          </cell>
          <cell r="BW1642">
            <v>10.055977276238897</v>
          </cell>
          <cell r="BX1642">
            <v>8.6149332270911767</v>
          </cell>
          <cell r="BY1642">
            <v>11.497021325386617</v>
          </cell>
        </row>
        <row r="1643">
          <cell r="A1643">
            <v>41737</v>
          </cell>
          <cell r="BF1643">
            <v>17.013076430503741</v>
          </cell>
          <cell r="BG1643">
            <v>17.429620749261797</v>
          </cell>
          <cell r="BH1643">
            <v>16.109902701379674</v>
          </cell>
          <cell r="BI1643">
            <v>13.839355674417275</v>
          </cell>
          <cell r="BJ1643">
            <v>18.380449728342072</v>
          </cell>
          <cell r="BU1643">
            <v>10.374099125112895</v>
          </cell>
          <cell r="BV1643">
            <v>11.522967903511651</v>
          </cell>
          <cell r="BW1643">
            <v>10.055977276238897</v>
          </cell>
          <cell r="BX1643">
            <v>8.6149332270911767</v>
          </cell>
          <cell r="BY1643">
            <v>11.497021325386617</v>
          </cell>
        </row>
        <row r="1644">
          <cell r="A1644">
            <v>41738</v>
          </cell>
          <cell r="BF1644">
            <v>16.965213544618283</v>
          </cell>
          <cell r="BG1644">
            <v>17.429620749261797</v>
          </cell>
          <cell r="BH1644">
            <v>16.109902701379674</v>
          </cell>
          <cell r="BI1644">
            <v>13.839355674417275</v>
          </cell>
          <cell r="BJ1644">
            <v>18.380449728342072</v>
          </cell>
          <cell r="BU1644">
            <v>10.347643730838117</v>
          </cell>
          <cell r="BV1644">
            <v>11.522967903511651</v>
          </cell>
          <cell r="BW1644">
            <v>10.055977276238897</v>
          </cell>
          <cell r="BX1644">
            <v>8.6149332270911767</v>
          </cell>
          <cell r="BY1644">
            <v>11.497021325386617</v>
          </cell>
        </row>
        <row r="1645">
          <cell r="A1645">
            <v>41739</v>
          </cell>
          <cell r="BF1645">
            <v>16.991319267931644</v>
          </cell>
          <cell r="BG1645">
            <v>17.429620749261797</v>
          </cell>
          <cell r="BH1645">
            <v>16.109902701379674</v>
          </cell>
          <cell r="BI1645">
            <v>13.839355674417275</v>
          </cell>
          <cell r="BJ1645">
            <v>18.380449728342072</v>
          </cell>
          <cell r="BU1645">
            <v>10.360596629831024</v>
          </cell>
          <cell r="BV1645">
            <v>11.522967903511651</v>
          </cell>
          <cell r="BW1645">
            <v>10.055977276238897</v>
          </cell>
          <cell r="BX1645">
            <v>8.6149332270911767</v>
          </cell>
          <cell r="BY1645">
            <v>11.497021325386617</v>
          </cell>
        </row>
        <row r="1646">
          <cell r="A1646">
            <v>41740</v>
          </cell>
          <cell r="BF1646">
            <v>17.093203965428302</v>
          </cell>
          <cell r="BG1646">
            <v>17.429620749261797</v>
          </cell>
          <cell r="BH1646">
            <v>16.109902701379674</v>
          </cell>
          <cell r="BI1646">
            <v>13.839355674417275</v>
          </cell>
          <cell r="BJ1646">
            <v>18.380449728342072</v>
          </cell>
          <cell r="BU1646">
            <v>10.387048494683675</v>
          </cell>
          <cell r="BV1646">
            <v>11.522967903511651</v>
          </cell>
          <cell r="BW1646">
            <v>10.055977276238897</v>
          </cell>
          <cell r="BX1646">
            <v>8.6149332270911767</v>
          </cell>
          <cell r="BY1646">
            <v>11.497021325386617</v>
          </cell>
        </row>
        <row r="1647">
          <cell r="A1647">
            <v>41743</v>
          </cell>
          <cell r="BF1647">
            <v>16.973152222713185</v>
          </cell>
          <cell r="BG1647">
            <v>17.429620749261797</v>
          </cell>
          <cell r="BH1647">
            <v>16.109902701379674</v>
          </cell>
          <cell r="BI1647">
            <v>13.839355674417275</v>
          </cell>
          <cell r="BJ1647">
            <v>18.380449728342072</v>
          </cell>
          <cell r="BU1647">
            <v>10.328997985633276</v>
          </cell>
          <cell r="BV1647">
            <v>11.522967903511651</v>
          </cell>
          <cell r="BW1647">
            <v>10.055977276238897</v>
          </cell>
          <cell r="BX1647">
            <v>8.6149332270911767</v>
          </cell>
          <cell r="BY1647">
            <v>11.497021325386617</v>
          </cell>
        </row>
        <row r="1648">
          <cell r="A1648">
            <v>41744</v>
          </cell>
          <cell r="BF1648">
            <v>17.003518687607645</v>
          </cell>
          <cell r="BG1648">
            <v>17.429620749261797</v>
          </cell>
          <cell r="BH1648">
            <v>16.109902701379674</v>
          </cell>
          <cell r="BI1648">
            <v>13.839355674417275</v>
          </cell>
          <cell r="BJ1648">
            <v>18.380449728342072</v>
          </cell>
          <cell r="BU1648">
            <v>10.345750071343691</v>
          </cell>
          <cell r="BV1648">
            <v>11.522967903511651</v>
          </cell>
          <cell r="BW1648">
            <v>10.055977276238897</v>
          </cell>
          <cell r="BX1648">
            <v>8.6149332270911767</v>
          </cell>
          <cell r="BY1648">
            <v>11.497021325386617</v>
          </cell>
        </row>
        <row r="1649">
          <cell r="A1649">
            <v>41745</v>
          </cell>
          <cell r="BF1649">
            <v>16.942792264267705</v>
          </cell>
          <cell r="BG1649">
            <v>17.429620749261797</v>
          </cell>
          <cell r="BH1649">
            <v>16.109902701379674</v>
          </cell>
          <cell r="BI1649">
            <v>13.839355674417275</v>
          </cell>
          <cell r="BJ1649">
            <v>18.380449728342072</v>
          </cell>
          <cell r="BU1649">
            <v>10.312249489296578</v>
          </cell>
          <cell r="BV1649">
            <v>11.522967903511651</v>
          </cell>
          <cell r="BW1649">
            <v>10.055977276238897</v>
          </cell>
          <cell r="BX1649">
            <v>8.6149332270911767</v>
          </cell>
          <cell r="BY1649">
            <v>11.497021325386617</v>
          </cell>
        </row>
        <row r="1650">
          <cell r="A1650">
            <v>41746</v>
          </cell>
          <cell r="BF1650">
            <v>16.91676733589286</v>
          </cell>
          <cell r="BG1650">
            <v>17.429620749261797</v>
          </cell>
          <cell r="BH1650">
            <v>16.109902701379674</v>
          </cell>
          <cell r="BI1650">
            <v>13.839355674417275</v>
          </cell>
          <cell r="BJ1650">
            <v>18.380449728342072</v>
          </cell>
          <cell r="BU1650">
            <v>10.297892473020301</v>
          </cell>
          <cell r="BV1650">
            <v>11.522967903511651</v>
          </cell>
          <cell r="BW1650">
            <v>10.055977276238897</v>
          </cell>
          <cell r="BX1650">
            <v>8.6149332270911767</v>
          </cell>
          <cell r="BY1650">
            <v>11.497021325386617</v>
          </cell>
        </row>
        <row r="1651">
          <cell r="A1651">
            <v>41747</v>
          </cell>
          <cell r="BF1651">
            <v>17.029912963514995</v>
          </cell>
          <cell r="BG1651">
            <v>17.429620749261797</v>
          </cell>
          <cell r="BH1651">
            <v>16.109902701379674</v>
          </cell>
          <cell r="BI1651">
            <v>13.839355674417275</v>
          </cell>
          <cell r="BJ1651">
            <v>18.380449728342072</v>
          </cell>
          <cell r="BU1651">
            <v>10.360107087619967</v>
          </cell>
          <cell r="BV1651">
            <v>11.522967903511651</v>
          </cell>
          <cell r="BW1651">
            <v>10.055977276238897</v>
          </cell>
          <cell r="BX1651">
            <v>8.6149332270911767</v>
          </cell>
          <cell r="BY1651">
            <v>11.497021325386617</v>
          </cell>
        </row>
        <row r="1652">
          <cell r="A1652">
            <v>41750</v>
          </cell>
          <cell r="BF1652">
            <v>17.177393937161149</v>
          </cell>
          <cell r="BG1652">
            <v>17.429620749261797</v>
          </cell>
          <cell r="BH1652">
            <v>16.109902701379674</v>
          </cell>
          <cell r="BI1652">
            <v>13.839355674417275</v>
          </cell>
          <cell r="BJ1652">
            <v>18.380449728342072</v>
          </cell>
          <cell r="BU1652">
            <v>10.441465267990464</v>
          </cell>
          <cell r="BV1652">
            <v>11.522967903511651</v>
          </cell>
          <cell r="BW1652">
            <v>10.055977276238897</v>
          </cell>
          <cell r="BX1652">
            <v>8.6149332270911767</v>
          </cell>
          <cell r="BY1652">
            <v>11.497021325386617</v>
          </cell>
        </row>
        <row r="1653">
          <cell r="A1653">
            <v>41751</v>
          </cell>
          <cell r="BF1653">
            <v>17.068950768972293</v>
          </cell>
          <cell r="BG1653">
            <v>17.429620749261797</v>
          </cell>
          <cell r="BH1653">
            <v>16.109902701379674</v>
          </cell>
          <cell r="BI1653">
            <v>13.839355674417275</v>
          </cell>
          <cell r="BJ1653">
            <v>18.380449728342072</v>
          </cell>
          <cell r="BU1653">
            <v>10.381642372742803</v>
          </cell>
          <cell r="BV1653">
            <v>11.522967903511651</v>
          </cell>
          <cell r="BW1653">
            <v>10.055977276238897</v>
          </cell>
          <cell r="BX1653">
            <v>8.6149332270911767</v>
          </cell>
          <cell r="BY1653">
            <v>11.497021325386617</v>
          </cell>
        </row>
        <row r="1654">
          <cell r="A1654">
            <v>41752</v>
          </cell>
          <cell r="BF1654">
            <v>16.930146983871932</v>
          </cell>
          <cell r="BG1654">
            <v>17.429620749261797</v>
          </cell>
          <cell r="BH1654">
            <v>16.109902701379674</v>
          </cell>
          <cell r="BI1654">
            <v>13.839355674417275</v>
          </cell>
          <cell r="BJ1654">
            <v>18.380449728342072</v>
          </cell>
          <cell r="BU1654">
            <v>10.305070981158439</v>
          </cell>
          <cell r="BV1654">
            <v>11.522967903511651</v>
          </cell>
          <cell r="BW1654">
            <v>10.055977276238897</v>
          </cell>
          <cell r="BX1654">
            <v>8.6149332270911767</v>
          </cell>
          <cell r="BY1654">
            <v>11.497021325386617</v>
          </cell>
        </row>
        <row r="1655">
          <cell r="A1655">
            <v>41753</v>
          </cell>
          <cell r="BF1655">
            <v>16.813026627137276</v>
          </cell>
          <cell r="BG1655">
            <v>17.429620749261797</v>
          </cell>
          <cell r="BH1655">
            <v>16.109902701379674</v>
          </cell>
          <cell r="BI1655">
            <v>13.839355674417275</v>
          </cell>
          <cell r="BJ1655">
            <v>18.380449728342072</v>
          </cell>
          <cell r="BU1655">
            <v>10.240461297124643</v>
          </cell>
          <cell r="BV1655">
            <v>11.522967903511651</v>
          </cell>
          <cell r="BW1655">
            <v>10.055977276238897</v>
          </cell>
          <cell r="BX1655">
            <v>8.6149332270911767</v>
          </cell>
          <cell r="BY1655">
            <v>11.497021325386617</v>
          </cell>
        </row>
        <row r="1656">
          <cell r="A1656">
            <v>41754</v>
          </cell>
          <cell r="BF1656">
            <v>16.791336692181485</v>
          </cell>
          <cell r="BG1656">
            <v>17.429620749261797</v>
          </cell>
          <cell r="BH1656">
            <v>16.109902701379674</v>
          </cell>
          <cell r="BI1656">
            <v>13.839355674417275</v>
          </cell>
          <cell r="BJ1656">
            <v>18.380449728342072</v>
          </cell>
          <cell r="BU1656">
            <v>10.228496000200366</v>
          </cell>
          <cell r="BV1656">
            <v>11.522967903511651</v>
          </cell>
          <cell r="BW1656">
            <v>10.055977276238897</v>
          </cell>
          <cell r="BX1656">
            <v>8.6149332270911767</v>
          </cell>
          <cell r="BY1656">
            <v>11.497021325386617</v>
          </cell>
        </row>
        <row r="1657">
          <cell r="A1657">
            <v>41757</v>
          </cell>
          <cell r="BF1657">
            <v>16.838517851453002</v>
          </cell>
          <cell r="BG1657">
            <v>17.429620749261797</v>
          </cell>
          <cell r="BH1657">
            <v>16.109902701379674</v>
          </cell>
          <cell r="BI1657">
            <v>13.839355674417275</v>
          </cell>
          <cell r="BJ1657">
            <v>18.380449728342072</v>
          </cell>
          <cell r="BU1657">
            <v>10.257209793461341</v>
          </cell>
          <cell r="BV1657">
            <v>11.522967903511651</v>
          </cell>
          <cell r="BW1657">
            <v>10.055977276238897</v>
          </cell>
          <cell r="BX1657">
            <v>8.6149332270911767</v>
          </cell>
          <cell r="BY1657">
            <v>11.497021325386617</v>
          </cell>
        </row>
        <row r="1658">
          <cell r="A1658">
            <v>41758</v>
          </cell>
          <cell r="BF1658">
            <v>16.904949475968522</v>
          </cell>
          <cell r="BG1658">
            <v>17.429620749261797</v>
          </cell>
          <cell r="BH1658">
            <v>16.109902701379674</v>
          </cell>
          <cell r="BI1658">
            <v>13.839355674417275</v>
          </cell>
          <cell r="BJ1658">
            <v>18.380449728342072</v>
          </cell>
          <cell r="BU1658">
            <v>10.293105684234163</v>
          </cell>
          <cell r="BV1658">
            <v>11.522967903511651</v>
          </cell>
          <cell r="BW1658">
            <v>10.055977276238897</v>
          </cell>
          <cell r="BX1658">
            <v>8.6149332270911767</v>
          </cell>
          <cell r="BY1658">
            <v>11.497021325386617</v>
          </cell>
        </row>
        <row r="1659">
          <cell r="A1659">
            <v>41759</v>
          </cell>
          <cell r="BF1659">
            <v>17.035055583666402</v>
          </cell>
          <cell r="BG1659">
            <v>17.429620749261797</v>
          </cell>
          <cell r="BH1659">
            <v>16.109902701379674</v>
          </cell>
          <cell r="BI1659">
            <v>13.839355674417275</v>
          </cell>
          <cell r="BJ1659">
            <v>18.380449728342072</v>
          </cell>
          <cell r="BU1659">
            <v>10.364893876406102</v>
          </cell>
          <cell r="BV1659">
            <v>11.522967903511651</v>
          </cell>
          <cell r="BW1659">
            <v>10.055977276238897</v>
          </cell>
          <cell r="BX1659">
            <v>8.6149332270911767</v>
          </cell>
          <cell r="BY1659">
            <v>11.497021325386617</v>
          </cell>
        </row>
        <row r="1660">
          <cell r="A1660">
            <v>41760</v>
          </cell>
          <cell r="BF1660">
            <v>17.095771160102984</v>
          </cell>
          <cell r="BG1660">
            <v>17.429620749261797</v>
          </cell>
          <cell r="BH1660">
            <v>16.109902701379674</v>
          </cell>
          <cell r="BI1660">
            <v>13.839355674417275</v>
          </cell>
          <cell r="BJ1660">
            <v>18.380449728342072</v>
          </cell>
          <cell r="BU1660">
            <v>10.398883032973064</v>
          </cell>
          <cell r="BV1660">
            <v>11.522967903511651</v>
          </cell>
          <cell r="BW1660">
            <v>10.055977276238897</v>
          </cell>
          <cell r="BX1660">
            <v>8.6149332270911767</v>
          </cell>
          <cell r="BY1660">
            <v>11.497021325386617</v>
          </cell>
        </row>
        <row r="1661">
          <cell r="A1661">
            <v>41761</v>
          </cell>
          <cell r="BF1661">
            <v>17.251896928082761</v>
          </cell>
          <cell r="BG1661">
            <v>17.429620749261797</v>
          </cell>
          <cell r="BH1661">
            <v>16.109902701379674</v>
          </cell>
          <cell r="BI1661">
            <v>13.839355674417275</v>
          </cell>
          <cell r="BJ1661">
            <v>18.380449728342072</v>
          </cell>
          <cell r="BU1661">
            <v>10.485032461812262</v>
          </cell>
          <cell r="BV1661">
            <v>11.522967903511651</v>
          </cell>
          <cell r="BW1661">
            <v>10.055977276238897</v>
          </cell>
          <cell r="BX1661">
            <v>8.6149332270911767</v>
          </cell>
          <cell r="BY1661">
            <v>11.497021325386617</v>
          </cell>
        </row>
        <row r="1662">
          <cell r="A1662">
            <v>41764</v>
          </cell>
          <cell r="BF1662">
            <v>17.277917022047347</v>
          </cell>
          <cell r="BG1662">
            <v>17.429620749261797</v>
          </cell>
          <cell r="BH1662">
            <v>16.109902701379674</v>
          </cell>
          <cell r="BI1662">
            <v>13.839355674417275</v>
          </cell>
          <cell r="BJ1662">
            <v>18.380449728342072</v>
          </cell>
          <cell r="BU1662">
            <v>10.499390221344186</v>
          </cell>
          <cell r="BV1662">
            <v>11.522967903511651</v>
          </cell>
          <cell r="BW1662">
            <v>10.055977276238897</v>
          </cell>
          <cell r="BX1662">
            <v>8.6149332270911767</v>
          </cell>
          <cell r="BY1662">
            <v>11.497021325386617</v>
          </cell>
        </row>
        <row r="1663">
          <cell r="A1663">
            <v>41765</v>
          </cell>
          <cell r="BF1663">
            <v>17.390671919047723</v>
          </cell>
          <cell r="BG1663">
            <v>17.429620749261797</v>
          </cell>
          <cell r="BH1663">
            <v>16.109902701379674</v>
          </cell>
          <cell r="BI1663">
            <v>13.839355674417275</v>
          </cell>
          <cell r="BJ1663">
            <v>18.380449728342072</v>
          </cell>
          <cell r="BU1663">
            <v>10.561607817459794</v>
          </cell>
          <cell r="BV1663">
            <v>11.522967903511651</v>
          </cell>
          <cell r="BW1663">
            <v>10.055977276238897</v>
          </cell>
          <cell r="BX1663">
            <v>8.6149332270911767</v>
          </cell>
          <cell r="BY1663">
            <v>11.497021325386617</v>
          </cell>
        </row>
        <row r="1664">
          <cell r="A1664">
            <v>41766</v>
          </cell>
          <cell r="BF1664">
            <v>17.486082977956293</v>
          </cell>
          <cell r="BG1664">
            <v>17.429620749261797</v>
          </cell>
          <cell r="BH1664">
            <v>16.109902701379674</v>
          </cell>
          <cell r="BI1664">
            <v>13.839355674417275</v>
          </cell>
          <cell r="BJ1664">
            <v>18.380449728342072</v>
          </cell>
          <cell r="BU1664">
            <v>10.614255169247244</v>
          </cell>
          <cell r="BV1664">
            <v>11.522967903511651</v>
          </cell>
          <cell r="BW1664">
            <v>10.055977276238897</v>
          </cell>
          <cell r="BX1664">
            <v>8.6149332270911767</v>
          </cell>
          <cell r="BY1664">
            <v>11.497021325386617</v>
          </cell>
        </row>
        <row r="1665">
          <cell r="A1665">
            <v>41767</v>
          </cell>
          <cell r="BF1665">
            <v>17.399347741237818</v>
          </cell>
          <cell r="BG1665">
            <v>17.429620749261797</v>
          </cell>
          <cell r="BH1665">
            <v>16.109902701379674</v>
          </cell>
          <cell r="BI1665">
            <v>13.839355674417275</v>
          </cell>
          <cell r="BJ1665">
            <v>18.380449728342072</v>
          </cell>
          <cell r="BU1665">
            <v>10.566395093359596</v>
          </cell>
          <cell r="BV1665">
            <v>11.522967903511651</v>
          </cell>
          <cell r="BW1665">
            <v>10.055977276238897</v>
          </cell>
          <cell r="BX1665">
            <v>8.6149332270911767</v>
          </cell>
          <cell r="BY1665">
            <v>11.497021325386617</v>
          </cell>
        </row>
        <row r="1666">
          <cell r="A1666">
            <v>41768</v>
          </cell>
          <cell r="BF1666">
            <v>17.316946729311539</v>
          </cell>
          <cell r="BG1666">
            <v>17.429620749261797</v>
          </cell>
          <cell r="BH1666">
            <v>16.109902701379674</v>
          </cell>
          <cell r="BI1666">
            <v>13.839355674417275</v>
          </cell>
          <cell r="BJ1666">
            <v>18.380449728342072</v>
          </cell>
          <cell r="BU1666">
            <v>10.520926621338113</v>
          </cell>
          <cell r="BV1666">
            <v>11.522967903511651</v>
          </cell>
          <cell r="BW1666">
            <v>10.055977276238897</v>
          </cell>
          <cell r="BX1666">
            <v>8.6149332270911767</v>
          </cell>
          <cell r="BY1666">
            <v>11.497021325386617</v>
          </cell>
        </row>
        <row r="1667">
          <cell r="A1667">
            <v>41771</v>
          </cell>
          <cell r="BF1667">
            <v>17.134800867367176</v>
          </cell>
          <cell r="BG1667">
            <v>17.429620749261797</v>
          </cell>
          <cell r="BH1667">
            <v>16.109902701379674</v>
          </cell>
          <cell r="BI1667">
            <v>13.839355674417275</v>
          </cell>
          <cell r="BJ1667">
            <v>18.380449728342072</v>
          </cell>
          <cell r="BU1667">
            <v>10.420419432966987</v>
          </cell>
          <cell r="BV1667">
            <v>11.522967903511651</v>
          </cell>
          <cell r="BW1667">
            <v>10.055977276238897</v>
          </cell>
          <cell r="BX1667">
            <v>8.6149332270911767</v>
          </cell>
          <cell r="BY1667">
            <v>11.497021325386617</v>
          </cell>
        </row>
        <row r="1668">
          <cell r="A1668">
            <v>41772</v>
          </cell>
          <cell r="BF1668">
            <v>17.058633674018289</v>
          </cell>
          <cell r="BG1668">
            <v>17.429620749261797</v>
          </cell>
          <cell r="BH1668">
            <v>16.109902701379674</v>
          </cell>
          <cell r="BI1668">
            <v>13.839355674417275</v>
          </cell>
          <cell r="BJ1668">
            <v>18.380449728342072</v>
          </cell>
          <cell r="BU1668">
            <v>10.400591814269804</v>
          </cell>
          <cell r="BV1668">
            <v>11.522967903511651</v>
          </cell>
          <cell r="BW1668">
            <v>10.055977276238897</v>
          </cell>
          <cell r="BX1668">
            <v>8.6149332270911767</v>
          </cell>
          <cell r="BY1668">
            <v>11.497021325386617</v>
          </cell>
        </row>
        <row r="1669">
          <cell r="A1669">
            <v>41773</v>
          </cell>
          <cell r="BF1669">
            <v>17.011295965572888</v>
          </cell>
          <cell r="BG1669">
            <v>17.429620749261797</v>
          </cell>
          <cell r="BH1669">
            <v>16.109902701379674</v>
          </cell>
          <cell r="BI1669">
            <v>13.839355674417275</v>
          </cell>
          <cell r="BJ1669">
            <v>18.380449728342072</v>
          </cell>
          <cell r="BU1669">
            <v>10.374396433860291</v>
          </cell>
          <cell r="BV1669">
            <v>11.522967903511651</v>
          </cell>
          <cell r="BW1669">
            <v>10.055977276238897</v>
          </cell>
          <cell r="BX1669">
            <v>8.6149332270911767</v>
          </cell>
          <cell r="BY1669">
            <v>11.497021325386617</v>
          </cell>
        </row>
        <row r="1670">
          <cell r="A1670">
            <v>41774</v>
          </cell>
          <cell r="BF1670">
            <v>17.1059709521248</v>
          </cell>
          <cell r="BG1670">
            <v>17.429620749261797</v>
          </cell>
          <cell r="BH1670">
            <v>16.109902701379674</v>
          </cell>
          <cell r="BI1670">
            <v>13.839355674417275</v>
          </cell>
          <cell r="BJ1670">
            <v>18.380449728342072</v>
          </cell>
          <cell r="BU1670">
            <v>10.426786956541664</v>
          </cell>
          <cell r="BV1670">
            <v>11.522967903511651</v>
          </cell>
          <cell r="BW1670">
            <v>10.055977276238897</v>
          </cell>
          <cell r="BX1670">
            <v>8.6149332270911767</v>
          </cell>
          <cell r="BY1670">
            <v>11.497021325386617</v>
          </cell>
        </row>
        <row r="1671">
          <cell r="A1671">
            <v>41775</v>
          </cell>
          <cell r="BF1671">
            <v>17.1059709521248</v>
          </cell>
          <cell r="BG1671">
            <v>17.429620749261797</v>
          </cell>
          <cell r="BH1671">
            <v>16.109902701379674</v>
          </cell>
          <cell r="BI1671">
            <v>13.839355674417275</v>
          </cell>
          <cell r="BJ1671">
            <v>18.380449728342072</v>
          </cell>
          <cell r="BU1671">
            <v>10.426786956541664</v>
          </cell>
          <cell r="BV1671">
            <v>11.522967903511651</v>
          </cell>
          <cell r="BW1671">
            <v>10.055977276238897</v>
          </cell>
          <cell r="BX1671">
            <v>8.6149332270911767</v>
          </cell>
          <cell r="BY1671">
            <v>11.497021325386617</v>
          </cell>
        </row>
        <row r="1672">
          <cell r="A1672">
            <v>41778</v>
          </cell>
          <cell r="BF1672">
            <v>17.048832948744842</v>
          </cell>
          <cell r="BG1672">
            <v>17.429620749261797</v>
          </cell>
          <cell r="BH1672">
            <v>16.109902701379674</v>
          </cell>
          <cell r="BI1672">
            <v>13.839355674417275</v>
          </cell>
          <cell r="BJ1672">
            <v>18.380449728342072</v>
          </cell>
          <cell r="BU1672">
            <v>10.395828108578838</v>
          </cell>
          <cell r="BV1672">
            <v>11.522967903511651</v>
          </cell>
          <cell r="BW1672">
            <v>10.055977276238897</v>
          </cell>
          <cell r="BX1672">
            <v>8.6149332270911767</v>
          </cell>
          <cell r="BY1672">
            <v>11.497021325386617</v>
          </cell>
        </row>
        <row r="1673">
          <cell r="A1673">
            <v>41779</v>
          </cell>
          <cell r="BF1673">
            <v>17.01870789024974</v>
          </cell>
          <cell r="BG1673">
            <v>17.429620749261797</v>
          </cell>
          <cell r="BH1673">
            <v>16.109902701379674</v>
          </cell>
          <cell r="BI1673">
            <v>13.839355674417275</v>
          </cell>
          <cell r="BJ1673">
            <v>18.380449728342072</v>
          </cell>
          <cell r="BU1673">
            <v>10.379156567486401</v>
          </cell>
          <cell r="BV1673">
            <v>11.522967903511651</v>
          </cell>
          <cell r="BW1673">
            <v>10.055977276238897</v>
          </cell>
          <cell r="BX1673">
            <v>8.6149332270911767</v>
          </cell>
          <cell r="BY1673">
            <v>11.497021325386617</v>
          </cell>
        </row>
        <row r="1674">
          <cell r="A1674">
            <v>41780</v>
          </cell>
          <cell r="BF1674">
            <v>16.94125574865663</v>
          </cell>
          <cell r="BG1674">
            <v>17.429620749261797</v>
          </cell>
          <cell r="BH1674">
            <v>16.109902701379674</v>
          </cell>
          <cell r="BI1674">
            <v>13.839355674417275</v>
          </cell>
          <cell r="BJ1674">
            <v>18.380449728342072</v>
          </cell>
          <cell r="BU1674">
            <v>10.342419737480807</v>
          </cell>
          <cell r="BV1674">
            <v>11.522967903511651</v>
          </cell>
          <cell r="BW1674">
            <v>10.055977276238897</v>
          </cell>
          <cell r="BX1674">
            <v>8.6149332270911767</v>
          </cell>
          <cell r="BY1674">
            <v>11.497021325386617</v>
          </cell>
        </row>
        <row r="1675">
          <cell r="A1675">
            <v>41781</v>
          </cell>
          <cell r="BF1675">
            <v>16.829371157476885</v>
          </cell>
          <cell r="BG1675">
            <v>17.429620749261797</v>
          </cell>
          <cell r="BH1675">
            <v>16.109902701379674</v>
          </cell>
          <cell r="BI1675">
            <v>13.839355674417275</v>
          </cell>
          <cell r="BJ1675">
            <v>18.380449728342072</v>
          </cell>
          <cell r="BU1675">
            <v>10.2804648680452</v>
          </cell>
          <cell r="BV1675">
            <v>11.522967903511651</v>
          </cell>
          <cell r="BW1675">
            <v>10.055977276238897</v>
          </cell>
          <cell r="BX1675">
            <v>8.6149332270911767</v>
          </cell>
          <cell r="BY1675">
            <v>11.497021325386617</v>
          </cell>
        </row>
        <row r="1676">
          <cell r="A1676">
            <v>41782</v>
          </cell>
          <cell r="BF1676">
            <v>16.914108473737173</v>
          </cell>
          <cell r="BG1676">
            <v>17.429620749261797</v>
          </cell>
          <cell r="BH1676">
            <v>16.109902701379674</v>
          </cell>
          <cell r="BI1676">
            <v>13.839355674417275</v>
          </cell>
          <cell r="BJ1676">
            <v>18.380449728342072</v>
          </cell>
          <cell r="BU1676">
            <v>10.324013807375042</v>
          </cell>
          <cell r="BV1676">
            <v>11.522967903511651</v>
          </cell>
          <cell r="BW1676">
            <v>10.055977276238897</v>
          </cell>
          <cell r="BX1676">
            <v>8.6149332270911767</v>
          </cell>
          <cell r="BY1676">
            <v>11.497021325386617</v>
          </cell>
        </row>
        <row r="1677">
          <cell r="A1677">
            <v>41785</v>
          </cell>
          <cell r="BF1677">
            <v>16.858142095322144</v>
          </cell>
          <cell r="BG1677">
            <v>17.429620749261797</v>
          </cell>
          <cell r="BH1677">
            <v>16.109902701379674</v>
          </cell>
          <cell r="BI1677">
            <v>13.839355674417275</v>
          </cell>
          <cell r="BJ1677">
            <v>18.380449728342072</v>
          </cell>
          <cell r="BU1677">
            <v>10.293707066839882</v>
          </cell>
          <cell r="BV1677">
            <v>11.522967903511651</v>
          </cell>
          <cell r="BW1677">
            <v>10.055977276238897</v>
          </cell>
          <cell r="BX1677">
            <v>8.6149332270911767</v>
          </cell>
          <cell r="BY1677">
            <v>11.497021325386617</v>
          </cell>
        </row>
        <row r="1678">
          <cell r="A1678">
            <v>41786</v>
          </cell>
          <cell r="BF1678">
            <v>16.914108473737173</v>
          </cell>
          <cell r="BG1678">
            <v>17.429620749261797</v>
          </cell>
          <cell r="BH1678">
            <v>16.109902701379674</v>
          </cell>
          <cell r="BI1678">
            <v>13.839355674417275</v>
          </cell>
          <cell r="BJ1678">
            <v>18.380449728342072</v>
          </cell>
          <cell r="BU1678">
            <v>10.324688497126862</v>
          </cell>
          <cell r="BV1678">
            <v>11.522967903511651</v>
          </cell>
          <cell r="BW1678">
            <v>10.055977276238897</v>
          </cell>
          <cell r="BX1678">
            <v>8.6149332270911767</v>
          </cell>
          <cell r="BY1678">
            <v>11.497021325386617</v>
          </cell>
        </row>
        <row r="1679">
          <cell r="A1679">
            <v>41787</v>
          </cell>
          <cell r="BF1679">
            <v>17.056172369815908</v>
          </cell>
          <cell r="BG1679">
            <v>17.429620749261797</v>
          </cell>
          <cell r="BH1679">
            <v>16.109902701379674</v>
          </cell>
          <cell r="BI1679">
            <v>13.839355674417275</v>
          </cell>
          <cell r="BJ1679">
            <v>18.380449728342072</v>
          </cell>
          <cell r="BU1679">
            <v>10.403331118238077</v>
          </cell>
          <cell r="BV1679">
            <v>11.522967903511651</v>
          </cell>
          <cell r="BW1679">
            <v>10.055977276238897</v>
          </cell>
          <cell r="BX1679">
            <v>8.6149332270911767</v>
          </cell>
          <cell r="BY1679">
            <v>11.497021325386617</v>
          </cell>
        </row>
        <row r="1680">
          <cell r="A1680">
            <v>41788</v>
          </cell>
          <cell r="BF1680">
            <v>16.651506675348298</v>
          </cell>
          <cell r="BG1680">
            <v>17.429620749261797</v>
          </cell>
          <cell r="BH1680">
            <v>16.109902701379674</v>
          </cell>
          <cell r="BI1680">
            <v>13.839355674417275</v>
          </cell>
          <cell r="BJ1680">
            <v>18.380449728342072</v>
          </cell>
          <cell r="BU1680">
            <v>10.179319446271222</v>
          </cell>
          <cell r="BV1680">
            <v>11.522967903511651</v>
          </cell>
          <cell r="BW1680">
            <v>10.055977276238897</v>
          </cell>
          <cell r="BX1680">
            <v>8.6149332270911767</v>
          </cell>
          <cell r="BY1680">
            <v>11.497021325386617</v>
          </cell>
        </row>
        <row r="1681">
          <cell r="A1681">
            <v>41789</v>
          </cell>
          <cell r="BF1681">
            <v>16.823701710675714</v>
          </cell>
          <cell r="BG1681">
            <v>17.429620749261797</v>
          </cell>
          <cell r="BH1681">
            <v>16.109902701379674</v>
          </cell>
          <cell r="BI1681">
            <v>13.839355674417275</v>
          </cell>
          <cell r="BJ1681">
            <v>18.380449728342072</v>
          </cell>
          <cell r="BU1681">
            <v>10.274641827919696</v>
          </cell>
          <cell r="BV1681">
            <v>11.522967903511651</v>
          </cell>
          <cell r="BW1681">
            <v>10.055977276238897</v>
          </cell>
          <cell r="BX1681">
            <v>8.6149332270911767</v>
          </cell>
          <cell r="BY1681">
            <v>11.497021325386617</v>
          </cell>
        </row>
        <row r="1682">
          <cell r="A1682">
            <v>41792</v>
          </cell>
          <cell r="BF1682">
            <v>16.892582479968574</v>
          </cell>
          <cell r="BG1682">
            <v>17.429620749261797</v>
          </cell>
          <cell r="BH1682">
            <v>16.109902701379674</v>
          </cell>
          <cell r="BI1682">
            <v>13.839355674417275</v>
          </cell>
          <cell r="BJ1682">
            <v>18.380449728342072</v>
          </cell>
          <cell r="BU1682">
            <v>10.312772305760069</v>
          </cell>
          <cell r="BV1682">
            <v>11.522967903511651</v>
          </cell>
          <cell r="BW1682">
            <v>10.055977276238897</v>
          </cell>
          <cell r="BX1682">
            <v>8.6149332270911767</v>
          </cell>
          <cell r="BY1682">
            <v>11.497021325386617</v>
          </cell>
        </row>
        <row r="1683">
          <cell r="A1683">
            <v>41793</v>
          </cell>
          <cell r="BF1683">
            <v>17.051070485957748</v>
          </cell>
          <cell r="BG1683">
            <v>17.429620749261797</v>
          </cell>
          <cell r="BH1683">
            <v>16.109902701379674</v>
          </cell>
          <cell r="BI1683">
            <v>13.839355674417275</v>
          </cell>
          <cell r="BJ1683">
            <v>18.380449728342072</v>
          </cell>
          <cell r="BU1683">
            <v>10.399361639642656</v>
          </cell>
          <cell r="BV1683">
            <v>11.522967903511651</v>
          </cell>
          <cell r="BW1683">
            <v>10.055977276238897</v>
          </cell>
          <cell r="BX1683">
            <v>8.6149332270911767</v>
          </cell>
          <cell r="BY1683">
            <v>11.497021325386617</v>
          </cell>
        </row>
        <row r="1684">
          <cell r="A1684">
            <v>41794</v>
          </cell>
          <cell r="BF1684">
            <v>17.115703836168354</v>
          </cell>
          <cell r="BG1684">
            <v>17.429620749261797</v>
          </cell>
          <cell r="BH1684">
            <v>16.109902701379674</v>
          </cell>
          <cell r="BI1684">
            <v>13.839355674417275</v>
          </cell>
          <cell r="BJ1684">
            <v>18.380449728342072</v>
          </cell>
          <cell r="BU1684">
            <v>10.435133736177708</v>
          </cell>
          <cell r="BV1684">
            <v>11.522967903511651</v>
          </cell>
          <cell r="BW1684">
            <v>10.055977276238897</v>
          </cell>
          <cell r="BX1684">
            <v>8.6149332270911767</v>
          </cell>
          <cell r="BY1684">
            <v>11.497021325386617</v>
          </cell>
        </row>
        <row r="1685">
          <cell r="A1685">
            <v>41795</v>
          </cell>
          <cell r="BF1685">
            <v>17.257904704450212</v>
          </cell>
          <cell r="BG1685">
            <v>17.429620749261797</v>
          </cell>
          <cell r="BH1685">
            <v>16.109902701379674</v>
          </cell>
          <cell r="BI1685">
            <v>13.839355674417275</v>
          </cell>
          <cell r="BJ1685">
            <v>18.380449728342072</v>
          </cell>
          <cell r="BU1685">
            <v>10.513836498311679</v>
          </cell>
          <cell r="BV1685">
            <v>11.522967903511651</v>
          </cell>
          <cell r="BW1685">
            <v>10.055977276238897</v>
          </cell>
          <cell r="BX1685">
            <v>8.6149332270911767</v>
          </cell>
          <cell r="BY1685">
            <v>11.497021325386617</v>
          </cell>
        </row>
        <row r="1686">
          <cell r="A1686">
            <v>41796</v>
          </cell>
          <cell r="BF1686">
            <v>16.992649092643596</v>
          </cell>
          <cell r="BG1686">
            <v>17.429620749261797</v>
          </cell>
          <cell r="BH1686">
            <v>16.109902701379674</v>
          </cell>
          <cell r="BI1686">
            <v>13.839355674417275</v>
          </cell>
          <cell r="BJ1686">
            <v>18.380449728342072</v>
          </cell>
          <cell r="BU1686">
            <v>10.367215067593396</v>
          </cell>
          <cell r="BV1686">
            <v>11.522967903511651</v>
          </cell>
          <cell r="BW1686">
            <v>10.055977276238897</v>
          </cell>
          <cell r="BX1686">
            <v>8.6149332270911767</v>
          </cell>
          <cell r="BY1686">
            <v>11.497021325386617</v>
          </cell>
        </row>
        <row r="1687">
          <cell r="A1687">
            <v>41799</v>
          </cell>
          <cell r="BF1687">
            <v>17.114740862210329</v>
          </cell>
          <cell r="BG1687">
            <v>17.429620749261797</v>
          </cell>
          <cell r="BH1687">
            <v>16.109902701379674</v>
          </cell>
          <cell r="BI1687">
            <v>13.839355674417275</v>
          </cell>
          <cell r="BJ1687">
            <v>18.380449728342072</v>
          </cell>
          <cell r="BU1687">
            <v>10.373043619211721</v>
          </cell>
          <cell r="BV1687">
            <v>11.522967903511651</v>
          </cell>
          <cell r="BW1687">
            <v>10.055977276238897</v>
          </cell>
          <cell r="BX1687">
            <v>8.6149332270911767</v>
          </cell>
          <cell r="BY1687">
            <v>11.497021325386617</v>
          </cell>
        </row>
        <row r="1688">
          <cell r="A1688">
            <v>41800</v>
          </cell>
          <cell r="BF1688">
            <v>16.980965347602812</v>
          </cell>
          <cell r="BG1688">
            <v>17.429620749261797</v>
          </cell>
          <cell r="BH1688">
            <v>16.109902701379674</v>
          </cell>
          <cell r="BI1688">
            <v>13.839355674417275</v>
          </cell>
          <cell r="BJ1688">
            <v>18.380449728342072</v>
          </cell>
          <cell r="BU1688">
            <v>10.299489143408243</v>
          </cell>
          <cell r="BV1688">
            <v>11.522967903511651</v>
          </cell>
          <cell r="BW1688">
            <v>10.055977276238897</v>
          </cell>
          <cell r="BX1688">
            <v>8.6149332270911767</v>
          </cell>
          <cell r="BY1688">
            <v>11.497021325386617</v>
          </cell>
        </row>
        <row r="1689">
          <cell r="A1689">
            <v>41801</v>
          </cell>
          <cell r="BF1689">
            <v>17.084536745350189</v>
          </cell>
          <cell r="BG1689">
            <v>17.429620749261797</v>
          </cell>
          <cell r="BH1689">
            <v>16.109902701379674</v>
          </cell>
          <cell r="BI1689">
            <v>13.839355674417275</v>
          </cell>
          <cell r="BJ1689">
            <v>18.380449728342072</v>
          </cell>
          <cell r="BU1689">
            <v>10.35643633506654</v>
          </cell>
          <cell r="BV1689">
            <v>11.522967903511651</v>
          </cell>
          <cell r="BW1689">
            <v>10.055977276238897</v>
          </cell>
          <cell r="BX1689">
            <v>8.6149332270911767</v>
          </cell>
          <cell r="BY1689">
            <v>11.497021325386617</v>
          </cell>
        </row>
        <row r="1690">
          <cell r="A1690">
            <v>41802</v>
          </cell>
          <cell r="BF1690">
            <v>16.834244595002804</v>
          </cell>
          <cell r="BG1690">
            <v>17.429620749261797</v>
          </cell>
          <cell r="BH1690">
            <v>16.109902701379674</v>
          </cell>
          <cell r="BI1690">
            <v>13.839355674417275</v>
          </cell>
          <cell r="BJ1690">
            <v>18.380449728342072</v>
          </cell>
          <cell r="BU1690">
            <v>10.218816921151062</v>
          </cell>
          <cell r="BV1690">
            <v>11.522967903511651</v>
          </cell>
          <cell r="BW1690">
            <v>10.055977276238897</v>
          </cell>
          <cell r="BX1690">
            <v>8.6149332270911767</v>
          </cell>
          <cell r="BY1690">
            <v>11.497021325386617</v>
          </cell>
        </row>
        <row r="1691">
          <cell r="A1691">
            <v>41803</v>
          </cell>
          <cell r="BF1691">
            <v>16.693052198113758</v>
          </cell>
          <cell r="BG1691">
            <v>17.429620749261797</v>
          </cell>
          <cell r="BH1691">
            <v>16.109902701379674</v>
          </cell>
          <cell r="BI1691">
            <v>13.839355674417275</v>
          </cell>
          <cell r="BJ1691">
            <v>18.380449728342072</v>
          </cell>
          <cell r="BU1691">
            <v>10.158962925171693</v>
          </cell>
          <cell r="BV1691">
            <v>11.522967903511651</v>
          </cell>
          <cell r="BW1691">
            <v>10.055977276238897</v>
          </cell>
          <cell r="BX1691">
            <v>8.6149332270911767</v>
          </cell>
          <cell r="BY1691">
            <v>11.497021325386617</v>
          </cell>
        </row>
        <row r="1692">
          <cell r="A1692">
            <v>41806</v>
          </cell>
          <cell r="BF1692">
            <v>16.568831771499092</v>
          </cell>
          <cell r="BG1692">
            <v>17.429620749261797</v>
          </cell>
          <cell r="BH1692">
            <v>16.109902701379674</v>
          </cell>
          <cell r="BI1692">
            <v>13.839355674417275</v>
          </cell>
          <cell r="BJ1692">
            <v>18.380449728342072</v>
          </cell>
          <cell r="BU1692">
            <v>10.090494533901392</v>
          </cell>
          <cell r="BV1692">
            <v>11.522967903511651</v>
          </cell>
          <cell r="BW1692">
            <v>10.055977276238897</v>
          </cell>
          <cell r="BX1692">
            <v>8.6149332270911767</v>
          </cell>
          <cell r="BY1692">
            <v>11.497021325386617</v>
          </cell>
        </row>
        <row r="1693">
          <cell r="A1693">
            <v>41807</v>
          </cell>
          <cell r="BF1693">
            <v>16.538843808320625</v>
          </cell>
          <cell r="BG1693">
            <v>17.429620749261797</v>
          </cell>
          <cell r="BH1693">
            <v>16.109902701379674</v>
          </cell>
          <cell r="BI1693">
            <v>13.839355674417275</v>
          </cell>
          <cell r="BJ1693">
            <v>18.380449728342072</v>
          </cell>
          <cell r="BU1693">
            <v>10.073965629177277</v>
          </cell>
          <cell r="BV1693">
            <v>11.522967903511651</v>
          </cell>
          <cell r="BW1693">
            <v>10.055977276238897</v>
          </cell>
          <cell r="BX1693">
            <v>8.6149332270911767</v>
          </cell>
          <cell r="BY1693">
            <v>11.497021325386617</v>
          </cell>
        </row>
        <row r="1694">
          <cell r="A1694">
            <v>41808</v>
          </cell>
          <cell r="BF1694">
            <v>16.568831771499092</v>
          </cell>
          <cell r="BG1694">
            <v>17.429620749261797</v>
          </cell>
          <cell r="BH1694">
            <v>16.109902701379674</v>
          </cell>
          <cell r="BI1694">
            <v>13.839355674417275</v>
          </cell>
          <cell r="BJ1694">
            <v>18.380449728342072</v>
          </cell>
          <cell r="BU1694">
            <v>10.090494533901392</v>
          </cell>
          <cell r="BV1694">
            <v>11.522967903511651</v>
          </cell>
          <cell r="BW1694">
            <v>10.055977276238897</v>
          </cell>
          <cell r="BX1694">
            <v>8.6149332270911767</v>
          </cell>
          <cell r="BY1694">
            <v>11.497021325386617</v>
          </cell>
        </row>
        <row r="1695">
          <cell r="A1695">
            <v>41809</v>
          </cell>
          <cell r="BF1695">
            <v>16.393204264720328</v>
          </cell>
          <cell r="BG1695">
            <v>17.429620749261797</v>
          </cell>
          <cell r="BH1695">
            <v>16.109902701379674</v>
          </cell>
          <cell r="BI1695">
            <v>13.839355674417275</v>
          </cell>
          <cell r="BJ1695">
            <v>18.380449728342072</v>
          </cell>
          <cell r="BU1695">
            <v>9.9936913495969524</v>
          </cell>
          <cell r="BV1695">
            <v>11.522967903511651</v>
          </cell>
          <cell r="BW1695">
            <v>10.055977276238897</v>
          </cell>
          <cell r="BX1695">
            <v>8.6149332270911767</v>
          </cell>
          <cell r="BY1695">
            <v>11.497021325386617</v>
          </cell>
        </row>
        <row r="1696">
          <cell r="A1696">
            <v>41810</v>
          </cell>
          <cell r="BF1696">
            <v>16.60738258387746</v>
          </cell>
          <cell r="BG1696">
            <v>17.429620749261797</v>
          </cell>
          <cell r="BH1696">
            <v>16.109902701379674</v>
          </cell>
          <cell r="BI1696">
            <v>13.839355674417275</v>
          </cell>
          <cell r="BJ1696">
            <v>18.380449728342072</v>
          </cell>
          <cell r="BU1696">
            <v>10.111743149589197</v>
          </cell>
          <cell r="BV1696">
            <v>11.522967903511651</v>
          </cell>
          <cell r="BW1696">
            <v>10.055977276238897</v>
          </cell>
          <cell r="BX1696">
            <v>8.6149332270911767</v>
          </cell>
          <cell r="BY1696">
            <v>11.497021325386617</v>
          </cell>
        </row>
        <row r="1697">
          <cell r="A1697">
            <v>41813</v>
          </cell>
          <cell r="BF1697">
            <v>16.538843808320625</v>
          </cell>
          <cell r="BG1697">
            <v>17.429620749261797</v>
          </cell>
          <cell r="BH1697">
            <v>16.109902701379674</v>
          </cell>
          <cell r="BI1697">
            <v>13.839355674417275</v>
          </cell>
          <cell r="BJ1697">
            <v>18.380449728342072</v>
          </cell>
          <cell r="BU1697">
            <v>10.073965629177277</v>
          </cell>
          <cell r="BV1697">
            <v>11.522967903511651</v>
          </cell>
          <cell r="BW1697">
            <v>10.055977276238897</v>
          </cell>
          <cell r="BX1697">
            <v>8.6149332270911767</v>
          </cell>
          <cell r="BY1697">
            <v>11.497021325386617</v>
          </cell>
        </row>
        <row r="1698">
          <cell r="A1698">
            <v>41814</v>
          </cell>
          <cell r="BF1698">
            <v>16.684489777270496</v>
          </cell>
          <cell r="BG1698">
            <v>17.429620749261797</v>
          </cell>
          <cell r="BH1698">
            <v>16.109902701379674</v>
          </cell>
          <cell r="BI1698">
            <v>13.839355674417275</v>
          </cell>
          <cell r="BJ1698">
            <v>18.380449728342072</v>
          </cell>
          <cell r="BU1698">
            <v>10.154243450311604</v>
          </cell>
          <cell r="BV1698">
            <v>11.522967903511651</v>
          </cell>
          <cell r="BW1698">
            <v>10.055977276238897</v>
          </cell>
          <cell r="BX1698">
            <v>8.6149332270911767</v>
          </cell>
          <cell r="BY1698">
            <v>11.497021325386617</v>
          </cell>
        </row>
        <row r="1699">
          <cell r="A1699">
            <v>41815</v>
          </cell>
          <cell r="BF1699">
            <v>16.741090207568394</v>
          </cell>
          <cell r="BG1699">
            <v>17.429620749261797</v>
          </cell>
          <cell r="BH1699">
            <v>16.109902701379674</v>
          </cell>
          <cell r="BI1699">
            <v>13.839355674417275</v>
          </cell>
          <cell r="BJ1699">
            <v>18.380449728342072</v>
          </cell>
          <cell r="BU1699">
            <v>10.18705277120401</v>
          </cell>
          <cell r="BV1699">
            <v>11.522967903511651</v>
          </cell>
          <cell r="BW1699">
            <v>10.055977276238897</v>
          </cell>
          <cell r="BX1699">
            <v>8.6149332270911767</v>
          </cell>
          <cell r="BY1699">
            <v>11.497021325386617</v>
          </cell>
        </row>
        <row r="1700">
          <cell r="A1700">
            <v>41816</v>
          </cell>
          <cell r="BF1700">
            <v>16.795136871542006</v>
          </cell>
          <cell r="BG1700">
            <v>17.429620749261797</v>
          </cell>
          <cell r="BH1700">
            <v>16.109902701379674</v>
          </cell>
          <cell r="BI1700">
            <v>13.839355674417275</v>
          </cell>
          <cell r="BJ1700">
            <v>18.380449728342072</v>
          </cell>
          <cell r="BU1700">
            <v>10.179945095292398</v>
          </cell>
          <cell r="BV1700">
            <v>11.522967903511651</v>
          </cell>
          <cell r="BW1700">
            <v>10.055977276238897</v>
          </cell>
          <cell r="BX1700">
            <v>8.6149332270911767</v>
          </cell>
          <cell r="BY1700">
            <v>11.497021325386617</v>
          </cell>
        </row>
        <row r="1701">
          <cell r="A1701">
            <v>41817</v>
          </cell>
          <cell r="BF1701">
            <v>16.76940462166781</v>
          </cell>
          <cell r="BG1701">
            <v>17.429620749261797</v>
          </cell>
          <cell r="BH1701">
            <v>16.109902701379674</v>
          </cell>
          <cell r="BI1701">
            <v>13.839355674417275</v>
          </cell>
          <cell r="BJ1701">
            <v>18.380449728342072</v>
          </cell>
          <cell r="BU1701">
            <v>10.165812501111924</v>
          </cell>
          <cell r="BV1701">
            <v>11.522967903511651</v>
          </cell>
          <cell r="BW1701">
            <v>10.055977276238897</v>
          </cell>
          <cell r="BX1701">
            <v>8.6149332270911767</v>
          </cell>
          <cell r="BY1701">
            <v>11.497021325386617</v>
          </cell>
        </row>
        <row r="1702">
          <cell r="A1702">
            <v>41820</v>
          </cell>
          <cell r="BF1702">
            <v>16.948397149536742</v>
          </cell>
          <cell r="BG1702">
            <v>17.429620749261797</v>
          </cell>
          <cell r="BH1702">
            <v>16.109902701379674</v>
          </cell>
          <cell r="BI1702">
            <v>13.839355674417275</v>
          </cell>
          <cell r="BJ1702">
            <v>18.380449728342072</v>
          </cell>
          <cell r="BU1702">
            <v>10.264743722539393</v>
          </cell>
          <cell r="BV1702">
            <v>11.522967903511651</v>
          </cell>
          <cell r="BW1702">
            <v>10.055977276238897</v>
          </cell>
          <cell r="BX1702">
            <v>8.6149332270911767</v>
          </cell>
          <cell r="BY1702">
            <v>11.497021325386617</v>
          </cell>
        </row>
        <row r="1703">
          <cell r="A1703">
            <v>41821</v>
          </cell>
          <cell r="BF1703">
            <v>17.186321586440283</v>
          </cell>
          <cell r="BG1703">
            <v>17.429620749261797</v>
          </cell>
          <cell r="BH1703">
            <v>16.109902701379674</v>
          </cell>
          <cell r="BI1703">
            <v>13.839355674417275</v>
          </cell>
          <cell r="BJ1703">
            <v>18.380449728342072</v>
          </cell>
          <cell r="BU1703">
            <v>10.392037942548866</v>
          </cell>
          <cell r="BV1703">
            <v>11.522967903511651</v>
          </cell>
          <cell r="BW1703">
            <v>10.055977276238897</v>
          </cell>
          <cell r="BX1703">
            <v>8.6149332270911767</v>
          </cell>
          <cell r="BY1703">
            <v>11.497021325386617</v>
          </cell>
        </row>
        <row r="1704">
          <cell r="A1704">
            <v>41822</v>
          </cell>
          <cell r="BF1704">
            <v>17.203479164910622</v>
          </cell>
          <cell r="BG1704">
            <v>17.429620749261797</v>
          </cell>
          <cell r="BH1704">
            <v>16.109902701379674</v>
          </cell>
          <cell r="BI1704">
            <v>13.839355674417275</v>
          </cell>
          <cell r="BJ1704">
            <v>18.380449728342072</v>
          </cell>
          <cell r="BU1704">
            <v>10.401458423103028</v>
          </cell>
          <cell r="BV1704">
            <v>11.522967903511651</v>
          </cell>
          <cell r="BW1704">
            <v>10.055977276238897</v>
          </cell>
          <cell r="BX1704">
            <v>8.6149332270911767</v>
          </cell>
          <cell r="BY1704">
            <v>11.497021325386617</v>
          </cell>
        </row>
        <row r="1705">
          <cell r="A1705">
            <v>41823</v>
          </cell>
          <cell r="BF1705">
            <v>17.471636720326845</v>
          </cell>
          <cell r="BG1705">
            <v>17.429620749261797</v>
          </cell>
          <cell r="BH1705">
            <v>16.109902701379674</v>
          </cell>
          <cell r="BI1705">
            <v>13.839355674417275</v>
          </cell>
          <cell r="BJ1705">
            <v>18.380449728342072</v>
          </cell>
          <cell r="BU1705">
            <v>10.589693487599375</v>
          </cell>
          <cell r="BV1705">
            <v>11.522967903511651</v>
          </cell>
          <cell r="BW1705">
            <v>10.055977276238897</v>
          </cell>
          <cell r="BX1705">
            <v>8.6149332270911767</v>
          </cell>
          <cell r="BY1705">
            <v>11.497021325386617</v>
          </cell>
        </row>
        <row r="1706">
          <cell r="A1706">
            <v>41824</v>
          </cell>
          <cell r="BF1706">
            <v>17.475264516130778</v>
          </cell>
          <cell r="BG1706">
            <v>17.429620749261797</v>
          </cell>
          <cell r="BH1706">
            <v>16.109902701379674</v>
          </cell>
          <cell r="BI1706">
            <v>13.839355674417275</v>
          </cell>
          <cell r="BJ1706">
            <v>18.380449728342072</v>
          </cell>
          <cell r="BU1706">
            <v>10.652620256776736</v>
          </cell>
          <cell r="BV1706">
            <v>11.522967903511651</v>
          </cell>
          <cell r="BW1706">
            <v>10.055977276238897</v>
          </cell>
          <cell r="BX1706">
            <v>8.6149332270911767</v>
          </cell>
          <cell r="BY1706">
            <v>11.497021325386617</v>
          </cell>
        </row>
        <row r="1707">
          <cell r="A1707">
            <v>41827</v>
          </cell>
          <cell r="BF1707">
            <v>17.599999569894234</v>
          </cell>
          <cell r="BG1707">
            <v>17.429620749261797</v>
          </cell>
          <cell r="BH1707">
            <v>16.109902701379674</v>
          </cell>
          <cell r="BI1707">
            <v>13.839355674417275</v>
          </cell>
          <cell r="BJ1707">
            <v>18.380449728342072</v>
          </cell>
          <cell r="BU1707">
            <v>10.729447792684907</v>
          </cell>
          <cell r="BV1707">
            <v>11.522967903511651</v>
          </cell>
          <cell r="BW1707">
            <v>10.055977276238897</v>
          </cell>
          <cell r="BX1707">
            <v>8.6149332270911767</v>
          </cell>
          <cell r="BY1707">
            <v>11.497021325386617</v>
          </cell>
        </row>
        <row r="1708">
          <cell r="A1708">
            <v>41828</v>
          </cell>
          <cell r="BF1708">
            <v>17.406445591399589</v>
          </cell>
          <cell r="BG1708">
            <v>17.429620749261797</v>
          </cell>
          <cell r="BH1708">
            <v>16.109902701379674</v>
          </cell>
          <cell r="BI1708">
            <v>13.839355674417275</v>
          </cell>
          <cell r="BJ1708">
            <v>18.380449728342072</v>
          </cell>
          <cell r="BU1708">
            <v>10.622173717620099</v>
          </cell>
          <cell r="BV1708">
            <v>11.522967903511651</v>
          </cell>
          <cell r="BW1708">
            <v>10.055977276238897</v>
          </cell>
          <cell r="BX1708">
            <v>8.6149332270911767</v>
          </cell>
          <cell r="BY1708">
            <v>11.497021325386617</v>
          </cell>
        </row>
        <row r="1709">
          <cell r="A1709">
            <v>41829</v>
          </cell>
          <cell r="BF1709">
            <v>17.26881462365764</v>
          </cell>
          <cell r="BG1709">
            <v>17.429620749261797</v>
          </cell>
          <cell r="BH1709">
            <v>16.109902701379674</v>
          </cell>
          <cell r="BI1709">
            <v>13.839355674417275</v>
          </cell>
          <cell r="BJ1709">
            <v>18.380449728342072</v>
          </cell>
          <cell r="BU1709">
            <v>10.545894041637101</v>
          </cell>
          <cell r="BV1709">
            <v>11.522967903511651</v>
          </cell>
          <cell r="BW1709">
            <v>10.055977276238897</v>
          </cell>
          <cell r="BX1709">
            <v>8.6149332270911767</v>
          </cell>
          <cell r="BY1709">
            <v>11.497021325386617</v>
          </cell>
        </row>
        <row r="1710">
          <cell r="A1710">
            <v>41830</v>
          </cell>
          <cell r="BF1710">
            <v>17.376386297132822</v>
          </cell>
          <cell r="BG1710">
            <v>17.429620749261797</v>
          </cell>
          <cell r="BH1710">
            <v>16.109902701379674</v>
          </cell>
          <cell r="BI1710">
            <v>13.839355674417275</v>
          </cell>
          <cell r="BJ1710">
            <v>18.380449728342072</v>
          </cell>
          <cell r="BU1710">
            <v>10.586418394237896</v>
          </cell>
          <cell r="BV1710">
            <v>11.522967903511651</v>
          </cell>
          <cell r="BW1710">
            <v>10.055977276238897</v>
          </cell>
          <cell r="BX1710">
            <v>8.6149332270911767</v>
          </cell>
          <cell r="BY1710">
            <v>11.497021325386617</v>
          </cell>
        </row>
        <row r="1711">
          <cell r="A1711">
            <v>41831</v>
          </cell>
          <cell r="BF1711">
            <v>17.381303979387603</v>
          </cell>
          <cell r="BG1711">
            <v>17.429620749261797</v>
          </cell>
          <cell r="BH1711">
            <v>16.109902701379674</v>
          </cell>
          <cell r="BI1711">
            <v>13.839355674417275</v>
          </cell>
          <cell r="BJ1711">
            <v>18.380449728342072</v>
          </cell>
          <cell r="BU1711">
            <v>10.574498681750779</v>
          </cell>
          <cell r="BV1711">
            <v>11.522967903511651</v>
          </cell>
          <cell r="BW1711">
            <v>10.055977276238897</v>
          </cell>
          <cell r="BX1711">
            <v>8.6149332270911767</v>
          </cell>
          <cell r="BY1711">
            <v>11.497021325386617</v>
          </cell>
        </row>
        <row r="1712">
          <cell r="A1712">
            <v>41834</v>
          </cell>
          <cell r="BF1712">
            <v>17.200209289910994</v>
          </cell>
          <cell r="BG1712">
            <v>17.429620749261797</v>
          </cell>
          <cell r="BH1712">
            <v>16.109902701379674</v>
          </cell>
          <cell r="BI1712">
            <v>13.839355674417275</v>
          </cell>
          <cell r="BJ1712">
            <v>18.380449728342072</v>
          </cell>
          <cell r="BU1712">
            <v>10.524647113276258</v>
          </cell>
          <cell r="BV1712">
            <v>11.522967903511651</v>
          </cell>
          <cell r="BW1712">
            <v>10.055977276238897</v>
          </cell>
          <cell r="BX1712">
            <v>8.6149332270911767</v>
          </cell>
          <cell r="BY1712">
            <v>11.497021325386617</v>
          </cell>
        </row>
        <row r="1713">
          <cell r="A1713">
            <v>41835</v>
          </cell>
          <cell r="BF1713">
            <v>17.221566684465188</v>
          </cell>
          <cell r="BG1713">
            <v>17.429620749261797</v>
          </cell>
          <cell r="BH1713">
            <v>16.109902701379674</v>
          </cell>
          <cell r="BI1713">
            <v>13.839355674417275</v>
          </cell>
          <cell r="BJ1713">
            <v>18.380449728342072</v>
          </cell>
          <cell r="BU1713">
            <v>10.536510632426827</v>
          </cell>
          <cell r="BV1713">
            <v>11.522967903511651</v>
          </cell>
          <cell r="BW1713">
            <v>10.055977276238897</v>
          </cell>
          <cell r="BX1713">
            <v>8.6149332270911767</v>
          </cell>
          <cell r="BY1713">
            <v>11.497021325386617</v>
          </cell>
        </row>
        <row r="1714">
          <cell r="A1714">
            <v>41836</v>
          </cell>
          <cell r="BF1714">
            <v>17.217297597439025</v>
          </cell>
          <cell r="BG1714">
            <v>17.429620749261797</v>
          </cell>
          <cell r="BH1714">
            <v>16.109902701379674</v>
          </cell>
          <cell r="BI1714">
            <v>13.839355674417275</v>
          </cell>
          <cell r="BJ1714">
            <v>18.380449728342072</v>
          </cell>
          <cell r="BU1714">
            <v>10.534139257231139</v>
          </cell>
          <cell r="BV1714">
            <v>11.522967903511651</v>
          </cell>
          <cell r="BW1714">
            <v>10.055977276238897</v>
          </cell>
          <cell r="BX1714">
            <v>8.6149332270911767</v>
          </cell>
          <cell r="BY1714">
            <v>11.497021325386617</v>
          </cell>
        </row>
        <row r="1715">
          <cell r="A1715">
            <v>41837</v>
          </cell>
          <cell r="BF1715">
            <v>17.170313721304478</v>
          </cell>
          <cell r="BG1715">
            <v>17.429620749261797</v>
          </cell>
          <cell r="BH1715">
            <v>16.109902701379674</v>
          </cell>
          <cell r="BI1715">
            <v>13.839355674417275</v>
          </cell>
          <cell r="BJ1715">
            <v>18.380449728342072</v>
          </cell>
          <cell r="BU1715">
            <v>10.508040843734312</v>
          </cell>
          <cell r="BV1715">
            <v>11.522967903511651</v>
          </cell>
          <cell r="BW1715">
            <v>10.055977276238897</v>
          </cell>
          <cell r="BX1715">
            <v>8.6149332270911767</v>
          </cell>
          <cell r="BY1715">
            <v>11.497021325386617</v>
          </cell>
        </row>
        <row r="1716">
          <cell r="A1716">
            <v>41838</v>
          </cell>
          <cell r="BF1716">
            <v>17.396688093968677</v>
          </cell>
          <cell r="BG1716">
            <v>17.429620749261797</v>
          </cell>
          <cell r="BH1716">
            <v>16.109902701379674</v>
          </cell>
          <cell r="BI1716">
            <v>13.839355674417275</v>
          </cell>
          <cell r="BJ1716">
            <v>18.380449728342072</v>
          </cell>
          <cell r="BU1716">
            <v>10.633786364728714</v>
          </cell>
          <cell r="BV1716">
            <v>11.522967903511651</v>
          </cell>
          <cell r="BW1716">
            <v>10.055977276238897</v>
          </cell>
          <cell r="BX1716">
            <v>8.6149332270911767</v>
          </cell>
          <cell r="BY1716">
            <v>11.497021325386617</v>
          </cell>
        </row>
        <row r="1717">
          <cell r="A1717">
            <v>41841</v>
          </cell>
          <cell r="BF1717">
            <v>17.473567111587478</v>
          </cell>
          <cell r="BG1717">
            <v>17.429620749261797</v>
          </cell>
          <cell r="BH1717">
            <v>16.109902701379674</v>
          </cell>
          <cell r="BI1717">
            <v>13.839355674417275</v>
          </cell>
          <cell r="BJ1717">
            <v>18.380449728342072</v>
          </cell>
          <cell r="BU1717">
            <v>10.762724208161449</v>
          </cell>
          <cell r="BV1717">
            <v>11.522967903511651</v>
          </cell>
          <cell r="BW1717">
            <v>10.055977276238897</v>
          </cell>
          <cell r="BX1717">
            <v>8.6149332270911767</v>
          </cell>
          <cell r="BY1717">
            <v>11.497021325386617</v>
          </cell>
        </row>
        <row r="1718">
          <cell r="A1718">
            <v>41842</v>
          </cell>
          <cell r="BF1718">
            <v>17.38814394020466</v>
          </cell>
          <cell r="BG1718">
            <v>17.429620749261797</v>
          </cell>
          <cell r="BH1718">
            <v>16.109902701379674</v>
          </cell>
          <cell r="BI1718">
            <v>13.839355674417275</v>
          </cell>
          <cell r="BJ1718">
            <v>18.380449728342072</v>
          </cell>
          <cell r="BU1718">
            <v>10.714852120480407</v>
          </cell>
          <cell r="BV1718">
            <v>11.522967903511651</v>
          </cell>
          <cell r="BW1718">
            <v>10.055977276238897</v>
          </cell>
          <cell r="BX1718">
            <v>8.6149332270911767</v>
          </cell>
          <cell r="BY1718">
            <v>11.497021325386617</v>
          </cell>
        </row>
        <row r="1719">
          <cell r="A1719">
            <v>41843</v>
          </cell>
          <cell r="BF1719">
            <v>17.422314575549031</v>
          </cell>
          <cell r="BG1719">
            <v>17.429620749261797</v>
          </cell>
          <cell r="BH1719">
            <v>16.109902701379674</v>
          </cell>
          <cell r="BI1719">
            <v>13.839355674417275</v>
          </cell>
          <cell r="BJ1719">
            <v>18.380449728342072</v>
          </cell>
          <cell r="BU1719">
            <v>10.734001721517714</v>
          </cell>
          <cell r="BV1719">
            <v>11.522967903511651</v>
          </cell>
          <cell r="BW1719">
            <v>10.055977276238897</v>
          </cell>
          <cell r="BX1719">
            <v>8.6149332270911767</v>
          </cell>
          <cell r="BY1719">
            <v>11.497021325386617</v>
          </cell>
        </row>
        <row r="1720">
          <cell r="A1720">
            <v>41844</v>
          </cell>
          <cell r="BF1720">
            <v>17.452209717033284</v>
          </cell>
          <cell r="BG1720">
            <v>17.429620749261797</v>
          </cell>
          <cell r="BH1720">
            <v>16.109902701379674</v>
          </cell>
          <cell r="BI1720">
            <v>13.839355674417275</v>
          </cell>
          <cell r="BJ1720">
            <v>18.380449728342072</v>
          </cell>
          <cell r="BU1720">
            <v>10.750755288626078</v>
          </cell>
          <cell r="BV1720">
            <v>11.522967903511651</v>
          </cell>
          <cell r="BW1720">
            <v>10.055977276238897</v>
          </cell>
          <cell r="BX1720">
            <v>8.6149332270911767</v>
          </cell>
          <cell r="BY1720">
            <v>11.497021325386617</v>
          </cell>
        </row>
        <row r="1721">
          <cell r="A1721">
            <v>41845</v>
          </cell>
          <cell r="BF1721">
            <v>17.328347250402196</v>
          </cell>
          <cell r="BG1721">
            <v>17.429620749261797</v>
          </cell>
          <cell r="BH1721">
            <v>16.109902701379674</v>
          </cell>
          <cell r="BI1721">
            <v>13.839355674417275</v>
          </cell>
          <cell r="BJ1721">
            <v>18.380449728342072</v>
          </cell>
          <cell r="BU1721">
            <v>10.681341395803244</v>
          </cell>
          <cell r="BV1721">
            <v>11.522967903511651</v>
          </cell>
          <cell r="BW1721">
            <v>10.055977276238897</v>
          </cell>
          <cell r="BX1721">
            <v>8.6149332270911767</v>
          </cell>
          <cell r="BY1721">
            <v>11.497021325386617</v>
          </cell>
        </row>
        <row r="1722">
          <cell r="A1722">
            <v>41848</v>
          </cell>
          <cell r="BF1722">
            <v>17.324078163376036</v>
          </cell>
          <cell r="BG1722">
            <v>17.429620749261797</v>
          </cell>
          <cell r="BH1722">
            <v>16.109902701379674</v>
          </cell>
          <cell r="BI1722">
            <v>13.839355674417275</v>
          </cell>
          <cell r="BJ1722">
            <v>18.380449728342072</v>
          </cell>
          <cell r="BU1722">
            <v>10.678948952334732</v>
          </cell>
          <cell r="BV1722">
            <v>11.522967903511651</v>
          </cell>
          <cell r="BW1722">
            <v>10.055977276238897</v>
          </cell>
          <cell r="BX1722">
            <v>8.6149332270911767</v>
          </cell>
          <cell r="BY1722">
            <v>11.497021325386617</v>
          </cell>
        </row>
        <row r="1723">
          <cell r="A1723">
            <v>41849</v>
          </cell>
          <cell r="BF1723">
            <v>17.238648585159265</v>
          </cell>
          <cell r="BG1723">
            <v>17.429620749261797</v>
          </cell>
          <cell r="BH1723">
            <v>16.109902701379674</v>
          </cell>
          <cell r="BI1723">
            <v>13.839355674417275</v>
          </cell>
          <cell r="BJ1723">
            <v>18.380449728342072</v>
          </cell>
          <cell r="BU1723">
            <v>10.631073274193257</v>
          </cell>
          <cell r="BV1723">
            <v>11.522967903511651</v>
          </cell>
          <cell r="BW1723">
            <v>10.055977276238897</v>
          </cell>
          <cell r="BX1723">
            <v>8.6149332270911767</v>
          </cell>
          <cell r="BY1723">
            <v>11.497021325386617</v>
          </cell>
        </row>
        <row r="1724">
          <cell r="A1724">
            <v>41850</v>
          </cell>
          <cell r="BF1724">
            <v>17.358248798720407</v>
          </cell>
          <cell r="BG1724">
            <v>17.429620749261797</v>
          </cell>
          <cell r="BH1724">
            <v>16.109902701379674</v>
          </cell>
          <cell r="BI1724">
            <v>13.839355674417275</v>
          </cell>
          <cell r="BJ1724">
            <v>18.380449728342072</v>
          </cell>
          <cell r="BU1724">
            <v>10.698098553372041</v>
          </cell>
          <cell r="BV1724">
            <v>11.522967903511651</v>
          </cell>
          <cell r="BW1724">
            <v>10.055977276238897</v>
          </cell>
          <cell r="BX1724">
            <v>8.6149332270911767</v>
          </cell>
          <cell r="BY1724">
            <v>11.497021325386617</v>
          </cell>
        </row>
        <row r="1725">
          <cell r="A1725">
            <v>41851</v>
          </cell>
          <cell r="BF1725">
            <v>17.490655419115509</v>
          </cell>
          <cell r="BG1725">
            <v>17.429620749261797</v>
          </cell>
          <cell r="BH1725">
            <v>16.109902701379674</v>
          </cell>
          <cell r="BI1725">
            <v>13.839355674417275</v>
          </cell>
          <cell r="BJ1725">
            <v>18.380449728342072</v>
          </cell>
          <cell r="BU1725">
            <v>10.772300684228306</v>
          </cell>
          <cell r="BV1725">
            <v>11.522967903511651</v>
          </cell>
          <cell r="BW1725">
            <v>10.055977276238897</v>
          </cell>
          <cell r="BX1725">
            <v>8.6149332270911767</v>
          </cell>
          <cell r="BY1725">
            <v>11.497021325386617</v>
          </cell>
        </row>
        <row r="1726">
          <cell r="A1726">
            <v>41852</v>
          </cell>
          <cell r="BF1726">
            <v>17.362517458624307</v>
          </cell>
          <cell r="BG1726">
            <v>17.429620749261797</v>
          </cell>
          <cell r="BH1726">
            <v>16.109902701379674</v>
          </cell>
          <cell r="BI1726">
            <v>13.839355674417275</v>
          </cell>
          <cell r="BJ1726">
            <v>18.380449728342072</v>
          </cell>
          <cell r="BU1726">
            <v>10.700490757476526</v>
          </cell>
          <cell r="BV1726">
            <v>11.522967903511651</v>
          </cell>
          <cell r="BW1726">
            <v>10.055977276238897</v>
          </cell>
          <cell r="BX1726">
            <v>8.6149332270911767</v>
          </cell>
          <cell r="BY1726">
            <v>11.497021325386617</v>
          </cell>
        </row>
        <row r="1727">
          <cell r="A1727">
            <v>41855</v>
          </cell>
          <cell r="BF1727">
            <v>17.277094287241489</v>
          </cell>
          <cell r="BG1727">
            <v>17.429620749261797</v>
          </cell>
          <cell r="BH1727">
            <v>16.109902701379674</v>
          </cell>
          <cell r="BI1727">
            <v>13.839355674417275</v>
          </cell>
          <cell r="BJ1727">
            <v>18.380449728342072</v>
          </cell>
          <cell r="BU1727">
            <v>10.652618669795485</v>
          </cell>
          <cell r="BV1727">
            <v>11.522967903511651</v>
          </cell>
          <cell r="BW1727">
            <v>10.055977276238897</v>
          </cell>
          <cell r="BX1727">
            <v>8.6149332270911767</v>
          </cell>
          <cell r="BY1727">
            <v>11.497021325386617</v>
          </cell>
        </row>
        <row r="1728">
          <cell r="A1728">
            <v>41856</v>
          </cell>
          <cell r="BF1728">
            <v>17.704216550989532</v>
          </cell>
          <cell r="BG1728">
            <v>17.429620749261797</v>
          </cell>
          <cell r="BH1728">
            <v>16.109902701379674</v>
          </cell>
          <cell r="BI1728">
            <v>13.839355674417275</v>
          </cell>
          <cell r="BJ1728">
            <v>18.380449728342072</v>
          </cell>
          <cell r="BU1728">
            <v>10.892993462491384</v>
          </cell>
          <cell r="BV1728">
            <v>11.522967903511651</v>
          </cell>
          <cell r="BW1728">
            <v>10.055977276238897</v>
          </cell>
          <cell r="BX1728">
            <v>8.6149332270911767</v>
          </cell>
          <cell r="BY1728">
            <v>11.497021325386617</v>
          </cell>
        </row>
        <row r="1729">
          <cell r="A1729">
            <v>41857</v>
          </cell>
          <cell r="BF1729">
            <v>18.050184730380916</v>
          </cell>
          <cell r="BG1729">
            <v>17.429620749261797</v>
          </cell>
          <cell r="BH1729">
            <v>16.109902701379674</v>
          </cell>
          <cell r="BI1729">
            <v>13.839355674417275</v>
          </cell>
          <cell r="BJ1729">
            <v>18.380449728342072</v>
          </cell>
          <cell r="BU1729">
            <v>11.086895839398862</v>
          </cell>
          <cell r="BV1729">
            <v>11.522967903511651</v>
          </cell>
          <cell r="BW1729">
            <v>10.055977276238897</v>
          </cell>
          <cell r="BX1729">
            <v>8.6149332270911767</v>
          </cell>
          <cell r="BY1729">
            <v>11.497021325386617</v>
          </cell>
        </row>
        <row r="1730">
          <cell r="A1730">
            <v>41858</v>
          </cell>
          <cell r="BF1730">
            <v>17.626704157177201</v>
          </cell>
          <cell r="BG1730">
            <v>17.429620749261797</v>
          </cell>
          <cell r="BH1730">
            <v>16.109902701379674</v>
          </cell>
          <cell r="BI1730">
            <v>13.839355674417275</v>
          </cell>
          <cell r="BJ1730">
            <v>18.380449728342072</v>
          </cell>
          <cell r="BU1730">
            <v>10.849902263303257</v>
          </cell>
          <cell r="BV1730">
            <v>11.522967903511651</v>
          </cell>
          <cell r="BW1730">
            <v>10.055977276238897</v>
          </cell>
          <cell r="BX1730">
            <v>8.6149332270911767</v>
          </cell>
          <cell r="BY1730">
            <v>11.497021325386617</v>
          </cell>
        </row>
        <row r="1731">
          <cell r="A1731">
            <v>41859</v>
          </cell>
          <cell r="BF1731">
            <v>17.686498718680625</v>
          </cell>
          <cell r="BG1731">
            <v>17.429620749261797</v>
          </cell>
          <cell r="BH1731">
            <v>16.109902701379674</v>
          </cell>
          <cell r="BI1731">
            <v>13.839355674417275</v>
          </cell>
          <cell r="BJ1731">
            <v>18.380449728342072</v>
          </cell>
          <cell r="BU1731">
            <v>10.883416097738243</v>
          </cell>
          <cell r="BV1731">
            <v>11.522967903511651</v>
          </cell>
          <cell r="BW1731">
            <v>10.055977276238897</v>
          </cell>
          <cell r="BX1731">
            <v>8.6149332270911767</v>
          </cell>
          <cell r="BY1731">
            <v>11.497021325386617</v>
          </cell>
        </row>
        <row r="1732">
          <cell r="A1732">
            <v>41862</v>
          </cell>
          <cell r="BF1732">
            <v>17.716399202735296</v>
          </cell>
          <cell r="BG1732">
            <v>17.429620749261797</v>
          </cell>
          <cell r="BH1732">
            <v>16.109902701379674</v>
          </cell>
          <cell r="BI1732">
            <v>13.839355674417275</v>
          </cell>
          <cell r="BJ1732">
            <v>18.380449728342072</v>
          </cell>
          <cell r="BU1732">
            <v>10.900174810352549</v>
          </cell>
          <cell r="BV1732">
            <v>11.522967903511651</v>
          </cell>
          <cell r="BW1732">
            <v>10.055977276238897</v>
          </cell>
          <cell r="BX1732">
            <v>8.6149332270911767</v>
          </cell>
          <cell r="BY1732">
            <v>11.497021325386617</v>
          </cell>
        </row>
        <row r="1733">
          <cell r="A1733">
            <v>41863</v>
          </cell>
          <cell r="BF1733">
            <v>17.695042568338938</v>
          </cell>
          <cell r="BG1733">
            <v>17.429620749261797</v>
          </cell>
          <cell r="BH1733">
            <v>16.109902701379674</v>
          </cell>
          <cell r="BI1733">
            <v>13.839355674417275</v>
          </cell>
          <cell r="BJ1733">
            <v>18.380449728342072</v>
          </cell>
          <cell r="BU1733">
            <v>10.888204780114814</v>
          </cell>
          <cell r="BV1733">
            <v>11.522967903511651</v>
          </cell>
          <cell r="BW1733">
            <v>10.055977276238897</v>
          </cell>
          <cell r="BX1733">
            <v>8.6149332270911767</v>
          </cell>
          <cell r="BY1733">
            <v>11.497021325386617</v>
          </cell>
        </row>
        <row r="1734">
          <cell r="A1734">
            <v>41864</v>
          </cell>
          <cell r="BF1734">
            <v>17.479636918900578</v>
          </cell>
          <cell r="BG1734">
            <v>17.429620749261797</v>
          </cell>
          <cell r="BH1734">
            <v>16.109902701379674</v>
          </cell>
          <cell r="BI1734">
            <v>13.839355674417275</v>
          </cell>
          <cell r="BJ1734">
            <v>18.380449728342072</v>
          </cell>
          <cell r="BU1734">
            <v>10.784694414594531</v>
          </cell>
          <cell r="BV1734">
            <v>11.522967903511651</v>
          </cell>
          <cell r="BW1734">
            <v>10.055977276238897</v>
          </cell>
          <cell r="BX1734">
            <v>8.6149332270911767</v>
          </cell>
          <cell r="BY1734">
            <v>11.497021325386617</v>
          </cell>
        </row>
        <row r="1735">
          <cell r="A1735">
            <v>41865</v>
          </cell>
          <cell r="BF1735">
            <v>17.613491726771318</v>
          </cell>
          <cell r="BG1735">
            <v>17.429620749261797</v>
          </cell>
          <cell r="BH1735">
            <v>16.109902701379674</v>
          </cell>
          <cell r="BI1735">
            <v>13.839355674417275</v>
          </cell>
          <cell r="BJ1735">
            <v>18.380449728342072</v>
          </cell>
          <cell r="BU1735">
            <v>10.85346001146798</v>
          </cell>
          <cell r="BV1735">
            <v>11.522967903511651</v>
          </cell>
          <cell r="BW1735">
            <v>10.055977276238897</v>
          </cell>
          <cell r="BX1735">
            <v>8.6149332270911767</v>
          </cell>
          <cell r="BY1735">
            <v>11.497021325386617</v>
          </cell>
        </row>
        <row r="1736">
          <cell r="A1736">
            <v>41866</v>
          </cell>
          <cell r="BF1736">
            <v>17.925328807806533</v>
          </cell>
          <cell r="BG1736">
            <v>17.429620749261797</v>
          </cell>
          <cell r="BH1736">
            <v>16.109902701379674</v>
          </cell>
          <cell r="BI1736">
            <v>13.839355674417275</v>
          </cell>
          <cell r="BJ1736">
            <v>18.380449728342072</v>
          </cell>
          <cell r="BU1736">
            <v>11.057100571367647</v>
          </cell>
          <cell r="BV1736">
            <v>11.522967903511651</v>
          </cell>
          <cell r="BW1736">
            <v>10.055977276238897</v>
          </cell>
          <cell r="BX1736">
            <v>8.6149332270911767</v>
          </cell>
          <cell r="BY1736">
            <v>11.497021325386617</v>
          </cell>
        </row>
        <row r="1737">
          <cell r="A1737">
            <v>41869</v>
          </cell>
          <cell r="BF1737">
            <v>17.789560033941452</v>
          </cell>
          <cell r="BG1737">
            <v>17.429620749261797</v>
          </cell>
          <cell r="BH1737">
            <v>16.109902701379674</v>
          </cell>
          <cell r="BI1737">
            <v>13.839355674417275</v>
          </cell>
          <cell r="BJ1737">
            <v>18.380449728342072</v>
          </cell>
          <cell r="BU1737">
            <v>10.972467600475424</v>
          </cell>
          <cell r="BV1737">
            <v>11.522967903511651</v>
          </cell>
          <cell r="BW1737">
            <v>10.055977276238897</v>
          </cell>
          <cell r="BX1737">
            <v>8.6149332270911767</v>
          </cell>
          <cell r="BY1737">
            <v>11.497021325386617</v>
          </cell>
        </row>
        <row r="1738">
          <cell r="A1738">
            <v>41870</v>
          </cell>
          <cell r="BF1738">
            <v>17.513788290199404</v>
          </cell>
          <cell r="BG1738">
            <v>17.429620749261797</v>
          </cell>
          <cell r="BH1738">
            <v>16.109902701379674</v>
          </cell>
          <cell r="BI1738">
            <v>13.839355674417275</v>
          </cell>
          <cell r="BJ1738">
            <v>18.380449728342072</v>
          </cell>
          <cell r="BU1738">
            <v>10.817368796666306</v>
          </cell>
          <cell r="BV1738">
            <v>11.522967903511651</v>
          </cell>
          <cell r="BW1738">
            <v>10.055977276238897</v>
          </cell>
          <cell r="BX1738">
            <v>8.6149332270911767</v>
          </cell>
          <cell r="BY1738">
            <v>11.497021325386617</v>
          </cell>
        </row>
        <row r="1739">
          <cell r="A1739">
            <v>41871</v>
          </cell>
          <cell r="BF1739">
            <v>17.632582944420871</v>
          </cell>
          <cell r="BG1739">
            <v>17.429620749261797</v>
          </cell>
          <cell r="BH1739">
            <v>16.109902701379674</v>
          </cell>
          <cell r="BI1739">
            <v>13.839355674417275</v>
          </cell>
          <cell r="BJ1739">
            <v>18.380449728342072</v>
          </cell>
          <cell r="BU1739">
            <v>10.884180967190574</v>
          </cell>
          <cell r="BV1739">
            <v>11.522967903511651</v>
          </cell>
          <cell r="BW1739">
            <v>10.055977276238897</v>
          </cell>
          <cell r="BX1739">
            <v>8.6149332270911767</v>
          </cell>
          <cell r="BY1739">
            <v>11.497021325386617</v>
          </cell>
        </row>
        <row r="1740">
          <cell r="A1740">
            <v>41872</v>
          </cell>
          <cell r="BF1740">
            <v>17.378019516334323</v>
          </cell>
          <cell r="BG1740">
            <v>17.429620749261797</v>
          </cell>
          <cell r="BH1740">
            <v>16.109902701379674</v>
          </cell>
          <cell r="BI1740">
            <v>13.839355674417275</v>
          </cell>
          <cell r="BJ1740">
            <v>18.380449728342072</v>
          </cell>
          <cell r="BU1740">
            <v>10.741010087338925</v>
          </cell>
          <cell r="BV1740">
            <v>11.522967903511651</v>
          </cell>
          <cell r="BW1740">
            <v>10.055977276238897</v>
          </cell>
          <cell r="BX1740">
            <v>8.6149332270911767</v>
          </cell>
          <cell r="BY1740">
            <v>11.497021325386617</v>
          </cell>
        </row>
        <row r="1741">
          <cell r="A1741">
            <v>41873</v>
          </cell>
          <cell r="BF1741">
            <v>17.344077216801015</v>
          </cell>
          <cell r="BG1741">
            <v>17.429620749261797</v>
          </cell>
          <cell r="BH1741">
            <v>16.109902701379674</v>
          </cell>
          <cell r="BI1741">
            <v>13.839355674417275</v>
          </cell>
          <cell r="BJ1741">
            <v>18.380449728342072</v>
          </cell>
          <cell r="BU1741">
            <v>10.741010087338925</v>
          </cell>
          <cell r="BV1741">
            <v>11.522967903511651</v>
          </cell>
          <cell r="BW1741">
            <v>10.055977276238897</v>
          </cell>
          <cell r="BX1741">
            <v>8.6149332270911767</v>
          </cell>
          <cell r="BY1741">
            <v>11.497021325386617</v>
          </cell>
        </row>
        <row r="1742">
          <cell r="A1742">
            <v>41876</v>
          </cell>
          <cell r="BF1742">
            <v>17.059818413237164</v>
          </cell>
          <cell r="BG1742">
            <v>17.429620749261797</v>
          </cell>
          <cell r="BH1742">
            <v>16.109902701379674</v>
          </cell>
          <cell r="BI1742">
            <v>13.839355674417275</v>
          </cell>
          <cell r="BJ1742">
            <v>18.380449728342072</v>
          </cell>
          <cell r="BU1742">
            <v>10.562048277142466</v>
          </cell>
          <cell r="BV1742">
            <v>11.522967903511651</v>
          </cell>
          <cell r="BW1742">
            <v>10.055977276238897</v>
          </cell>
          <cell r="BX1742">
            <v>8.6149332270911767</v>
          </cell>
          <cell r="BY1742">
            <v>11.497021325386617</v>
          </cell>
        </row>
        <row r="1743">
          <cell r="A1743">
            <v>41877</v>
          </cell>
          <cell r="BF1743">
            <v>17.146794229953329</v>
          </cell>
          <cell r="BG1743">
            <v>17.429620749261797</v>
          </cell>
          <cell r="BH1743">
            <v>16.109902701379674</v>
          </cell>
          <cell r="BI1743">
            <v>13.839355674417275</v>
          </cell>
          <cell r="BJ1743">
            <v>18.380449728342072</v>
          </cell>
          <cell r="BU1743">
            <v>10.610964982494325</v>
          </cell>
          <cell r="BV1743">
            <v>11.522967903511651</v>
          </cell>
          <cell r="BW1743">
            <v>10.055977276238897</v>
          </cell>
          <cell r="BX1743">
            <v>8.6149332270911767</v>
          </cell>
          <cell r="BY1743">
            <v>11.497021325386617</v>
          </cell>
        </row>
        <row r="1744">
          <cell r="A1744">
            <v>41878</v>
          </cell>
          <cell r="BF1744">
            <v>17.119215528213832</v>
          </cell>
          <cell r="BG1744">
            <v>17.429620749261797</v>
          </cell>
          <cell r="BH1744">
            <v>16.109902701379674</v>
          </cell>
          <cell r="BI1744">
            <v>13.839355674417275</v>
          </cell>
          <cell r="BJ1744">
            <v>18.380449728342072</v>
          </cell>
          <cell r="BU1744">
            <v>10.595454243096725</v>
          </cell>
          <cell r="BV1744">
            <v>11.522967903511651</v>
          </cell>
          <cell r="BW1744">
            <v>10.055977276238897</v>
          </cell>
          <cell r="BX1744">
            <v>8.6149332270911767</v>
          </cell>
          <cell r="BY1744">
            <v>11.497021325386617</v>
          </cell>
        </row>
        <row r="1745">
          <cell r="A1745">
            <v>41879</v>
          </cell>
          <cell r="BF1745">
            <v>16.890113703860838</v>
          </cell>
          <cell r="BG1745">
            <v>17.429620749261797</v>
          </cell>
          <cell r="BH1745">
            <v>16.109902701379674</v>
          </cell>
          <cell r="BI1745">
            <v>13.839355674417275</v>
          </cell>
          <cell r="BJ1745">
            <v>18.380449728342072</v>
          </cell>
          <cell r="BU1745">
            <v>10.466603410065503</v>
          </cell>
          <cell r="BV1745">
            <v>11.522967903511651</v>
          </cell>
          <cell r="BW1745">
            <v>10.055977276238897</v>
          </cell>
          <cell r="BX1745">
            <v>8.6149332270911767</v>
          </cell>
          <cell r="BY1745">
            <v>11.497021325386617</v>
          </cell>
        </row>
        <row r="1746">
          <cell r="A1746">
            <v>41880</v>
          </cell>
          <cell r="BF1746">
            <v>17.148917691981328</v>
          </cell>
          <cell r="BG1746">
            <v>17.429620749261797</v>
          </cell>
          <cell r="BH1746">
            <v>16.109902701379674</v>
          </cell>
          <cell r="BI1746">
            <v>13.839355674417275</v>
          </cell>
          <cell r="BJ1746">
            <v>18.380449728342072</v>
          </cell>
          <cell r="BU1746">
            <v>10.466603410065503</v>
          </cell>
          <cell r="BV1746">
            <v>11.522967903511651</v>
          </cell>
          <cell r="BW1746">
            <v>10.055977276238897</v>
          </cell>
          <cell r="BX1746">
            <v>8.6149332270911767</v>
          </cell>
          <cell r="BY1746">
            <v>11.497021325386617</v>
          </cell>
        </row>
        <row r="1747">
          <cell r="A1747">
            <v>41883</v>
          </cell>
          <cell r="BF1747">
            <v>17.20981162977688</v>
          </cell>
          <cell r="BG1747">
            <v>17.429620749261797</v>
          </cell>
          <cell r="BH1747">
            <v>16.109902701379674</v>
          </cell>
          <cell r="BI1747">
            <v>13.839355674417275</v>
          </cell>
          <cell r="BJ1747">
            <v>18.380449728342072</v>
          </cell>
          <cell r="BU1747">
            <v>10.645565220261959</v>
          </cell>
          <cell r="BV1747">
            <v>11.522967903511651</v>
          </cell>
          <cell r="BW1747">
            <v>10.055977276238897</v>
          </cell>
          <cell r="BX1747">
            <v>8.6149332270911767</v>
          </cell>
          <cell r="BY1747">
            <v>11.497021325386617</v>
          </cell>
        </row>
        <row r="1748">
          <cell r="A1748">
            <v>41884</v>
          </cell>
          <cell r="BF1748">
            <v>17.597619694397284</v>
          </cell>
          <cell r="BG1748">
            <v>17.429620749261797</v>
          </cell>
          <cell r="BH1748">
            <v>16.109902701379674</v>
          </cell>
          <cell r="BI1748">
            <v>13.839355674417275</v>
          </cell>
          <cell r="BJ1748">
            <v>18.380449728342072</v>
          </cell>
          <cell r="BU1748">
            <v>10.860317960803229</v>
          </cell>
          <cell r="BV1748">
            <v>11.522967903511651</v>
          </cell>
          <cell r="BW1748">
            <v>10.055977276238897</v>
          </cell>
          <cell r="BX1748">
            <v>8.6149332270911767</v>
          </cell>
          <cell r="BY1748">
            <v>11.497021325386617</v>
          </cell>
        </row>
        <row r="1749">
          <cell r="A1749">
            <v>41885</v>
          </cell>
          <cell r="BF1749">
            <v>17.474532682512734</v>
          </cell>
          <cell r="BG1749">
            <v>17.429620749261797</v>
          </cell>
          <cell r="BH1749">
            <v>16.109902701379674</v>
          </cell>
          <cell r="BI1749">
            <v>13.839355674417275</v>
          </cell>
          <cell r="BJ1749">
            <v>18.380449728342072</v>
          </cell>
          <cell r="BU1749">
            <v>10.791121064504159</v>
          </cell>
          <cell r="BV1749">
            <v>11.522967903511651</v>
          </cell>
          <cell r="BW1749">
            <v>10.055977276238897</v>
          </cell>
          <cell r="BX1749">
            <v>8.6149332270911767</v>
          </cell>
          <cell r="BY1749">
            <v>11.497021325386617</v>
          </cell>
        </row>
        <row r="1750">
          <cell r="A1750">
            <v>41886</v>
          </cell>
          <cell r="BF1750">
            <v>17.640067062818336</v>
          </cell>
          <cell r="BG1750">
            <v>17.429620749261797</v>
          </cell>
          <cell r="BH1750">
            <v>16.109902701379674</v>
          </cell>
          <cell r="BI1750">
            <v>13.839355674417275</v>
          </cell>
          <cell r="BJ1750">
            <v>18.380449728342072</v>
          </cell>
          <cell r="BU1750">
            <v>10.884180967190574</v>
          </cell>
          <cell r="BV1750">
            <v>11.522967903511651</v>
          </cell>
          <cell r="BW1750">
            <v>10.055977276238897</v>
          </cell>
          <cell r="BX1750">
            <v>8.6149332270911767</v>
          </cell>
          <cell r="BY1750">
            <v>11.497021325386617</v>
          </cell>
        </row>
        <row r="1751">
          <cell r="A1751">
            <v>41887</v>
          </cell>
          <cell r="BF1751">
            <v>17.758912139219014</v>
          </cell>
          <cell r="BG1751">
            <v>17.429620749261797</v>
          </cell>
          <cell r="BH1751">
            <v>16.109902701379674</v>
          </cell>
          <cell r="BI1751">
            <v>13.839355674417275</v>
          </cell>
          <cell r="BJ1751">
            <v>18.380449728342072</v>
          </cell>
          <cell r="BU1751">
            <v>10.950993137714836</v>
          </cell>
          <cell r="BV1751">
            <v>11.522967903511651</v>
          </cell>
          <cell r="BW1751">
            <v>10.055977276238897</v>
          </cell>
          <cell r="BX1751">
            <v>8.6149332270911767</v>
          </cell>
          <cell r="BY1751">
            <v>11.497021325386617</v>
          </cell>
        </row>
        <row r="1752">
          <cell r="A1752">
            <v>41890</v>
          </cell>
          <cell r="BF1752">
            <v>17.910535172770892</v>
          </cell>
          <cell r="BG1752">
            <v>17.429620749261797</v>
          </cell>
          <cell r="BH1752">
            <v>16.109902701379674</v>
          </cell>
          <cell r="BI1752">
            <v>13.839355674417275</v>
          </cell>
          <cell r="BJ1752">
            <v>18.380449728342072</v>
          </cell>
          <cell r="BU1752">
            <v>11.036894806609141</v>
          </cell>
          <cell r="BV1752">
            <v>11.522967903511651</v>
          </cell>
          <cell r="BW1752">
            <v>10.055977276238897</v>
          </cell>
          <cell r="BX1752">
            <v>8.6149332270911767</v>
          </cell>
          <cell r="BY1752">
            <v>11.497021325386617</v>
          </cell>
        </row>
        <row r="1753">
          <cell r="A1753">
            <v>41891</v>
          </cell>
          <cell r="BF1753">
            <v>17.940241622473902</v>
          </cell>
          <cell r="BG1753">
            <v>17.429620749261797</v>
          </cell>
          <cell r="BH1753">
            <v>16.109902701379674</v>
          </cell>
          <cell r="BI1753">
            <v>13.839355674417275</v>
          </cell>
          <cell r="BJ1753">
            <v>18.380449728342072</v>
          </cell>
          <cell r="BU1753">
            <v>11.053596238583914</v>
          </cell>
          <cell r="BV1753">
            <v>11.522967903511651</v>
          </cell>
          <cell r="BW1753">
            <v>10.055977276238897</v>
          </cell>
          <cell r="BX1753">
            <v>8.6149332270911767</v>
          </cell>
          <cell r="BY1753">
            <v>11.497021325386617</v>
          </cell>
        </row>
        <row r="1754">
          <cell r="A1754">
            <v>41892</v>
          </cell>
          <cell r="BF1754">
            <v>17.936132141277348</v>
          </cell>
          <cell r="BG1754">
            <v>17.429620749261797</v>
          </cell>
          <cell r="BH1754">
            <v>16.109902701379674</v>
          </cell>
          <cell r="BI1754">
            <v>13.839355674417275</v>
          </cell>
          <cell r="BJ1754">
            <v>18.380449728342072</v>
          </cell>
          <cell r="BU1754">
            <v>11.029736811432773</v>
          </cell>
          <cell r="BV1754">
            <v>11.522967903511651</v>
          </cell>
          <cell r="BW1754">
            <v>10.055977276238897</v>
          </cell>
          <cell r="BX1754">
            <v>8.6149332270911767</v>
          </cell>
          <cell r="BY1754">
            <v>11.497021325386617</v>
          </cell>
        </row>
        <row r="1755">
          <cell r="A1755">
            <v>41893</v>
          </cell>
          <cell r="BF1755">
            <v>18.136037292864678</v>
          </cell>
          <cell r="BG1755">
            <v>17.429620749261797</v>
          </cell>
          <cell r="BH1755">
            <v>16.109902701379674</v>
          </cell>
          <cell r="BI1755">
            <v>13.839355674417275</v>
          </cell>
          <cell r="BJ1755">
            <v>18.380449728342072</v>
          </cell>
          <cell r="BU1755">
            <v>11.141886451104966</v>
          </cell>
          <cell r="BV1755">
            <v>11.522967903511651</v>
          </cell>
          <cell r="BW1755">
            <v>10.055977276238897</v>
          </cell>
          <cell r="BX1755">
            <v>8.6149332270911767</v>
          </cell>
          <cell r="BY1755">
            <v>11.497021325386617</v>
          </cell>
        </row>
        <row r="1756">
          <cell r="A1756">
            <v>41894</v>
          </cell>
          <cell r="BF1756">
            <v>18.335936064513934</v>
          </cell>
          <cell r="BG1756">
            <v>17.429620749261797</v>
          </cell>
          <cell r="BH1756">
            <v>16.109902701379674</v>
          </cell>
          <cell r="BI1756">
            <v>13.839355674417275</v>
          </cell>
          <cell r="BJ1756">
            <v>18.380449728342072</v>
          </cell>
          <cell r="BU1756">
            <v>11.141886451104966</v>
          </cell>
          <cell r="BV1756">
            <v>11.522967903511651</v>
          </cell>
          <cell r="BW1756">
            <v>10.055977276238897</v>
          </cell>
          <cell r="BX1756">
            <v>8.6149332270911767</v>
          </cell>
          <cell r="BY1756">
            <v>11.497021325386617</v>
          </cell>
        </row>
        <row r="1757">
          <cell r="A1757">
            <v>41897</v>
          </cell>
          <cell r="BF1757">
            <v>18.185611917744371</v>
          </cell>
          <cell r="BG1757">
            <v>17.429620749261797</v>
          </cell>
          <cell r="BH1757">
            <v>16.109902701379674</v>
          </cell>
          <cell r="BI1757">
            <v>13.839355674417275</v>
          </cell>
          <cell r="BJ1757">
            <v>18.380449728342072</v>
          </cell>
          <cell r="BU1757">
            <v>11.177698407670112</v>
          </cell>
          <cell r="BV1757">
            <v>11.522967903511651</v>
          </cell>
          <cell r="BW1757">
            <v>10.055977276238897</v>
          </cell>
          <cell r="BX1757">
            <v>8.6149332270911767</v>
          </cell>
          <cell r="BY1757">
            <v>11.497021325386617</v>
          </cell>
        </row>
        <row r="1758">
          <cell r="A1758">
            <v>41898</v>
          </cell>
          <cell r="BF1758">
            <v>18.303809566024917</v>
          </cell>
          <cell r="BG1758">
            <v>17.429620749261797</v>
          </cell>
          <cell r="BH1758">
            <v>16.109902701379674</v>
          </cell>
          <cell r="BI1758">
            <v>13.839355674417275</v>
          </cell>
          <cell r="BJ1758">
            <v>18.380449728342072</v>
          </cell>
          <cell r="BU1758">
            <v>11.244099638237751</v>
          </cell>
          <cell r="BV1758">
            <v>11.522967903511651</v>
          </cell>
          <cell r="BW1758">
            <v>10.055977276238897</v>
          </cell>
          <cell r="BX1758">
            <v>8.6149332270911767</v>
          </cell>
          <cell r="BY1758">
            <v>11.497021325386617</v>
          </cell>
        </row>
        <row r="1759">
          <cell r="A1759">
            <v>41899</v>
          </cell>
          <cell r="BF1759">
            <v>18.443115279002022</v>
          </cell>
          <cell r="BG1759">
            <v>17.429620749261797</v>
          </cell>
          <cell r="BH1759">
            <v>16.109902701379674</v>
          </cell>
          <cell r="BI1759">
            <v>13.839355674417275</v>
          </cell>
          <cell r="BJ1759">
            <v>18.380449728342072</v>
          </cell>
          <cell r="BU1759">
            <v>11.322358985198926</v>
          </cell>
          <cell r="BV1759">
            <v>11.522967903511651</v>
          </cell>
          <cell r="BW1759">
            <v>10.055977276238897</v>
          </cell>
          <cell r="BX1759">
            <v>8.6149332270911767</v>
          </cell>
          <cell r="BY1759">
            <v>11.497021325386617</v>
          </cell>
        </row>
        <row r="1760">
          <cell r="A1760">
            <v>41900</v>
          </cell>
          <cell r="BF1760">
            <v>18.605535178535522</v>
          </cell>
          <cell r="BG1760">
            <v>17.429620749261797</v>
          </cell>
          <cell r="BH1760">
            <v>16.109902701379674</v>
          </cell>
          <cell r="BI1760">
            <v>13.839355674417275</v>
          </cell>
          <cell r="BJ1760">
            <v>18.380449728342072</v>
          </cell>
          <cell r="BU1760">
            <v>11.418469280897748</v>
          </cell>
          <cell r="BV1760">
            <v>11.522967903511651</v>
          </cell>
          <cell r="BW1760">
            <v>10.055977276238897</v>
          </cell>
          <cell r="BX1760">
            <v>8.6149332270911767</v>
          </cell>
          <cell r="BY1760">
            <v>11.497021325386617</v>
          </cell>
        </row>
        <row r="1761">
          <cell r="A1761">
            <v>41901</v>
          </cell>
          <cell r="BF1761">
            <v>18.586514261569537</v>
          </cell>
          <cell r="BG1761">
            <v>17.429620749261797</v>
          </cell>
          <cell r="BH1761">
            <v>16.109902701379674</v>
          </cell>
          <cell r="BI1761">
            <v>13.839355674417275</v>
          </cell>
          <cell r="BJ1761">
            <v>18.380449728342072</v>
          </cell>
          <cell r="BU1761">
            <v>11.418469280897748</v>
          </cell>
          <cell r="BV1761">
            <v>11.522967903511651</v>
          </cell>
          <cell r="BW1761">
            <v>10.055977276238897</v>
          </cell>
          <cell r="BX1761">
            <v>8.6149332270911767</v>
          </cell>
          <cell r="BY1761">
            <v>11.497021325386617</v>
          </cell>
        </row>
        <row r="1762">
          <cell r="A1762">
            <v>41904</v>
          </cell>
          <cell r="BF1762">
            <v>18.656240862034366</v>
          </cell>
          <cell r="BG1762">
            <v>17.429620749261797</v>
          </cell>
          <cell r="BH1762">
            <v>16.109902701379674</v>
          </cell>
          <cell r="BI1762">
            <v>13.839355674417275</v>
          </cell>
          <cell r="BJ1762">
            <v>18.380449728342072</v>
          </cell>
          <cell r="BU1762">
            <v>11.446964491290668</v>
          </cell>
          <cell r="BV1762">
            <v>11.522967903511651</v>
          </cell>
          <cell r="BW1762">
            <v>10.055977276238897</v>
          </cell>
          <cell r="BX1762">
            <v>8.6149332270911767</v>
          </cell>
          <cell r="BY1762">
            <v>11.497021325386617</v>
          </cell>
        </row>
        <row r="1763">
          <cell r="A1763">
            <v>41905</v>
          </cell>
          <cell r="BF1763">
            <v>18.706953306572718</v>
          </cell>
          <cell r="BG1763">
            <v>17.429620749261797</v>
          </cell>
          <cell r="BH1763">
            <v>16.109902701379674</v>
          </cell>
          <cell r="BI1763">
            <v>13.839355674417275</v>
          </cell>
          <cell r="BJ1763">
            <v>18.380449728342072</v>
          </cell>
          <cell r="BU1763">
            <v>11.47546350120329</v>
          </cell>
          <cell r="BV1763">
            <v>11.522967903511651</v>
          </cell>
          <cell r="BW1763">
            <v>10.055977276238897</v>
          </cell>
          <cell r="BX1763">
            <v>8.6149332270911767</v>
          </cell>
          <cell r="BY1763">
            <v>11.497021325386617</v>
          </cell>
        </row>
        <row r="1764">
          <cell r="A1764">
            <v>41906</v>
          </cell>
          <cell r="BF1764">
            <v>19.067707086216778</v>
          </cell>
          <cell r="BG1764">
            <v>17.429620749261797</v>
          </cell>
          <cell r="BH1764">
            <v>16.109902701379674</v>
          </cell>
          <cell r="BI1764">
            <v>13.839355674417275</v>
          </cell>
          <cell r="BJ1764">
            <v>18.380449728342072</v>
          </cell>
          <cell r="BU1764">
            <v>11.678499147771022</v>
          </cell>
          <cell r="BV1764">
            <v>11.522967903511651</v>
          </cell>
          <cell r="BW1764">
            <v>10.055977276238897</v>
          </cell>
          <cell r="BX1764">
            <v>8.6149332270911767</v>
          </cell>
          <cell r="BY1764">
            <v>11.497021325386617</v>
          </cell>
        </row>
        <row r="1765">
          <cell r="A1765">
            <v>41907</v>
          </cell>
          <cell r="BF1765">
            <v>19.31067383129054</v>
          </cell>
          <cell r="BG1765">
            <v>17.429620749261797</v>
          </cell>
          <cell r="BH1765">
            <v>16.109902701379674</v>
          </cell>
          <cell r="BI1765">
            <v>13.839355674417275</v>
          </cell>
          <cell r="BJ1765">
            <v>18.380449728342072</v>
          </cell>
          <cell r="BU1765">
            <v>11.815043674545459</v>
          </cell>
          <cell r="BV1765">
            <v>11.522967903511651</v>
          </cell>
          <cell r="BW1765">
            <v>10.055977276238897</v>
          </cell>
          <cell r="BX1765">
            <v>8.6149332270911767</v>
          </cell>
          <cell r="BY1765">
            <v>11.497021325386617</v>
          </cell>
        </row>
        <row r="1766">
          <cell r="A1766">
            <v>41908</v>
          </cell>
          <cell r="BF1766">
            <v>19.114188345988321</v>
          </cell>
          <cell r="BG1766">
            <v>17.429620749261797</v>
          </cell>
          <cell r="BH1766">
            <v>16.109902701379674</v>
          </cell>
          <cell r="BI1766">
            <v>13.839355674417275</v>
          </cell>
          <cell r="BJ1766">
            <v>18.380449728342072</v>
          </cell>
          <cell r="BU1766">
            <v>11.704621083171928</v>
          </cell>
          <cell r="BV1766">
            <v>11.522967903511651</v>
          </cell>
          <cell r="BW1766">
            <v>10.055977276238897</v>
          </cell>
          <cell r="BX1766">
            <v>8.6149332270911767</v>
          </cell>
          <cell r="BY1766">
            <v>11.497021325386617</v>
          </cell>
        </row>
        <row r="1767">
          <cell r="A1767">
            <v>41911</v>
          </cell>
          <cell r="BF1767">
            <v>19.518408738984309</v>
          </cell>
          <cell r="BG1767">
            <v>17.429620749261797</v>
          </cell>
          <cell r="BH1767">
            <v>16.109902701379674</v>
          </cell>
          <cell r="BI1767">
            <v>13.839355674417275</v>
          </cell>
          <cell r="BJ1767">
            <v>18.380449728342072</v>
          </cell>
          <cell r="BU1767">
            <v>11.94802638907202</v>
          </cell>
          <cell r="BV1767">
            <v>11.522967903511651</v>
          </cell>
          <cell r="BW1767">
            <v>10.055977276238897</v>
          </cell>
          <cell r="BX1767">
            <v>8.6149332270911767</v>
          </cell>
          <cell r="BY1767">
            <v>11.497021325386617</v>
          </cell>
        </row>
        <row r="1768">
          <cell r="A1768">
            <v>41912</v>
          </cell>
          <cell r="BF1768">
            <v>19.666086233741861</v>
          </cell>
          <cell r="BG1768">
            <v>17.429620749261797</v>
          </cell>
          <cell r="BH1768">
            <v>16.109902701379674</v>
          </cell>
          <cell r="BI1768">
            <v>13.839355674417275</v>
          </cell>
          <cell r="BJ1768">
            <v>18.380449728342072</v>
          </cell>
          <cell r="BU1768">
            <v>12.031142307308484</v>
          </cell>
          <cell r="BV1768">
            <v>11.522967903511651</v>
          </cell>
          <cell r="BW1768">
            <v>10.055977276238897</v>
          </cell>
          <cell r="BX1768">
            <v>8.6149332270911767</v>
          </cell>
          <cell r="BY1768">
            <v>11.497021325386617</v>
          </cell>
        </row>
        <row r="1769">
          <cell r="A1769">
            <v>41913</v>
          </cell>
          <cell r="BF1769">
            <v>19.556387364088209</v>
          </cell>
          <cell r="BG1769">
            <v>17.429620749261797</v>
          </cell>
          <cell r="BH1769">
            <v>16.109902701379674</v>
          </cell>
          <cell r="BI1769">
            <v>13.839355674417275</v>
          </cell>
          <cell r="BJ1769">
            <v>18.380449728342072</v>
          </cell>
          <cell r="BU1769">
            <v>11.969401537018912</v>
          </cell>
          <cell r="BV1769">
            <v>11.522967903511651</v>
          </cell>
          <cell r="BW1769">
            <v>10.055977276238897</v>
          </cell>
          <cell r="BX1769">
            <v>8.6149332270911767</v>
          </cell>
          <cell r="BY1769">
            <v>11.497021325386617</v>
          </cell>
        </row>
        <row r="1770">
          <cell r="A1770">
            <v>41914</v>
          </cell>
          <cell r="BF1770">
            <v>19.626928237785538</v>
          </cell>
          <cell r="BG1770">
            <v>17.429620749261797</v>
          </cell>
          <cell r="BH1770">
            <v>16.109902701379674</v>
          </cell>
          <cell r="BI1770">
            <v>13.839355674417275</v>
          </cell>
          <cell r="BJ1770">
            <v>18.380449728342072</v>
          </cell>
          <cell r="BU1770">
            <v>11.979663824350753</v>
          </cell>
          <cell r="BV1770">
            <v>11.522967903511651</v>
          </cell>
          <cell r="BW1770">
            <v>10.055977276238897</v>
          </cell>
          <cell r="BX1770">
            <v>8.6149332270911767</v>
          </cell>
          <cell r="BY1770">
            <v>11.497021325386617</v>
          </cell>
        </row>
        <row r="1771">
          <cell r="A1771">
            <v>41915</v>
          </cell>
          <cell r="BF1771">
            <v>19.394570269428716</v>
          </cell>
          <cell r="BG1771">
            <v>17.429620749261797</v>
          </cell>
          <cell r="BH1771">
            <v>16.109902701379674</v>
          </cell>
          <cell r="BI1771">
            <v>13.839355674417275</v>
          </cell>
          <cell r="BJ1771">
            <v>18.380449728342072</v>
          </cell>
          <cell r="BU1771">
            <v>11.831554291933381</v>
          </cell>
          <cell r="BV1771">
            <v>11.522967903511651</v>
          </cell>
          <cell r="BW1771">
            <v>10.055977276238897</v>
          </cell>
          <cell r="BX1771">
            <v>8.6149332270911767</v>
          </cell>
          <cell r="BY1771">
            <v>11.497021325386617</v>
          </cell>
        </row>
        <row r="1772">
          <cell r="A1772">
            <v>41918</v>
          </cell>
          <cell r="BF1772">
            <v>19.831479871009954</v>
          </cell>
          <cell r="BG1772">
            <v>17.429620749261797</v>
          </cell>
          <cell r="BH1772">
            <v>16.109902701379674</v>
          </cell>
          <cell r="BI1772">
            <v>13.839355674417275</v>
          </cell>
          <cell r="BJ1772">
            <v>18.380449728342072</v>
          </cell>
          <cell r="BU1772">
            <v>12.038741895898974</v>
          </cell>
          <cell r="BV1772">
            <v>11.522967903511651</v>
          </cell>
          <cell r="BW1772">
            <v>10.055977276238897</v>
          </cell>
          <cell r="BX1772">
            <v>8.6149332270911767</v>
          </cell>
          <cell r="BY1772">
            <v>11.497021325386617</v>
          </cell>
        </row>
        <row r="1773">
          <cell r="A1773">
            <v>41919</v>
          </cell>
          <cell r="BF1773">
            <v>19.868927494020465</v>
          </cell>
          <cell r="BG1773">
            <v>17.429620749261797</v>
          </cell>
          <cell r="BH1773">
            <v>16.109902701379674</v>
          </cell>
          <cell r="BI1773">
            <v>13.839355674417275</v>
          </cell>
          <cell r="BJ1773">
            <v>18.380449728342072</v>
          </cell>
          <cell r="BU1773">
            <v>12.059692543715981</v>
          </cell>
          <cell r="BV1773">
            <v>11.522967903511651</v>
          </cell>
          <cell r="BW1773">
            <v>10.055977276238897</v>
          </cell>
          <cell r="BX1773">
            <v>8.6149332270911767</v>
          </cell>
          <cell r="BY1773">
            <v>11.497021325386617</v>
          </cell>
        </row>
        <row r="1774">
          <cell r="A1774">
            <v>41920</v>
          </cell>
          <cell r="BF1774">
            <v>19.877251638408271</v>
          </cell>
          <cell r="BG1774">
            <v>17.429620749261797</v>
          </cell>
          <cell r="BH1774">
            <v>16.109902701379674</v>
          </cell>
          <cell r="BI1774">
            <v>13.839355674417275</v>
          </cell>
          <cell r="BJ1774">
            <v>18.380449728342072</v>
          </cell>
          <cell r="BU1774">
            <v>12.064349614136656</v>
          </cell>
          <cell r="BV1774">
            <v>11.522967903511651</v>
          </cell>
          <cell r="BW1774">
            <v>10.055977276238897</v>
          </cell>
          <cell r="BX1774">
            <v>8.6149332270911767</v>
          </cell>
          <cell r="BY1774">
            <v>11.497021325386617</v>
          </cell>
        </row>
        <row r="1775">
          <cell r="A1775">
            <v>41921</v>
          </cell>
          <cell r="BF1775">
            <v>19.877251638408271</v>
          </cell>
          <cell r="BG1775">
            <v>17.429620749261797</v>
          </cell>
          <cell r="BH1775">
            <v>16.109902701379674</v>
          </cell>
          <cell r="BI1775">
            <v>13.839355674417275</v>
          </cell>
          <cell r="BJ1775">
            <v>18.380449728342072</v>
          </cell>
          <cell r="BU1775">
            <v>12.064349614136656</v>
          </cell>
          <cell r="BV1775">
            <v>11.522967903511651</v>
          </cell>
          <cell r="BW1775">
            <v>10.055977276238897</v>
          </cell>
          <cell r="BX1775">
            <v>8.6149332270911767</v>
          </cell>
          <cell r="BY1775">
            <v>11.497021325386617</v>
          </cell>
        </row>
        <row r="1776">
          <cell r="A1776">
            <v>41922</v>
          </cell>
          <cell r="BF1776">
            <v>20.048057506061532</v>
          </cell>
          <cell r="BG1776">
            <v>17.429620749261797</v>
          </cell>
          <cell r="BH1776">
            <v>16.109902701379674</v>
          </cell>
          <cell r="BI1776">
            <v>13.839355674417275</v>
          </cell>
          <cell r="BJ1776">
            <v>18.380449728342072</v>
          </cell>
          <cell r="BU1776">
            <v>11.946653331872428</v>
          </cell>
          <cell r="BV1776">
            <v>11.522967903511651</v>
          </cell>
          <cell r="BW1776">
            <v>10.055977276238897</v>
          </cell>
          <cell r="BX1776">
            <v>8.6149332270911767</v>
          </cell>
          <cell r="BY1776">
            <v>11.497021325386617</v>
          </cell>
        </row>
        <row r="1777">
          <cell r="A1777">
            <v>41925</v>
          </cell>
          <cell r="BF1777">
            <v>19.818348498749902</v>
          </cell>
          <cell r="BG1777">
            <v>17.429620749261797</v>
          </cell>
          <cell r="BH1777">
            <v>16.109902701379674</v>
          </cell>
          <cell r="BI1777">
            <v>13.839355674417275</v>
          </cell>
          <cell r="BJ1777">
            <v>18.380449728342072</v>
          </cell>
          <cell r="BU1777">
            <v>11.841854317175242</v>
          </cell>
          <cell r="BV1777">
            <v>11.522967903511651</v>
          </cell>
          <cell r="BW1777">
            <v>10.055977276238897</v>
          </cell>
          <cell r="BX1777">
            <v>8.6149332270911767</v>
          </cell>
          <cell r="BY1777">
            <v>11.497021325386617</v>
          </cell>
        </row>
        <row r="1778">
          <cell r="A1778">
            <v>41926</v>
          </cell>
          <cell r="BF1778">
            <v>19.920196064944204</v>
          </cell>
          <cell r="BG1778">
            <v>17.429620749261797</v>
          </cell>
          <cell r="BH1778">
            <v>16.109902701379674</v>
          </cell>
          <cell r="BI1778">
            <v>13.839355674417275</v>
          </cell>
          <cell r="BJ1778">
            <v>18.380449728342072</v>
          </cell>
          <cell r="BU1778">
            <v>11.942205728358871</v>
          </cell>
          <cell r="BV1778">
            <v>11.522967903511651</v>
          </cell>
          <cell r="BW1778">
            <v>10.055977276238897</v>
          </cell>
          <cell r="BX1778">
            <v>8.6149332270911767</v>
          </cell>
          <cell r="BY1778">
            <v>11.497021325386617</v>
          </cell>
        </row>
        <row r="1779">
          <cell r="A1779">
            <v>41927</v>
          </cell>
          <cell r="BF1779">
            <v>20.056410429281033</v>
          </cell>
          <cell r="BG1779">
            <v>17.429620749261797</v>
          </cell>
          <cell r="BH1779">
            <v>16.109902701379674</v>
          </cell>
          <cell r="BI1779">
            <v>13.839355674417275</v>
          </cell>
          <cell r="BJ1779">
            <v>18.380449728342072</v>
          </cell>
          <cell r="BU1779">
            <v>12.018041043708651</v>
          </cell>
          <cell r="BV1779">
            <v>11.522967903511651</v>
          </cell>
          <cell r="BW1779">
            <v>10.055977276238897</v>
          </cell>
          <cell r="BX1779">
            <v>8.6149332270911767</v>
          </cell>
          <cell r="BY1779">
            <v>11.497021325386617</v>
          </cell>
        </row>
        <row r="1780">
          <cell r="A1780">
            <v>41928</v>
          </cell>
          <cell r="BF1780">
            <v>20.217389653276648</v>
          </cell>
          <cell r="BG1780">
            <v>17.429620749261797</v>
          </cell>
          <cell r="BH1780">
            <v>16.109902701379674</v>
          </cell>
          <cell r="BI1780">
            <v>13.839355674417275</v>
          </cell>
          <cell r="BJ1780">
            <v>18.380449728342072</v>
          </cell>
          <cell r="BU1780">
            <v>12.107663825240582</v>
          </cell>
          <cell r="BV1780">
            <v>11.522967903511651</v>
          </cell>
          <cell r="BW1780">
            <v>10.055977276238897</v>
          </cell>
          <cell r="BX1780">
            <v>8.6149332270911767</v>
          </cell>
          <cell r="BY1780">
            <v>11.497021325386617</v>
          </cell>
        </row>
        <row r="1781">
          <cell r="A1781">
            <v>41929</v>
          </cell>
          <cell r="BF1781">
            <v>20.118329389104925</v>
          </cell>
          <cell r="BG1781">
            <v>17.429620749261797</v>
          </cell>
          <cell r="BH1781">
            <v>16.109902701379674</v>
          </cell>
          <cell r="BI1781">
            <v>13.839355674417275</v>
          </cell>
          <cell r="BJ1781">
            <v>18.380449728342072</v>
          </cell>
          <cell r="BU1781">
            <v>12.232455744501689</v>
          </cell>
          <cell r="BV1781">
            <v>11.522967903511651</v>
          </cell>
          <cell r="BW1781">
            <v>10.055977276238897</v>
          </cell>
          <cell r="BX1781">
            <v>8.6149332270911767</v>
          </cell>
          <cell r="BY1781">
            <v>11.497021325386617</v>
          </cell>
        </row>
        <row r="1782">
          <cell r="A1782">
            <v>41932</v>
          </cell>
          <cell r="BF1782">
            <v>20.048159603744434</v>
          </cell>
          <cell r="BG1782">
            <v>17.429620749261797</v>
          </cell>
          <cell r="BH1782">
            <v>16.109902701379674</v>
          </cell>
          <cell r="BI1782">
            <v>13.839355674417275</v>
          </cell>
          <cell r="BJ1782">
            <v>18.380449728342072</v>
          </cell>
          <cell r="BU1782">
            <v>12.013447519673869</v>
          </cell>
          <cell r="BV1782">
            <v>11.522967903511651</v>
          </cell>
          <cell r="BW1782">
            <v>10.055977276238897</v>
          </cell>
          <cell r="BX1782">
            <v>8.6149332270911767</v>
          </cell>
          <cell r="BY1782">
            <v>11.497021325386617</v>
          </cell>
        </row>
        <row r="1783">
          <cell r="A1783">
            <v>41933</v>
          </cell>
          <cell r="BF1783">
            <v>19.953218354432369</v>
          </cell>
          <cell r="BG1783">
            <v>17.429620749261797</v>
          </cell>
          <cell r="BH1783">
            <v>16.109902701379674</v>
          </cell>
          <cell r="BI1783">
            <v>13.839355674417275</v>
          </cell>
          <cell r="BJ1783">
            <v>18.380449728342072</v>
          </cell>
          <cell r="BU1783">
            <v>11.96059039541729</v>
          </cell>
          <cell r="BV1783">
            <v>11.522967903511651</v>
          </cell>
          <cell r="BW1783">
            <v>10.055977276238897</v>
          </cell>
          <cell r="BX1783">
            <v>8.6149332270911767</v>
          </cell>
          <cell r="BY1783">
            <v>11.497021325386617</v>
          </cell>
        </row>
        <row r="1784">
          <cell r="A1784">
            <v>41934</v>
          </cell>
          <cell r="BF1784">
            <v>19.932578701157741</v>
          </cell>
          <cell r="BG1784">
            <v>17.429620749261797</v>
          </cell>
          <cell r="BH1784">
            <v>16.109902701379674</v>
          </cell>
          <cell r="BI1784">
            <v>13.839355674417275</v>
          </cell>
          <cell r="BJ1784">
            <v>18.380449728342072</v>
          </cell>
          <cell r="BU1784">
            <v>11.949099576351239</v>
          </cell>
          <cell r="BV1784">
            <v>11.522967903511651</v>
          </cell>
          <cell r="BW1784">
            <v>10.055977276238897</v>
          </cell>
          <cell r="BX1784">
            <v>8.6149332270911767</v>
          </cell>
          <cell r="BY1784">
            <v>11.497021325386617</v>
          </cell>
        </row>
        <row r="1785">
          <cell r="A1785">
            <v>41935</v>
          </cell>
          <cell r="BF1785">
            <v>19.878922949919431</v>
          </cell>
          <cell r="BG1785">
            <v>17.429620749261797</v>
          </cell>
          <cell r="BH1785">
            <v>16.109902701379674</v>
          </cell>
          <cell r="BI1785">
            <v>13.839355674417275</v>
          </cell>
          <cell r="BJ1785">
            <v>18.380449728342072</v>
          </cell>
          <cell r="BU1785">
            <v>11.919227537265664</v>
          </cell>
          <cell r="BV1785">
            <v>11.522967903511651</v>
          </cell>
          <cell r="BW1785">
            <v>10.055977276238897</v>
          </cell>
          <cell r="BX1785">
            <v>8.6149332270911767</v>
          </cell>
          <cell r="BY1785">
            <v>11.497021325386617</v>
          </cell>
        </row>
        <row r="1786">
          <cell r="A1786">
            <v>41936</v>
          </cell>
          <cell r="BF1786">
            <v>19.581723170062496</v>
          </cell>
          <cell r="BG1786">
            <v>17.429620749261797</v>
          </cell>
          <cell r="BH1786">
            <v>16.109902701379674</v>
          </cell>
          <cell r="BI1786">
            <v>13.839355674417275</v>
          </cell>
          <cell r="BJ1786">
            <v>18.380449728342072</v>
          </cell>
          <cell r="BU1786">
            <v>11.919227537265664</v>
          </cell>
          <cell r="BV1786">
            <v>11.522967903511651</v>
          </cell>
          <cell r="BW1786">
            <v>10.055977276238897</v>
          </cell>
          <cell r="BX1786">
            <v>8.6149332270911767</v>
          </cell>
          <cell r="BY1786">
            <v>11.497021325386617</v>
          </cell>
        </row>
        <row r="1787">
          <cell r="A1787">
            <v>41939</v>
          </cell>
          <cell r="BF1787">
            <v>19.457897633463695</v>
          </cell>
          <cell r="BG1787">
            <v>17.429620749261797</v>
          </cell>
          <cell r="BH1787">
            <v>16.109902701379674</v>
          </cell>
          <cell r="BI1787">
            <v>13.839355674417275</v>
          </cell>
          <cell r="BJ1787">
            <v>18.380449728342072</v>
          </cell>
          <cell r="BU1787">
            <v>11.684827973026541</v>
          </cell>
          <cell r="BV1787">
            <v>11.522967903511651</v>
          </cell>
          <cell r="BW1787">
            <v>10.055977276238897</v>
          </cell>
          <cell r="BX1787">
            <v>8.6149332270911767</v>
          </cell>
          <cell r="BY1787">
            <v>11.497021325386617</v>
          </cell>
        </row>
        <row r="1788">
          <cell r="A1788">
            <v>41940</v>
          </cell>
          <cell r="BF1788">
            <v>19.449640616402604</v>
          </cell>
          <cell r="BG1788">
            <v>17.429620749261797</v>
          </cell>
          <cell r="BH1788">
            <v>16.109902701379674</v>
          </cell>
          <cell r="BI1788">
            <v>13.839355674417275</v>
          </cell>
          <cell r="BJ1788">
            <v>18.380449728342072</v>
          </cell>
          <cell r="BU1788">
            <v>11.68023100195286</v>
          </cell>
          <cell r="BV1788">
            <v>11.522967903511651</v>
          </cell>
          <cell r="BW1788">
            <v>10.055977276238897</v>
          </cell>
          <cell r="BX1788">
            <v>8.6149332270911767</v>
          </cell>
          <cell r="BY1788">
            <v>11.497021325386617</v>
          </cell>
        </row>
        <row r="1789">
          <cell r="A1789">
            <v>41941</v>
          </cell>
          <cell r="BF1789">
            <v>19.80875316455894</v>
          </cell>
          <cell r="BG1789">
            <v>17.429620749261797</v>
          </cell>
          <cell r="BH1789">
            <v>16.109902701379674</v>
          </cell>
          <cell r="BI1789">
            <v>13.839355674417275</v>
          </cell>
          <cell r="BJ1789">
            <v>18.380449728342072</v>
          </cell>
          <cell r="BU1789">
            <v>11.880161556032727</v>
          </cell>
          <cell r="BV1789">
            <v>11.522967903511651</v>
          </cell>
          <cell r="BW1789">
            <v>10.055977276238897</v>
          </cell>
          <cell r="BX1789">
            <v>8.6149332270911767</v>
          </cell>
          <cell r="BY1789">
            <v>11.497021325386617</v>
          </cell>
        </row>
        <row r="1790">
          <cell r="A1790">
            <v>41942</v>
          </cell>
          <cell r="BF1790">
            <v>20.126580214641528</v>
          </cell>
          <cell r="BG1790">
            <v>17.429620749261797</v>
          </cell>
          <cell r="BH1790">
            <v>16.109902701379674</v>
          </cell>
          <cell r="BI1790">
            <v>13.839355674417275</v>
          </cell>
          <cell r="BJ1790">
            <v>18.380449728342072</v>
          </cell>
          <cell r="BU1790">
            <v>12.057107024941592</v>
          </cell>
          <cell r="BV1790">
            <v>11.522967903511651</v>
          </cell>
          <cell r="BW1790">
            <v>10.055977276238897</v>
          </cell>
          <cell r="BX1790">
            <v>8.6149332270911767</v>
          </cell>
          <cell r="BY1790">
            <v>11.497021325386617</v>
          </cell>
        </row>
        <row r="1791">
          <cell r="A1791">
            <v>41943</v>
          </cell>
          <cell r="BF1791">
            <v>20.238029306551276</v>
          </cell>
          <cell r="BG1791">
            <v>17.429620749261797</v>
          </cell>
          <cell r="BH1791">
            <v>16.109902701379674</v>
          </cell>
          <cell r="BI1791">
            <v>13.839355674417275</v>
          </cell>
          <cell r="BJ1791">
            <v>18.380449728342072</v>
          </cell>
          <cell r="BU1791">
            <v>12.119154644306631</v>
          </cell>
          <cell r="BV1791">
            <v>11.522967903511651</v>
          </cell>
          <cell r="BW1791">
            <v>10.055977276238897</v>
          </cell>
          <cell r="BX1791">
            <v>8.6149332270911767</v>
          </cell>
          <cell r="BY1791">
            <v>11.497021325386617</v>
          </cell>
        </row>
        <row r="1792">
          <cell r="A1792">
            <v>41946</v>
          </cell>
          <cell r="BF1792">
            <v>20.269740812029866</v>
          </cell>
          <cell r="BG1792">
            <v>17.429620749261797</v>
          </cell>
          <cell r="BH1792">
            <v>16.109902701379674</v>
          </cell>
          <cell r="BI1792">
            <v>13.839355674417275</v>
          </cell>
          <cell r="BJ1792">
            <v>18.380449728342072</v>
          </cell>
          <cell r="BU1792">
            <v>12.137539311365053</v>
          </cell>
          <cell r="BV1792">
            <v>11.522967903511651</v>
          </cell>
          <cell r="BW1792">
            <v>10.055977276238897</v>
          </cell>
          <cell r="BX1792">
            <v>8.6149332270911767</v>
          </cell>
          <cell r="BY1792">
            <v>11.497021325386617</v>
          </cell>
        </row>
        <row r="1793">
          <cell r="A1793">
            <v>41947</v>
          </cell>
          <cell r="BF1793">
            <v>20.145917091219285</v>
          </cell>
          <cell r="BG1793">
            <v>17.429620749261797</v>
          </cell>
          <cell r="BH1793">
            <v>16.109902701379674</v>
          </cell>
          <cell r="BI1793">
            <v>13.839355674417275</v>
          </cell>
          <cell r="BJ1793">
            <v>18.380449728342072</v>
          </cell>
          <cell r="BU1793">
            <v>12.068597844007643</v>
          </cell>
          <cell r="BV1793">
            <v>11.522967903511651</v>
          </cell>
          <cell r="BW1793">
            <v>10.055977276238897</v>
          </cell>
          <cell r="BX1793">
            <v>8.6149332270911767</v>
          </cell>
          <cell r="BY1793">
            <v>11.497021325386617</v>
          </cell>
        </row>
        <row r="1794">
          <cell r="A1794">
            <v>41948</v>
          </cell>
          <cell r="BF1794">
            <v>20.137660608080466</v>
          </cell>
          <cell r="BG1794">
            <v>17.429620749261797</v>
          </cell>
          <cell r="BH1794">
            <v>16.109902701379674</v>
          </cell>
          <cell r="BI1794">
            <v>13.839355674417275</v>
          </cell>
          <cell r="BJ1794">
            <v>18.380449728342072</v>
          </cell>
          <cell r="BU1794">
            <v>12.06400087293396</v>
          </cell>
          <cell r="BV1794">
            <v>11.522967903511651</v>
          </cell>
          <cell r="BW1794">
            <v>10.055977276238897</v>
          </cell>
          <cell r="BX1794">
            <v>8.6149332270911767</v>
          </cell>
          <cell r="BY1794">
            <v>11.497021325386617</v>
          </cell>
        </row>
        <row r="1795">
          <cell r="A1795">
            <v>41949</v>
          </cell>
          <cell r="BF1795">
            <v>20.137660608080466</v>
          </cell>
          <cell r="BG1795">
            <v>17.429620749261797</v>
          </cell>
          <cell r="BH1795">
            <v>16.109902701379674</v>
          </cell>
          <cell r="BI1795">
            <v>13.839355674417275</v>
          </cell>
          <cell r="BJ1795">
            <v>18.380449728342072</v>
          </cell>
          <cell r="BU1795">
            <v>12.06400087293396</v>
          </cell>
          <cell r="BV1795">
            <v>11.522967903511651</v>
          </cell>
          <cell r="BW1795">
            <v>10.055977276238897</v>
          </cell>
          <cell r="BX1795">
            <v>8.6149332270911767</v>
          </cell>
          <cell r="BY1795">
            <v>11.497021325386617</v>
          </cell>
        </row>
        <row r="1796">
          <cell r="A1796">
            <v>41950</v>
          </cell>
          <cell r="BF1796">
            <v>20.125278772563501</v>
          </cell>
          <cell r="BG1796">
            <v>17.429620749261797</v>
          </cell>
          <cell r="BH1796">
            <v>16.109902701379674</v>
          </cell>
          <cell r="BI1796">
            <v>13.839355674417275</v>
          </cell>
          <cell r="BJ1796">
            <v>18.380449728342072</v>
          </cell>
          <cell r="BU1796">
            <v>12.057107024941592</v>
          </cell>
          <cell r="BV1796">
            <v>11.522967903511651</v>
          </cell>
          <cell r="BW1796">
            <v>10.055977276238897</v>
          </cell>
          <cell r="BX1796">
            <v>8.6149332270911767</v>
          </cell>
          <cell r="BY1796">
            <v>11.497021325386617</v>
          </cell>
        </row>
        <row r="1797">
          <cell r="A1797">
            <v>41953</v>
          </cell>
          <cell r="BF1797">
            <v>20.0992128978937</v>
          </cell>
          <cell r="BG1797">
            <v>17.429620749261797</v>
          </cell>
          <cell r="BH1797">
            <v>16.109902701379674</v>
          </cell>
          <cell r="BI1797">
            <v>13.839355674417275</v>
          </cell>
          <cell r="BJ1797">
            <v>18.380449728342072</v>
          </cell>
          <cell r="BU1797">
            <v>12.024640116271289</v>
          </cell>
          <cell r="BV1797">
            <v>11.522967903511651</v>
          </cell>
          <cell r="BW1797">
            <v>10.055977276238897</v>
          </cell>
          <cell r="BX1797">
            <v>8.6149332270911767</v>
          </cell>
          <cell r="BY1797">
            <v>11.497021325386617</v>
          </cell>
        </row>
        <row r="1798">
          <cell r="A1798">
            <v>41954</v>
          </cell>
          <cell r="BF1798">
            <v>20.078548160398867</v>
          </cell>
          <cell r="BG1798">
            <v>17.429620749261797</v>
          </cell>
          <cell r="BH1798">
            <v>16.109902701379674</v>
          </cell>
          <cell r="BI1798">
            <v>13.839355674417275</v>
          </cell>
          <cell r="BJ1798">
            <v>18.380449728342072</v>
          </cell>
          <cell r="BU1798">
            <v>12.013153025841921</v>
          </cell>
          <cell r="BV1798">
            <v>11.522967903511651</v>
          </cell>
          <cell r="BW1798">
            <v>10.055977276238897</v>
          </cell>
          <cell r="BX1798">
            <v>8.6149332270911767</v>
          </cell>
          <cell r="BY1798">
            <v>11.497021325386617</v>
          </cell>
        </row>
        <row r="1799">
          <cell r="A1799">
            <v>41955</v>
          </cell>
          <cell r="BF1799">
            <v>19.884252583714265</v>
          </cell>
          <cell r="BG1799">
            <v>17.429620749261797</v>
          </cell>
          <cell r="BH1799">
            <v>16.109902701379674</v>
          </cell>
          <cell r="BI1799">
            <v>13.839355674417275</v>
          </cell>
          <cell r="BJ1799">
            <v>18.380449728342072</v>
          </cell>
          <cell r="BU1799">
            <v>12.013153025841921</v>
          </cell>
          <cell r="BV1799">
            <v>11.522967903511651</v>
          </cell>
          <cell r="BW1799">
            <v>10.055977276238897</v>
          </cell>
          <cell r="BX1799">
            <v>8.6149332270911767</v>
          </cell>
          <cell r="BY1799">
            <v>11.497021325386617</v>
          </cell>
        </row>
        <row r="1800">
          <cell r="A1800">
            <v>41956</v>
          </cell>
          <cell r="BF1800">
            <v>19.746135751584617</v>
          </cell>
          <cell r="BG1800">
            <v>17.429620749261797</v>
          </cell>
          <cell r="BH1800">
            <v>16.109902701379674</v>
          </cell>
          <cell r="BI1800">
            <v>13.839355674417275</v>
          </cell>
          <cell r="BJ1800">
            <v>18.380449728342072</v>
          </cell>
          <cell r="BU1800">
            <v>11.852085375131272</v>
          </cell>
          <cell r="BV1800">
            <v>11.522967903511651</v>
          </cell>
          <cell r="BW1800">
            <v>10.055977276238897</v>
          </cell>
          <cell r="BX1800">
            <v>8.6149332270911767</v>
          </cell>
          <cell r="BY1800">
            <v>11.497021325386617</v>
          </cell>
        </row>
        <row r="1801">
          <cell r="A1801">
            <v>41957</v>
          </cell>
          <cell r="BF1801">
            <v>19.930869650891658</v>
          </cell>
          <cell r="BG1801">
            <v>17.429620749261797</v>
          </cell>
          <cell r="BH1801">
            <v>16.109902701379674</v>
          </cell>
          <cell r="BI1801">
            <v>13.839355674417275</v>
          </cell>
          <cell r="BJ1801">
            <v>18.380449728342072</v>
          </cell>
          <cell r="BU1801">
            <v>11.955032414542906</v>
          </cell>
          <cell r="BV1801">
            <v>11.522967903511651</v>
          </cell>
          <cell r="BW1801">
            <v>10.055977276238897</v>
          </cell>
          <cell r="BX1801">
            <v>8.6149332270911767</v>
          </cell>
          <cell r="BY1801">
            <v>11.497021325386617</v>
          </cell>
        </row>
        <row r="1802">
          <cell r="A1802">
            <v>41960</v>
          </cell>
          <cell r="BF1802">
            <v>19.852869141843737</v>
          </cell>
          <cell r="BG1802">
            <v>17.429620749261797</v>
          </cell>
          <cell r="BH1802">
            <v>16.109902701379674</v>
          </cell>
          <cell r="BI1802">
            <v>13.839355674417275</v>
          </cell>
          <cell r="BJ1802">
            <v>18.380449728342072</v>
          </cell>
          <cell r="BU1802">
            <v>11.91156491069437</v>
          </cell>
          <cell r="BV1802">
            <v>11.522967903511651</v>
          </cell>
          <cell r="BW1802">
            <v>10.055977276238897</v>
          </cell>
          <cell r="BX1802">
            <v>8.6149332270911767</v>
          </cell>
          <cell r="BY1802">
            <v>11.497021325386617</v>
          </cell>
        </row>
        <row r="1803">
          <cell r="A1803">
            <v>41961</v>
          </cell>
          <cell r="BF1803">
            <v>19.639395792965285</v>
          </cell>
          <cell r="BG1803">
            <v>17.429620749261797</v>
          </cell>
          <cell r="BH1803">
            <v>16.109902701379674</v>
          </cell>
          <cell r="BI1803">
            <v>13.839355674417275</v>
          </cell>
          <cell r="BJ1803">
            <v>18.380449728342072</v>
          </cell>
          <cell r="BU1803">
            <v>11.792602179204593</v>
          </cell>
          <cell r="BV1803">
            <v>11.522967903511651</v>
          </cell>
          <cell r="BW1803">
            <v>10.055977276238897</v>
          </cell>
          <cell r="BX1803">
            <v>8.6149332270911767</v>
          </cell>
          <cell r="BY1803">
            <v>11.497021325386617</v>
          </cell>
        </row>
        <row r="1804">
          <cell r="A1804">
            <v>41962</v>
          </cell>
          <cell r="BF1804">
            <v>20.26464252743871</v>
          </cell>
          <cell r="BG1804">
            <v>17.429620749261797</v>
          </cell>
          <cell r="BH1804">
            <v>16.109902701379674</v>
          </cell>
          <cell r="BI1804">
            <v>13.839355674417275</v>
          </cell>
          <cell r="BJ1804">
            <v>18.380449728342072</v>
          </cell>
          <cell r="BU1804">
            <v>12.147200587480974</v>
          </cell>
          <cell r="BV1804">
            <v>11.522967903511651</v>
          </cell>
          <cell r="BW1804">
            <v>10.055977276238897</v>
          </cell>
          <cell r="BX1804">
            <v>8.6149332270911767</v>
          </cell>
          <cell r="BY1804">
            <v>11.497021325386617</v>
          </cell>
        </row>
        <row r="1805">
          <cell r="A1805">
            <v>41963</v>
          </cell>
          <cell r="BF1805">
            <v>20.600160419470246</v>
          </cell>
          <cell r="BG1805">
            <v>17.429620749261797</v>
          </cell>
          <cell r="BH1805">
            <v>16.109902701379674</v>
          </cell>
          <cell r="BI1805">
            <v>13.839355674417275</v>
          </cell>
          <cell r="BJ1805">
            <v>18.380449728342072</v>
          </cell>
          <cell r="BU1805">
            <v>12.334795822442128</v>
          </cell>
          <cell r="BV1805">
            <v>11.522967903511651</v>
          </cell>
          <cell r="BW1805">
            <v>10.055977276238897</v>
          </cell>
          <cell r="BX1805">
            <v>8.6149332270911767</v>
          </cell>
          <cell r="BY1805">
            <v>11.497021325386617</v>
          </cell>
        </row>
        <row r="1806">
          <cell r="A1806">
            <v>41964</v>
          </cell>
          <cell r="BF1806">
            <v>20.690416270062691</v>
          </cell>
          <cell r="BG1806">
            <v>17.429620749261797</v>
          </cell>
          <cell r="BH1806">
            <v>16.109902701379674</v>
          </cell>
          <cell r="BI1806">
            <v>13.839355674417275</v>
          </cell>
          <cell r="BJ1806">
            <v>18.380449728342072</v>
          </cell>
          <cell r="BU1806">
            <v>12.385122618869676</v>
          </cell>
          <cell r="BV1806">
            <v>11.522967903511651</v>
          </cell>
          <cell r="BW1806">
            <v>10.055977276238897</v>
          </cell>
          <cell r="BX1806">
            <v>8.6149332270911767</v>
          </cell>
          <cell r="BY1806">
            <v>11.497021325386617</v>
          </cell>
        </row>
        <row r="1807">
          <cell r="A1807">
            <v>41967</v>
          </cell>
          <cell r="BF1807">
            <v>20.538614730692224</v>
          </cell>
          <cell r="BG1807">
            <v>17.429620749261797</v>
          </cell>
          <cell r="BH1807">
            <v>16.109902701379674</v>
          </cell>
          <cell r="BI1807">
            <v>13.839355674417275</v>
          </cell>
          <cell r="BJ1807">
            <v>18.380449728342072</v>
          </cell>
          <cell r="BU1807">
            <v>12.300477854911014</v>
          </cell>
          <cell r="BV1807">
            <v>11.522967903511651</v>
          </cell>
          <cell r="BW1807">
            <v>10.055977276238897</v>
          </cell>
          <cell r="BX1807">
            <v>8.6149332270911767</v>
          </cell>
          <cell r="BY1807">
            <v>11.497021325386617</v>
          </cell>
        </row>
        <row r="1808">
          <cell r="A1808">
            <v>41968</v>
          </cell>
          <cell r="BF1808">
            <v>20.595113072029552</v>
          </cell>
          <cell r="BG1808">
            <v>17.429620749261797</v>
          </cell>
          <cell r="BH1808">
            <v>16.109902701379674</v>
          </cell>
          <cell r="BI1808">
            <v>13.839355674417275</v>
          </cell>
          <cell r="BJ1808">
            <v>18.380449728342072</v>
          </cell>
          <cell r="BU1808">
            <v>12.300477854911014</v>
          </cell>
          <cell r="BV1808">
            <v>11.522967903511651</v>
          </cell>
          <cell r="BW1808">
            <v>10.055977276238897</v>
          </cell>
          <cell r="BX1808">
            <v>8.6149332270911767</v>
          </cell>
          <cell r="BY1808">
            <v>11.497021325386617</v>
          </cell>
        </row>
        <row r="1809">
          <cell r="A1809">
            <v>41969</v>
          </cell>
          <cell r="BF1809">
            <v>20.627947876051714</v>
          </cell>
          <cell r="BG1809">
            <v>17.429620749261797</v>
          </cell>
          <cell r="BH1809">
            <v>16.109902701379674</v>
          </cell>
          <cell r="BI1809">
            <v>13.839355674417275</v>
          </cell>
          <cell r="BJ1809">
            <v>18.380449728342072</v>
          </cell>
          <cell r="BU1809">
            <v>12.346231713361643</v>
          </cell>
          <cell r="BV1809">
            <v>11.522967903511651</v>
          </cell>
          <cell r="BW1809">
            <v>10.055977276238897</v>
          </cell>
          <cell r="BX1809">
            <v>8.6149332270911767</v>
          </cell>
          <cell r="BY1809">
            <v>11.497021325386617</v>
          </cell>
        </row>
        <row r="1810">
          <cell r="A1810">
            <v>41970</v>
          </cell>
          <cell r="BF1810">
            <v>20.410423147958134</v>
          </cell>
          <cell r="BG1810">
            <v>17.429620749261797</v>
          </cell>
          <cell r="BH1810">
            <v>16.109902701379674</v>
          </cell>
          <cell r="BI1810">
            <v>13.839355674417275</v>
          </cell>
          <cell r="BJ1810">
            <v>18.380449728342072</v>
          </cell>
          <cell r="BU1810">
            <v>12.224982398497044</v>
          </cell>
          <cell r="BV1810">
            <v>11.522967903511651</v>
          </cell>
          <cell r="BW1810">
            <v>10.055977276238897</v>
          </cell>
          <cell r="BX1810">
            <v>8.6149332270911767</v>
          </cell>
          <cell r="BY1810">
            <v>11.497021325386617</v>
          </cell>
        </row>
        <row r="1811">
          <cell r="A1811">
            <v>41971</v>
          </cell>
          <cell r="BF1811">
            <v>20.644368561461111</v>
          </cell>
          <cell r="BG1811">
            <v>17.429620749261797</v>
          </cell>
          <cell r="BH1811">
            <v>16.109902701379674</v>
          </cell>
          <cell r="BI1811">
            <v>13.839355674417275</v>
          </cell>
          <cell r="BJ1811">
            <v>18.380449728342072</v>
          </cell>
          <cell r="BU1811">
            <v>12.224982398497044</v>
          </cell>
          <cell r="BV1811">
            <v>11.522967903511651</v>
          </cell>
          <cell r="BW1811">
            <v>10.055977276238897</v>
          </cell>
          <cell r="BX1811">
            <v>8.6149332270911767</v>
          </cell>
          <cell r="BY1811">
            <v>11.497021325386617</v>
          </cell>
        </row>
        <row r="1812">
          <cell r="A1812">
            <v>41974</v>
          </cell>
          <cell r="BF1812">
            <v>20.644368561461111</v>
          </cell>
          <cell r="BG1812">
            <v>17.429620749261797</v>
          </cell>
          <cell r="BH1812">
            <v>16.109902701379674</v>
          </cell>
          <cell r="BI1812">
            <v>13.839355674417275</v>
          </cell>
          <cell r="BJ1812">
            <v>18.380449728342072</v>
          </cell>
          <cell r="BU1812">
            <v>12.355384681269918</v>
          </cell>
          <cell r="BV1812">
            <v>11.522967903511651</v>
          </cell>
          <cell r="BW1812">
            <v>10.055977276238897</v>
          </cell>
          <cell r="BX1812">
            <v>8.6149332270911767</v>
          </cell>
          <cell r="BY1812">
            <v>11.497021325386617</v>
          </cell>
        </row>
        <row r="1813">
          <cell r="A1813">
            <v>41975</v>
          </cell>
          <cell r="BF1813">
            <v>20.660782680073876</v>
          </cell>
          <cell r="BG1813">
            <v>17.429620749261797</v>
          </cell>
          <cell r="BH1813">
            <v>16.109902701379674</v>
          </cell>
          <cell r="BI1813">
            <v>13.839355674417275</v>
          </cell>
          <cell r="BJ1813">
            <v>18.380449728342072</v>
          </cell>
          <cell r="BU1813">
            <v>12.355384681269918</v>
          </cell>
          <cell r="BV1813">
            <v>11.522967903511651</v>
          </cell>
          <cell r="BW1813">
            <v>10.055977276238897</v>
          </cell>
          <cell r="BX1813">
            <v>8.6149332270911767</v>
          </cell>
          <cell r="BY1813">
            <v>11.497021325386617</v>
          </cell>
        </row>
        <row r="1814">
          <cell r="A1814">
            <v>41976</v>
          </cell>
          <cell r="BF1814">
            <v>20.590461982339892</v>
          </cell>
          <cell r="BG1814">
            <v>17.429620749261797</v>
          </cell>
          <cell r="BH1814">
            <v>16.109902701379674</v>
          </cell>
          <cell r="BI1814">
            <v>13.839355674417275</v>
          </cell>
          <cell r="BJ1814">
            <v>18.380449728342072</v>
          </cell>
          <cell r="BU1814">
            <v>12.325643083306577</v>
          </cell>
          <cell r="BV1814">
            <v>11.522967903511651</v>
          </cell>
          <cell r="BW1814">
            <v>10.055977276238897</v>
          </cell>
          <cell r="BX1814">
            <v>8.6149332270911767</v>
          </cell>
          <cell r="BY1814">
            <v>11.497021325386617</v>
          </cell>
        </row>
        <row r="1815">
          <cell r="A1815">
            <v>41977</v>
          </cell>
          <cell r="BF1815">
            <v>21.115790877731563</v>
          </cell>
          <cell r="BG1815">
            <v>17.429620749261797</v>
          </cell>
          <cell r="BH1815">
            <v>16.109902701379674</v>
          </cell>
          <cell r="BI1815">
            <v>13.839355674417275</v>
          </cell>
          <cell r="BJ1815">
            <v>18.380449728342072</v>
          </cell>
          <cell r="BU1815">
            <v>12.618471712281458</v>
          </cell>
          <cell r="BV1815">
            <v>11.522967903511651</v>
          </cell>
          <cell r="BW1815">
            <v>10.055977276238897</v>
          </cell>
          <cell r="BX1815">
            <v>8.6149332270911767</v>
          </cell>
          <cell r="BY1815">
            <v>11.497021325386617</v>
          </cell>
        </row>
        <row r="1816">
          <cell r="A1816">
            <v>41978</v>
          </cell>
          <cell r="BF1816">
            <v>21.009085741607549</v>
          </cell>
          <cell r="BG1816">
            <v>17.429620749261797</v>
          </cell>
          <cell r="BH1816">
            <v>16.109902701379674</v>
          </cell>
          <cell r="BI1816">
            <v>13.839355674417275</v>
          </cell>
          <cell r="BJ1816">
            <v>18.380449728342072</v>
          </cell>
          <cell r="BU1816">
            <v>12.558992176718359</v>
          </cell>
          <cell r="BV1816">
            <v>11.522967903511651</v>
          </cell>
          <cell r="BW1816">
            <v>10.055977276238897</v>
          </cell>
          <cell r="BX1816">
            <v>8.6149332270911767</v>
          </cell>
          <cell r="BY1816">
            <v>11.497021325386617</v>
          </cell>
        </row>
        <row r="1817">
          <cell r="A1817">
            <v>41981</v>
          </cell>
          <cell r="BF1817">
            <v>21.019959520153712</v>
          </cell>
          <cell r="BG1817">
            <v>17.429620749261797</v>
          </cell>
          <cell r="BH1817">
            <v>16.109902701379674</v>
          </cell>
          <cell r="BI1817">
            <v>13.839355674417275</v>
          </cell>
          <cell r="BJ1817">
            <v>18.380449728342072</v>
          </cell>
          <cell r="BU1817">
            <v>12.566254984414533</v>
          </cell>
          <cell r="BV1817">
            <v>11.522967903511651</v>
          </cell>
          <cell r="BW1817">
            <v>10.055977276238897</v>
          </cell>
          <cell r="BX1817">
            <v>8.6149332270911767</v>
          </cell>
          <cell r="BY1817">
            <v>11.497021325386617</v>
          </cell>
        </row>
        <row r="1818">
          <cell r="A1818">
            <v>41982</v>
          </cell>
          <cell r="BF1818">
            <v>20.962483475519136</v>
          </cell>
          <cell r="BG1818">
            <v>17.429620749261797</v>
          </cell>
          <cell r="BH1818">
            <v>16.109902701379674</v>
          </cell>
          <cell r="BI1818">
            <v>13.839355674417275</v>
          </cell>
          <cell r="BJ1818">
            <v>18.380449728342072</v>
          </cell>
          <cell r="BU1818">
            <v>12.534214343204129</v>
          </cell>
          <cell r="BV1818">
            <v>11.522967903511651</v>
          </cell>
          <cell r="BW1818">
            <v>10.055977276238897</v>
          </cell>
          <cell r="BX1818">
            <v>8.6149332270911767</v>
          </cell>
          <cell r="BY1818">
            <v>11.497021325386617</v>
          </cell>
        </row>
        <row r="1819">
          <cell r="A1819">
            <v>41983</v>
          </cell>
          <cell r="BF1819">
            <v>20.777738958362413</v>
          </cell>
          <cell r="BG1819">
            <v>17.429620749261797</v>
          </cell>
          <cell r="BH1819">
            <v>16.109902701379674</v>
          </cell>
          <cell r="BI1819">
            <v>13.839355674417275</v>
          </cell>
          <cell r="BJ1819">
            <v>18.380449728342072</v>
          </cell>
          <cell r="BU1819">
            <v>12.431226518842815</v>
          </cell>
          <cell r="BV1819">
            <v>11.522967903511651</v>
          </cell>
          <cell r="BW1819">
            <v>10.055977276238897</v>
          </cell>
          <cell r="BX1819">
            <v>8.6149332270911767</v>
          </cell>
          <cell r="BY1819">
            <v>11.497021325386617</v>
          </cell>
        </row>
        <row r="1820">
          <cell r="A1820">
            <v>41984</v>
          </cell>
          <cell r="BF1820">
            <v>20.929638965752243</v>
          </cell>
          <cell r="BG1820">
            <v>17.429620749261797</v>
          </cell>
          <cell r="BH1820">
            <v>16.109902701379674</v>
          </cell>
          <cell r="BI1820">
            <v>13.839355674417275</v>
          </cell>
          <cell r="BJ1820">
            <v>18.380449728342072</v>
          </cell>
          <cell r="BU1820">
            <v>12.515904816863832</v>
          </cell>
          <cell r="BV1820">
            <v>11.522967903511651</v>
          </cell>
          <cell r="BW1820">
            <v>10.055977276238897</v>
          </cell>
          <cell r="BX1820">
            <v>8.6149332270911767</v>
          </cell>
          <cell r="BY1820">
            <v>11.497021325386617</v>
          </cell>
        </row>
        <row r="1821">
          <cell r="A1821">
            <v>41985</v>
          </cell>
          <cell r="BF1821">
            <v>20.564253339792593</v>
          </cell>
          <cell r="BG1821">
            <v>17.429620749261797</v>
          </cell>
          <cell r="BH1821">
            <v>16.109902701379674</v>
          </cell>
          <cell r="BI1821">
            <v>13.839355674417275</v>
          </cell>
          <cell r="BJ1821">
            <v>18.380449728342072</v>
          </cell>
          <cell r="BU1821">
            <v>12.515904816863832</v>
          </cell>
          <cell r="BV1821">
            <v>11.522967903511651</v>
          </cell>
          <cell r="BW1821">
            <v>10.055977276238897</v>
          </cell>
          <cell r="BX1821">
            <v>8.6149332270911767</v>
          </cell>
          <cell r="BY1821">
            <v>11.497021325386617</v>
          </cell>
        </row>
        <row r="1822">
          <cell r="A1822">
            <v>41988</v>
          </cell>
          <cell r="BF1822">
            <v>20.368504079414521</v>
          </cell>
          <cell r="BG1822">
            <v>17.429620749261797</v>
          </cell>
          <cell r="BH1822">
            <v>16.109902701379674</v>
          </cell>
          <cell r="BI1822">
            <v>13.839355674417275</v>
          </cell>
          <cell r="BJ1822">
            <v>18.380449728342072</v>
          </cell>
          <cell r="BU1822">
            <v>12.220695368262557</v>
          </cell>
          <cell r="BV1822">
            <v>11.522967903511651</v>
          </cell>
          <cell r="BW1822">
            <v>10.055977276238897</v>
          </cell>
          <cell r="BX1822">
            <v>8.6149332270911767</v>
          </cell>
          <cell r="BY1822">
            <v>11.497021325386617</v>
          </cell>
        </row>
        <row r="1823">
          <cell r="A1823">
            <v>41989</v>
          </cell>
          <cell r="BF1823">
            <v>20.637746940442558</v>
          </cell>
          <cell r="BG1823">
            <v>17.429620749261797</v>
          </cell>
          <cell r="BH1823">
            <v>16.109902701379674</v>
          </cell>
          <cell r="BI1823">
            <v>13.839355674417275</v>
          </cell>
          <cell r="BJ1823">
            <v>18.380449728342072</v>
          </cell>
          <cell r="BU1823">
            <v>12.371070529981266</v>
          </cell>
          <cell r="BV1823">
            <v>11.522967903511651</v>
          </cell>
          <cell r="BW1823">
            <v>10.055977276238897</v>
          </cell>
          <cell r="BX1823">
            <v>8.6149332270911767</v>
          </cell>
          <cell r="BY1823">
            <v>11.497021325386617</v>
          </cell>
        </row>
        <row r="1824">
          <cell r="A1824">
            <v>41990</v>
          </cell>
          <cell r="BF1824">
            <v>20.678543513736006</v>
          </cell>
          <cell r="BG1824">
            <v>17.429620749261797</v>
          </cell>
          <cell r="BH1824">
            <v>16.109902701379674</v>
          </cell>
          <cell r="BI1824">
            <v>13.839355674417275</v>
          </cell>
          <cell r="BJ1824">
            <v>18.380449728342072</v>
          </cell>
          <cell r="BU1824">
            <v>12.393855874347119</v>
          </cell>
          <cell r="BV1824">
            <v>11.522967903511651</v>
          </cell>
          <cell r="BW1824">
            <v>10.055977276238897</v>
          </cell>
          <cell r="BX1824">
            <v>8.6149332270911767</v>
          </cell>
          <cell r="BY1824">
            <v>11.497021325386617</v>
          </cell>
        </row>
        <row r="1825">
          <cell r="A1825">
            <v>41991</v>
          </cell>
          <cell r="BF1825">
            <v>20.955940712539405</v>
          </cell>
          <cell r="BG1825">
            <v>17.429620749261797</v>
          </cell>
          <cell r="BH1825">
            <v>16.109902701379674</v>
          </cell>
          <cell r="BI1825">
            <v>13.839355674417275</v>
          </cell>
          <cell r="BJ1825">
            <v>18.380449728342072</v>
          </cell>
          <cell r="BU1825">
            <v>12.393855874347119</v>
          </cell>
          <cell r="BV1825">
            <v>11.522967903511651</v>
          </cell>
          <cell r="BW1825">
            <v>10.055977276238897</v>
          </cell>
          <cell r="BX1825">
            <v>8.6149332270911767</v>
          </cell>
          <cell r="BY1825">
            <v>11.497021325386617</v>
          </cell>
        </row>
        <row r="1826">
          <cell r="A1826">
            <v>41992</v>
          </cell>
          <cell r="BF1826">
            <v>20.631627821595671</v>
          </cell>
          <cell r="BG1826">
            <v>17.429620749261797</v>
          </cell>
          <cell r="BH1826">
            <v>16.109902701379674</v>
          </cell>
          <cell r="BI1826">
            <v>13.839355674417275</v>
          </cell>
          <cell r="BJ1826">
            <v>18.380449728342072</v>
          </cell>
          <cell r="BU1826">
            <v>12.548785325293769</v>
          </cell>
          <cell r="BV1826">
            <v>11.522967903511651</v>
          </cell>
          <cell r="BW1826">
            <v>10.055977276238897</v>
          </cell>
          <cell r="BX1826">
            <v>8.6149332270911767</v>
          </cell>
          <cell r="BY1826">
            <v>11.497021325386617</v>
          </cell>
        </row>
        <row r="1827">
          <cell r="A1827">
            <v>41995</v>
          </cell>
          <cell r="BF1827">
            <v>20.266780574404255</v>
          </cell>
          <cell r="BG1827">
            <v>17.429620749261797</v>
          </cell>
          <cell r="BH1827">
            <v>16.109902701379674</v>
          </cell>
          <cell r="BI1827">
            <v>13.839355674417275</v>
          </cell>
          <cell r="BJ1827">
            <v>18.380449728342072</v>
          </cell>
          <cell r="BU1827">
            <v>12.163735424944521</v>
          </cell>
          <cell r="BV1827">
            <v>11.522967903511651</v>
          </cell>
          <cell r="BW1827">
            <v>10.055977276238897</v>
          </cell>
          <cell r="BX1827">
            <v>8.6149332270911767</v>
          </cell>
          <cell r="BY1827">
            <v>11.497021325386617</v>
          </cell>
        </row>
        <row r="1828">
          <cell r="A1828">
            <v>41996</v>
          </cell>
          <cell r="BF1828">
            <v>20.327976224878395</v>
          </cell>
          <cell r="BG1828">
            <v>17.429620749261797</v>
          </cell>
          <cell r="BH1828">
            <v>16.109902701379674</v>
          </cell>
          <cell r="BI1828">
            <v>13.839355674417275</v>
          </cell>
          <cell r="BJ1828">
            <v>18.380449728342072</v>
          </cell>
          <cell r="BU1828">
            <v>12.197913441493302</v>
          </cell>
          <cell r="BV1828">
            <v>11.522967903511651</v>
          </cell>
          <cell r="BW1828">
            <v>10.055977276238897</v>
          </cell>
          <cell r="BX1828">
            <v>8.6149332270911767</v>
          </cell>
          <cell r="BY1828">
            <v>11.497021325386617</v>
          </cell>
        </row>
        <row r="1829">
          <cell r="A1829">
            <v>41997</v>
          </cell>
          <cell r="BF1829">
            <v>20.491152387746983</v>
          </cell>
          <cell r="BG1829">
            <v>17.429620749261797</v>
          </cell>
          <cell r="BH1829">
            <v>16.109902701379674</v>
          </cell>
          <cell r="BI1829">
            <v>13.839355674417275</v>
          </cell>
          <cell r="BJ1829">
            <v>18.380449728342072</v>
          </cell>
          <cell r="BU1829">
            <v>12.289047983763522</v>
          </cell>
          <cell r="BV1829">
            <v>11.522967903511651</v>
          </cell>
          <cell r="BW1829">
            <v>10.055977276238897</v>
          </cell>
          <cell r="BX1829">
            <v>8.6149332270911767</v>
          </cell>
          <cell r="BY1829">
            <v>11.497021325386617</v>
          </cell>
        </row>
        <row r="1830">
          <cell r="A1830">
            <v>41998</v>
          </cell>
          <cell r="BF1830">
            <v>20.725720416569786</v>
          </cell>
          <cell r="BG1830">
            <v>17.429620749261797</v>
          </cell>
          <cell r="BH1830">
            <v>16.109902701379674</v>
          </cell>
          <cell r="BI1830">
            <v>13.839355674417275</v>
          </cell>
          <cell r="BJ1830">
            <v>18.380449728342072</v>
          </cell>
          <cell r="BU1830">
            <v>12.420055169875686</v>
          </cell>
          <cell r="BV1830">
            <v>11.522967903511651</v>
          </cell>
          <cell r="BW1830">
            <v>10.055977276238897</v>
          </cell>
          <cell r="BX1830">
            <v>8.6149332270911767</v>
          </cell>
          <cell r="BY1830">
            <v>11.497021325386617</v>
          </cell>
        </row>
        <row r="1831">
          <cell r="A1831">
            <v>41999</v>
          </cell>
          <cell r="BF1831">
            <v>20.663627116341139</v>
          </cell>
          <cell r="BG1831">
            <v>17.429620749261797</v>
          </cell>
          <cell r="BH1831">
            <v>16.109902701379674</v>
          </cell>
          <cell r="BI1831">
            <v>13.839355674417275</v>
          </cell>
          <cell r="BJ1831">
            <v>18.380449728342072</v>
          </cell>
          <cell r="BU1831">
            <v>12.417732134236534</v>
          </cell>
          <cell r="BV1831">
            <v>11.522967903511651</v>
          </cell>
          <cell r="BW1831">
            <v>10.055977276238897</v>
          </cell>
          <cell r="BX1831">
            <v>8.6149332270911767</v>
          </cell>
          <cell r="BY1831">
            <v>11.497021325386617</v>
          </cell>
        </row>
        <row r="1832">
          <cell r="A1832">
            <v>42002</v>
          </cell>
          <cell r="BF1832">
            <v>20.661182670985355</v>
          </cell>
          <cell r="BG1832">
            <v>17.429620749261797</v>
          </cell>
          <cell r="BH1832">
            <v>16.109902701379674</v>
          </cell>
          <cell r="BI1832">
            <v>13.839355674417275</v>
          </cell>
          <cell r="BJ1832">
            <v>18.380449728342072</v>
          </cell>
          <cell r="BU1832">
            <v>12.382423802492301</v>
          </cell>
          <cell r="BV1832">
            <v>11.522967903511651</v>
          </cell>
          <cell r="BW1832">
            <v>10.055977276238897</v>
          </cell>
          <cell r="BX1832">
            <v>8.6149332270911767</v>
          </cell>
          <cell r="BY1832">
            <v>11.497021325386617</v>
          </cell>
        </row>
        <row r="1833">
          <cell r="A1833">
            <v>42003</v>
          </cell>
          <cell r="BF1833">
            <v>20.538811754101911</v>
          </cell>
          <cell r="BG1833">
            <v>17.429620749261797</v>
          </cell>
          <cell r="BH1833">
            <v>16.109902701379674</v>
          </cell>
          <cell r="BI1833">
            <v>13.839355674417275</v>
          </cell>
          <cell r="BJ1833">
            <v>18.380449728342072</v>
          </cell>
          <cell r="BU1833">
            <v>12.314087616355897</v>
          </cell>
          <cell r="BV1833">
            <v>11.522967903511651</v>
          </cell>
          <cell r="BW1833">
            <v>10.055977276238897</v>
          </cell>
          <cell r="BX1833">
            <v>8.6149332270911767</v>
          </cell>
          <cell r="BY1833">
            <v>11.497021325386617</v>
          </cell>
        </row>
        <row r="1834">
          <cell r="A1834">
            <v>42004</v>
          </cell>
          <cell r="BF1834">
            <v>20.482465780989411</v>
          </cell>
          <cell r="BG1834">
            <v>17.429620749261797</v>
          </cell>
          <cell r="BH1834">
            <v>16.109902701379674</v>
          </cell>
          <cell r="BI1834">
            <v>13.839355674417275</v>
          </cell>
          <cell r="BJ1834">
            <v>18.380449728342072</v>
          </cell>
          <cell r="BU1834">
            <v>12.284472846787002</v>
          </cell>
          <cell r="BV1834">
            <v>11.522967903511651</v>
          </cell>
          <cell r="BW1834">
            <v>10.055977276238897</v>
          </cell>
          <cell r="BX1834">
            <v>8.6149332270911767</v>
          </cell>
          <cell r="BY1834">
            <v>11.497021325386617</v>
          </cell>
        </row>
        <row r="1835">
          <cell r="A1835">
            <v>42005</v>
          </cell>
          <cell r="BF1835">
            <v>20.184578362563077</v>
          </cell>
          <cell r="BG1835">
            <v>17.429620749261797</v>
          </cell>
          <cell r="BH1835">
            <v>16.109902701379674</v>
          </cell>
          <cell r="BI1835">
            <v>13.839355674417275</v>
          </cell>
          <cell r="BJ1835">
            <v>18.380449728342072</v>
          </cell>
          <cell r="BU1835">
            <v>12.135257025542447</v>
          </cell>
          <cell r="BV1835">
            <v>11.522967903511651</v>
          </cell>
          <cell r="BW1835">
            <v>10.055977276238897</v>
          </cell>
          <cell r="BX1835">
            <v>8.6149332270911767</v>
          </cell>
          <cell r="BY1835">
            <v>11.497021325386617</v>
          </cell>
        </row>
        <row r="1836">
          <cell r="A1836">
            <v>42006</v>
          </cell>
          <cell r="BF1836">
            <v>20.466433494811657</v>
          </cell>
          <cell r="BG1836">
            <v>17.429620749261797</v>
          </cell>
          <cell r="BH1836">
            <v>16.109902701379674</v>
          </cell>
          <cell r="BI1836">
            <v>13.839355674417275</v>
          </cell>
          <cell r="BJ1836">
            <v>18.380449728342072</v>
          </cell>
          <cell r="BU1836">
            <v>12.270782928594427</v>
          </cell>
          <cell r="BV1836">
            <v>11.522967903511651</v>
          </cell>
          <cell r="BW1836">
            <v>10.055977276238897</v>
          </cell>
          <cell r="BX1836">
            <v>8.6149332270911767</v>
          </cell>
          <cell r="BY1836">
            <v>11.497021325386617</v>
          </cell>
        </row>
        <row r="1837">
          <cell r="A1837">
            <v>42009</v>
          </cell>
          <cell r="BF1837">
            <v>20.426992941178433</v>
          </cell>
          <cell r="BG1837">
            <v>17.429620749261797</v>
          </cell>
          <cell r="BH1837">
            <v>16.109902701379674</v>
          </cell>
          <cell r="BI1837">
            <v>13.839355674417275</v>
          </cell>
          <cell r="BJ1837">
            <v>18.380449728342072</v>
          </cell>
          <cell r="BU1837">
            <v>12.241860845057898</v>
          </cell>
          <cell r="BV1837">
            <v>11.522967903511651</v>
          </cell>
          <cell r="BW1837">
            <v>10.055977276238897</v>
          </cell>
          <cell r="BX1837">
            <v>8.6149332270911767</v>
          </cell>
          <cell r="BY1837">
            <v>11.497021325386617</v>
          </cell>
        </row>
        <row r="1838">
          <cell r="A1838">
            <v>42010</v>
          </cell>
          <cell r="BF1838">
            <v>20.582702283739003</v>
          </cell>
          <cell r="BG1838">
            <v>17.429620749261797</v>
          </cell>
          <cell r="BH1838">
            <v>16.109902701379674</v>
          </cell>
          <cell r="BI1838">
            <v>13.839355674417275</v>
          </cell>
          <cell r="BJ1838">
            <v>18.380449728342072</v>
          </cell>
          <cell r="BU1838">
            <v>12.328627095667482</v>
          </cell>
          <cell r="BV1838">
            <v>11.522967903511651</v>
          </cell>
          <cell r="BW1838">
            <v>10.055977276238897</v>
          </cell>
          <cell r="BX1838">
            <v>8.6149332270911767</v>
          </cell>
          <cell r="BY1838">
            <v>11.497021325386617</v>
          </cell>
        </row>
        <row r="1839">
          <cell r="A1839">
            <v>42011</v>
          </cell>
          <cell r="BF1839">
            <v>20.4851240138428</v>
          </cell>
          <cell r="BG1839">
            <v>17.429620749261797</v>
          </cell>
          <cell r="BH1839">
            <v>16.109902701379674</v>
          </cell>
          <cell r="BI1839">
            <v>13.839355674417275</v>
          </cell>
          <cell r="BJ1839">
            <v>18.380449728342072</v>
          </cell>
          <cell r="BU1839">
            <v>12.274253347242139</v>
          </cell>
          <cell r="BV1839">
            <v>11.522967903511651</v>
          </cell>
          <cell r="BW1839">
            <v>10.055977276238897</v>
          </cell>
          <cell r="BX1839">
            <v>8.6149332270911767</v>
          </cell>
          <cell r="BY1839">
            <v>11.497021325386617</v>
          </cell>
        </row>
        <row r="1840">
          <cell r="A1840">
            <v>42012</v>
          </cell>
          <cell r="BF1840">
            <v>20.528720968860103</v>
          </cell>
          <cell r="BG1840">
            <v>17.429620749261797</v>
          </cell>
          <cell r="BH1840">
            <v>16.109902701379674</v>
          </cell>
          <cell r="BI1840">
            <v>13.839355674417275</v>
          </cell>
          <cell r="BJ1840">
            <v>18.380449728342072</v>
          </cell>
          <cell r="BU1840">
            <v>12.274253347242139</v>
          </cell>
          <cell r="BV1840">
            <v>11.522967903511651</v>
          </cell>
          <cell r="BW1840">
            <v>10.055977276238897</v>
          </cell>
          <cell r="BX1840">
            <v>8.6149332270911767</v>
          </cell>
          <cell r="BY1840">
            <v>11.497021325386617</v>
          </cell>
        </row>
        <row r="1841">
          <cell r="A1841">
            <v>42013</v>
          </cell>
          <cell r="BF1841">
            <v>20.816198876640815</v>
          </cell>
          <cell r="BG1841">
            <v>17.429620749261797</v>
          </cell>
          <cell r="BH1841">
            <v>16.109902701379674</v>
          </cell>
          <cell r="BI1841">
            <v>13.839355674417275</v>
          </cell>
          <cell r="BJ1841">
            <v>18.380449728342072</v>
          </cell>
          <cell r="BU1841">
            <v>12.304211343438963</v>
          </cell>
          <cell r="BV1841">
            <v>11.522967903511651</v>
          </cell>
          <cell r="BW1841">
            <v>10.055977276238897</v>
          </cell>
          <cell r="BX1841">
            <v>8.6149332270911767</v>
          </cell>
          <cell r="BY1841">
            <v>11.497021325386617</v>
          </cell>
        </row>
        <row r="1842">
          <cell r="A1842">
            <v>42016</v>
          </cell>
          <cell r="BF1842">
            <v>20.808868619421723</v>
          </cell>
          <cell r="BG1842">
            <v>17.429620749261797</v>
          </cell>
          <cell r="BH1842">
            <v>16.109902701379674</v>
          </cell>
          <cell r="BI1842">
            <v>13.839355674417275</v>
          </cell>
          <cell r="BJ1842">
            <v>18.380449728342072</v>
          </cell>
          <cell r="BU1842">
            <v>12.458489538590486</v>
          </cell>
          <cell r="BV1842">
            <v>11.522967903511651</v>
          </cell>
          <cell r="BW1842">
            <v>10.055977276238897</v>
          </cell>
          <cell r="BX1842">
            <v>8.6149332270911767</v>
          </cell>
          <cell r="BY1842">
            <v>11.497021325386617</v>
          </cell>
        </row>
        <row r="1843">
          <cell r="A1843">
            <v>42017</v>
          </cell>
          <cell r="BF1843">
            <v>20.763434412971439</v>
          </cell>
          <cell r="BG1843">
            <v>17.429620749261797</v>
          </cell>
          <cell r="BH1843">
            <v>16.109902701379674</v>
          </cell>
          <cell r="BI1843">
            <v>13.839355674417275</v>
          </cell>
          <cell r="BJ1843">
            <v>18.380449728342072</v>
          </cell>
          <cell r="BU1843">
            <v>12.433155137287896</v>
          </cell>
          <cell r="BV1843">
            <v>11.522967903511651</v>
          </cell>
          <cell r="BW1843">
            <v>10.055977276238897</v>
          </cell>
          <cell r="BX1843">
            <v>8.6149332270911767</v>
          </cell>
          <cell r="BY1843">
            <v>11.497021325386617</v>
          </cell>
        </row>
        <row r="1844">
          <cell r="A1844">
            <v>42018</v>
          </cell>
          <cell r="BF1844">
            <v>20.761367156577951</v>
          </cell>
          <cell r="BG1844">
            <v>17.429620749261797</v>
          </cell>
          <cell r="BH1844">
            <v>16.109902701379674</v>
          </cell>
          <cell r="BI1844">
            <v>13.839355674417275</v>
          </cell>
          <cell r="BJ1844">
            <v>18.380449728342072</v>
          </cell>
          <cell r="BU1844">
            <v>12.432002422028628</v>
          </cell>
          <cell r="BV1844">
            <v>11.522967903511651</v>
          </cell>
          <cell r="BW1844">
            <v>10.055977276238897</v>
          </cell>
          <cell r="BX1844">
            <v>8.6149332270911767</v>
          </cell>
          <cell r="BY1844">
            <v>11.497021325386617</v>
          </cell>
        </row>
        <row r="1845">
          <cell r="A1845">
            <v>42019</v>
          </cell>
          <cell r="BF1845">
            <v>20.827454927204055</v>
          </cell>
          <cell r="BG1845">
            <v>17.429620749261797</v>
          </cell>
          <cell r="BH1845">
            <v>16.109902701379674</v>
          </cell>
          <cell r="BI1845">
            <v>13.839355674417275</v>
          </cell>
          <cell r="BJ1845">
            <v>18.380449728342072</v>
          </cell>
          <cell r="BU1845">
            <v>12.468853381537897</v>
          </cell>
          <cell r="BV1845">
            <v>11.522967903511651</v>
          </cell>
          <cell r="BW1845">
            <v>10.055977276238897</v>
          </cell>
          <cell r="BX1845">
            <v>8.6149332270911767</v>
          </cell>
          <cell r="BY1845">
            <v>11.497021325386617</v>
          </cell>
        </row>
        <row r="1846">
          <cell r="A1846">
            <v>42020</v>
          </cell>
          <cell r="BF1846">
            <v>20.379305545040378</v>
          </cell>
          <cell r="BG1846">
            <v>17.429620749261797</v>
          </cell>
          <cell r="BH1846">
            <v>16.109902701379674</v>
          </cell>
          <cell r="BI1846">
            <v>13.839355674417275</v>
          </cell>
          <cell r="BJ1846">
            <v>18.380449728342072</v>
          </cell>
          <cell r="BU1846">
            <v>12.468853381537897</v>
          </cell>
          <cell r="BV1846">
            <v>11.522967903511651</v>
          </cell>
          <cell r="BW1846">
            <v>10.055977276238897</v>
          </cell>
          <cell r="BX1846">
            <v>8.6149332270911767</v>
          </cell>
          <cell r="BY1846">
            <v>11.497021325386617</v>
          </cell>
        </row>
        <row r="1847">
          <cell r="A1847">
            <v>42023</v>
          </cell>
          <cell r="BF1847">
            <v>20.523871407429819</v>
          </cell>
          <cell r="BG1847">
            <v>17.429620749261797</v>
          </cell>
          <cell r="BH1847">
            <v>16.109902701379674</v>
          </cell>
          <cell r="BI1847">
            <v>13.839355674417275</v>
          </cell>
          <cell r="BJ1847">
            <v>18.380449728342072</v>
          </cell>
          <cell r="BU1847">
            <v>12.299573287976031</v>
          </cell>
          <cell r="BV1847">
            <v>11.522967903511651</v>
          </cell>
          <cell r="BW1847">
            <v>10.055977276238897</v>
          </cell>
          <cell r="BX1847">
            <v>8.6149332270911767</v>
          </cell>
          <cell r="BY1847">
            <v>11.497021325386617</v>
          </cell>
        </row>
        <row r="1848">
          <cell r="A1848">
            <v>42024</v>
          </cell>
          <cell r="BF1848">
            <v>20.189311258736019</v>
          </cell>
          <cell r="BG1848">
            <v>17.429620749261797</v>
          </cell>
          <cell r="BH1848">
            <v>16.109902701379674</v>
          </cell>
          <cell r="BI1848">
            <v>13.839355674417275</v>
          </cell>
          <cell r="BJ1848">
            <v>18.380449728342072</v>
          </cell>
          <cell r="BU1848">
            <v>12.1130204299188</v>
          </cell>
          <cell r="BV1848">
            <v>11.522967903511651</v>
          </cell>
          <cell r="BW1848">
            <v>10.055977276238897</v>
          </cell>
          <cell r="BX1848">
            <v>8.6149332270911767</v>
          </cell>
          <cell r="BY1848">
            <v>11.497021325386617</v>
          </cell>
        </row>
        <row r="1849">
          <cell r="A1849">
            <v>42025</v>
          </cell>
          <cell r="BF1849">
            <v>19.809316903591935</v>
          </cell>
          <cell r="BG1849">
            <v>17.429620749261797</v>
          </cell>
          <cell r="BH1849">
            <v>16.109902701379674</v>
          </cell>
          <cell r="BI1849">
            <v>13.839355674417275</v>
          </cell>
          <cell r="BJ1849">
            <v>18.380449728342072</v>
          </cell>
          <cell r="BU1849">
            <v>11.901133170558975</v>
          </cell>
          <cell r="BV1849">
            <v>11.522967903511651</v>
          </cell>
          <cell r="BW1849">
            <v>10.055977276238897</v>
          </cell>
          <cell r="BX1849">
            <v>8.6149332270911767</v>
          </cell>
          <cell r="BY1849">
            <v>11.497021325386617</v>
          </cell>
        </row>
        <row r="1850">
          <cell r="A1850">
            <v>42026</v>
          </cell>
          <cell r="BF1850">
            <v>20.304961553025777</v>
          </cell>
          <cell r="BG1850">
            <v>17.429620749261797</v>
          </cell>
          <cell r="BH1850">
            <v>16.109902701379674</v>
          </cell>
          <cell r="BI1850">
            <v>13.839355674417275</v>
          </cell>
          <cell r="BJ1850">
            <v>18.380449728342072</v>
          </cell>
          <cell r="BU1850">
            <v>12.17750776655811</v>
          </cell>
          <cell r="BV1850">
            <v>11.522967903511651</v>
          </cell>
          <cell r="BW1850">
            <v>10.055977276238897</v>
          </cell>
          <cell r="BX1850">
            <v>8.6149332270911767</v>
          </cell>
          <cell r="BY1850">
            <v>11.497021325386617</v>
          </cell>
        </row>
        <row r="1851">
          <cell r="A1851">
            <v>42027</v>
          </cell>
          <cell r="BF1851">
            <v>20.032354662171105</v>
          </cell>
          <cell r="BG1851">
            <v>17.429620749261797</v>
          </cell>
          <cell r="BH1851">
            <v>16.109902701379674</v>
          </cell>
          <cell r="BI1851">
            <v>13.839355674417275</v>
          </cell>
          <cell r="BJ1851">
            <v>18.380449728342072</v>
          </cell>
          <cell r="BU1851">
            <v>12.17750776655811</v>
          </cell>
          <cell r="BV1851">
            <v>11.522967903511651</v>
          </cell>
          <cell r="BW1851">
            <v>10.055977276238897</v>
          </cell>
          <cell r="BX1851">
            <v>8.6149332270911767</v>
          </cell>
          <cell r="BY1851">
            <v>11.497021325386617</v>
          </cell>
        </row>
        <row r="1852">
          <cell r="A1852">
            <v>42030</v>
          </cell>
          <cell r="BF1852">
            <v>20.448670319447881</v>
          </cell>
          <cell r="BG1852">
            <v>17.429620749261797</v>
          </cell>
          <cell r="BH1852">
            <v>16.109902701379674</v>
          </cell>
          <cell r="BI1852">
            <v>13.839355674417275</v>
          </cell>
          <cell r="BJ1852">
            <v>18.380449728342072</v>
          </cell>
          <cell r="BU1852">
            <v>12.244296848712128</v>
          </cell>
          <cell r="BV1852">
            <v>11.522967903511651</v>
          </cell>
          <cell r="BW1852">
            <v>10.055977276238897</v>
          </cell>
          <cell r="BX1852">
            <v>8.6149332270911767</v>
          </cell>
          <cell r="BY1852">
            <v>11.497021325386617</v>
          </cell>
        </row>
        <row r="1853">
          <cell r="A1853">
            <v>42031</v>
          </cell>
          <cell r="BF1853">
            <v>20.217099141943464</v>
          </cell>
          <cell r="BG1853">
            <v>17.429620749261797</v>
          </cell>
          <cell r="BH1853">
            <v>16.109902701379674</v>
          </cell>
          <cell r="BI1853">
            <v>13.839355674417275</v>
          </cell>
          <cell r="BJ1853">
            <v>18.380449728342072</v>
          </cell>
          <cell r="BU1853">
            <v>12.115322405746246</v>
          </cell>
          <cell r="BV1853">
            <v>11.522967903511651</v>
          </cell>
          <cell r="BW1853">
            <v>10.055977276238897</v>
          </cell>
          <cell r="BX1853">
            <v>8.6149332270911767</v>
          </cell>
          <cell r="BY1853">
            <v>11.497021325386617</v>
          </cell>
        </row>
        <row r="1854">
          <cell r="A1854">
            <v>42032</v>
          </cell>
          <cell r="BF1854">
            <v>20.572728212552413</v>
          </cell>
          <cell r="BG1854">
            <v>17.429620749261797</v>
          </cell>
          <cell r="BH1854">
            <v>16.109902701379674</v>
          </cell>
          <cell r="BI1854">
            <v>13.839355674417275</v>
          </cell>
          <cell r="BJ1854">
            <v>18.380449728342072</v>
          </cell>
          <cell r="BU1854">
            <v>12.313391361384683</v>
          </cell>
          <cell r="BV1854">
            <v>11.522967903511651</v>
          </cell>
          <cell r="BW1854">
            <v>10.055977276238897</v>
          </cell>
          <cell r="BX1854">
            <v>8.6149332270911767</v>
          </cell>
          <cell r="BY1854">
            <v>11.497021325386617</v>
          </cell>
        </row>
        <row r="1855">
          <cell r="A1855">
            <v>42033</v>
          </cell>
          <cell r="BF1855">
            <v>20.60167807298868</v>
          </cell>
          <cell r="BG1855">
            <v>17.429620749261797</v>
          </cell>
          <cell r="BH1855">
            <v>16.109902701379674</v>
          </cell>
          <cell r="BI1855">
            <v>13.839355674417275</v>
          </cell>
          <cell r="BJ1855">
            <v>18.380449728342072</v>
          </cell>
          <cell r="BU1855">
            <v>12.329515095624609</v>
          </cell>
          <cell r="BV1855">
            <v>11.522967903511651</v>
          </cell>
          <cell r="BW1855">
            <v>10.055977276238897</v>
          </cell>
          <cell r="BX1855">
            <v>8.6149332270911767</v>
          </cell>
          <cell r="BY1855">
            <v>11.497021325386617</v>
          </cell>
        </row>
        <row r="1856">
          <cell r="A1856">
            <v>42034</v>
          </cell>
          <cell r="BF1856">
            <v>20.816705055310628</v>
          </cell>
          <cell r="BG1856">
            <v>17.429620749261797</v>
          </cell>
          <cell r="BH1856">
            <v>16.109902701379674</v>
          </cell>
          <cell r="BI1856">
            <v>13.839355674417275</v>
          </cell>
          <cell r="BJ1856">
            <v>18.380449728342072</v>
          </cell>
          <cell r="BU1856">
            <v>12.329515095624609</v>
          </cell>
          <cell r="BV1856">
            <v>11.522967903511651</v>
          </cell>
          <cell r="BW1856">
            <v>10.055977276238897</v>
          </cell>
          <cell r="BX1856">
            <v>8.6149332270911767</v>
          </cell>
          <cell r="BY1856">
            <v>11.497021325386617</v>
          </cell>
        </row>
        <row r="1857">
          <cell r="A1857">
            <v>42037</v>
          </cell>
          <cell r="BF1857">
            <v>20.692554463213021</v>
          </cell>
          <cell r="BG1857">
            <v>17.429620749261797</v>
          </cell>
          <cell r="BH1857">
            <v>16.109902701379674</v>
          </cell>
          <cell r="BI1857">
            <v>13.839355674417275</v>
          </cell>
          <cell r="BJ1857">
            <v>18.380449728342072</v>
          </cell>
          <cell r="BU1857">
            <v>12.380180673851441</v>
          </cell>
          <cell r="BV1857">
            <v>11.522967903511651</v>
          </cell>
          <cell r="BW1857">
            <v>10.055977276238897</v>
          </cell>
          <cell r="BX1857">
            <v>8.6149332270911767</v>
          </cell>
          <cell r="BY1857">
            <v>11.497021325386617</v>
          </cell>
        </row>
        <row r="1858">
          <cell r="A1858">
            <v>42038</v>
          </cell>
          <cell r="BF1858">
            <v>20.467186714421079</v>
          </cell>
          <cell r="BG1858">
            <v>17.429620749261797</v>
          </cell>
          <cell r="BH1858">
            <v>16.109902701379674</v>
          </cell>
          <cell r="BI1858">
            <v>13.839355674417275</v>
          </cell>
          <cell r="BJ1858">
            <v>18.380449728342072</v>
          </cell>
          <cell r="BU1858">
            <v>12.25466069165954</v>
          </cell>
          <cell r="BV1858">
            <v>11.522967903511651</v>
          </cell>
          <cell r="BW1858">
            <v>10.055977276238897</v>
          </cell>
          <cell r="BX1858">
            <v>8.6149332270911767</v>
          </cell>
          <cell r="BY1858">
            <v>11.497021325386617</v>
          </cell>
        </row>
        <row r="1859">
          <cell r="A1859">
            <v>42039</v>
          </cell>
          <cell r="BF1859">
            <v>20.175654059927275</v>
          </cell>
          <cell r="BG1859">
            <v>17.429620749261797</v>
          </cell>
          <cell r="BH1859">
            <v>16.109902701379674</v>
          </cell>
          <cell r="BI1859">
            <v>13.839355674417275</v>
          </cell>
          <cell r="BJ1859">
            <v>18.380449728342072</v>
          </cell>
          <cell r="BU1859">
            <v>12.092289749958367</v>
          </cell>
          <cell r="BV1859">
            <v>11.522967903511651</v>
          </cell>
          <cell r="BW1859">
            <v>10.055977276238897</v>
          </cell>
          <cell r="BX1859">
            <v>8.6149332270911767</v>
          </cell>
          <cell r="BY1859">
            <v>11.497021325386617</v>
          </cell>
        </row>
        <row r="1860">
          <cell r="A1860">
            <v>42040</v>
          </cell>
          <cell r="BF1860">
            <v>20.016540115800144</v>
          </cell>
          <cell r="BG1860">
            <v>17.429620749261797</v>
          </cell>
          <cell r="BH1860">
            <v>16.109902701379674</v>
          </cell>
          <cell r="BI1860">
            <v>13.839355674417275</v>
          </cell>
          <cell r="BJ1860">
            <v>18.380449728342072</v>
          </cell>
          <cell r="BU1860">
            <v>12.002467781703729</v>
          </cell>
          <cell r="BV1860">
            <v>11.522967903511651</v>
          </cell>
          <cell r="BW1860">
            <v>10.055977276238897</v>
          </cell>
          <cell r="BX1860">
            <v>8.6149332270911767</v>
          </cell>
          <cell r="BY1860">
            <v>11.497021325386617</v>
          </cell>
        </row>
        <row r="1861">
          <cell r="A1861">
            <v>42041</v>
          </cell>
          <cell r="BF1861">
            <v>20.153017369729021</v>
          </cell>
          <cell r="BG1861">
            <v>17.429620749261797</v>
          </cell>
          <cell r="BH1861">
            <v>16.109902701379674</v>
          </cell>
          <cell r="BI1861">
            <v>13.839355674417275</v>
          </cell>
          <cell r="BJ1861">
            <v>18.380449728342072</v>
          </cell>
          <cell r="BU1861">
            <v>12.002467781703729</v>
          </cell>
          <cell r="BV1861">
            <v>11.522967903511651</v>
          </cell>
          <cell r="BW1861">
            <v>10.055977276238897</v>
          </cell>
          <cell r="BX1861">
            <v>8.6149332270911767</v>
          </cell>
          <cell r="BY1861">
            <v>11.497021325386617</v>
          </cell>
        </row>
        <row r="1862">
          <cell r="A1862">
            <v>42044</v>
          </cell>
          <cell r="BF1862">
            <v>20.306040942930029</v>
          </cell>
          <cell r="BG1862">
            <v>17.429620749261797</v>
          </cell>
          <cell r="BH1862">
            <v>16.109902701379674</v>
          </cell>
          <cell r="BI1862">
            <v>13.839355674417275</v>
          </cell>
          <cell r="BJ1862">
            <v>18.380449728342072</v>
          </cell>
          <cell r="BU1862">
            <v>12.163686008145632</v>
          </cell>
          <cell r="BV1862">
            <v>11.522967903511651</v>
          </cell>
          <cell r="BW1862">
            <v>10.055977276238897</v>
          </cell>
          <cell r="BX1862">
            <v>8.6149332270911767</v>
          </cell>
          <cell r="BY1862">
            <v>11.497021325386617</v>
          </cell>
        </row>
        <row r="1863">
          <cell r="A1863">
            <v>42045</v>
          </cell>
          <cell r="BF1863">
            <v>20.177830438380802</v>
          </cell>
          <cell r="BG1863">
            <v>17.429620749261797</v>
          </cell>
          <cell r="BH1863">
            <v>16.109902701379674</v>
          </cell>
          <cell r="BI1863">
            <v>13.839355674417275</v>
          </cell>
          <cell r="BJ1863">
            <v>18.380449728342072</v>
          </cell>
          <cell r="BU1863">
            <v>12.092289749958367</v>
          </cell>
          <cell r="BV1863">
            <v>11.522967903511651</v>
          </cell>
          <cell r="BW1863">
            <v>10.055977276238897</v>
          </cell>
          <cell r="BX1863">
            <v>8.6149332270911767</v>
          </cell>
          <cell r="BY1863">
            <v>11.497021325386617</v>
          </cell>
        </row>
        <row r="1864">
          <cell r="A1864">
            <v>42046</v>
          </cell>
          <cell r="BF1864">
            <v>19.790467953985207</v>
          </cell>
          <cell r="BG1864">
            <v>17.429620749261797</v>
          </cell>
          <cell r="BH1864">
            <v>16.109902701379674</v>
          </cell>
          <cell r="BI1864">
            <v>13.839355674417275</v>
          </cell>
          <cell r="BJ1864">
            <v>18.380449728342072</v>
          </cell>
          <cell r="BU1864">
            <v>11.889378365830732</v>
          </cell>
          <cell r="BV1864">
            <v>11.522967903511651</v>
          </cell>
          <cell r="BW1864">
            <v>10.055977276238897</v>
          </cell>
          <cell r="BX1864">
            <v>8.6149332270911767</v>
          </cell>
          <cell r="BY1864">
            <v>11.497021325386617</v>
          </cell>
        </row>
        <row r="1865">
          <cell r="A1865">
            <v>42047</v>
          </cell>
          <cell r="BF1865">
            <v>19.909616680361541</v>
          </cell>
          <cell r="BG1865">
            <v>17.429620749261797</v>
          </cell>
          <cell r="BH1865">
            <v>16.109902701379674</v>
          </cell>
          <cell r="BI1865">
            <v>13.839355674417275</v>
          </cell>
          <cell r="BJ1865">
            <v>18.380449728342072</v>
          </cell>
          <cell r="BU1865">
            <v>11.955834865409566</v>
          </cell>
          <cell r="BV1865">
            <v>11.522967903511651</v>
          </cell>
          <cell r="BW1865">
            <v>10.055977276238897</v>
          </cell>
          <cell r="BX1865">
            <v>8.6149332270911767</v>
          </cell>
          <cell r="BY1865">
            <v>11.497021325386617</v>
          </cell>
        </row>
        <row r="1866">
          <cell r="A1866">
            <v>42048</v>
          </cell>
          <cell r="BF1866">
            <v>19.909616680361541</v>
          </cell>
          <cell r="BG1866">
            <v>17.429620749261797</v>
          </cell>
          <cell r="BH1866">
            <v>16.109902701379674</v>
          </cell>
          <cell r="BI1866">
            <v>13.839355674417275</v>
          </cell>
          <cell r="BJ1866">
            <v>18.380449728342072</v>
          </cell>
          <cell r="BU1866">
            <v>11.955834865409566</v>
          </cell>
          <cell r="BV1866">
            <v>11.522967903511651</v>
          </cell>
          <cell r="BW1866">
            <v>10.055977276238897</v>
          </cell>
          <cell r="BX1866">
            <v>8.6149332270911767</v>
          </cell>
          <cell r="BY1866">
            <v>11.497021325386617</v>
          </cell>
        </row>
        <row r="1867">
          <cell r="A1867">
            <v>42051</v>
          </cell>
          <cell r="BF1867">
            <v>19.831555053410021</v>
          </cell>
          <cell r="BG1867">
            <v>17.429620749261797</v>
          </cell>
          <cell r="BH1867">
            <v>16.109902701379674</v>
          </cell>
          <cell r="BI1867">
            <v>13.839355674417275</v>
          </cell>
          <cell r="BJ1867">
            <v>18.380449728342072</v>
          </cell>
          <cell r="BU1867">
            <v>11.912295142943368</v>
          </cell>
          <cell r="BV1867">
            <v>11.522967903511651</v>
          </cell>
          <cell r="BW1867">
            <v>10.055977276238897</v>
          </cell>
          <cell r="BX1867">
            <v>8.6149332270911767</v>
          </cell>
          <cell r="BY1867">
            <v>11.497021325386617</v>
          </cell>
        </row>
        <row r="1868">
          <cell r="A1868">
            <v>42052</v>
          </cell>
          <cell r="BF1868">
            <v>19.905504108463436</v>
          </cell>
          <cell r="BG1868">
            <v>17.429620749261797</v>
          </cell>
          <cell r="BH1868">
            <v>16.109902701379674</v>
          </cell>
          <cell r="BI1868">
            <v>13.839355674417275</v>
          </cell>
          <cell r="BJ1868">
            <v>18.380449728342072</v>
          </cell>
          <cell r="BU1868">
            <v>11.953541033650497</v>
          </cell>
          <cell r="BV1868">
            <v>11.522967903511651</v>
          </cell>
          <cell r="BW1868">
            <v>10.055977276238897</v>
          </cell>
          <cell r="BX1868">
            <v>8.6149332270911767</v>
          </cell>
          <cell r="BY1868">
            <v>11.497021325386617</v>
          </cell>
        </row>
        <row r="1869">
          <cell r="A1869">
            <v>42053</v>
          </cell>
          <cell r="BF1869">
            <v>19.757599424815115</v>
          </cell>
          <cell r="BG1869">
            <v>17.429620749261797</v>
          </cell>
          <cell r="BH1869">
            <v>16.109902701379674</v>
          </cell>
          <cell r="BI1869">
            <v>13.839355674417275</v>
          </cell>
          <cell r="BJ1869">
            <v>18.380449728342072</v>
          </cell>
          <cell r="BU1869">
            <v>11.871045585771887</v>
          </cell>
          <cell r="BV1869">
            <v>11.522967903511651</v>
          </cell>
          <cell r="BW1869">
            <v>10.055977276238897</v>
          </cell>
          <cell r="BX1869">
            <v>8.6149332270911767</v>
          </cell>
          <cell r="BY1869">
            <v>11.497021325386617</v>
          </cell>
        </row>
        <row r="1870">
          <cell r="A1870">
            <v>42054</v>
          </cell>
          <cell r="BF1870">
            <v>19.815117502054232</v>
          </cell>
          <cell r="BG1870">
            <v>17.429620749261797</v>
          </cell>
          <cell r="BH1870">
            <v>16.109902701379674</v>
          </cell>
          <cell r="BI1870">
            <v>13.839355674417275</v>
          </cell>
          <cell r="BJ1870">
            <v>18.380449728342072</v>
          </cell>
          <cell r="BU1870">
            <v>11.903126919681769</v>
          </cell>
          <cell r="BV1870">
            <v>11.522967903511651</v>
          </cell>
          <cell r="BW1870">
            <v>10.055977276238897</v>
          </cell>
          <cell r="BX1870">
            <v>8.6149332270911767</v>
          </cell>
          <cell r="BY1870">
            <v>11.497021325386617</v>
          </cell>
        </row>
        <row r="1871">
          <cell r="A1871">
            <v>42055</v>
          </cell>
          <cell r="BF1871">
            <v>19.864365803534731</v>
          </cell>
          <cell r="BG1871">
            <v>17.429620749261797</v>
          </cell>
          <cell r="BH1871">
            <v>16.109902701379674</v>
          </cell>
          <cell r="BI1871">
            <v>13.839355674417275</v>
          </cell>
          <cell r="BJ1871">
            <v>18.380449728342072</v>
          </cell>
          <cell r="BU1871">
            <v>11.926040259484076</v>
          </cell>
          <cell r="BV1871">
            <v>11.522967903511651</v>
          </cell>
          <cell r="BW1871">
            <v>10.055977276238897</v>
          </cell>
          <cell r="BX1871">
            <v>8.6149332270911767</v>
          </cell>
          <cell r="BY1871">
            <v>11.497021325386617</v>
          </cell>
        </row>
        <row r="1872">
          <cell r="A1872">
            <v>42058</v>
          </cell>
          <cell r="BF1872">
            <v>19.823261816687218</v>
          </cell>
          <cell r="BG1872">
            <v>17.429620749261797</v>
          </cell>
          <cell r="BH1872">
            <v>16.109902701379674</v>
          </cell>
          <cell r="BI1872">
            <v>13.839355674417275</v>
          </cell>
          <cell r="BJ1872">
            <v>18.380449728342072</v>
          </cell>
          <cell r="BU1872">
            <v>11.903126919681769</v>
          </cell>
          <cell r="BV1872">
            <v>11.522967903511651</v>
          </cell>
          <cell r="BW1872">
            <v>10.055977276238897</v>
          </cell>
          <cell r="BX1872">
            <v>8.6149332270911767</v>
          </cell>
          <cell r="BY1872">
            <v>11.497021325386617</v>
          </cell>
        </row>
        <row r="1873">
          <cell r="A1873">
            <v>42059</v>
          </cell>
          <cell r="BF1873">
            <v>19.782163995067819</v>
          </cell>
          <cell r="BG1873">
            <v>17.429620749261797</v>
          </cell>
          <cell r="BH1873">
            <v>16.109902701379674</v>
          </cell>
          <cell r="BI1873">
            <v>13.839355674417275</v>
          </cell>
          <cell r="BJ1873">
            <v>18.380449728342072</v>
          </cell>
          <cell r="BU1873">
            <v>11.880213579879465</v>
          </cell>
          <cell r="BV1873">
            <v>11.522967903511651</v>
          </cell>
          <cell r="BW1873">
            <v>10.055977276238897</v>
          </cell>
          <cell r="BX1873">
            <v>8.6149332270911767</v>
          </cell>
          <cell r="BY1873">
            <v>11.497021325386617</v>
          </cell>
        </row>
        <row r="1874">
          <cell r="A1874">
            <v>42060</v>
          </cell>
          <cell r="BF1874">
            <v>19.584872174270448</v>
          </cell>
          <cell r="BG1874">
            <v>17.429620749261797</v>
          </cell>
          <cell r="BH1874">
            <v>16.109902701379674</v>
          </cell>
          <cell r="BI1874">
            <v>13.839355674417275</v>
          </cell>
          <cell r="BJ1874">
            <v>18.380449728342072</v>
          </cell>
          <cell r="BU1874">
            <v>11.770217128680409</v>
          </cell>
          <cell r="BV1874">
            <v>11.522967903511651</v>
          </cell>
          <cell r="BW1874">
            <v>10.055977276238897</v>
          </cell>
          <cell r="BX1874">
            <v>8.6149332270911767</v>
          </cell>
          <cell r="BY1874">
            <v>11.497021325386617</v>
          </cell>
        </row>
        <row r="1875">
          <cell r="A1875">
            <v>42061</v>
          </cell>
          <cell r="BF1875">
            <v>19.560212494862309</v>
          </cell>
          <cell r="BG1875">
            <v>17.429620749261797</v>
          </cell>
          <cell r="BH1875">
            <v>16.109902701379674</v>
          </cell>
          <cell r="BI1875">
            <v>13.839355674417275</v>
          </cell>
          <cell r="BJ1875">
            <v>18.380449728342072</v>
          </cell>
          <cell r="BU1875">
            <v>11.756468574829372</v>
          </cell>
          <cell r="BV1875">
            <v>11.522967903511651</v>
          </cell>
          <cell r="BW1875">
            <v>10.055977276238897</v>
          </cell>
          <cell r="BX1875">
            <v>8.6149332270911767</v>
          </cell>
          <cell r="BY1875">
            <v>11.497021325386617</v>
          </cell>
        </row>
        <row r="1876">
          <cell r="A1876">
            <v>42062</v>
          </cell>
          <cell r="BF1876">
            <v>19.297162762022197</v>
          </cell>
          <cell r="BG1876">
            <v>17.429620749261797</v>
          </cell>
          <cell r="BH1876">
            <v>16.109902701379674</v>
          </cell>
          <cell r="BI1876">
            <v>13.839355674417275</v>
          </cell>
          <cell r="BJ1876">
            <v>18.380449728342072</v>
          </cell>
          <cell r="BU1876">
            <v>11.609810000822955</v>
          </cell>
          <cell r="BV1876">
            <v>11.522967903511651</v>
          </cell>
          <cell r="BW1876">
            <v>10.055977276238897</v>
          </cell>
          <cell r="BX1876">
            <v>8.6149332270911767</v>
          </cell>
          <cell r="BY1876">
            <v>11.497021325386617</v>
          </cell>
        </row>
        <row r="1877">
          <cell r="A1877">
            <v>42065</v>
          </cell>
          <cell r="BF1877">
            <v>19.447244631665466</v>
          </cell>
          <cell r="BG1877">
            <v>17.429620749261797</v>
          </cell>
          <cell r="BH1877">
            <v>16.109902701379674</v>
          </cell>
          <cell r="BI1877">
            <v>13.839355674417275</v>
          </cell>
          <cell r="BJ1877">
            <v>18.380449728342072</v>
          </cell>
          <cell r="BU1877">
            <v>11.700501920203132</v>
          </cell>
          <cell r="BV1877">
            <v>11.522967903511651</v>
          </cell>
          <cell r="BW1877">
            <v>10.055977276238897</v>
          </cell>
          <cell r="BX1877">
            <v>8.6149332270911767</v>
          </cell>
          <cell r="BY1877">
            <v>11.497021325386617</v>
          </cell>
        </row>
        <row r="1878">
          <cell r="A1878">
            <v>42066</v>
          </cell>
          <cell r="BF1878">
            <v>19.402037193054554</v>
          </cell>
          <cell r="BG1878">
            <v>17.429620749261797</v>
          </cell>
          <cell r="BH1878">
            <v>16.109902701379674</v>
          </cell>
          <cell r="BI1878">
            <v>13.839355674417275</v>
          </cell>
          <cell r="BJ1878">
            <v>18.380449728342072</v>
          </cell>
          <cell r="BU1878">
            <v>11.675282026267105</v>
          </cell>
          <cell r="BV1878">
            <v>11.522967903511651</v>
          </cell>
          <cell r="BW1878">
            <v>10.055977276238897</v>
          </cell>
          <cell r="BX1878">
            <v>8.6149332270911767</v>
          </cell>
          <cell r="BY1878">
            <v>11.497021325386617</v>
          </cell>
        </row>
        <row r="1879">
          <cell r="A1879">
            <v>42067</v>
          </cell>
          <cell r="BF1879">
            <v>19.465459292763157</v>
          </cell>
          <cell r="BG1879">
            <v>17.429620749261797</v>
          </cell>
          <cell r="BH1879">
            <v>16.109902701379674</v>
          </cell>
          <cell r="BI1879">
            <v>13.839355674417275</v>
          </cell>
          <cell r="BJ1879">
            <v>18.380449728342072</v>
          </cell>
          <cell r="BU1879">
            <v>11.705084791812363</v>
          </cell>
          <cell r="BV1879">
            <v>11.522967903511651</v>
          </cell>
          <cell r="BW1879">
            <v>10.055977276238897</v>
          </cell>
          <cell r="BX1879">
            <v>8.6149332270911767</v>
          </cell>
          <cell r="BY1879">
            <v>11.497021325386617</v>
          </cell>
        </row>
        <row r="1880">
          <cell r="A1880">
            <v>42068</v>
          </cell>
          <cell r="BF1880">
            <v>19.513145439605587</v>
          </cell>
          <cell r="BG1880">
            <v>17.429620749261797</v>
          </cell>
          <cell r="BH1880">
            <v>16.109902701379674</v>
          </cell>
          <cell r="BI1880">
            <v>13.839355674417275</v>
          </cell>
          <cell r="BJ1880">
            <v>18.380449728342072</v>
          </cell>
          <cell r="BU1880">
            <v>11.740621362754352</v>
          </cell>
          <cell r="BV1880">
            <v>11.522967903511651</v>
          </cell>
          <cell r="BW1880">
            <v>10.055977276238897</v>
          </cell>
          <cell r="BX1880">
            <v>8.6149332270911767</v>
          </cell>
          <cell r="BY1880">
            <v>11.497021325386617</v>
          </cell>
        </row>
        <row r="1881">
          <cell r="A1881">
            <v>42069</v>
          </cell>
          <cell r="BF1881">
            <v>19.798686524239933</v>
          </cell>
          <cell r="BG1881">
            <v>17.429620749261797</v>
          </cell>
          <cell r="BH1881">
            <v>16.109902701379674</v>
          </cell>
          <cell r="BI1881">
            <v>13.839355674417275</v>
          </cell>
          <cell r="BJ1881">
            <v>18.380449728342072</v>
          </cell>
          <cell r="BU1881">
            <v>11.899961955352465</v>
          </cell>
          <cell r="BV1881">
            <v>11.522967903511651</v>
          </cell>
          <cell r="BW1881">
            <v>10.055977276238897</v>
          </cell>
          <cell r="BX1881">
            <v>8.6149332270911767</v>
          </cell>
          <cell r="BY1881">
            <v>11.497021325386617</v>
          </cell>
        </row>
        <row r="1882">
          <cell r="A1882">
            <v>42072</v>
          </cell>
          <cell r="BF1882">
            <v>19.461789646672145</v>
          </cell>
          <cell r="BG1882">
            <v>17.429620749261797</v>
          </cell>
          <cell r="BH1882">
            <v>16.109902701379674</v>
          </cell>
          <cell r="BI1882">
            <v>13.839355674417275</v>
          </cell>
          <cell r="BJ1882">
            <v>18.380449728342072</v>
          </cell>
          <cell r="BU1882">
            <v>11.711962652906232</v>
          </cell>
          <cell r="BV1882">
            <v>11.522967903511651</v>
          </cell>
          <cell r="BW1882">
            <v>10.055977276238897</v>
          </cell>
          <cell r="BX1882">
            <v>8.6149332270911767</v>
          </cell>
          <cell r="BY1882">
            <v>11.497021325386617</v>
          </cell>
        </row>
        <row r="1883">
          <cell r="A1883">
            <v>42073</v>
          </cell>
          <cell r="BF1883">
            <v>19.61380690221857</v>
          </cell>
          <cell r="BG1883">
            <v>17.429620749261797</v>
          </cell>
          <cell r="BH1883">
            <v>16.109902701379674</v>
          </cell>
          <cell r="BI1883">
            <v>13.839355674417275</v>
          </cell>
          <cell r="BJ1883">
            <v>18.380449728342072</v>
          </cell>
          <cell r="BU1883">
            <v>11.796791287708272</v>
          </cell>
          <cell r="BV1883">
            <v>11.522967903511651</v>
          </cell>
          <cell r="BW1883">
            <v>10.055977276238897</v>
          </cell>
          <cell r="BX1883">
            <v>8.6149332270911767</v>
          </cell>
          <cell r="BY1883">
            <v>11.497021325386617</v>
          </cell>
        </row>
        <row r="1884">
          <cell r="A1884">
            <v>42074</v>
          </cell>
          <cell r="BF1884">
            <v>19.400165160230074</v>
          </cell>
          <cell r="BG1884">
            <v>17.429620749261797</v>
          </cell>
          <cell r="BH1884">
            <v>16.109902701379674</v>
          </cell>
          <cell r="BI1884">
            <v>13.839355674417275</v>
          </cell>
          <cell r="BJ1884">
            <v>18.380449728342072</v>
          </cell>
          <cell r="BU1884">
            <v>11.67757357670656</v>
          </cell>
          <cell r="BV1884">
            <v>11.522967903511651</v>
          </cell>
          <cell r="BW1884">
            <v>10.055977276238897</v>
          </cell>
          <cell r="BX1884">
            <v>8.6149332270911767</v>
          </cell>
          <cell r="BY1884">
            <v>11.497021325386617</v>
          </cell>
        </row>
        <row r="1885">
          <cell r="A1885">
            <v>42075</v>
          </cell>
          <cell r="BF1885">
            <v>19.291290879211175</v>
          </cell>
          <cell r="BG1885">
            <v>17.429620749261797</v>
          </cell>
          <cell r="BH1885">
            <v>16.109902701379674</v>
          </cell>
          <cell r="BI1885">
            <v>13.839355674417275</v>
          </cell>
          <cell r="BJ1885">
            <v>18.380449728342072</v>
          </cell>
          <cell r="BU1885">
            <v>11.616817111828547</v>
          </cell>
          <cell r="BV1885">
            <v>11.522967903511651</v>
          </cell>
          <cell r="BW1885">
            <v>10.055977276238897</v>
          </cell>
          <cell r="BX1885">
            <v>8.6149332270911767</v>
          </cell>
          <cell r="BY1885">
            <v>11.497021325386617</v>
          </cell>
        </row>
        <row r="1886">
          <cell r="A1886">
            <v>42076</v>
          </cell>
          <cell r="BF1886">
            <v>19.190870070316851</v>
          </cell>
          <cell r="BG1886">
            <v>17.429620749261797</v>
          </cell>
          <cell r="BH1886">
            <v>16.109902701379674</v>
          </cell>
          <cell r="BI1886">
            <v>13.839355674417275</v>
          </cell>
          <cell r="BJ1886">
            <v>18.380449728342072</v>
          </cell>
          <cell r="BU1886">
            <v>11.57975027127617</v>
          </cell>
          <cell r="BV1886">
            <v>11.522967903511651</v>
          </cell>
          <cell r="BW1886">
            <v>10.055977276238897</v>
          </cell>
          <cell r="BX1886">
            <v>8.6149332270911767</v>
          </cell>
          <cell r="BY1886">
            <v>11.497021325386617</v>
          </cell>
        </row>
        <row r="1887">
          <cell r="A1887">
            <v>42079</v>
          </cell>
          <cell r="BF1887">
            <v>18.90716288225666</v>
          </cell>
          <cell r="BG1887">
            <v>17.429620749261797</v>
          </cell>
          <cell r="BH1887">
            <v>16.109902701379674</v>
          </cell>
          <cell r="BI1887">
            <v>13.839355674417275</v>
          </cell>
          <cell r="BJ1887">
            <v>18.380449728342072</v>
          </cell>
          <cell r="BU1887">
            <v>11.384516063330341</v>
          </cell>
          <cell r="BV1887">
            <v>11.522967903511651</v>
          </cell>
          <cell r="BW1887">
            <v>10.055977276238897</v>
          </cell>
          <cell r="BX1887">
            <v>8.6149332270911767</v>
          </cell>
          <cell r="BY1887">
            <v>11.497021325386617</v>
          </cell>
        </row>
        <row r="1888">
          <cell r="A1888">
            <v>42080</v>
          </cell>
          <cell r="BF1888">
            <v>18.663528789888097</v>
          </cell>
          <cell r="BG1888">
            <v>17.429620749261797</v>
          </cell>
          <cell r="BH1888">
            <v>16.109902701379674</v>
          </cell>
          <cell r="BI1888">
            <v>13.839355674417275</v>
          </cell>
          <cell r="BJ1888">
            <v>18.380449728342072</v>
          </cell>
          <cell r="BU1888">
            <v>11.205119145338847</v>
          </cell>
          <cell r="BV1888">
            <v>11.522967903511651</v>
          </cell>
          <cell r="BW1888">
            <v>10.055977276238897</v>
          </cell>
          <cell r="BX1888">
            <v>8.6149332270911767</v>
          </cell>
          <cell r="BY1888">
            <v>11.497021325386617</v>
          </cell>
        </row>
        <row r="1889">
          <cell r="A1889">
            <v>42081</v>
          </cell>
          <cell r="BF1889">
            <v>18.521451747174542</v>
          </cell>
          <cell r="BG1889">
            <v>17.429620749261797</v>
          </cell>
          <cell r="BH1889">
            <v>16.109902701379674</v>
          </cell>
          <cell r="BI1889">
            <v>13.839355674417275</v>
          </cell>
          <cell r="BJ1889">
            <v>18.380449728342072</v>
          </cell>
          <cell r="BU1889">
            <v>11.139625123058755</v>
          </cell>
          <cell r="BV1889">
            <v>11.522967903511651</v>
          </cell>
          <cell r="BW1889">
            <v>10.055977276238897</v>
          </cell>
          <cell r="BX1889">
            <v>8.6149332270911767</v>
          </cell>
          <cell r="BY1889">
            <v>11.497021325386617</v>
          </cell>
        </row>
        <row r="1890">
          <cell r="A1890">
            <v>42082</v>
          </cell>
          <cell r="BF1890">
            <v>18.618914133725077</v>
          </cell>
          <cell r="BG1890">
            <v>17.429620749261797</v>
          </cell>
          <cell r="BH1890">
            <v>16.109902701379674</v>
          </cell>
          <cell r="BI1890">
            <v>13.839355674417275</v>
          </cell>
          <cell r="BJ1890">
            <v>18.380449728342072</v>
          </cell>
          <cell r="BU1890">
            <v>11.19382973596788</v>
          </cell>
          <cell r="BV1890">
            <v>11.522967903511651</v>
          </cell>
          <cell r="BW1890">
            <v>10.055977276238897</v>
          </cell>
          <cell r="BX1890">
            <v>8.6149332270911767</v>
          </cell>
          <cell r="BY1890">
            <v>11.497021325386617</v>
          </cell>
        </row>
        <row r="1891">
          <cell r="A1891">
            <v>42083</v>
          </cell>
          <cell r="BF1891">
            <v>18.704187935272262</v>
          </cell>
          <cell r="BG1891">
            <v>17.429620749261797</v>
          </cell>
          <cell r="BH1891">
            <v>16.109902701379674</v>
          </cell>
          <cell r="BI1891">
            <v>13.839355674417275</v>
          </cell>
          <cell r="BJ1891">
            <v>18.380449728342072</v>
          </cell>
          <cell r="BU1891">
            <v>11.24125555394493</v>
          </cell>
          <cell r="BV1891">
            <v>11.522967903511651</v>
          </cell>
          <cell r="BW1891">
            <v>10.055977276238897</v>
          </cell>
          <cell r="BX1891">
            <v>8.6149332270911767</v>
          </cell>
          <cell r="BY1891">
            <v>11.497021325386617</v>
          </cell>
        </row>
        <row r="1892">
          <cell r="A1892">
            <v>42086</v>
          </cell>
          <cell r="BF1892">
            <v>18.690448244096075</v>
          </cell>
          <cell r="BG1892">
            <v>17.429620749261797</v>
          </cell>
          <cell r="BH1892">
            <v>16.109902701379674</v>
          </cell>
          <cell r="BI1892">
            <v>13.839355674417275</v>
          </cell>
          <cell r="BJ1892">
            <v>18.380449728342072</v>
          </cell>
          <cell r="BU1892">
            <v>11.243516281490161</v>
          </cell>
          <cell r="BV1892">
            <v>11.522967903511651</v>
          </cell>
          <cell r="BW1892">
            <v>10.055977276238897</v>
          </cell>
          <cell r="BX1892">
            <v>8.6149332270911767</v>
          </cell>
          <cell r="BY1892">
            <v>11.497021325386617</v>
          </cell>
        </row>
        <row r="1893">
          <cell r="A1893">
            <v>42087</v>
          </cell>
          <cell r="BF1893">
            <v>18.593078612181262</v>
          </cell>
          <cell r="BG1893">
            <v>17.429620749261797</v>
          </cell>
          <cell r="BH1893">
            <v>16.109902701379674</v>
          </cell>
          <cell r="BI1893">
            <v>13.839355674417275</v>
          </cell>
          <cell r="BJ1893">
            <v>18.380449728342072</v>
          </cell>
          <cell r="BU1893">
            <v>11.189311668581036</v>
          </cell>
          <cell r="BV1893">
            <v>11.522967903511651</v>
          </cell>
          <cell r="BW1893">
            <v>10.055977276238897</v>
          </cell>
          <cell r="BX1893">
            <v>8.6149332270911767</v>
          </cell>
          <cell r="BY1893">
            <v>11.497021325386617</v>
          </cell>
        </row>
        <row r="1894">
          <cell r="A1894">
            <v>42088</v>
          </cell>
          <cell r="BF1894">
            <v>18.65596118835504</v>
          </cell>
          <cell r="BG1894">
            <v>17.429620749261797</v>
          </cell>
          <cell r="BH1894">
            <v>16.109902701379674</v>
          </cell>
          <cell r="BI1894">
            <v>13.839355674417275</v>
          </cell>
          <cell r="BJ1894">
            <v>18.380449728342072</v>
          </cell>
          <cell r="BU1894">
            <v>11.224317713414502</v>
          </cell>
          <cell r="BV1894">
            <v>11.522967903511651</v>
          </cell>
          <cell r="BW1894">
            <v>10.055977276238897</v>
          </cell>
          <cell r="BX1894">
            <v>8.6149332270911767</v>
          </cell>
          <cell r="BY1894">
            <v>11.497021325386617</v>
          </cell>
        </row>
        <row r="1895">
          <cell r="A1895">
            <v>42089</v>
          </cell>
          <cell r="BF1895">
            <v>18.844608511179725</v>
          </cell>
          <cell r="BG1895">
            <v>17.429620749261797</v>
          </cell>
          <cell r="BH1895">
            <v>16.109902701379674</v>
          </cell>
          <cell r="BI1895">
            <v>13.839355674417275</v>
          </cell>
          <cell r="BJ1895">
            <v>18.380449728342072</v>
          </cell>
          <cell r="BU1895">
            <v>11.329335622067999</v>
          </cell>
          <cell r="BV1895">
            <v>11.522967903511651</v>
          </cell>
          <cell r="BW1895">
            <v>10.055977276238897</v>
          </cell>
          <cell r="BX1895">
            <v>8.6149332270911767</v>
          </cell>
          <cell r="BY1895">
            <v>11.497021325386617</v>
          </cell>
        </row>
        <row r="1896">
          <cell r="A1896">
            <v>42090</v>
          </cell>
          <cell r="BF1896">
            <v>18.902887037791459</v>
          </cell>
          <cell r="BG1896">
            <v>17.429620749261797</v>
          </cell>
          <cell r="BH1896">
            <v>16.109902701379674</v>
          </cell>
          <cell r="BI1896">
            <v>13.839355674417275</v>
          </cell>
          <cell r="BJ1896">
            <v>18.380449728342072</v>
          </cell>
          <cell r="BU1896">
            <v>11.345143324672719</v>
          </cell>
          <cell r="BV1896">
            <v>11.522967903511651</v>
          </cell>
          <cell r="BW1896">
            <v>10.055977276238897</v>
          </cell>
          <cell r="BX1896">
            <v>8.6149332270911767</v>
          </cell>
          <cell r="BY1896">
            <v>11.497021325386617</v>
          </cell>
        </row>
        <row r="1897">
          <cell r="A1897">
            <v>42093</v>
          </cell>
          <cell r="BF1897">
            <v>19.01120285614504</v>
          </cell>
          <cell r="BG1897">
            <v>17.429620749261797</v>
          </cell>
          <cell r="BH1897">
            <v>16.109902701379674</v>
          </cell>
          <cell r="BI1897">
            <v>13.839355674417275</v>
          </cell>
          <cell r="BJ1897">
            <v>18.380449728342072</v>
          </cell>
          <cell r="BU1897">
            <v>11.421933757577914</v>
          </cell>
          <cell r="BV1897">
            <v>11.522967903511651</v>
          </cell>
          <cell r="BW1897">
            <v>10.055977276238897</v>
          </cell>
          <cell r="BX1897">
            <v>8.6149332270911767</v>
          </cell>
          <cell r="BY1897">
            <v>11.497021325386617</v>
          </cell>
        </row>
        <row r="1898">
          <cell r="A1898">
            <v>42094</v>
          </cell>
          <cell r="BF1898">
            <v>19.201883269352695</v>
          </cell>
          <cell r="BG1898">
            <v>17.429620749261797</v>
          </cell>
          <cell r="BH1898">
            <v>16.109902701379674</v>
          </cell>
          <cell r="BI1898">
            <v>13.839355674417275</v>
          </cell>
          <cell r="BJ1898">
            <v>18.380449728342072</v>
          </cell>
          <cell r="BU1898">
            <v>11.528082030004027</v>
          </cell>
          <cell r="BV1898">
            <v>11.522967903511651</v>
          </cell>
          <cell r="BW1898">
            <v>10.055977276238897</v>
          </cell>
          <cell r="BX1898">
            <v>8.6149332270911767</v>
          </cell>
          <cell r="BY1898">
            <v>11.497021325386617</v>
          </cell>
        </row>
        <row r="1899">
          <cell r="A1899">
            <v>42095</v>
          </cell>
          <cell r="BF1899">
            <v>19.234340252247282</v>
          </cell>
          <cell r="BG1899">
            <v>17.429620749261797</v>
          </cell>
          <cell r="BH1899">
            <v>16.109902701379674</v>
          </cell>
          <cell r="BI1899">
            <v>13.839355674417275</v>
          </cell>
          <cell r="BJ1899">
            <v>18.380449728342072</v>
          </cell>
          <cell r="BU1899">
            <v>11.546150234307069</v>
          </cell>
          <cell r="BV1899">
            <v>11.522967903511651</v>
          </cell>
          <cell r="BW1899">
            <v>10.055977276238897</v>
          </cell>
          <cell r="BX1899">
            <v>8.6149332270911767</v>
          </cell>
          <cell r="BY1899">
            <v>11.497021325386617</v>
          </cell>
        </row>
        <row r="1900">
          <cell r="A1900">
            <v>42096</v>
          </cell>
          <cell r="BF1900">
            <v>19.150287606175365</v>
          </cell>
          <cell r="BG1900">
            <v>17.429620749261797</v>
          </cell>
          <cell r="BH1900">
            <v>16.109902701379674</v>
          </cell>
          <cell r="BI1900">
            <v>13.839355674417275</v>
          </cell>
          <cell r="BJ1900">
            <v>18.380449728342072</v>
          </cell>
          <cell r="BU1900">
            <v>11.490312141747696</v>
          </cell>
          <cell r="BV1900">
            <v>11.522967903511651</v>
          </cell>
          <cell r="BW1900">
            <v>10.055977276238897</v>
          </cell>
          <cell r="BX1900">
            <v>8.6149332270911767</v>
          </cell>
          <cell r="BY1900">
            <v>11.497021325386617</v>
          </cell>
        </row>
        <row r="1901">
          <cell r="A1901">
            <v>42097</v>
          </cell>
          <cell r="BF1901">
            <v>19.31106822462279</v>
          </cell>
          <cell r="BG1901">
            <v>17.429620749261797</v>
          </cell>
          <cell r="BH1901">
            <v>16.109902701379674</v>
          </cell>
          <cell r="BI1901">
            <v>13.839355674417275</v>
          </cell>
          <cell r="BJ1901">
            <v>18.380449728342072</v>
          </cell>
          <cell r="BU1901">
            <v>11.579809198757621</v>
          </cell>
          <cell r="BV1901">
            <v>11.522967903511651</v>
          </cell>
          <cell r="BW1901">
            <v>10.055977276238897</v>
          </cell>
          <cell r="BX1901">
            <v>8.6149332270911767</v>
          </cell>
          <cell r="BY1901">
            <v>11.497021325386617</v>
          </cell>
        </row>
        <row r="1902">
          <cell r="A1902">
            <v>42100</v>
          </cell>
          <cell r="BF1902">
            <v>19.310579408595149</v>
          </cell>
          <cell r="BG1902">
            <v>17.429620749261797</v>
          </cell>
          <cell r="BH1902">
            <v>16.109902701379674</v>
          </cell>
          <cell r="BI1902">
            <v>13.839355674417275</v>
          </cell>
          <cell r="BJ1902">
            <v>18.380449728342072</v>
          </cell>
          <cell r="BU1902">
            <v>11.579809198757621</v>
          </cell>
          <cell r="BV1902">
            <v>11.522967903511651</v>
          </cell>
          <cell r="BW1902">
            <v>10.055977276238897</v>
          </cell>
          <cell r="BX1902">
            <v>8.6149332270911767</v>
          </cell>
          <cell r="BY1902">
            <v>11.497021325386617</v>
          </cell>
        </row>
        <row r="1903">
          <cell r="A1903">
            <v>42101</v>
          </cell>
          <cell r="BF1903">
            <v>19.083461406172923</v>
          </cell>
          <cell r="BG1903">
            <v>17.429620749261797</v>
          </cell>
          <cell r="BH1903">
            <v>16.109902701379674</v>
          </cell>
          <cell r="BI1903">
            <v>13.839355674417275</v>
          </cell>
          <cell r="BJ1903">
            <v>18.380449728342072</v>
          </cell>
          <cell r="BU1903">
            <v>11.418355657477667</v>
          </cell>
          <cell r="BV1903">
            <v>11.522967903511651</v>
          </cell>
          <cell r="BW1903">
            <v>10.055977276238897</v>
          </cell>
          <cell r="BX1903">
            <v>8.6149332270911767</v>
          </cell>
          <cell r="BY1903">
            <v>11.497021325386617</v>
          </cell>
        </row>
        <row r="1904">
          <cell r="A1904">
            <v>42102</v>
          </cell>
          <cell r="BF1904">
            <v>19.123923115834028</v>
          </cell>
          <cell r="BG1904">
            <v>17.429620749261797</v>
          </cell>
          <cell r="BH1904">
            <v>16.109902701379674</v>
          </cell>
          <cell r="BI1904">
            <v>13.839355674417275</v>
          </cell>
          <cell r="BJ1904">
            <v>18.380449728342072</v>
          </cell>
          <cell r="BU1904">
            <v>11.434455725370436</v>
          </cell>
          <cell r="BV1904">
            <v>11.522967903511651</v>
          </cell>
          <cell r="BW1904">
            <v>10.055977276238897</v>
          </cell>
          <cell r="BX1904">
            <v>8.6149332270911767</v>
          </cell>
          <cell r="BY1904">
            <v>11.497021325386617</v>
          </cell>
        </row>
        <row r="1905">
          <cell r="A1905">
            <v>42103</v>
          </cell>
          <cell r="BF1905">
            <v>19.253415073345423</v>
          </cell>
          <cell r="BG1905">
            <v>17.429620749261797</v>
          </cell>
          <cell r="BH1905">
            <v>16.109902701379674</v>
          </cell>
          <cell r="BI1905">
            <v>13.839355674417275</v>
          </cell>
          <cell r="BJ1905">
            <v>18.380449728342072</v>
          </cell>
          <cell r="BU1905">
            <v>11.506236436378201</v>
          </cell>
          <cell r="BV1905">
            <v>11.522967903511651</v>
          </cell>
          <cell r="BW1905">
            <v>10.055977276238897</v>
          </cell>
          <cell r="BX1905">
            <v>8.6149332270911767</v>
          </cell>
          <cell r="BY1905">
            <v>11.497021325386617</v>
          </cell>
        </row>
        <row r="1906">
          <cell r="A1906">
            <v>42104</v>
          </cell>
          <cell r="BF1906">
            <v>19.358622964088983</v>
          </cell>
          <cell r="BG1906">
            <v>17.429620749261797</v>
          </cell>
          <cell r="BH1906">
            <v>16.109902701379674</v>
          </cell>
          <cell r="BI1906">
            <v>13.839355674417275</v>
          </cell>
          <cell r="BJ1906">
            <v>18.380449728342072</v>
          </cell>
          <cell r="BU1906">
            <v>11.564561965357452</v>
          </cell>
          <cell r="BV1906">
            <v>11.522967903511651</v>
          </cell>
          <cell r="BW1906">
            <v>10.055977276238897</v>
          </cell>
          <cell r="BX1906">
            <v>8.6149332270911767</v>
          </cell>
          <cell r="BY1906">
            <v>11.497021325386617</v>
          </cell>
        </row>
        <row r="1907">
          <cell r="A1907">
            <v>42107</v>
          </cell>
          <cell r="BF1907">
            <v>19.255072636351972</v>
          </cell>
          <cell r="BG1907">
            <v>17.429620749261797</v>
          </cell>
          <cell r="BH1907">
            <v>16.109902701379674</v>
          </cell>
          <cell r="BI1907">
            <v>13.839355674417275</v>
          </cell>
          <cell r="BJ1907">
            <v>18.380449728342072</v>
          </cell>
          <cell r="BU1907">
            <v>11.524519694638183</v>
          </cell>
          <cell r="BV1907">
            <v>11.522967903511651</v>
          </cell>
          <cell r="BW1907">
            <v>10.055977276238897</v>
          </cell>
          <cell r="BX1907">
            <v>8.6149332270911767</v>
          </cell>
          <cell r="BY1907">
            <v>11.497021325386617</v>
          </cell>
        </row>
        <row r="1908">
          <cell r="A1908">
            <v>42108</v>
          </cell>
          <cell r="BF1908">
            <v>19.180396143031341</v>
          </cell>
          <cell r="BG1908">
            <v>17.429620749261797</v>
          </cell>
          <cell r="BH1908">
            <v>16.109902701379674</v>
          </cell>
          <cell r="BI1908">
            <v>13.839355674417275</v>
          </cell>
          <cell r="BJ1908">
            <v>18.380449728342072</v>
          </cell>
          <cell r="BU1908">
            <v>11.473234882647072</v>
          </cell>
          <cell r="BV1908">
            <v>11.522967903511651</v>
          </cell>
          <cell r="BW1908">
            <v>10.055977276238897</v>
          </cell>
          <cell r="BX1908">
            <v>8.6149332270911767</v>
          </cell>
          <cell r="BY1908">
            <v>11.497021325386617</v>
          </cell>
        </row>
        <row r="1909">
          <cell r="A1909">
            <v>42109</v>
          </cell>
          <cell r="BF1909">
            <v>19.272801124951801</v>
          </cell>
          <cell r="BG1909">
            <v>17.429620749261797</v>
          </cell>
          <cell r="BH1909">
            <v>16.109902701379674</v>
          </cell>
          <cell r="BI1909">
            <v>13.839355674417275</v>
          </cell>
          <cell r="BJ1909">
            <v>18.380449728342072</v>
          </cell>
          <cell r="BU1909">
            <v>11.524519694638183</v>
          </cell>
          <cell r="BV1909">
            <v>11.522967903511651</v>
          </cell>
          <cell r="BW1909">
            <v>10.055977276238897</v>
          </cell>
          <cell r="BX1909">
            <v>8.6149332270911767</v>
          </cell>
          <cell r="BY1909">
            <v>11.497021325386617</v>
          </cell>
        </row>
        <row r="1910">
          <cell r="A1910">
            <v>42110</v>
          </cell>
          <cell r="BF1910">
            <v>19.337085174771012</v>
          </cell>
          <cell r="BG1910">
            <v>17.429620749261797</v>
          </cell>
          <cell r="BH1910">
            <v>16.109902701379674</v>
          </cell>
          <cell r="BI1910">
            <v>13.839355674417275</v>
          </cell>
          <cell r="BJ1910">
            <v>18.380449728342072</v>
          </cell>
          <cell r="BU1910">
            <v>11.560197375002254</v>
          </cell>
          <cell r="BV1910">
            <v>11.522967903511651</v>
          </cell>
          <cell r="BW1910">
            <v>10.055977276238897</v>
          </cell>
          <cell r="BX1910">
            <v>8.6149332270911767</v>
          </cell>
          <cell r="BY1910">
            <v>11.497021325386617</v>
          </cell>
        </row>
        <row r="1911">
          <cell r="A1911">
            <v>42111</v>
          </cell>
          <cell r="BF1911">
            <v>19.212538368824838</v>
          </cell>
          <cell r="BG1911">
            <v>17.429620749261797</v>
          </cell>
          <cell r="BH1911">
            <v>16.109902701379674</v>
          </cell>
          <cell r="BI1911">
            <v>13.839355674417275</v>
          </cell>
          <cell r="BJ1911">
            <v>18.380449728342072</v>
          </cell>
          <cell r="BU1911">
            <v>11.491070489599945</v>
          </cell>
          <cell r="BV1911">
            <v>11.522967903511651</v>
          </cell>
          <cell r="BW1911">
            <v>10.055977276238897</v>
          </cell>
          <cell r="BX1911">
            <v>8.6149332270911767</v>
          </cell>
          <cell r="BY1911">
            <v>11.497021325386617</v>
          </cell>
        </row>
        <row r="1912">
          <cell r="A1912">
            <v>42114</v>
          </cell>
          <cell r="BF1912">
            <v>19.27660655134542</v>
          </cell>
          <cell r="BG1912">
            <v>17.429620749261797</v>
          </cell>
          <cell r="BH1912">
            <v>16.109902701379674</v>
          </cell>
          <cell r="BI1912">
            <v>13.839355674417275</v>
          </cell>
          <cell r="BJ1912">
            <v>18.380449728342072</v>
          </cell>
          <cell r="BU1912">
            <v>11.512803152386716</v>
          </cell>
          <cell r="BV1912">
            <v>11.522967903511651</v>
          </cell>
          <cell r="BW1912">
            <v>10.055977276238897</v>
          </cell>
          <cell r="BX1912">
            <v>8.6149332270911767</v>
          </cell>
          <cell r="BY1912">
            <v>11.497021325386617</v>
          </cell>
        </row>
        <row r="1913">
          <cell r="A1913">
            <v>42115</v>
          </cell>
          <cell r="BF1913">
            <v>19.20032442199151</v>
          </cell>
          <cell r="BG1913">
            <v>17.429620749261797</v>
          </cell>
          <cell r="BH1913">
            <v>16.109902701379674</v>
          </cell>
          <cell r="BI1913">
            <v>13.839355674417275</v>
          </cell>
          <cell r="BJ1913">
            <v>18.380449728342072</v>
          </cell>
          <cell r="BU1913">
            <v>11.470515391837578</v>
          </cell>
          <cell r="BV1913">
            <v>11.522967903511651</v>
          </cell>
          <cell r="BW1913">
            <v>10.055977276238897</v>
          </cell>
          <cell r="BX1913">
            <v>8.6149332270911767</v>
          </cell>
          <cell r="BY1913">
            <v>11.497021325386617</v>
          </cell>
        </row>
        <row r="1914">
          <cell r="A1914">
            <v>42116</v>
          </cell>
          <cell r="BF1914">
            <v>19.364939672769456</v>
          </cell>
          <cell r="BG1914">
            <v>17.429620749261797</v>
          </cell>
          <cell r="BH1914">
            <v>16.109902701379674</v>
          </cell>
          <cell r="BI1914">
            <v>13.839355674417275</v>
          </cell>
          <cell r="BJ1914">
            <v>18.380449728342072</v>
          </cell>
          <cell r="BU1914">
            <v>11.56177150079251</v>
          </cell>
          <cell r="BV1914">
            <v>11.522967903511651</v>
          </cell>
          <cell r="BW1914">
            <v>10.055977276238897</v>
          </cell>
          <cell r="BX1914">
            <v>8.6149332270911767</v>
          </cell>
          <cell r="BY1914">
            <v>11.497021325386617</v>
          </cell>
        </row>
        <row r="1915">
          <cell r="A1915">
            <v>42117</v>
          </cell>
          <cell r="BF1915">
            <v>19.513503663802364</v>
          </cell>
          <cell r="BG1915">
            <v>17.429620749261797</v>
          </cell>
          <cell r="BH1915">
            <v>16.109902701379674</v>
          </cell>
          <cell r="BI1915">
            <v>13.839355674417275</v>
          </cell>
          <cell r="BJ1915">
            <v>18.380449728342072</v>
          </cell>
          <cell r="BU1915">
            <v>11.64412943353816</v>
          </cell>
          <cell r="BV1915">
            <v>11.522967903511651</v>
          </cell>
          <cell r="BW1915">
            <v>10.055977276238897</v>
          </cell>
          <cell r="BX1915">
            <v>8.6149332270911767</v>
          </cell>
          <cell r="BY1915">
            <v>11.497021325386617</v>
          </cell>
        </row>
        <row r="1916">
          <cell r="A1916">
            <v>42118</v>
          </cell>
          <cell r="BF1916">
            <v>19.429183256936494</v>
          </cell>
          <cell r="BG1916">
            <v>17.429620749261797</v>
          </cell>
          <cell r="BH1916">
            <v>16.109902701379674</v>
          </cell>
          <cell r="BI1916">
            <v>13.839355674417275</v>
          </cell>
          <cell r="BJ1916">
            <v>18.380449728342072</v>
          </cell>
          <cell r="BU1916">
            <v>11.597385573539091</v>
          </cell>
          <cell r="BV1916">
            <v>11.522967903511651</v>
          </cell>
          <cell r="BW1916">
            <v>10.055977276238897</v>
          </cell>
          <cell r="BX1916">
            <v>8.6149332270911767</v>
          </cell>
          <cell r="BY1916">
            <v>11.497021325386617</v>
          </cell>
        </row>
        <row r="1917">
          <cell r="A1917">
            <v>42121</v>
          </cell>
          <cell r="BF1917">
            <v>19.224413959248512</v>
          </cell>
          <cell r="BG1917">
            <v>17.429620749261797</v>
          </cell>
          <cell r="BH1917">
            <v>16.109902701379674</v>
          </cell>
          <cell r="BI1917">
            <v>13.839355674417275</v>
          </cell>
          <cell r="BJ1917">
            <v>18.380449728342072</v>
          </cell>
          <cell r="BU1917">
            <v>11.483869667496789</v>
          </cell>
          <cell r="BV1917">
            <v>11.522967903511651</v>
          </cell>
          <cell r="BW1917">
            <v>10.055977276238897</v>
          </cell>
          <cell r="BX1917">
            <v>8.6149332270911767</v>
          </cell>
          <cell r="BY1917">
            <v>11.497021325386617</v>
          </cell>
        </row>
        <row r="1918">
          <cell r="A1918">
            <v>42122</v>
          </cell>
          <cell r="BF1918">
            <v>19.441228226321176</v>
          </cell>
          <cell r="BG1918">
            <v>17.429620749261797</v>
          </cell>
          <cell r="BH1918">
            <v>16.109902701379674</v>
          </cell>
          <cell r="BI1918">
            <v>13.839355674417275</v>
          </cell>
          <cell r="BJ1918">
            <v>18.380449728342072</v>
          </cell>
          <cell r="BU1918">
            <v>11.604062822659891</v>
          </cell>
          <cell r="BV1918">
            <v>11.522967903511651</v>
          </cell>
          <cell r="BW1918">
            <v>10.055977276238897</v>
          </cell>
          <cell r="BX1918">
            <v>8.6149332270911767</v>
          </cell>
          <cell r="BY1918">
            <v>11.497021325386617</v>
          </cell>
        </row>
        <row r="1919">
          <cell r="A1919">
            <v>42123</v>
          </cell>
          <cell r="BF1919">
            <v>19.632059405942655</v>
          </cell>
          <cell r="BG1919">
            <v>17.429620749261797</v>
          </cell>
          <cell r="BH1919">
            <v>16.109902701379674</v>
          </cell>
          <cell r="BI1919">
            <v>13.839355674417275</v>
          </cell>
          <cell r="BJ1919">
            <v>18.380449728342072</v>
          </cell>
          <cell r="BU1919">
            <v>11.707086355033237</v>
          </cell>
          <cell r="BV1919">
            <v>11.522967903511651</v>
          </cell>
          <cell r="BW1919">
            <v>10.055977276238897</v>
          </cell>
          <cell r="BX1919">
            <v>8.6149332270911767</v>
          </cell>
          <cell r="BY1919">
            <v>11.497021325386617</v>
          </cell>
        </row>
        <row r="1920">
          <cell r="A1920">
            <v>42124</v>
          </cell>
          <cell r="BF1920">
            <v>19.814931943255342</v>
          </cell>
          <cell r="BG1920">
            <v>17.429620749261797</v>
          </cell>
          <cell r="BH1920">
            <v>16.109902701379674</v>
          </cell>
          <cell r="BI1920">
            <v>13.839355674417275</v>
          </cell>
          <cell r="BJ1920">
            <v>18.380449728342072</v>
          </cell>
          <cell r="BU1920">
            <v>11.80831290428581</v>
          </cell>
          <cell r="BV1920">
            <v>11.522967903511651</v>
          </cell>
          <cell r="BW1920">
            <v>10.055977276238897</v>
          </cell>
          <cell r="BX1920">
            <v>8.6149332270911767</v>
          </cell>
          <cell r="BY1920">
            <v>11.497021325386617</v>
          </cell>
        </row>
        <row r="1921">
          <cell r="A1921">
            <v>42125</v>
          </cell>
          <cell r="BF1921">
            <v>19.776798891077828</v>
          </cell>
          <cell r="BG1921">
            <v>17.429620749261797</v>
          </cell>
          <cell r="BH1921">
            <v>16.109902701379674</v>
          </cell>
          <cell r="BI1921">
            <v>13.839355674417275</v>
          </cell>
          <cell r="BJ1921">
            <v>18.380449728342072</v>
          </cell>
          <cell r="BU1921">
            <v>11.787174920861492</v>
          </cell>
          <cell r="BV1921">
            <v>11.522967903511651</v>
          </cell>
          <cell r="BW1921">
            <v>10.055977276238897</v>
          </cell>
          <cell r="BX1921">
            <v>8.6149332270911767</v>
          </cell>
          <cell r="BY1921">
            <v>11.497021325386617</v>
          </cell>
        </row>
        <row r="1922">
          <cell r="A1922">
            <v>42128</v>
          </cell>
          <cell r="BF1922">
            <v>19.883629213485232</v>
          </cell>
          <cell r="BG1922">
            <v>17.429620749261797</v>
          </cell>
          <cell r="BH1922">
            <v>16.109902701379674</v>
          </cell>
          <cell r="BI1922">
            <v>13.839355674417275</v>
          </cell>
          <cell r="BJ1922">
            <v>18.380449728342072</v>
          </cell>
          <cell r="BU1922">
            <v>11.849468969133117</v>
          </cell>
          <cell r="BV1922">
            <v>11.522967903511651</v>
          </cell>
          <cell r="BW1922">
            <v>10.055977276238897</v>
          </cell>
          <cell r="BX1922">
            <v>8.6149332270911767</v>
          </cell>
          <cell r="BY1922">
            <v>11.497021325386617</v>
          </cell>
        </row>
        <row r="1923">
          <cell r="A1923">
            <v>42129</v>
          </cell>
          <cell r="BF1923">
            <v>19.771270064207531</v>
          </cell>
          <cell r="BG1923">
            <v>17.429620749261797</v>
          </cell>
          <cell r="BH1923">
            <v>16.109902701379674</v>
          </cell>
          <cell r="BI1923">
            <v>13.839355674417275</v>
          </cell>
          <cell r="BJ1923">
            <v>18.380449728342072</v>
          </cell>
          <cell r="BU1923">
            <v>11.787178257875798</v>
          </cell>
          <cell r="BV1923">
            <v>11.522967903511651</v>
          </cell>
          <cell r="BW1923">
            <v>10.055977276238897</v>
          </cell>
          <cell r="BX1923">
            <v>8.6149332270911767</v>
          </cell>
          <cell r="BY1923">
            <v>11.497021325386617</v>
          </cell>
        </row>
        <row r="1924">
          <cell r="A1924">
            <v>42130</v>
          </cell>
          <cell r="BF1924">
            <v>19.550562600323079</v>
          </cell>
          <cell r="BG1924">
            <v>17.429620749261797</v>
          </cell>
          <cell r="BH1924">
            <v>16.109902701379674</v>
          </cell>
          <cell r="BI1924">
            <v>13.839355674417275</v>
          </cell>
          <cell r="BJ1924">
            <v>18.380449728342072</v>
          </cell>
          <cell r="BU1924">
            <v>11.664820399227521</v>
          </cell>
          <cell r="BV1924">
            <v>11.522967903511651</v>
          </cell>
          <cell r="BW1924">
            <v>10.055977276238897</v>
          </cell>
          <cell r="BX1924">
            <v>8.6149332270911767</v>
          </cell>
          <cell r="BY1924">
            <v>11.497021325386617</v>
          </cell>
        </row>
        <row r="1925">
          <cell r="A1925">
            <v>42131</v>
          </cell>
          <cell r="BF1925">
            <v>19.534507624400124</v>
          </cell>
          <cell r="BG1925">
            <v>17.429620749261797</v>
          </cell>
          <cell r="BH1925">
            <v>16.109902701379674</v>
          </cell>
          <cell r="BI1925">
            <v>13.839355674417275</v>
          </cell>
          <cell r="BJ1925">
            <v>18.380449728342072</v>
          </cell>
          <cell r="BU1925">
            <v>11.65591969220109</v>
          </cell>
          <cell r="BV1925">
            <v>11.522967903511651</v>
          </cell>
          <cell r="BW1925">
            <v>10.055977276238897</v>
          </cell>
          <cell r="BX1925">
            <v>8.6149332270911767</v>
          </cell>
          <cell r="BY1925">
            <v>11.497021325386617</v>
          </cell>
        </row>
        <row r="1926">
          <cell r="A1926">
            <v>42132</v>
          </cell>
          <cell r="BF1926">
            <v>19.58667656501008</v>
          </cell>
          <cell r="BG1926">
            <v>17.429620749261797</v>
          </cell>
          <cell r="BH1926">
            <v>16.109902701379674</v>
          </cell>
          <cell r="BI1926">
            <v>13.839355674417275</v>
          </cell>
          <cell r="BJ1926">
            <v>18.380449728342072</v>
          </cell>
          <cell r="BU1926">
            <v>11.6848415951972</v>
          </cell>
          <cell r="BV1926">
            <v>11.522967903511651</v>
          </cell>
          <cell r="BW1926">
            <v>10.055977276238897</v>
          </cell>
          <cell r="BX1926">
            <v>8.6149332270911767</v>
          </cell>
          <cell r="BY1926">
            <v>11.497021325386617</v>
          </cell>
        </row>
        <row r="1927">
          <cell r="A1927">
            <v>42135</v>
          </cell>
          <cell r="BF1927">
            <v>19.316576784799153</v>
          </cell>
          <cell r="BG1927">
            <v>17.429620749261797</v>
          </cell>
          <cell r="BH1927">
            <v>16.109902701379674</v>
          </cell>
          <cell r="BI1927">
            <v>13.839355674417275</v>
          </cell>
          <cell r="BJ1927">
            <v>18.380449728342072</v>
          </cell>
          <cell r="BU1927">
            <v>11.409395209049764</v>
          </cell>
          <cell r="BV1927">
            <v>11.522967903511651</v>
          </cell>
          <cell r="BW1927">
            <v>10.055977276238897</v>
          </cell>
          <cell r="BX1927">
            <v>8.6149332270911767</v>
          </cell>
          <cell r="BY1927">
            <v>11.497021325386617</v>
          </cell>
        </row>
        <row r="1928">
          <cell r="A1928">
            <v>42136</v>
          </cell>
          <cell r="BF1928">
            <v>19.535652670912267</v>
          </cell>
          <cell r="BG1928">
            <v>17.429620749261797</v>
          </cell>
          <cell r="BH1928">
            <v>16.109902701379674</v>
          </cell>
          <cell r="BI1928">
            <v>13.839355674417275</v>
          </cell>
          <cell r="BJ1928">
            <v>18.380449728342072</v>
          </cell>
          <cell r="BU1928">
            <v>11.438764724794815</v>
          </cell>
          <cell r="BV1928">
            <v>11.522967903511651</v>
          </cell>
          <cell r="BW1928">
            <v>10.055977276238897</v>
          </cell>
          <cell r="BX1928">
            <v>8.6149332270911767</v>
          </cell>
          <cell r="BY1928">
            <v>11.497021325386617</v>
          </cell>
        </row>
        <row r="1929">
          <cell r="A1929">
            <v>42137</v>
          </cell>
          <cell r="BF1929">
            <v>19.576953870788941</v>
          </cell>
          <cell r="BG1929">
            <v>17.429620749261797</v>
          </cell>
          <cell r="BH1929">
            <v>16.109902701379674</v>
          </cell>
          <cell r="BI1929">
            <v>13.839355674417275</v>
          </cell>
          <cell r="BJ1929">
            <v>18.380449728342072</v>
          </cell>
          <cell r="BU1929">
            <v>11.493755805245099</v>
          </cell>
          <cell r="BV1929">
            <v>11.522967903511651</v>
          </cell>
          <cell r="BW1929">
            <v>10.055977276238897</v>
          </cell>
          <cell r="BX1929">
            <v>8.6149332270911767</v>
          </cell>
          <cell r="BY1929">
            <v>11.497021325386617</v>
          </cell>
        </row>
        <row r="1930">
          <cell r="A1930">
            <v>42138</v>
          </cell>
          <cell r="BF1930">
            <v>19.371963286268759</v>
          </cell>
          <cell r="BG1930">
            <v>17.429620749261797</v>
          </cell>
          <cell r="BH1930">
            <v>16.109902701379674</v>
          </cell>
          <cell r="BI1930">
            <v>13.839355674417275</v>
          </cell>
          <cell r="BJ1930">
            <v>18.380449728342072</v>
          </cell>
          <cell r="BU1930">
            <v>11.508148799682772</v>
          </cell>
          <cell r="BV1930">
            <v>11.522967903511651</v>
          </cell>
          <cell r="BW1930">
            <v>10.055977276238897</v>
          </cell>
          <cell r="BX1930">
            <v>8.6149332270911767</v>
          </cell>
          <cell r="BY1930">
            <v>11.497021325386617</v>
          </cell>
        </row>
        <row r="1931">
          <cell r="A1931">
            <v>42139</v>
          </cell>
          <cell r="BF1931">
            <v>19.389977025153499</v>
          </cell>
          <cell r="BG1931">
            <v>17.429620749261797</v>
          </cell>
          <cell r="BH1931">
            <v>16.109902701379674</v>
          </cell>
          <cell r="BI1931">
            <v>13.839355674417275</v>
          </cell>
          <cell r="BJ1931">
            <v>18.380449728342072</v>
          </cell>
          <cell r="BU1931">
            <v>11.510793510730336</v>
          </cell>
          <cell r="BV1931">
            <v>11.522967903511651</v>
          </cell>
          <cell r="BW1931">
            <v>10.055977276238897</v>
          </cell>
          <cell r="BX1931">
            <v>8.6149332270911767</v>
          </cell>
          <cell r="BY1931">
            <v>11.497021325386617</v>
          </cell>
        </row>
        <row r="1932">
          <cell r="A1932">
            <v>42142</v>
          </cell>
          <cell r="BF1932">
            <v>19.465240641711233</v>
          </cell>
          <cell r="BG1932">
            <v>17.429620749261797</v>
          </cell>
          <cell r="BH1932">
            <v>16.109902701379674</v>
          </cell>
          <cell r="BI1932">
            <v>13.839355674417275</v>
          </cell>
          <cell r="BJ1932">
            <v>18.380449728342072</v>
          </cell>
          <cell r="BU1932">
            <v>11.552775627710938</v>
          </cell>
          <cell r="BV1932">
            <v>11.522967903511651</v>
          </cell>
          <cell r="BW1932">
            <v>10.055977276238897</v>
          </cell>
          <cell r="BX1932">
            <v>8.6149332270911767</v>
          </cell>
          <cell r="BY1932">
            <v>11.497021325386617</v>
          </cell>
        </row>
        <row r="1933">
          <cell r="A1933">
            <v>42143</v>
          </cell>
          <cell r="BF1933">
            <v>19.639533372945138</v>
          </cell>
          <cell r="BG1933">
            <v>17.429620749261797</v>
          </cell>
          <cell r="BH1933">
            <v>16.109902701379674</v>
          </cell>
          <cell r="BI1933">
            <v>13.839355674417275</v>
          </cell>
          <cell r="BJ1933">
            <v>18.380449728342072</v>
          </cell>
          <cell r="BU1933">
            <v>11.649996279151701</v>
          </cell>
          <cell r="BV1933">
            <v>11.522967903511651</v>
          </cell>
          <cell r="BW1933">
            <v>10.055977276238897</v>
          </cell>
          <cell r="BX1933">
            <v>8.6149332270911767</v>
          </cell>
          <cell r="BY1933">
            <v>11.497021325386617</v>
          </cell>
        </row>
        <row r="1934">
          <cell r="A1934">
            <v>42144</v>
          </cell>
          <cell r="BF1934">
            <v>19.247374529609825</v>
          </cell>
          <cell r="BG1934">
            <v>17.429620749261797</v>
          </cell>
          <cell r="BH1934">
            <v>16.109902701379674</v>
          </cell>
          <cell r="BI1934">
            <v>13.839355674417275</v>
          </cell>
          <cell r="BJ1934">
            <v>18.380449728342072</v>
          </cell>
          <cell r="BU1934">
            <v>11.431249702932476</v>
          </cell>
          <cell r="BV1934">
            <v>11.522967903511651</v>
          </cell>
          <cell r="BW1934">
            <v>10.055977276238897</v>
          </cell>
          <cell r="BX1934">
            <v>8.6149332270911767</v>
          </cell>
          <cell r="BY1934">
            <v>11.497021325386617</v>
          </cell>
        </row>
        <row r="1935">
          <cell r="A1935">
            <v>42145</v>
          </cell>
          <cell r="BF1935">
            <v>19.302830659536543</v>
          </cell>
          <cell r="BG1935">
            <v>17.429620749261797</v>
          </cell>
          <cell r="BH1935">
            <v>16.109902701379674</v>
          </cell>
          <cell r="BI1935">
            <v>13.839355674417275</v>
          </cell>
          <cell r="BJ1935">
            <v>18.380449728342072</v>
          </cell>
          <cell r="BU1935">
            <v>11.462183185009957</v>
          </cell>
          <cell r="BV1935">
            <v>11.522967903511651</v>
          </cell>
          <cell r="BW1935">
            <v>10.055977276238897</v>
          </cell>
          <cell r="BX1935">
            <v>8.6149332270911767</v>
          </cell>
          <cell r="BY1935">
            <v>11.497021325386617</v>
          </cell>
        </row>
        <row r="1936">
          <cell r="A1936">
            <v>42146</v>
          </cell>
          <cell r="BF1936">
            <v>19.485047732224203</v>
          </cell>
          <cell r="BG1936">
            <v>17.429620749261797</v>
          </cell>
          <cell r="BH1936">
            <v>16.109902701379674</v>
          </cell>
          <cell r="BI1936">
            <v>13.839355674417275</v>
          </cell>
          <cell r="BJ1936">
            <v>18.380449728342072</v>
          </cell>
          <cell r="BU1936">
            <v>11.563820727333715</v>
          </cell>
          <cell r="BV1936">
            <v>11.522967903511651</v>
          </cell>
          <cell r="BW1936">
            <v>10.055977276238897</v>
          </cell>
          <cell r="BX1936">
            <v>8.6149332270911767</v>
          </cell>
          <cell r="BY1936">
            <v>11.497021325386617</v>
          </cell>
        </row>
        <row r="1937">
          <cell r="A1937">
            <v>42149</v>
          </cell>
          <cell r="BF1937">
            <v>19.465240641711233</v>
          </cell>
          <cell r="BG1937">
            <v>17.429620749261797</v>
          </cell>
          <cell r="BH1937">
            <v>16.109902701379674</v>
          </cell>
          <cell r="BI1937">
            <v>13.839355674417275</v>
          </cell>
          <cell r="BJ1937">
            <v>18.380449728342072</v>
          </cell>
          <cell r="BU1937">
            <v>11.552775627710938</v>
          </cell>
          <cell r="BV1937">
            <v>11.522967903511651</v>
          </cell>
          <cell r="BW1937">
            <v>10.055977276238897</v>
          </cell>
          <cell r="BX1937">
            <v>8.6149332270911767</v>
          </cell>
          <cell r="BY1937">
            <v>11.497021325386617</v>
          </cell>
        </row>
        <row r="1938">
          <cell r="A1938">
            <v>42150</v>
          </cell>
          <cell r="BF1938">
            <v>19.425626460685287</v>
          </cell>
          <cell r="BG1938">
            <v>17.429620749261797</v>
          </cell>
          <cell r="BH1938">
            <v>16.109902701379674</v>
          </cell>
          <cell r="BI1938">
            <v>13.839355674417275</v>
          </cell>
          <cell r="BJ1938">
            <v>18.380449728342072</v>
          </cell>
          <cell r="BU1938">
            <v>11.530678799814735</v>
          </cell>
          <cell r="BV1938">
            <v>11.522967903511651</v>
          </cell>
          <cell r="BW1938">
            <v>10.055977276238897</v>
          </cell>
          <cell r="BX1938">
            <v>8.6149332270911767</v>
          </cell>
          <cell r="BY1938">
            <v>11.497021325386617</v>
          </cell>
        </row>
        <row r="1939">
          <cell r="A1939">
            <v>42151</v>
          </cell>
          <cell r="BF1939">
            <v>19.306795801148745</v>
          </cell>
          <cell r="BG1939">
            <v>17.429620749261797</v>
          </cell>
          <cell r="BH1939">
            <v>16.109902701379674</v>
          </cell>
          <cell r="BI1939">
            <v>13.839355674417275</v>
          </cell>
          <cell r="BJ1939">
            <v>18.380449728342072</v>
          </cell>
          <cell r="BU1939">
            <v>11.46439494477678</v>
          </cell>
          <cell r="BV1939">
            <v>11.522967903511651</v>
          </cell>
          <cell r="BW1939">
            <v>10.055977276238897</v>
          </cell>
          <cell r="BX1939">
            <v>8.6149332270911767</v>
          </cell>
          <cell r="BY1939">
            <v>11.497021325386617</v>
          </cell>
        </row>
        <row r="1940">
          <cell r="A1940">
            <v>42152</v>
          </cell>
          <cell r="BF1940">
            <v>19.483524685861287</v>
          </cell>
          <cell r="BG1940">
            <v>17.429620749261797</v>
          </cell>
          <cell r="BH1940">
            <v>16.109902701379674</v>
          </cell>
          <cell r="BI1940">
            <v>13.839355674417275</v>
          </cell>
          <cell r="BJ1940">
            <v>18.380449728342072</v>
          </cell>
          <cell r="BU1940">
            <v>11.572660695840318</v>
          </cell>
          <cell r="BV1940">
            <v>11.522967903511651</v>
          </cell>
          <cell r="BW1940">
            <v>10.055977276238897</v>
          </cell>
          <cell r="BX1940">
            <v>8.6149332270911767</v>
          </cell>
          <cell r="BY1940">
            <v>11.497021325386617</v>
          </cell>
        </row>
        <row r="1941">
          <cell r="A1941">
            <v>42153</v>
          </cell>
          <cell r="BF1941">
            <v>19.436034827347385</v>
          </cell>
          <cell r="BG1941">
            <v>17.429620749261797</v>
          </cell>
          <cell r="BH1941">
            <v>16.109902701379674</v>
          </cell>
          <cell r="BI1941">
            <v>13.839355674417275</v>
          </cell>
          <cell r="BJ1941">
            <v>18.380449728342072</v>
          </cell>
          <cell r="BU1941">
            <v>11.546143883690814</v>
          </cell>
          <cell r="BV1941">
            <v>11.522967903511651</v>
          </cell>
          <cell r="BW1941">
            <v>10.055977276238897</v>
          </cell>
          <cell r="BX1941">
            <v>8.6149332270911767</v>
          </cell>
          <cell r="BY1941">
            <v>11.497021325386617</v>
          </cell>
        </row>
        <row r="1942">
          <cell r="A1942">
            <v>42156</v>
          </cell>
          <cell r="BF1942">
            <v>19.384583358068667</v>
          </cell>
          <cell r="BG1942">
            <v>17.429620749261797</v>
          </cell>
          <cell r="BH1942">
            <v>16.109902701379674</v>
          </cell>
          <cell r="BI1942">
            <v>13.839355674417275</v>
          </cell>
          <cell r="BJ1942">
            <v>18.380449728342072</v>
          </cell>
          <cell r="BU1942">
            <v>11.499440425774841</v>
          </cell>
          <cell r="BV1942">
            <v>11.522967903511651</v>
          </cell>
          <cell r="BW1942">
            <v>10.055977276238897</v>
          </cell>
          <cell r="BX1942">
            <v>8.6149332270911767</v>
          </cell>
          <cell r="BY1942">
            <v>11.497021325386617</v>
          </cell>
        </row>
        <row r="1943">
          <cell r="A1943">
            <v>42157</v>
          </cell>
          <cell r="BF1943">
            <v>19.400417532403285</v>
          </cell>
          <cell r="BG1943">
            <v>17.429620749261797</v>
          </cell>
          <cell r="BH1943">
            <v>16.109902701379674</v>
          </cell>
          <cell r="BI1943">
            <v>13.839355674417275</v>
          </cell>
          <cell r="BJ1943">
            <v>18.380449728342072</v>
          </cell>
          <cell r="BU1943">
            <v>11.508266813536991</v>
          </cell>
          <cell r="BV1943">
            <v>11.522967903511651</v>
          </cell>
          <cell r="BW1943">
            <v>10.055977276238897</v>
          </cell>
          <cell r="BX1943">
            <v>8.6149332270911767</v>
          </cell>
          <cell r="BY1943">
            <v>11.497021325386617</v>
          </cell>
        </row>
        <row r="1944">
          <cell r="A1944">
            <v>42158</v>
          </cell>
          <cell r="BF1944">
            <v>19.717030968635601</v>
          </cell>
          <cell r="BG1944">
            <v>17.429620749261797</v>
          </cell>
          <cell r="BH1944">
            <v>16.109902701379674</v>
          </cell>
          <cell r="BI1944">
            <v>13.839355674417275</v>
          </cell>
          <cell r="BJ1944">
            <v>18.380449728342072</v>
          </cell>
          <cell r="BU1944">
            <v>11.684755520799975</v>
          </cell>
          <cell r="BV1944">
            <v>11.522967903511651</v>
          </cell>
          <cell r="BW1944">
            <v>10.055977276238897</v>
          </cell>
          <cell r="BX1944">
            <v>8.6149332270911767</v>
          </cell>
          <cell r="BY1944">
            <v>11.497021325386617</v>
          </cell>
        </row>
        <row r="1945">
          <cell r="A1945">
            <v>42159</v>
          </cell>
          <cell r="BF1945">
            <v>19.275750272088654</v>
          </cell>
          <cell r="BG1945">
            <v>17.429620749261797</v>
          </cell>
          <cell r="BH1945">
            <v>16.109902701379674</v>
          </cell>
          <cell r="BI1945">
            <v>13.839355674417275</v>
          </cell>
          <cell r="BJ1945">
            <v>18.380449728342072</v>
          </cell>
          <cell r="BU1945">
            <v>11.438773983817653</v>
          </cell>
          <cell r="BV1945">
            <v>11.522967903511651</v>
          </cell>
          <cell r="BW1945">
            <v>10.055977276238897</v>
          </cell>
          <cell r="BX1945">
            <v>8.6149332270911767</v>
          </cell>
          <cell r="BY1945">
            <v>11.497021325386617</v>
          </cell>
        </row>
        <row r="1946">
          <cell r="A1946">
            <v>42160</v>
          </cell>
          <cell r="BF1946">
            <v>19.182745423963592</v>
          </cell>
          <cell r="BG1946">
            <v>17.429620749261797</v>
          </cell>
          <cell r="BH1946">
            <v>16.109902701379674</v>
          </cell>
          <cell r="BI1946">
            <v>13.839355674417275</v>
          </cell>
          <cell r="BJ1946">
            <v>18.380449728342072</v>
          </cell>
          <cell r="BU1946">
            <v>11.386927090710856</v>
          </cell>
          <cell r="BV1946">
            <v>11.522967903511651</v>
          </cell>
          <cell r="BW1946">
            <v>10.055977276238897</v>
          </cell>
          <cell r="BX1946">
            <v>8.6149332270911767</v>
          </cell>
          <cell r="BY1946">
            <v>11.497021325386617</v>
          </cell>
        </row>
        <row r="1947">
          <cell r="A1947">
            <v>42163</v>
          </cell>
          <cell r="BF1947">
            <v>19.079848421885821</v>
          </cell>
          <cell r="BG1947">
            <v>17.429620749261797</v>
          </cell>
          <cell r="BH1947">
            <v>16.109902701379674</v>
          </cell>
          <cell r="BI1947">
            <v>13.839355674417275</v>
          </cell>
          <cell r="BJ1947">
            <v>18.380449728342072</v>
          </cell>
          <cell r="BU1947">
            <v>11.329573108756383</v>
          </cell>
          <cell r="BV1947">
            <v>11.522967903511651</v>
          </cell>
          <cell r="BW1947">
            <v>10.055977276238897</v>
          </cell>
          <cell r="BX1947">
            <v>8.6149332270911767</v>
          </cell>
          <cell r="BY1947">
            <v>11.497021325386617</v>
          </cell>
        </row>
        <row r="1948">
          <cell r="A1948">
            <v>42164</v>
          </cell>
          <cell r="BF1948">
            <v>19.261897298901751</v>
          </cell>
          <cell r="BG1948">
            <v>17.429620749261797</v>
          </cell>
          <cell r="BH1948">
            <v>16.109902701379674</v>
          </cell>
          <cell r="BI1948">
            <v>13.839355674417275</v>
          </cell>
          <cell r="BJ1948">
            <v>18.380449728342072</v>
          </cell>
          <cell r="BU1948">
            <v>11.431051969999796</v>
          </cell>
          <cell r="BV1948">
            <v>11.522967903511651</v>
          </cell>
          <cell r="BW1948">
            <v>10.055977276238897</v>
          </cell>
          <cell r="BX1948">
            <v>8.6149332270911767</v>
          </cell>
          <cell r="BY1948">
            <v>11.497021325386617</v>
          </cell>
        </row>
        <row r="1949">
          <cell r="A1949">
            <v>42165</v>
          </cell>
          <cell r="BF1949">
            <v>19.368755515979025</v>
          </cell>
          <cell r="BG1949">
            <v>17.429620749261797</v>
          </cell>
          <cell r="BH1949">
            <v>16.109902701379674</v>
          </cell>
          <cell r="BI1949">
            <v>13.839355674417275</v>
          </cell>
          <cell r="BJ1949">
            <v>18.380449728342072</v>
          </cell>
          <cell r="BU1949">
            <v>11.490617567773597</v>
          </cell>
          <cell r="BV1949">
            <v>11.522967903511651</v>
          </cell>
          <cell r="BW1949">
            <v>10.055977276238897</v>
          </cell>
          <cell r="BX1949">
            <v>8.6149332270911767</v>
          </cell>
          <cell r="BY1949">
            <v>11.497021325386617</v>
          </cell>
        </row>
        <row r="1950">
          <cell r="A1950">
            <v>42166</v>
          </cell>
          <cell r="BF1950">
            <v>19.69724151578114</v>
          </cell>
          <cell r="BG1950">
            <v>17.429620749261797</v>
          </cell>
          <cell r="BH1950">
            <v>16.109902701379674</v>
          </cell>
          <cell r="BI1950">
            <v>13.839355674417275</v>
          </cell>
          <cell r="BJ1950">
            <v>18.380449728342072</v>
          </cell>
          <cell r="BU1950">
            <v>11.673724356130251</v>
          </cell>
          <cell r="BV1950">
            <v>11.522967903511651</v>
          </cell>
          <cell r="BW1950">
            <v>10.055977276238897</v>
          </cell>
          <cell r="BX1950">
            <v>8.6149332270911767</v>
          </cell>
          <cell r="BY1950">
            <v>11.497021325386617</v>
          </cell>
        </row>
        <row r="1951">
          <cell r="A1951">
            <v>42167</v>
          </cell>
          <cell r="BF1951">
            <v>19.851589591372317</v>
          </cell>
          <cell r="BG1951">
            <v>17.429620749261797</v>
          </cell>
          <cell r="BH1951">
            <v>16.109902701379674</v>
          </cell>
          <cell r="BI1951">
            <v>13.839355674417275</v>
          </cell>
          <cell r="BJ1951">
            <v>18.380449728342072</v>
          </cell>
          <cell r="BU1951">
            <v>11.759758748517839</v>
          </cell>
          <cell r="BV1951">
            <v>11.522967903511651</v>
          </cell>
          <cell r="BW1951">
            <v>10.055977276238897</v>
          </cell>
          <cell r="BX1951">
            <v>8.6149332270911767</v>
          </cell>
          <cell r="BY1951">
            <v>11.497021325386617</v>
          </cell>
        </row>
        <row r="1952">
          <cell r="A1952">
            <v>42170</v>
          </cell>
          <cell r="BF1952">
            <v>19.591230423478493</v>
          </cell>
          <cell r="BG1952">
            <v>17.429620749261797</v>
          </cell>
          <cell r="BH1952">
            <v>16.109902701379674</v>
          </cell>
          <cell r="BI1952">
            <v>13.839355674417275</v>
          </cell>
          <cell r="BJ1952">
            <v>18.380449728342072</v>
          </cell>
          <cell r="BU1952">
            <v>11.643372709942554</v>
          </cell>
          <cell r="BV1952">
            <v>11.522967903511651</v>
          </cell>
          <cell r="BW1952">
            <v>10.055977276238897</v>
          </cell>
          <cell r="BX1952">
            <v>8.6149332270911767</v>
          </cell>
          <cell r="BY1952">
            <v>11.497021325386617</v>
          </cell>
        </row>
        <row r="1953">
          <cell r="A1953">
            <v>42171</v>
          </cell>
          <cell r="BF1953">
            <v>19.520634528420022</v>
          </cell>
          <cell r="BG1953">
            <v>17.429620749261797</v>
          </cell>
          <cell r="BH1953">
            <v>16.109902701379674</v>
          </cell>
          <cell r="BI1953">
            <v>13.839355674417275</v>
          </cell>
          <cell r="BJ1953">
            <v>18.380449728342072</v>
          </cell>
          <cell r="BU1953">
            <v>11.603902164021166</v>
          </cell>
          <cell r="BV1953">
            <v>11.522967903511651</v>
          </cell>
          <cell r="BW1953">
            <v>10.055977276238897</v>
          </cell>
          <cell r="BX1953">
            <v>8.6149332270911767</v>
          </cell>
          <cell r="BY1953">
            <v>11.497021325386617</v>
          </cell>
        </row>
        <row r="1954">
          <cell r="A1954">
            <v>42172</v>
          </cell>
          <cell r="BF1954">
            <v>19.661832594006537</v>
          </cell>
          <cell r="BG1954">
            <v>17.429620749261797</v>
          </cell>
          <cell r="BH1954">
            <v>16.109902701379674</v>
          </cell>
          <cell r="BI1954">
            <v>13.839355674417275</v>
          </cell>
          <cell r="BJ1954">
            <v>18.380449728342072</v>
          </cell>
          <cell r="BU1954">
            <v>11.682843475154499</v>
          </cell>
          <cell r="BV1954">
            <v>11.522967903511651</v>
          </cell>
          <cell r="BW1954">
            <v>10.055977276238897</v>
          </cell>
          <cell r="BX1954">
            <v>8.6149332270911767</v>
          </cell>
          <cell r="BY1954">
            <v>11.497021325386617</v>
          </cell>
        </row>
        <row r="1955">
          <cell r="A1955">
            <v>42173</v>
          </cell>
          <cell r="BF1955">
            <v>19.524120407898405</v>
          </cell>
          <cell r="BG1955">
            <v>17.429620749261797</v>
          </cell>
          <cell r="BH1955">
            <v>16.109902701379674</v>
          </cell>
          <cell r="BI1955">
            <v>13.839355674417275</v>
          </cell>
          <cell r="BJ1955">
            <v>18.380449728342072</v>
          </cell>
          <cell r="BU1955">
            <v>11.606093753847038</v>
          </cell>
          <cell r="BV1955">
            <v>11.522967903511651</v>
          </cell>
          <cell r="BW1955">
            <v>10.055977276238897</v>
          </cell>
          <cell r="BX1955">
            <v>8.6149332270911767</v>
          </cell>
          <cell r="BY1955">
            <v>11.497021325386617</v>
          </cell>
        </row>
        <row r="1956">
          <cell r="A1956">
            <v>42174</v>
          </cell>
          <cell r="BF1956">
            <v>19.508434828084052</v>
          </cell>
          <cell r="BG1956">
            <v>17.429620749261797</v>
          </cell>
          <cell r="BH1956">
            <v>16.109902701379674</v>
          </cell>
          <cell r="BI1956">
            <v>13.839355674417275</v>
          </cell>
          <cell r="BJ1956">
            <v>18.380449728342072</v>
          </cell>
          <cell r="BU1956">
            <v>11.597320377245731</v>
          </cell>
          <cell r="BV1956">
            <v>11.522967903511651</v>
          </cell>
          <cell r="BW1956">
            <v>10.055977276238897</v>
          </cell>
          <cell r="BX1956">
            <v>8.6149332270911767</v>
          </cell>
          <cell r="BY1956">
            <v>11.497021325386617</v>
          </cell>
        </row>
        <row r="1957">
          <cell r="A1957">
            <v>42177</v>
          </cell>
          <cell r="BF1957">
            <v>19.677081579293375</v>
          </cell>
          <cell r="BG1957">
            <v>17.429620749261797</v>
          </cell>
          <cell r="BH1957">
            <v>16.109902701379674</v>
          </cell>
          <cell r="BI1957">
            <v>13.839355674417275</v>
          </cell>
          <cell r="BJ1957">
            <v>18.380449728342072</v>
          </cell>
          <cell r="BU1957">
            <v>11.719343360506224</v>
          </cell>
          <cell r="BV1957">
            <v>11.522967903511651</v>
          </cell>
          <cell r="BW1957">
            <v>10.055977276238897</v>
          </cell>
          <cell r="BX1957">
            <v>8.6149332270911767</v>
          </cell>
          <cell r="BY1957">
            <v>11.497021325386617</v>
          </cell>
        </row>
        <row r="1958">
          <cell r="A1958">
            <v>42178</v>
          </cell>
          <cell r="BF1958">
            <v>19.555497842857228</v>
          </cell>
          <cell r="BG1958">
            <v>17.429620749261797</v>
          </cell>
          <cell r="BH1958">
            <v>16.109902701379674</v>
          </cell>
          <cell r="BI1958">
            <v>13.839355674417275</v>
          </cell>
          <cell r="BJ1958">
            <v>18.380449728342072</v>
          </cell>
          <cell r="BU1958">
            <v>11.651192407038664</v>
          </cell>
          <cell r="BV1958">
            <v>11.522967903511651</v>
          </cell>
          <cell r="BW1958">
            <v>10.055977276238897</v>
          </cell>
          <cell r="BX1958">
            <v>8.6149332270911767</v>
          </cell>
          <cell r="BY1958">
            <v>11.497021325386617</v>
          </cell>
        </row>
        <row r="1959">
          <cell r="A1959">
            <v>42179</v>
          </cell>
          <cell r="BF1959">
            <v>19.410382795138556</v>
          </cell>
          <cell r="BG1959">
            <v>17.429620749261797</v>
          </cell>
          <cell r="BH1959">
            <v>16.109902701379674</v>
          </cell>
          <cell r="BI1959">
            <v>13.839355674417275</v>
          </cell>
          <cell r="BJ1959">
            <v>18.380449728342072</v>
          </cell>
          <cell r="BU1959">
            <v>11.56985152087737</v>
          </cell>
          <cell r="BV1959">
            <v>11.522967903511651</v>
          </cell>
          <cell r="BW1959">
            <v>10.055977276238897</v>
          </cell>
          <cell r="BX1959">
            <v>8.6149332270911767</v>
          </cell>
          <cell r="BY1959">
            <v>11.497021325386617</v>
          </cell>
        </row>
        <row r="1960">
          <cell r="A1960">
            <v>42180</v>
          </cell>
          <cell r="BF1960">
            <v>19.461365930188897</v>
          </cell>
          <cell r="BG1960">
            <v>17.429620749261797</v>
          </cell>
          <cell r="BH1960">
            <v>16.109902701379674</v>
          </cell>
          <cell r="BI1960">
            <v>13.839355674417275</v>
          </cell>
          <cell r="BJ1960">
            <v>18.380449728342072</v>
          </cell>
          <cell r="BU1960">
            <v>11.598428938929255</v>
          </cell>
          <cell r="BV1960">
            <v>11.522967903511651</v>
          </cell>
          <cell r="BW1960">
            <v>10.055977276238897</v>
          </cell>
          <cell r="BX1960">
            <v>8.6149332270911767</v>
          </cell>
          <cell r="BY1960">
            <v>11.497021325386617</v>
          </cell>
        </row>
        <row r="1961">
          <cell r="A1961">
            <v>42181</v>
          </cell>
          <cell r="BF1961">
            <v>19.528040528175566</v>
          </cell>
          <cell r="BG1961">
            <v>17.429620749261797</v>
          </cell>
          <cell r="BH1961">
            <v>16.109902701379674</v>
          </cell>
          <cell r="BI1961">
            <v>13.839355674417275</v>
          </cell>
          <cell r="BJ1961">
            <v>18.380449728342072</v>
          </cell>
          <cell r="BU1961">
            <v>11.635801843875665</v>
          </cell>
          <cell r="BV1961">
            <v>11.522967903511651</v>
          </cell>
          <cell r="BW1961">
            <v>10.055977276238897</v>
          </cell>
          <cell r="BX1961">
            <v>8.6149332270911767</v>
          </cell>
          <cell r="BY1961">
            <v>11.497021325386617</v>
          </cell>
        </row>
        <row r="1962">
          <cell r="A1962">
            <v>42184</v>
          </cell>
          <cell r="BF1962">
            <v>19.609740027141839</v>
          </cell>
          <cell r="BG1962">
            <v>17.429620749261797</v>
          </cell>
          <cell r="BH1962">
            <v>16.109902701379674</v>
          </cell>
          <cell r="BI1962">
            <v>13.839355674417275</v>
          </cell>
          <cell r="BJ1962">
            <v>18.380449728342072</v>
          </cell>
          <cell r="BU1962">
            <v>11.681970235716609</v>
          </cell>
          <cell r="BV1962">
            <v>11.522967903511651</v>
          </cell>
          <cell r="BW1962">
            <v>10.055977276238897</v>
          </cell>
          <cell r="BX1962">
            <v>8.6149332270911767</v>
          </cell>
          <cell r="BY1962">
            <v>11.497021325386617</v>
          </cell>
        </row>
        <row r="1963">
          <cell r="A1963">
            <v>42185</v>
          </cell>
          <cell r="BF1963">
            <v>20.217643536762441</v>
          </cell>
          <cell r="BG1963">
            <v>17.429620749261797</v>
          </cell>
          <cell r="BH1963">
            <v>16.109902701379674</v>
          </cell>
          <cell r="BI1963">
            <v>13.839355674417275</v>
          </cell>
          <cell r="BJ1963">
            <v>18.380449728342072</v>
          </cell>
          <cell r="BU1963">
            <v>12.022728080859254</v>
          </cell>
          <cell r="BV1963">
            <v>11.522967903511651</v>
          </cell>
          <cell r="BW1963">
            <v>10.055977276238897</v>
          </cell>
          <cell r="BX1963">
            <v>8.6149332270911767</v>
          </cell>
          <cell r="BY1963">
            <v>11.497021325386617</v>
          </cell>
        </row>
        <row r="1964">
          <cell r="A1964">
            <v>42186</v>
          </cell>
          <cell r="BF1964">
            <v>20.154890799896386</v>
          </cell>
          <cell r="BG1964">
            <v>17.429620749261797</v>
          </cell>
          <cell r="BH1964">
            <v>16.109902701379674</v>
          </cell>
          <cell r="BI1964">
            <v>13.839355674417275</v>
          </cell>
          <cell r="BJ1964">
            <v>18.380449728342072</v>
          </cell>
          <cell r="BU1964">
            <v>11.987552288890843</v>
          </cell>
          <cell r="BV1964">
            <v>11.522967903511651</v>
          </cell>
          <cell r="BW1964">
            <v>10.055977276238897</v>
          </cell>
          <cell r="BX1964">
            <v>8.6149332270911767</v>
          </cell>
          <cell r="BY1964">
            <v>11.497021325386617</v>
          </cell>
        </row>
        <row r="1965">
          <cell r="A1965">
            <v>42187</v>
          </cell>
          <cell r="BF1965">
            <v>19.647475127303178</v>
          </cell>
          <cell r="BG1965">
            <v>17.429620749261797</v>
          </cell>
          <cell r="BH1965">
            <v>16.109902701379674</v>
          </cell>
          <cell r="BI1965">
            <v>13.839355674417275</v>
          </cell>
          <cell r="BJ1965">
            <v>18.380449728342072</v>
          </cell>
          <cell r="BU1965">
            <v>11.677593907090982</v>
          </cell>
          <cell r="BV1965">
            <v>11.522967903511651</v>
          </cell>
          <cell r="BW1965">
            <v>10.055977276238897</v>
          </cell>
          <cell r="BX1965">
            <v>8.6149332270911767</v>
          </cell>
          <cell r="BY1965">
            <v>11.497021325386617</v>
          </cell>
        </row>
        <row r="1966">
          <cell r="A1966">
            <v>42188</v>
          </cell>
          <cell r="BF1966">
            <v>19.240108108110029</v>
          </cell>
          <cell r="BG1966">
            <v>17.429620749261797</v>
          </cell>
          <cell r="BH1966">
            <v>16.109902701379674</v>
          </cell>
          <cell r="BI1966">
            <v>13.839355674417275</v>
          </cell>
          <cell r="BJ1966">
            <v>18.380449728342072</v>
          </cell>
          <cell r="BU1966">
            <v>11.460106552408082</v>
          </cell>
          <cell r="BV1966">
            <v>11.522967903511651</v>
          </cell>
          <cell r="BW1966">
            <v>10.055977276238897</v>
          </cell>
          <cell r="BX1966">
            <v>8.6149332270911767</v>
          </cell>
          <cell r="BY1966">
            <v>11.497021325386617</v>
          </cell>
        </row>
        <row r="1967">
          <cell r="A1967">
            <v>42191</v>
          </cell>
          <cell r="BF1967">
            <v>18.720544811405777</v>
          </cell>
          <cell r="BG1967">
            <v>17.429620749261797</v>
          </cell>
          <cell r="BH1967">
            <v>16.109902701379674</v>
          </cell>
          <cell r="BI1967">
            <v>13.839355674417275</v>
          </cell>
          <cell r="BJ1967">
            <v>18.380449728342072</v>
          </cell>
          <cell r="BU1967">
            <v>11.168437474950741</v>
          </cell>
          <cell r="BV1967">
            <v>11.522967903511651</v>
          </cell>
          <cell r="BW1967">
            <v>10.055977276238897</v>
          </cell>
          <cell r="BX1967">
            <v>8.6149332270911767</v>
          </cell>
          <cell r="BY1967">
            <v>11.497021325386617</v>
          </cell>
        </row>
        <row r="1968">
          <cell r="A1968">
            <v>42192</v>
          </cell>
          <cell r="BF1968">
            <v>18.516852017974202</v>
          </cell>
          <cell r="BG1968">
            <v>17.429620749261797</v>
          </cell>
          <cell r="BH1968">
            <v>16.109902701379674</v>
          </cell>
          <cell r="BI1968">
            <v>13.839355674417275</v>
          </cell>
          <cell r="BJ1968">
            <v>18.380449728342072</v>
          </cell>
          <cell r="BU1968">
            <v>11.054404028446177</v>
          </cell>
          <cell r="BV1968">
            <v>11.522967903511651</v>
          </cell>
          <cell r="BW1968">
            <v>10.055977276238897</v>
          </cell>
          <cell r="BX1968">
            <v>8.6149332270911767</v>
          </cell>
          <cell r="BY1968">
            <v>11.497021325386617</v>
          </cell>
        </row>
        <row r="1969">
          <cell r="A1969">
            <v>42193</v>
          </cell>
          <cell r="BF1969">
            <v>19.206286014237214</v>
          </cell>
          <cell r="BG1969">
            <v>17.429620749261797</v>
          </cell>
          <cell r="BH1969">
            <v>16.109902701379674</v>
          </cell>
          <cell r="BI1969">
            <v>13.839355674417275</v>
          </cell>
          <cell r="BJ1969">
            <v>18.380449728342072</v>
          </cell>
          <cell r="BU1969">
            <v>11.440370234745455</v>
          </cell>
          <cell r="BV1969">
            <v>11.522967903511651</v>
          </cell>
          <cell r="BW1969">
            <v>10.055977276238897</v>
          </cell>
          <cell r="BX1969">
            <v>8.6149332270911767</v>
          </cell>
          <cell r="BY1969">
            <v>11.497021325386617</v>
          </cell>
        </row>
        <row r="1970">
          <cell r="A1970">
            <v>42194</v>
          </cell>
          <cell r="BF1970">
            <v>17.954407766435573</v>
          </cell>
          <cell r="BG1970">
            <v>17.429620749261797</v>
          </cell>
          <cell r="BH1970">
            <v>16.109902701379674</v>
          </cell>
          <cell r="BI1970">
            <v>13.839355674417275</v>
          </cell>
          <cell r="BJ1970">
            <v>18.380449728342072</v>
          </cell>
          <cell r="BU1970">
            <v>10.665288940999543</v>
          </cell>
          <cell r="BV1970">
            <v>11.522967903511651</v>
          </cell>
          <cell r="BW1970">
            <v>10.055977276238897</v>
          </cell>
          <cell r="BX1970">
            <v>8.6149332270911767</v>
          </cell>
          <cell r="BY1970">
            <v>11.497021325386617</v>
          </cell>
        </row>
        <row r="1971">
          <cell r="A1971">
            <v>42195</v>
          </cell>
          <cell r="BF1971">
            <v>18.133040779473706</v>
          </cell>
          <cell r="BG1971">
            <v>17.429620749261797</v>
          </cell>
          <cell r="BH1971">
            <v>16.109902701379674</v>
          </cell>
          <cell r="BI1971">
            <v>13.839355674417275</v>
          </cell>
          <cell r="BJ1971">
            <v>18.380449728342072</v>
          </cell>
          <cell r="BU1971">
            <v>10.74839299864143</v>
          </cell>
          <cell r="BV1971">
            <v>11.522967903511651</v>
          </cell>
          <cell r="BW1971">
            <v>10.055977276238897</v>
          </cell>
          <cell r="BX1971">
            <v>8.6149332270911767</v>
          </cell>
          <cell r="BY1971">
            <v>11.497021325386617</v>
          </cell>
        </row>
        <row r="1972">
          <cell r="A1972">
            <v>42198</v>
          </cell>
          <cell r="BF1972">
            <v>17.907800814312402</v>
          </cell>
          <cell r="BG1972">
            <v>17.429620749261797</v>
          </cell>
          <cell r="BH1972">
            <v>16.109902701379674</v>
          </cell>
          <cell r="BI1972">
            <v>13.839355674417275</v>
          </cell>
          <cell r="BJ1972">
            <v>18.380449728342072</v>
          </cell>
          <cell r="BU1972">
            <v>13.029855730228606</v>
          </cell>
          <cell r="BV1972">
            <v>11.522967903511651</v>
          </cell>
          <cell r="BW1972">
            <v>10.055977276238897</v>
          </cell>
          <cell r="BX1972">
            <v>8.6149332270911767</v>
          </cell>
          <cell r="BY1972">
            <v>11.497021325386617</v>
          </cell>
        </row>
        <row r="1973">
          <cell r="A1973">
            <v>42199</v>
          </cell>
          <cell r="BF1973">
            <v>17.206267941335604</v>
          </cell>
          <cell r="BG1973">
            <v>17.429620749261797</v>
          </cell>
          <cell r="BH1973">
            <v>16.109902701379674</v>
          </cell>
          <cell r="BI1973">
            <v>13.839355674417275</v>
          </cell>
          <cell r="BJ1973">
            <v>18.380449728342072</v>
          </cell>
          <cell r="BU1973">
            <v>12.660757376592239</v>
          </cell>
          <cell r="BV1973">
            <v>11.522967903511651</v>
          </cell>
          <cell r="BW1973">
            <v>10.055977276238897</v>
          </cell>
          <cell r="BX1973">
            <v>8.6149332270911767</v>
          </cell>
          <cell r="BY1973">
            <v>11.497021325386617</v>
          </cell>
        </row>
        <row r="1974">
          <cell r="A1974">
            <v>42200</v>
          </cell>
          <cell r="BF1974">
            <v>17.392029040895693</v>
          </cell>
          <cell r="BG1974">
            <v>17.429620749261797</v>
          </cell>
          <cell r="BH1974">
            <v>16.109902701379674</v>
          </cell>
          <cell r="BI1974">
            <v>13.839355674417275</v>
          </cell>
          <cell r="BJ1974">
            <v>18.380449728342072</v>
          </cell>
          <cell r="BU1974">
            <v>12.763968039472497</v>
          </cell>
          <cell r="BV1974">
            <v>11.522967903511651</v>
          </cell>
          <cell r="BW1974">
            <v>10.055977276238897</v>
          </cell>
          <cell r="BX1974">
            <v>8.6149332270911767</v>
          </cell>
          <cell r="BY1974">
            <v>11.497021325386617</v>
          </cell>
        </row>
        <row r="1975">
          <cell r="A1975">
            <v>42201</v>
          </cell>
          <cell r="BF1975">
            <v>17.342872558501107</v>
          </cell>
          <cell r="BG1975">
            <v>17.429620749261797</v>
          </cell>
          <cell r="BH1975">
            <v>16.109902701379674</v>
          </cell>
          <cell r="BI1975">
            <v>13.839355674417275</v>
          </cell>
          <cell r="BJ1975">
            <v>18.380449728342072</v>
          </cell>
          <cell r="BU1975">
            <v>12.741891610150281</v>
          </cell>
          <cell r="BV1975">
            <v>11.522967903511651</v>
          </cell>
          <cell r="BW1975">
            <v>10.055977276238897</v>
          </cell>
          <cell r="BX1975">
            <v>8.6149332270911767</v>
          </cell>
          <cell r="BY1975">
            <v>11.497021325386617</v>
          </cell>
        </row>
        <row r="1976">
          <cell r="A1976">
            <v>42202</v>
          </cell>
          <cell r="BF1976">
            <v>17.280987429899284</v>
          </cell>
          <cell r="BG1976">
            <v>17.429620749261797</v>
          </cell>
          <cell r="BH1976">
            <v>16.109902701379674</v>
          </cell>
          <cell r="BI1976">
            <v>13.839355674417275</v>
          </cell>
          <cell r="BJ1976">
            <v>18.380449728342072</v>
          </cell>
          <cell r="BU1976">
            <v>12.527049576951487</v>
          </cell>
          <cell r="BV1976">
            <v>11.522967903511651</v>
          </cell>
          <cell r="BW1976">
            <v>10.055977276238897</v>
          </cell>
          <cell r="BX1976">
            <v>8.6149332270911767</v>
          </cell>
          <cell r="BY1976">
            <v>11.497021325386617</v>
          </cell>
        </row>
        <row r="1977">
          <cell r="A1977">
            <v>42205</v>
          </cell>
          <cell r="BF1977">
            <v>17.280987429899284</v>
          </cell>
          <cell r="BG1977">
            <v>17.429620749261797</v>
          </cell>
          <cell r="BH1977">
            <v>16.109902701379674</v>
          </cell>
          <cell r="BI1977">
            <v>13.839355674417275</v>
          </cell>
          <cell r="BJ1977">
            <v>18.380449728342072</v>
          </cell>
          <cell r="BU1977">
            <v>12.527049576951487</v>
          </cell>
          <cell r="BV1977">
            <v>11.522967903511651</v>
          </cell>
          <cell r="BW1977">
            <v>10.055977276238897</v>
          </cell>
          <cell r="BX1977">
            <v>8.6149332270911767</v>
          </cell>
          <cell r="BY1977">
            <v>11.497021325386617</v>
          </cell>
        </row>
        <row r="1978">
          <cell r="A1978">
            <v>42206</v>
          </cell>
          <cell r="BF1978">
            <v>17.803132469543502</v>
          </cell>
          <cell r="BG1978">
            <v>17.429620749261797</v>
          </cell>
          <cell r="BH1978">
            <v>16.109902701379674</v>
          </cell>
          <cell r="BI1978">
            <v>13.839355674417275</v>
          </cell>
          <cell r="BJ1978">
            <v>18.380449728342072</v>
          </cell>
          <cell r="BU1978">
            <v>12.813198555120399</v>
          </cell>
          <cell r="BV1978">
            <v>11.522967903511651</v>
          </cell>
          <cell r="BW1978">
            <v>10.055977276238897</v>
          </cell>
          <cell r="BX1978">
            <v>8.6149332270911767</v>
          </cell>
          <cell r="BY1978">
            <v>11.497021325386617</v>
          </cell>
        </row>
        <row r="1979">
          <cell r="A1979">
            <v>42207</v>
          </cell>
          <cell r="BF1979">
            <v>17.485982208472112</v>
          </cell>
          <cell r="BG1979">
            <v>17.429620749261797</v>
          </cell>
          <cell r="BH1979">
            <v>16.109902701379674</v>
          </cell>
          <cell r="BI1979">
            <v>13.839355674417275</v>
          </cell>
          <cell r="BJ1979">
            <v>18.380449728342072</v>
          </cell>
          <cell r="BU1979">
            <v>12.639392014329704</v>
          </cell>
          <cell r="BV1979">
            <v>11.522967903511651</v>
          </cell>
          <cell r="BW1979">
            <v>10.055977276238897</v>
          </cell>
          <cell r="BX1979">
            <v>8.6149332270911767</v>
          </cell>
          <cell r="BY1979">
            <v>11.497021325386617</v>
          </cell>
        </row>
        <row r="1980">
          <cell r="A1980">
            <v>42208</v>
          </cell>
          <cell r="BF1980">
            <v>17.609746277317608</v>
          </cell>
          <cell r="BG1980">
            <v>17.429620749261797</v>
          </cell>
          <cell r="BH1980">
            <v>16.109902701379674</v>
          </cell>
          <cell r="BI1980">
            <v>13.839355674417275</v>
          </cell>
          <cell r="BJ1980">
            <v>18.380449728342072</v>
          </cell>
          <cell r="BU1980">
            <v>12.707217923119908</v>
          </cell>
          <cell r="BV1980">
            <v>11.522967903511651</v>
          </cell>
          <cell r="BW1980">
            <v>10.055977276238897</v>
          </cell>
          <cell r="BX1980">
            <v>8.6149332270911767</v>
          </cell>
          <cell r="BY1980">
            <v>11.497021325386617</v>
          </cell>
        </row>
        <row r="1981">
          <cell r="A1981">
            <v>42209</v>
          </cell>
          <cell r="BF1981">
            <v>17.687099593890814</v>
          </cell>
          <cell r="BG1981">
            <v>17.429620749261797</v>
          </cell>
          <cell r="BH1981">
            <v>16.109902701379674</v>
          </cell>
          <cell r="BI1981">
            <v>13.839355674417275</v>
          </cell>
          <cell r="BJ1981">
            <v>18.380449728342072</v>
          </cell>
          <cell r="BU1981">
            <v>12.749609540036314</v>
          </cell>
          <cell r="BV1981">
            <v>11.522967903511651</v>
          </cell>
          <cell r="BW1981">
            <v>10.055977276238897</v>
          </cell>
          <cell r="BX1981">
            <v>8.6149332270911767</v>
          </cell>
          <cell r="BY1981">
            <v>11.497021325386617</v>
          </cell>
        </row>
        <row r="1982">
          <cell r="A1982">
            <v>42212</v>
          </cell>
          <cell r="BF1982">
            <v>17.64843592071141</v>
          </cell>
          <cell r="BG1982">
            <v>17.429620749261797</v>
          </cell>
          <cell r="BH1982">
            <v>16.109902701379674</v>
          </cell>
          <cell r="BI1982">
            <v>13.839355674417275</v>
          </cell>
          <cell r="BJ1982">
            <v>18.380449728342072</v>
          </cell>
          <cell r="BU1982">
            <v>12.76855424793429</v>
          </cell>
          <cell r="BV1982">
            <v>11.522967903511651</v>
          </cell>
          <cell r="BW1982">
            <v>10.055977276238897</v>
          </cell>
          <cell r="BX1982">
            <v>8.6149332270911767</v>
          </cell>
          <cell r="BY1982">
            <v>11.497021325386617</v>
          </cell>
        </row>
        <row r="1983">
          <cell r="A1983">
            <v>42213</v>
          </cell>
          <cell r="BF1983">
            <v>17.712054625318551</v>
          </cell>
          <cell r="BG1983">
            <v>17.429620749261797</v>
          </cell>
          <cell r="BH1983">
            <v>16.109902701379674</v>
          </cell>
          <cell r="BI1983">
            <v>13.839355674417275</v>
          </cell>
          <cell r="BJ1983">
            <v>18.380449728342072</v>
          </cell>
          <cell r="BU1983">
            <v>12.847186839465827</v>
          </cell>
          <cell r="BV1983">
            <v>11.522967903511651</v>
          </cell>
          <cell r="BW1983">
            <v>10.055977276238897</v>
          </cell>
          <cell r="BX1983">
            <v>8.6149332270911767</v>
          </cell>
          <cell r="BY1983">
            <v>11.497021325386617</v>
          </cell>
        </row>
        <row r="1984">
          <cell r="A1984">
            <v>42214</v>
          </cell>
          <cell r="BF1984">
            <v>17.311871848300701</v>
          </cell>
          <cell r="BG1984">
            <v>17.429620749261797</v>
          </cell>
          <cell r="BH1984">
            <v>16.109902701379674</v>
          </cell>
          <cell r="BI1984">
            <v>13.839355674417275</v>
          </cell>
          <cell r="BJ1984">
            <v>18.380449728342072</v>
          </cell>
          <cell r="BU1984">
            <v>12.626164001955432</v>
          </cell>
          <cell r="BV1984">
            <v>11.522967903511651</v>
          </cell>
          <cell r="BW1984">
            <v>10.055977276238897</v>
          </cell>
          <cell r="BX1984">
            <v>8.6149332270911767</v>
          </cell>
          <cell r="BY1984">
            <v>11.497021325386617</v>
          </cell>
        </row>
        <row r="1985">
          <cell r="A1985">
            <v>42215</v>
          </cell>
          <cell r="BF1985">
            <v>17.434409913836625</v>
          </cell>
          <cell r="BG1985">
            <v>17.429620749261797</v>
          </cell>
          <cell r="BH1985">
            <v>16.109902701379674</v>
          </cell>
          <cell r="BI1985">
            <v>13.839355674417275</v>
          </cell>
          <cell r="BJ1985">
            <v>18.380449728342072</v>
          </cell>
          <cell r="BU1985">
            <v>12.657997324439807</v>
          </cell>
          <cell r="BV1985">
            <v>11.522967903511651</v>
          </cell>
          <cell r="BW1985">
            <v>10.055977276238897</v>
          </cell>
          <cell r="BX1985">
            <v>8.6149332270911767</v>
          </cell>
          <cell r="BY1985">
            <v>11.497021325386617</v>
          </cell>
        </row>
        <row r="1986">
          <cell r="A1986">
            <v>42216</v>
          </cell>
          <cell r="BF1986">
            <v>17.395681672961416</v>
          </cell>
          <cell r="BG1986">
            <v>17.429620749261797</v>
          </cell>
          <cell r="BH1986">
            <v>16.109902701379674</v>
          </cell>
          <cell r="BI1986">
            <v>13.839355674417275</v>
          </cell>
          <cell r="BJ1986">
            <v>18.380449728342072</v>
          </cell>
          <cell r="BU1986">
            <v>12.636700878812713</v>
          </cell>
          <cell r="BV1986">
            <v>11.522967903511651</v>
          </cell>
          <cell r="BW1986">
            <v>10.055977276238897</v>
          </cell>
          <cell r="BX1986">
            <v>8.6149332270911767</v>
          </cell>
          <cell r="BY1986">
            <v>11.497021325386617</v>
          </cell>
        </row>
        <row r="1987">
          <cell r="A1987">
            <v>42219</v>
          </cell>
          <cell r="BF1987">
            <v>17.507989931263296</v>
          </cell>
          <cell r="BG1987">
            <v>17.429620749261797</v>
          </cell>
          <cell r="BH1987">
            <v>16.109902701379674</v>
          </cell>
          <cell r="BI1987">
            <v>13.839355674417275</v>
          </cell>
          <cell r="BJ1987">
            <v>18.380449728342072</v>
          </cell>
          <cell r="BU1987">
            <v>12.698458569385497</v>
          </cell>
          <cell r="BV1987">
            <v>11.522967903511651</v>
          </cell>
          <cell r="BW1987">
            <v>10.055977276238897</v>
          </cell>
          <cell r="BX1987">
            <v>8.6149332270911767</v>
          </cell>
          <cell r="BY1987">
            <v>11.497021325386617</v>
          </cell>
        </row>
        <row r="1988">
          <cell r="A1988">
            <v>42220</v>
          </cell>
          <cell r="BF1988">
            <v>17.430533449512879</v>
          </cell>
          <cell r="BG1988">
            <v>17.429620749261797</v>
          </cell>
          <cell r="BH1988">
            <v>16.109902701379674</v>
          </cell>
          <cell r="BI1988">
            <v>13.839355674417275</v>
          </cell>
          <cell r="BJ1988">
            <v>18.380449728342072</v>
          </cell>
          <cell r="BU1988">
            <v>12.655865678131313</v>
          </cell>
          <cell r="BV1988">
            <v>11.522967903511651</v>
          </cell>
          <cell r="BW1988">
            <v>10.055977276238897</v>
          </cell>
          <cell r="BX1988">
            <v>8.6149332270911767</v>
          </cell>
          <cell r="BY1988">
            <v>11.497021325386617</v>
          </cell>
        </row>
        <row r="1989">
          <cell r="A1989">
            <v>42221</v>
          </cell>
          <cell r="BF1989">
            <v>17.465165970686652</v>
          </cell>
          <cell r="BG1989">
            <v>17.429620749261797</v>
          </cell>
          <cell r="BH1989">
            <v>16.109902701379674</v>
          </cell>
          <cell r="BI1989">
            <v>13.839355674417275</v>
          </cell>
          <cell r="BJ1989">
            <v>18.380449728342072</v>
          </cell>
          <cell r="BU1989">
            <v>12.675033884676779</v>
          </cell>
          <cell r="BV1989">
            <v>11.522967903511651</v>
          </cell>
          <cell r="BW1989">
            <v>10.055977276238897</v>
          </cell>
          <cell r="BX1989">
            <v>8.6149332270911767</v>
          </cell>
          <cell r="BY1989">
            <v>11.497021325386617</v>
          </cell>
        </row>
        <row r="1990">
          <cell r="A1990">
            <v>42222</v>
          </cell>
          <cell r="BF1990">
            <v>17.430308447951603</v>
          </cell>
          <cell r="BG1990">
            <v>17.429620749261797</v>
          </cell>
          <cell r="BH1990">
            <v>16.109902701379674</v>
          </cell>
          <cell r="BI1990">
            <v>13.839355674417275</v>
          </cell>
          <cell r="BJ1990">
            <v>18.380449728342072</v>
          </cell>
          <cell r="BU1990">
            <v>12.655865678131313</v>
          </cell>
          <cell r="BV1990">
            <v>11.522967903511651</v>
          </cell>
          <cell r="BW1990">
            <v>10.055977276238897</v>
          </cell>
          <cell r="BX1990">
            <v>8.6149332270911767</v>
          </cell>
          <cell r="BY1990">
            <v>11.497021325386617</v>
          </cell>
        </row>
        <row r="1991">
          <cell r="A1991">
            <v>42223</v>
          </cell>
          <cell r="BF1991">
            <v>17.158351558971486</v>
          </cell>
          <cell r="BG1991">
            <v>17.429620749261797</v>
          </cell>
          <cell r="BH1991">
            <v>16.109902701379674</v>
          </cell>
          <cell r="BI1991">
            <v>13.839355674417275</v>
          </cell>
          <cell r="BJ1991">
            <v>18.380449728342072</v>
          </cell>
          <cell r="BU1991">
            <v>12.500971961041214</v>
          </cell>
          <cell r="BV1991">
            <v>11.522967903511651</v>
          </cell>
          <cell r="BW1991">
            <v>10.055977276238897</v>
          </cell>
          <cell r="BX1991">
            <v>8.6149332270911767</v>
          </cell>
          <cell r="BY1991">
            <v>11.497021325386617</v>
          </cell>
        </row>
        <row r="1992">
          <cell r="A1992">
            <v>42226</v>
          </cell>
          <cell r="BF1992">
            <v>16.619974436771443</v>
          </cell>
          <cell r="BG1992">
            <v>17.429620749261797</v>
          </cell>
          <cell r="BH1992">
            <v>16.109902701379674</v>
          </cell>
          <cell r="BI1992">
            <v>13.839355674417275</v>
          </cell>
          <cell r="BJ1992">
            <v>18.380449728342072</v>
          </cell>
          <cell r="BU1992">
            <v>12.205056709712709</v>
          </cell>
          <cell r="BV1992">
            <v>11.522967903511651</v>
          </cell>
          <cell r="BW1992">
            <v>10.055977276238897</v>
          </cell>
          <cell r="BX1992">
            <v>8.6149332270911767</v>
          </cell>
          <cell r="BY1992">
            <v>11.497021325386617</v>
          </cell>
        </row>
        <row r="1993">
          <cell r="A1993">
            <v>42227</v>
          </cell>
          <cell r="BF1993">
            <v>16.643212962366952</v>
          </cell>
          <cell r="BG1993">
            <v>17.429620749261797</v>
          </cell>
          <cell r="BH1993">
            <v>16.109902701379674</v>
          </cell>
          <cell r="BI1993">
            <v>13.839355674417275</v>
          </cell>
          <cell r="BJ1993">
            <v>18.380449728342072</v>
          </cell>
          <cell r="BU1993">
            <v>12.217829604136599</v>
          </cell>
          <cell r="BV1993">
            <v>11.522967903511651</v>
          </cell>
          <cell r="BW1993">
            <v>10.055977276238897</v>
          </cell>
          <cell r="BX1993">
            <v>8.6149332270911767</v>
          </cell>
          <cell r="BY1993">
            <v>11.497021325386617</v>
          </cell>
        </row>
        <row r="1994">
          <cell r="A1994">
            <v>42228</v>
          </cell>
          <cell r="BF1994">
            <v>16.751662255504915</v>
          </cell>
          <cell r="BG1994">
            <v>17.429620749261797</v>
          </cell>
          <cell r="BH1994">
            <v>16.109902701379674</v>
          </cell>
          <cell r="BI1994">
            <v>13.839355674417275</v>
          </cell>
          <cell r="BJ1994">
            <v>18.380449728342072</v>
          </cell>
          <cell r="BU1994">
            <v>12.277438005965001</v>
          </cell>
          <cell r="BV1994">
            <v>11.522967903511651</v>
          </cell>
          <cell r="BW1994">
            <v>10.055977276238897</v>
          </cell>
          <cell r="BX1994">
            <v>8.6149332270911767</v>
          </cell>
          <cell r="BY1994">
            <v>11.497021325386617</v>
          </cell>
        </row>
        <row r="1995">
          <cell r="A1995">
            <v>42229</v>
          </cell>
          <cell r="BF1995">
            <v>16.472159801678107</v>
          </cell>
          <cell r="BG1995">
            <v>17.429620749261797</v>
          </cell>
          <cell r="BH1995">
            <v>16.109902701379674</v>
          </cell>
          <cell r="BI1995">
            <v>13.839355674417275</v>
          </cell>
          <cell r="BJ1995">
            <v>18.380449728342072</v>
          </cell>
          <cell r="BU1995">
            <v>12.255105227399572</v>
          </cell>
          <cell r="BV1995">
            <v>11.522967903511651</v>
          </cell>
          <cell r="BW1995">
            <v>10.055977276238897</v>
          </cell>
          <cell r="BX1995">
            <v>8.6149332270911767</v>
          </cell>
          <cell r="BY1995">
            <v>11.497021325386617</v>
          </cell>
        </row>
        <row r="1996">
          <cell r="A1996">
            <v>42230</v>
          </cell>
          <cell r="BF1996">
            <v>16.77727154843631</v>
          </cell>
          <cell r="BG1996">
            <v>17.429620749261797</v>
          </cell>
          <cell r="BH1996">
            <v>16.109902701379674</v>
          </cell>
          <cell r="BI1996">
            <v>13.839355674417275</v>
          </cell>
          <cell r="BJ1996">
            <v>18.380449728342072</v>
          </cell>
          <cell r="BU1996">
            <v>12.425280856279064</v>
          </cell>
          <cell r="BV1996">
            <v>11.522967903511651</v>
          </cell>
          <cell r="BW1996">
            <v>10.055977276238897</v>
          </cell>
          <cell r="BX1996">
            <v>8.6149332270911767</v>
          </cell>
          <cell r="BY1996">
            <v>11.497021325386617</v>
          </cell>
        </row>
        <row r="1997">
          <cell r="A1997">
            <v>42233</v>
          </cell>
          <cell r="BF1997">
            <v>17.055683447749811</v>
          </cell>
          <cell r="BG1997">
            <v>17.429620749261797</v>
          </cell>
          <cell r="BH1997">
            <v>16.109902701379674</v>
          </cell>
          <cell r="BI1997">
            <v>13.839355674417275</v>
          </cell>
          <cell r="BJ1997">
            <v>18.380449728342072</v>
          </cell>
          <cell r="BU1997">
            <v>12.580570786895457</v>
          </cell>
          <cell r="BV1997">
            <v>11.522967903511651</v>
          </cell>
          <cell r="BW1997">
            <v>10.055977276238897</v>
          </cell>
          <cell r="BX1997">
            <v>8.6149332270911767</v>
          </cell>
          <cell r="BY1997">
            <v>11.497021325386617</v>
          </cell>
        </row>
        <row r="1998">
          <cell r="A1998">
            <v>42234</v>
          </cell>
          <cell r="BF1998">
            <v>16.830665522501906</v>
          </cell>
          <cell r="BG1998">
            <v>17.429620749261797</v>
          </cell>
          <cell r="BH1998">
            <v>16.109902701379674</v>
          </cell>
          <cell r="BI1998">
            <v>13.839355674417275</v>
          </cell>
          <cell r="BJ1998">
            <v>18.380449728342072</v>
          </cell>
          <cell r="BU1998">
            <v>12.455061825327974</v>
          </cell>
          <cell r="BV1998">
            <v>11.522967903511651</v>
          </cell>
          <cell r="BW1998">
            <v>10.055977276238897</v>
          </cell>
          <cell r="BX1998">
            <v>8.6149332270911767</v>
          </cell>
          <cell r="BY1998">
            <v>11.497021325386617</v>
          </cell>
        </row>
        <row r="1999">
          <cell r="A1999">
            <v>42235</v>
          </cell>
          <cell r="BF1999">
            <v>17.167363697562969</v>
          </cell>
          <cell r="BG1999">
            <v>17.429620749261797</v>
          </cell>
          <cell r="BH1999">
            <v>16.109902701379674</v>
          </cell>
          <cell r="BI1999">
            <v>13.839355674417275</v>
          </cell>
          <cell r="BJ1999">
            <v>18.380449728342072</v>
          </cell>
          <cell r="BU1999">
            <v>12.642258888649046</v>
          </cell>
          <cell r="BV1999">
            <v>11.522967903511651</v>
          </cell>
          <cell r="BW1999">
            <v>10.055977276238897</v>
          </cell>
          <cell r="BX1999">
            <v>8.6149332270911767</v>
          </cell>
          <cell r="BY1999">
            <v>11.497021325386617</v>
          </cell>
        </row>
        <row r="2000">
          <cell r="A2000">
            <v>42236</v>
          </cell>
          <cell r="BF2000">
            <v>17.5411519031518</v>
          </cell>
          <cell r="BG2000">
            <v>17.429620749261797</v>
          </cell>
          <cell r="BH2000">
            <v>16.109902701379674</v>
          </cell>
          <cell r="BI2000">
            <v>13.839355674417275</v>
          </cell>
          <cell r="BJ2000">
            <v>18.380449728342072</v>
          </cell>
          <cell r="BU2000">
            <v>12.850729501000506</v>
          </cell>
          <cell r="BV2000">
            <v>11.522967903511651</v>
          </cell>
          <cell r="BW2000">
            <v>10.055977276238897</v>
          </cell>
          <cell r="BX2000">
            <v>8.6149332270911767</v>
          </cell>
          <cell r="BY2000">
            <v>11.497021325386617</v>
          </cell>
        </row>
        <row r="2001">
          <cell r="A2001">
            <v>42237</v>
          </cell>
          <cell r="BF2001">
            <v>17.838653080762139</v>
          </cell>
          <cell r="BG2001">
            <v>17.429620749261797</v>
          </cell>
          <cell r="BH2001">
            <v>16.109902701379674</v>
          </cell>
          <cell r="BI2001">
            <v>13.839355674417275</v>
          </cell>
          <cell r="BJ2001">
            <v>18.380449728342072</v>
          </cell>
          <cell r="BU2001">
            <v>13.016653015291187</v>
          </cell>
          <cell r="BV2001">
            <v>11.522967903511651</v>
          </cell>
          <cell r="BW2001">
            <v>10.055977276238897</v>
          </cell>
          <cell r="BX2001">
            <v>8.6149332270911767</v>
          </cell>
          <cell r="BY2001">
            <v>11.497021325386617</v>
          </cell>
        </row>
        <row r="2002">
          <cell r="A2002">
            <v>42240</v>
          </cell>
          <cell r="BF2002">
            <v>17.827211094519679</v>
          </cell>
          <cell r="BG2002">
            <v>17.429620749261797</v>
          </cell>
          <cell r="BH2002">
            <v>16.109902701379674</v>
          </cell>
          <cell r="BI2002">
            <v>13.839355674417275</v>
          </cell>
          <cell r="BJ2002">
            <v>18.380449728342072</v>
          </cell>
          <cell r="BU2002">
            <v>13.010271546205706</v>
          </cell>
          <cell r="BV2002">
            <v>11.522967903511651</v>
          </cell>
          <cell r="BW2002">
            <v>10.055977276238897</v>
          </cell>
          <cell r="BX2002">
            <v>8.6149332270911767</v>
          </cell>
          <cell r="BY2002">
            <v>11.497021325386617</v>
          </cell>
        </row>
        <row r="2003">
          <cell r="A2003">
            <v>42241</v>
          </cell>
          <cell r="BF2003">
            <v>17.586919466709386</v>
          </cell>
          <cell r="BG2003">
            <v>17.429620749261797</v>
          </cell>
          <cell r="BH2003">
            <v>16.109902701379674</v>
          </cell>
          <cell r="BI2003">
            <v>13.839355674417275</v>
          </cell>
          <cell r="BJ2003">
            <v>18.380449728342072</v>
          </cell>
          <cell r="BU2003">
            <v>12.876251973778798</v>
          </cell>
          <cell r="BV2003">
            <v>11.522967903511651</v>
          </cell>
          <cell r="BW2003">
            <v>10.055977276238897</v>
          </cell>
          <cell r="BX2003">
            <v>8.6149332270911767</v>
          </cell>
          <cell r="BY2003">
            <v>11.497021325386617</v>
          </cell>
        </row>
        <row r="2004">
          <cell r="A2004">
            <v>42242</v>
          </cell>
          <cell r="BF2004">
            <v>17.181971097166763</v>
          </cell>
          <cell r="BG2004">
            <v>17.429620749261797</v>
          </cell>
          <cell r="BH2004">
            <v>16.109902701379674</v>
          </cell>
          <cell r="BI2004">
            <v>13.839355674417275</v>
          </cell>
          <cell r="BJ2004">
            <v>18.380449728342072</v>
          </cell>
          <cell r="BU2004">
            <v>12.676762832106061</v>
          </cell>
          <cell r="BV2004">
            <v>11.522967903511651</v>
          </cell>
          <cell r="BW2004">
            <v>10.055977276238897</v>
          </cell>
          <cell r="BX2004">
            <v>8.6149332270911767</v>
          </cell>
          <cell r="BY2004">
            <v>11.497021325386617</v>
          </cell>
        </row>
        <row r="2005">
          <cell r="A2005">
            <v>42243</v>
          </cell>
          <cell r="BF2005">
            <v>17.320683111954462</v>
          </cell>
          <cell r="BG2005">
            <v>17.429620749261797</v>
          </cell>
          <cell r="BH2005">
            <v>16.109902701379674</v>
          </cell>
          <cell r="BI2005">
            <v>13.839355674417275</v>
          </cell>
          <cell r="BJ2005">
            <v>18.380449728342072</v>
          </cell>
          <cell r="BU2005">
            <v>12.881264993036059</v>
          </cell>
          <cell r="BV2005">
            <v>11.522967903511651</v>
          </cell>
          <cell r="BW2005">
            <v>10.055977276238897</v>
          </cell>
          <cell r="BX2005">
            <v>8.6149332270911767</v>
          </cell>
          <cell r="BY2005">
            <v>11.497021325386617</v>
          </cell>
        </row>
        <row r="2006">
          <cell r="A2006">
            <v>42244</v>
          </cell>
          <cell r="BF2006">
            <v>17.430737381404178</v>
          </cell>
          <cell r="BG2006">
            <v>17.429620749261797</v>
          </cell>
          <cell r="BH2006">
            <v>16.109902701379674</v>
          </cell>
          <cell r="BI2006">
            <v>13.839355674417275</v>
          </cell>
          <cell r="BJ2006">
            <v>18.380449728342072</v>
          </cell>
          <cell r="BU2006">
            <v>12.943460020052784</v>
          </cell>
          <cell r="BV2006">
            <v>11.522967903511651</v>
          </cell>
          <cell r="BW2006">
            <v>10.055977276238897</v>
          </cell>
          <cell r="BX2006">
            <v>8.6149332270911767</v>
          </cell>
          <cell r="BY2006">
            <v>11.497021325386617</v>
          </cell>
        </row>
        <row r="2007">
          <cell r="A2007">
            <v>42247</v>
          </cell>
          <cell r="BF2007">
            <v>17.480075142314991</v>
          </cell>
          <cell r="BG2007">
            <v>17.429620749261797</v>
          </cell>
          <cell r="BH2007">
            <v>16.109902701379674</v>
          </cell>
          <cell r="BI2007">
            <v>13.839355674417275</v>
          </cell>
          <cell r="BJ2007">
            <v>18.380449728342072</v>
          </cell>
          <cell r="BU2007">
            <v>12.971342294753581</v>
          </cell>
          <cell r="BV2007">
            <v>11.522967903511651</v>
          </cell>
          <cell r="BW2007">
            <v>10.055977276238897</v>
          </cell>
          <cell r="BX2007">
            <v>8.6149332270911767</v>
          </cell>
          <cell r="BY2007">
            <v>11.497021325386617</v>
          </cell>
        </row>
        <row r="2008">
          <cell r="A2008">
            <v>42248</v>
          </cell>
          <cell r="BF2008">
            <v>17.514229222011387</v>
          </cell>
          <cell r="BG2008">
            <v>17.429620749261797</v>
          </cell>
          <cell r="BH2008">
            <v>16.109902701379674</v>
          </cell>
          <cell r="BI2008">
            <v>13.839355674417275</v>
          </cell>
          <cell r="BJ2008">
            <v>18.380449728342072</v>
          </cell>
          <cell r="BU2008">
            <v>12.990643807725952</v>
          </cell>
          <cell r="BV2008">
            <v>11.522967903511651</v>
          </cell>
          <cell r="BW2008">
            <v>10.055977276238897</v>
          </cell>
          <cell r="BX2008">
            <v>8.6149332270911767</v>
          </cell>
          <cell r="BY2008">
            <v>11.497021325386617</v>
          </cell>
        </row>
        <row r="2009">
          <cell r="A2009">
            <v>42249</v>
          </cell>
          <cell r="BF2009">
            <v>17.537004554079697</v>
          </cell>
          <cell r="BG2009">
            <v>17.429620749261797</v>
          </cell>
          <cell r="BH2009">
            <v>16.109902701379674</v>
          </cell>
          <cell r="BI2009">
            <v>13.839355674417275</v>
          </cell>
          <cell r="BJ2009">
            <v>18.380449728342072</v>
          </cell>
          <cell r="BU2009">
            <v>13.003514843083202</v>
          </cell>
          <cell r="BV2009">
            <v>11.522967903511651</v>
          </cell>
          <cell r="BW2009">
            <v>10.055977276238897</v>
          </cell>
          <cell r="BX2009">
            <v>8.6149332270911767</v>
          </cell>
          <cell r="BY2009">
            <v>11.497021325386617</v>
          </cell>
        </row>
        <row r="2010">
          <cell r="A2010">
            <v>42250</v>
          </cell>
          <cell r="BF2010">
            <v>17.343452371916513</v>
          </cell>
          <cell r="BG2010">
            <v>17.429620749261797</v>
          </cell>
          <cell r="BH2010">
            <v>16.109902701379674</v>
          </cell>
          <cell r="BI2010">
            <v>13.839355674417275</v>
          </cell>
          <cell r="BJ2010">
            <v>18.380449728342072</v>
          </cell>
          <cell r="BU2010">
            <v>12.894132596860713</v>
          </cell>
          <cell r="BV2010">
            <v>11.522967903511651</v>
          </cell>
          <cell r="BW2010">
            <v>10.055977276238897</v>
          </cell>
          <cell r="BX2010">
            <v>8.6149332270911767</v>
          </cell>
          <cell r="BY2010">
            <v>11.497021325386617</v>
          </cell>
        </row>
        <row r="2011">
          <cell r="A2011">
            <v>42251</v>
          </cell>
          <cell r="BF2011">
            <v>17.840605313092983</v>
          </cell>
          <cell r="BG2011">
            <v>17.429620749261797</v>
          </cell>
          <cell r="BH2011">
            <v>16.109902701379674</v>
          </cell>
          <cell r="BI2011">
            <v>13.839355674417275</v>
          </cell>
          <cell r="BJ2011">
            <v>18.380449728342072</v>
          </cell>
          <cell r="BU2011">
            <v>13.175088899260608</v>
          </cell>
          <cell r="BV2011">
            <v>11.522967903511651</v>
          </cell>
          <cell r="BW2011">
            <v>10.055977276238897</v>
          </cell>
          <cell r="BX2011">
            <v>8.6149332270911767</v>
          </cell>
          <cell r="BY2011">
            <v>11.497021325386617</v>
          </cell>
        </row>
        <row r="2012">
          <cell r="A2012">
            <v>42254</v>
          </cell>
          <cell r="BF2012">
            <v>17.844404174573057</v>
          </cell>
          <cell r="BG2012">
            <v>17.429620749261797</v>
          </cell>
          <cell r="BH2012">
            <v>16.109902701379674</v>
          </cell>
          <cell r="BI2012">
            <v>13.839355674417275</v>
          </cell>
          <cell r="BJ2012">
            <v>18.380449728342072</v>
          </cell>
          <cell r="BU2012">
            <v>13.177235751841316</v>
          </cell>
          <cell r="BV2012">
            <v>11.522967903511651</v>
          </cell>
          <cell r="BW2012">
            <v>10.055977276238897</v>
          </cell>
          <cell r="BX2012">
            <v>8.6149332270911767</v>
          </cell>
          <cell r="BY2012">
            <v>11.497021325386617</v>
          </cell>
        </row>
        <row r="2013">
          <cell r="A2013">
            <v>42255</v>
          </cell>
          <cell r="BF2013">
            <v>17.707781404174575</v>
          </cell>
          <cell r="BG2013">
            <v>17.429620749261797</v>
          </cell>
          <cell r="BH2013">
            <v>16.109902701379674</v>
          </cell>
          <cell r="BI2013">
            <v>13.839355674417275</v>
          </cell>
          <cell r="BJ2013">
            <v>18.380449728342072</v>
          </cell>
          <cell r="BU2013">
            <v>13.100026053948445</v>
          </cell>
          <cell r="BV2013">
            <v>11.522967903511651</v>
          </cell>
          <cell r="BW2013">
            <v>10.055977276238897</v>
          </cell>
          <cell r="BX2013">
            <v>8.6149332270911767</v>
          </cell>
          <cell r="BY2013">
            <v>11.497021325386617</v>
          </cell>
        </row>
        <row r="2014">
          <cell r="A2014">
            <v>42256</v>
          </cell>
          <cell r="BF2014">
            <v>17.787474762808351</v>
          </cell>
          <cell r="BG2014">
            <v>17.429620749261797</v>
          </cell>
          <cell r="BH2014">
            <v>16.109902701379674</v>
          </cell>
          <cell r="BI2014">
            <v>13.839355674417275</v>
          </cell>
          <cell r="BJ2014">
            <v>18.380449728342072</v>
          </cell>
          <cell r="BU2014">
            <v>13.145063203511695</v>
          </cell>
          <cell r="BV2014">
            <v>11.522967903511651</v>
          </cell>
          <cell r="BW2014">
            <v>10.055977276238897</v>
          </cell>
          <cell r="BX2014">
            <v>8.6149332270911767</v>
          </cell>
          <cell r="BY2014">
            <v>11.497021325386617</v>
          </cell>
        </row>
        <row r="2015">
          <cell r="A2015">
            <v>42257</v>
          </cell>
          <cell r="BF2015">
            <v>18.037950284629982</v>
          </cell>
          <cell r="BG2015">
            <v>17.429620749261797</v>
          </cell>
          <cell r="BH2015">
            <v>16.109902701379674</v>
          </cell>
          <cell r="BI2015">
            <v>13.839355674417275</v>
          </cell>
          <cell r="BJ2015">
            <v>18.380449728342072</v>
          </cell>
          <cell r="BU2015">
            <v>13.28661456653121</v>
          </cell>
          <cell r="BV2015">
            <v>11.522967903511651</v>
          </cell>
          <cell r="BW2015">
            <v>10.055977276238897</v>
          </cell>
          <cell r="BX2015">
            <v>8.6149332270911767</v>
          </cell>
          <cell r="BY2015">
            <v>11.497021325386617</v>
          </cell>
        </row>
        <row r="2016">
          <cell r="A2016">
            <v>42258</v>
          </cell>
          <cell r="BF2016">
            <v>17.988612523719166</v>
          </cell>
          <cell r="BG2016">
            <v>17.429620749261797</v>
          </cell>
          <cell r="BH2016">
            <v>16.109902701379674</v>
          </cell>
          <cell r="BI2016">
            <v>13.839355674417275</v>
          </cell>
          <cell r="BJ2016">
            <v>18.380449728342072</v>
          </cell>
          <cell r="BU2016">
            <v>13.28661456653121</v>
          </cell>
          <cell r="BV2016">
            <v>11.522967903511651</v>
          </cell>
          <cell r="BW2016">
            <v>10.055977276238897</v>
          </cell>
          <cell r="BX2016">
            <v>8.6149332270911767</v>
          </cell>
          <cell r="BY2016">
            <v>11.497021325386617</v>
          </cell>
        </row>
        <row r="2017">
          <cell r="A2017">
            <v>42261</v>
          </cell>
          <cell r="BF2017">
            <v>18.0545264807288</v>
          </cell>
          <cell r="BG2017">
            <v>17.429620749261797</v>
          </cell>
          <cell r="BH2017">
            <v>16.109902701379674</v>
          </cell>
          <cell r="BI2017">
            <v>13.839355674417275</v>
          </cell>
          <cell r="BJ2017">
            <v>18.380449728342072</v>
          </cell>
          <cell r="BU2017">
            <v>13.281145354524046</v>
          </cell>
          <cell r="BV2017">
            <v>11.522967903511651</v>
          </cell>
          <cell r="BW2017">
            <v>10.055977276238897</v>
          </cell>
          <cell r="BX2017">
            <v>8.6149332270911767</v>
          </cell>
          <cell r="BY2017">
            <v>11.497021325386617</v>
          </cell>
        </row>
        <row r="2018">
          <cell r="A2018">
            <v>42262</v>
          </cell>
          <cell r="BF2018">
            <v>18.028205452837852</v>
          </cell>
          <cell r="BG2018">
            <v>17.429620749261797</v>
          </cell>
          <cell r="BH2018">
            <v>16.109902701379674</v>
          </cell>
          <cell r="BI2018">
            <v>13.839355674417275</v>
          </cell>
          <cell r="BJ2018">
            <v>18.380449728342072</v>
          </cell>
          <cell r="BU2018">
            <v>13.266255660139723</v>
          </cell>
          <cell r="BV2018">
            <v>11.522967903511651</v>
          </cell>
          <cell r="BW2018">
            <v>10.055977276238897</v>
          </cell>
          <cell r="BX2018">
            <v>8.6149332270911767</v>
          </cell>
          <cell r="BY2018">
            <v>11.497021325386617</v>
          </cell>
        </row>
        <row r="2019">
          <cell r="A2019">
            <v>42263</v>
          </cell>
          <cell r="BF2019">
            <v>18.084611845818117</v>
          </cell>
          <cell r="BG2019">
            <v>17.429620749261797</v>
          </cell>
          <cell r="BH2019">
            <v>16.109902701379674</v>
          </cell>
          <cell r="BI2019">
            <v>13.839355674417275</v>
          </cell>
          <cell r="BJ2019">
            <v>18.380449728342072</v>
          </cell>
          <cell r="BU2019">
            <v>13.298164518573284</v>
          </cell>
          <cell r="BV2019">
            <v>11.522967903511651</v>
          </cell>
          <cell r="BW2019">
            <v>10.055977276238897</v>
          </cell>
          <cell r="BX2019">
            <v>8.6149332270911767</v>
          </cell>
          <cell r="BY2019">
            <v>11.497021325386617</v>
          </cell>
        </row>
        <row r="2020">
          <cell r="A2020">
            <v>42264</v>
          </cell>
          <cell r="BF2020">
            <v>18.095893199625703</v>
          </cell>
          <cell r="BG2020">
            <v>17.429620749261797</v>
          </cell>
          <cell r="BH2020">
            <v>16.109902701379674</v>
          </cell>
          <cell r="BI2020">
            <v>13.839355674417275</v>
          </cell>
          <cell r="BJ2020">
            <v>18.380449728342072</v>
          </cell>
          <cell r="BU2020">
            <v>13.304546332806842</v>
          </cell>
          <cell r="BV2020">
            <v>11.522967903511651</v>
          </cell>
          <cell r="BW2020">
            <v>10.055977276238897</v>
          </cell>
          <cell r="BX2020">
            <v>8.6149332270911767</v>
          </cell>
          <cell r="BY2020">
            <v>11.497021325386617</v>
          </cell>
        </row>
        <row r="2021">
          <cell r="A2021">
            <v>42265</v>
          </cell>
          <cell r="BF2021">
            <v>18.122219868381578</v>
          </cell>
          <cell r="BG2021">
            <v>17.429620749261797</v>
          </cell>
          <cell r="BH2021">
            <v>16.109902701379674</v>
          </cell>
          <cell r="BI2021">
            <v>13.839355674417275</v>
          </cell>
          <cell r="BJ2021">
            <v>18.380449728342072</v>
          </cell>
          <cell r="BU2021">
            <v>13.304546332806842</v>
          </cell>
          <cell r="BV2021">
            <v>11.522967903511651</v>
          </cell>
          <cell r="BW2021">
            <v>10.055977276238897</v>
          </cell>
          <cell r="BX2021">
            <v>8.6149332270911767</v>
          </cell>
          <cell r="BY2021">
            <v>11.497021325386617</v>
          </cell>
        </row>
        <row r="2022">
          <cell r="A2022">
            <v>42268</v>
          </cell>
          <cell r="BF2022">
            <v>18.022704772270153</v>
          </cell>
          <cell r="BG2022">
            <v>17.429620749261797</v>
          </cell>
          <cell r="BH2022">
            <v>16.109902701379674</v>
          </cell>
          <cell r="BI2022">
            <v>13.839355674417275</v>
          </cell>
          <cell r="BJ2022">
            <v>18.380449728342072</v>
          </cell>
          <cell r="BU2022">
            <v>13.262000124557602</v>
          </cell>
          <cell r="BV2022">
            <v>11.522967903511651</v>
          </cell>
          <cell r="BW2022">
            <v>10.055977276238897</v>
          </cell>
          <cell r="BX2022">
            <v>8.6149332270911767</v>
          </cell>
          <cell r="BY2022">
            <v>11.497021325386617</v>
          </cell>
        </row>
        <row r="2023">
          <cell r="A2023">
            <v>42269</v>
          </cell>
          <cell r="BF2023">
            <v>18.07912313572178</v>
          </cell>
          <cell r="BG2023">
            <v>17.429620749261797</v>
          </cell>
          <cell r="BH2023">
            <v>16.109902701379674</v>
          </cell>
          <cell r="BI2023">
            <v>13.839355674417275</v>
          </cell>
          <cell r="BJ2023">
            <v>18.380449728342072</v>
          </cell>
          <cell r="BU2023">
            <v>13.293912174004646</v>
          </cell>
          <cell r="BV2023">
            <v>11.522967903511651</v>
          </cell>
          <cell r="BW2023">
            <v>10.055977276238897</v>
          </cell>
          <cell r="BX2023">
            <v>8.6149332270911767</v>
          </cell>
          <cell r="BY2023">
            <v>11.497021325386617</v>
          </cell>
        </row>
        <row r="2024">
          <cell r="A2024">
            <v>42270</v>
          </cell>
          <cell r="BF2024">
            <v>18.075358376153012</v>
          </cell>
          <cell r="BG2024">
            <v>17.429620749261797</v>
          </cell>
          <cell r="BH2024">
            <v>16.109902701379674</v>
          </cell>
          <cell r="BI2024">
            <v>13.839355674417275</v>
          </cell>
          <cell r="BJ2024">
            <v>18.380449728342072</v>
          </cell>
          <cell r="BU2024">
            <v>13.291782704339726</v>
          </cell>
          <cell r="BV2024">
            <v>11.522967903511651</v>
          </cell>
          <cell r="BW2024">
            <v>10.055977276238897</v>
          </cell>
          <cell r="BX2024">
            <v>8.6149332270911767</v>
          </cell>
          <cell r="BY2024">
            <v>11.497021325386617</v>
          </cell>
        </row>
        <row r="2025">
          <cell r="A2025">
            <v>42271</v>
          </cell>
          <cell r="BF2025">
            <v>17.695499777162556</v>
          </cell>
          <cell r="BG2025">
            <v>17.429620749261797</v>
          </cell>
          <cell r="BH2025">
            <v>16.109902701379674</v>
          </cell>
          <cell r="BI2025">
            <v>13.839355674417275</v>
          </cell>
          <cell r="BJ2025">
            <v>18.380449728342072</v>
          </cell>
          <cell r="BU2025">
            <v>13.076922406162835</v>
          </cell>
          <cell r="BV2025">
            <v>11.522967903511651</v>
          </cell>
          <cell r="BW2025">
            <v>10.055977276238897</v>
          </cell>
          <cell r="BX2025">
            <v>8.6149332270911767</v>
          </cell>
          <cell r="BY2025">
            <v>11.497021325386617</v>
          </cell>
        </row>
        <row r="2026">
          <cell r="A2026">
            <v>42272</v>
          </cell>
          <cell r="BF2026">
            <v>17.590192193296975</v>
          </cell>
          <cell r="BG2026">
            <v>17.429620749261797</v>
          </cell>
          <cell r="BH2026">
            <v>16.109902701379674</v>
          </cell>
          <cell r="BI2026">
            <v>13.839355674417275</v>
          </cell>
          <cell r="BJ2026">
            <v>18.380449728342072</v>
          </cell>
          <cell r="BU2026">
            <v>13.174059754537755</v>
          </cell>
          <cell r="BV2026">
            <v>11.522967903511651</v>
          </cell>
          <cell r="BW2026">
            <v>10.055977276238897</v>
          </cell>
          <cell r="BX2026">
            <v>8.6149332270911767</v>
          </cell>
          <cell r="BY2026">
            <v>11.497021325386617</v>
          </cell>
        </row>
        <row r="2027">
          <cell r="A2027">
            <v>42275</v>
          </cell>
          <cell r="BF2027">
            <v>17.85490540032751</v>
          </cell>
          <cell r="BG2027">
            <v>17.429620749261797</v>
          </cell>
          <cell r="BH2027">
            <v>16.109902701379674</v>
          </cell>
          <cell r="BI2027">
            <v>13.839355674417275</v>
          </cell>
          <cell r="BJ2027">
            <v>18.380449728342072</v>
          </cell>
          <cell r="BU2027">
            <v>13.270500401653846</v>
          </cell>
          <cell r="BV2027">
            <v>11.522967903511651</v>
          </cell>
          <cell r="BW2027">
            <v>10.055977276238897</v>
          </cell>
          <cell r="BX2027">
            <v>8.6149332270911767</v>
          </cell>
          <cell r="BY2027">
            <v>11.497021325386617</v>
          </cell>
        </row>
        <row r="2028">
          <cell r="A2028">
            <v>42276</v>
          </cell>
          <cell r="BF2028">
            <v>17.982707806041091</v>
          </cell>
          <cell r="BG2028">
            <v>17.429620749261797</v>
          </cell>
          <cell r="BH2028">
            <v>16.109902701379674</v>
          </cell>
          <cell r="BI2028">
            <v>13.839355674417275</v>
          </cell>
          <cell r="BJ2028">
            <v>18.380449728342072</v>
          </cell>
          <cell r="BU2028">
            <v>13.343366673126322</v>
          </cell>
          <cell r="BV2028">
            <v>11.522967903511651</v>
          </cell>
          <cell r="BW2028">
            <v>10.055977276238897</v>
          </cell>
          <cell r="BX2028">
            <v>8.6149332270911767</v>
          </cell>
          <cell r="BY2028">
            <v>11.497021325386617</v>
          </cell>
        </row>
        <row r="2029">
          <cell r="A2029">
            <v>42277</v>
          </cell>
          <cell r="BF2029">
            <v>18.324771331915077</v>
          </cell>
          <cell r="BG2029">
            <v>17.429620749261797</v>
          </cell>
          <cell r="BH2029">
            <v>16.109902701379674</v>
          </cell>
          <cell r="BI2029">
            <v>13.839355674417275</v>
          </cell>
          <cell r="BJ2029">
            <v>18.380449728342072</v>
          </cell>
          <cell r="BU2029">
            <v>13.538393469359137</v>
          </cell>
          <cell r="BV2029">
            <v>11.522967903511651</v>
          </cell>
          <cell r="BW2029">
            <v>10.055977276238897</v>
          </cell>
          <cell r="BX2029">
            <v>8.6149332270911767</v>
          </cell>
          <cell r="BY2029">
            <v>11.497021325386617</v>
          </cell>
        </row>
        <row r="2030">
          <cell r="A2030">
            <v>42278</v>
          </cell>
          <cell r="BF2030">
            <v>18.148101365745404</v>
          </cell>
          <cell r="BG2030">
            <v>17.429620749261797</v>
          </cell>
          <cell r="BH2030">
            <v>16.109902701379674</v>
          </cell>
          <cell r="BI2030">
            <v>13.839355674417275</v>
          </cell>
          <cell r="BJ2030">
            <v>18.380449728342072</v>
          </cell>
          <cell r="BU2030">
            <v>13.437665461587493</v>
          </cell>
          <cell r="BV2030">
            <v>11.522967903511651</v>
          </cell>
          <cell r="BW2030">
            <v>10.055977276238897</v>
          </cell>
          <cell r="BX2030">
            <v>8.6149332270911767</v>
          </cell>
          <cell r="BY2030">
            <v>11.497021325386617</v>
          </cell>
        </row>
        <row r="2031">
          <cell r="A2031">
            <v>42279</v>
          </cell>
          <cell r="BF2031">
            <v>18.227041473501334</v>
          </cell>
          <cell r="BG2031">
            <v>17.429620749261797</v>
          </cell>
          <cell r="BH2031">
            <v>16.109902701379674</v>
          </cell>
          <cell r="BI2031">
            <v>13.839355674417275</v>
          </cell>
          <cell r="BJ2031">
            <v>18.380449728342072</v>
          </cell>
          <cell r="BU2031">
            <v>13.437665461587493</v>
          </cell>
          <cell r="BV2031">
            <v>11.522967903511651</v>
          </cell>
          <cell r="BW2031">
            <v>10.055977276238897</v>
          </cell>
          <cell r="BX2031">
            <v>8.6149332270911767</v>
          </cell>
          <cell r="BY2031">
            <v>11.497021325386617</v>
          </cell>
        </row>
        <row r="2032">
          <cell r="A2032">
            <v>42282</v>
          </cell>
          <cell r="BF2032">
            <v>18.27872134161894</v>
          </cell>
          <cell r="BG2032">
            <v>17.429620749261797</v>
          </cell>
          <cell r="BH2032">
            <v>16.109902701379674</v>
          </cell>
          <cell r="BI2032">
            <v>13.839355674417275</v>
          </cell>
          <cell r="BJ2032">
            <v>18.380449728342072</v>
          </cell>
          <cell r="BU2032">
            <v>13.512676806431699</v>
          </cell>
          <cell r="BV2032">
            <v>11.522967903511651</v>
          </cell>
          <cell r="BW2032">
            <v>10.055977276238897</v>
          </cell>
          <cell r="BX2032">
            <v>8.6149332270911767</v>
          </cell>
          <cell r="BY2032">
            <v>11.497021325386617</v>
          </cell>
        </row>
        <row r="2033">
          <cell r="A2033">
            <v>42283</v>
          </cell>
          <cell r="BF2033">
            <v>17.052695843897332</v>
          </cell>
          <cell r="BG2033">
            <v>17.429620749261797</v>
          </cell>
          <cell r="BH2033">
            <v>16.109902701379674</v>
          </cell>
          <cell r="BI2033">
            <v>13.839355674417275</v>
          </cell>
          <cell r="BJ2033">
            <v>18.380449728342072</v>
          </cell>
          <cell r="BU2033">
            <v>12.932413364144821</v>
          </cell>
          <cell r="BV2033">
            <v>11.522967903511651</v>
          </cell>
          <cell r="BW2033">
            <v>10.055977276238897</v>
          </cell>
          <cell r="BX2033">
            <v>8.6149332270911767</v>
          </cell>
          <cell r="BY2033">
            <v>11.497021325386617</v>
          </cell>
        </row>
        <row r="2034">
          <cell r="A2034">
            <v>42284</v>
          </cell>
          <cell r="BF2034">
            <v>17.045483710695738</v>
          </cell>
          <cell r="BG2034">
            <v>17.429620749261797</v>
          </cell>
          <cell r="BH2034">
            <v>16.109902701379674</v>
          </cell>
          <cell r="BI2034">
            <v>13.839355674417275</v>
          </cell>
          <cell r="BJ2034">
            <v>18.380449728342072</v>
          </cell>
          <cell r="BU2034">
            <v>11.804806761326226</v>
          </cell>
          <cell r="BV2034">
            <v>11.522967903511651</v>
          </cell>
          <cell r="BW2034">
            <v>10.055977276238897</v>
          </cell>
          <cell r="BX2034">
            <v>8.6149332270911767</v>
          </cell>
          <cell r="BY2034">
            <v>11.497021325386617</v>
          </cell>
        </row>
        <row r="2035">
          <cell r="A2035">
            <v>42285</v>
          </cell>
          <cell r="BF2035">
            <v>17.205385611874391</v>
          </cell>
          <cell r="BG2035">
            <v>17.429620749261797</v>
          </cell>
          <cell r="BH2035">
            <v>16.109902701379674</v>
          </cell>
          <cell r="BI2035">
            <v>13.839355674417275</v>
          </cell>
          <cell r="BJ2035">
            <v>18.380449728342072</v>
          </cell>
          <cell r="BU2035">
            <v>11.804806761326226</v>
          </cell>
          <cell r="BV2035">
            <v>11.522967903511651</v>
          </cell>
          <cell r="BW2035">
            <v>10.055977276238897</v>
          </cell>
          <cell r="BX2035">
            <v>8.6149332270911767</v>
          </cell>
          <cell r="BY2035">
            <v>11.497021325386617</v>
          </cell>
        </row>
        <row r="2036">
          <cell r="A2036">
            <v>42286</v>
          </cell>
          <cell r="BF2036">
            <v>17.201608728463501</v>
          </cell>
          <cell r="BG2036">
            <v>17.429620749261797</v>
          </cell>
          <cell r="BH2036">
            <v>16.109902701379674</v>
          </cell>
          <cell r="BI2036">
            <v>13.839355674417275</v>
          </cell>
          <cell r="BJ2036">
            <v>18.380449728342072</v>
          </cell>
          <cell r="BU2036">
            <v>11.804806761326226</v>
          </cell>
          <cell r="BV2036">
            <v>11.522967903511651</v>
          </cell>
          <cell r="BW2036">
            <v>10.055977276238897</v>
          </cell>
          <cell r="BX2036">
            <v>8.6149332270911767</v>
          </cell>
          <cell r="BY2036">
            <v>11.497021325386617</v>
          </cell>
        </row>
        <row r="2037">
          <cell r="A2037">
            <v>42289</v>
          </cell>
          <cell r="BF2037">
            <v>17.193174671797408</v>
          </cell>
          <cell r="BG2037">
            <v>17.429620749261797</v>
          </cell>
          <cell r="BH2037">
            <v>16.109902701379674</v>
          </cell>
          <cell r="BI2037">
            <v>13.839355674417275</v>
          </cell>
          <cell r="BJ2037">
            <v>18.380449728342072</v>
          </cell>
          <cell r="BU2037">
            <v>11.798440738473243</v>
          </cell>
          <cell r="BV2037">
            <v>11.522967903511651</v>
          </cell>
          <cell r="BW2037">
            <v>10.055977276238897</v>
          </cell>
          <cell r="BX2037">
            <v>8.6149332270911767</v>
          </cell>
          <cell r="BY2037">
            <v>11.497021325386617</v>
          </cell>
        </row>
        <row r="2038">
          <cell r="A2038">
            <v>42290</v>
          </cell>
          <cell r="BF2038">
            <v>17.194013338477436</v>
          </cell>
          <cell r="BG2038">
            <v>17.429620749261797</v>
          </cell>
          <cell r="BH2038">
            <v>16.109902701379674</v>
          </cell>
          <cell r="BI2038">
            <v>13.839355674417275</v>
          </cell>
          <cell r="BJ2038">
            <v>18.380449728342072</v>
          </cell>
          <cell r="BU2038">
            <v>11.708846684625849</v>
          </cell>
          <cell r="BV2038">
            <v>11.522967903511651</v>
          </cell>
          <cell r="BW2038">
            <v>10.055977276238897</v>
          </cell>
          <cell r="BX2038">
            <v>8.6149332270911767</v>
          </cell>
          <cell r="BY2038">
            <v>11.497021325386617</v>
          </cell>
        </row>
        <row r="2039">
          <cell r="A2039">
            <v>42291</v>
          </cell>
          <cell r="BF2039">
            <v>17.081313862399529</v>
          </cell>
          <cell r="BG2039">
            <v>17.429620749261797</v>
          </cell>
          <cell r="BH2039">
            <v>16.109902701379674</v>
          </cell>
          <cell r="BI2039">
            <v>13.839355674417275</v>
          </cell>
          <cell r="BJ2039">
            <v>18.380449728342072</v>
          </cell>
          <cell r="BU2039">
            <v>11.645893588916961</v>
          </cell>
          <cell r="BV2039">
            <v>11.522967903511651</v>
          </cell>
          <cell r="BW2039">
            <v>10.055977276238897</v>
          </cell>
          <cell r="BX2039">
            <v>8.6149332270911767</v>
          </cell>
          <cell r="BY2039">
            <v>11.497021325386617</v>
          </cell>
        </row>
        <row r="2040">
          <cell r="A2040">
            <v>42292</v>
          </cell>
          <cell r="BF2040">
            <v>16.660575237419522</v>
          </cell>
          <cell r="BG2040">
            <v>17.429620749261797</v>
          </cell>
          <cell r="BH2040">
            <v>16.109902701379674</v>
          </cell>
          <cell r="BI2040">
            <v>13.839355674417275</v>
          </cell>
          <cell r="BJ2040">
            <v>18.380449728342072</v>
          </cell>
          <cell r="BU2040">
            <v>11.410872097703619</v>
          </cell>
          <cell r="BV2040">
            <v>11.522967903511651</v>
          </cell>
          <cell r="BW2040">
            <v>10.055977276238897</v>
          </cell>
          <cell r="BX2040">
            <v>8.6149332270911767</v>
          </cell>
          <cell r="BY2040">
            <v>11.497021325386617</v>
          </cell>
        </row>
        <row r="2041">
          <cell r="A2041">
            <v>42293</v>
          </cell>
          <cell r="BF2041">
            <v>16.878991490428415</v>
          </cell>
          <cell r="BG2041">
            <v>17.429620749261797</v>
          </cell>
          <cell r="BH2041">
            <v>16.109902701379674</v>
          </cell>
          <cell r="BI2041">
            <v>13.839355674417275</v>
          </cell>
          <cell r="BJ2041">
            <v>18.380449728342072</v>
          </cell>
          <cell r="BU2041">
            <v>11.411320483900672</v>
          </cell>
          <cell r="BV2041">
            <v>11.522967903511651</v>
          </cell>
          <cell r="BW2041">
            <v>10.055977276238897</v>
          </cell>
          <cell r="BX2041">
            <v>8.6149332270911767</v>
          </cell>
          <cell r="BY2041">
            <v>11.497021325386617</v>
          </cell>
        </row>
        <row r="2042">
          <cell r="A2042">
            <v>42296</v>
          </cell>
          <cell r="BF2042">
            <v>16.903277779790923</v>
          </cell>
          <cell r="BG2042">
            <v>17.429620749261797</v>
          </cell>
          <cell r="BH2042">
            <v>16.109902701379674</v>
          </cell>
          <cell r="BI2042">
            <v>13.839355674417275</v>
          </cell>
          <cell r="BJ2042">
            <v>18.380449728342072</v>
          </cell>
          <cell r="BU2042">
            <v>11.501615267147111</v>
          </cell>
          <cell r="BV2042">
            <v>11.522967903511651</v>
          </cell>
          <cell r="BW2042">
            <v>10.055977276238897</v>
          </cell>
          <cell r="BX2042">
            <v>8.6149332270911767</v>
          </cell>
          <cell r="BY2042">
            <v>11.497021325386617</v>
          </cell>
        </row>
        <row r="2043">
          <cell r="A2043">
            <v>42297</v>
          </cell>
          <cell r="BF2043">
            <v>16.659819293881956</v>
          </cell>
          <cell r="BG2043">
            <v>17.429620749261797</v>
          </cell>
          <cell r="BH2043">
            <v>16.109902701379674</v>
          </cell>
          <cell r="BI2043">
            <v>13.839355674417275</v>
          </cell>
          <cell r="BJ2043">
            <v>18.380449728342072</v>
          </cell>
          <cell r="BU2043">
            <v>11.36607583676887</v>
          </cell>
          <cell r="BV2043">
            <v>11.522967903511651</v>
          </cell>
          <cell r="BW2043">
            <v>10.055977276238897</v>
          </cell>
          <cell r="BX2043">
            <v>8.6149332270911767</v>
          </cell>
          <cell r="BY2043">
            <v>11.497021325386617</v>
          </cell>
        </row>
        <row r="2044">
          <cell r="A2044">
            <v>42298</v>
          </cell>
          <cell r="BF2044">
            <v>16.636877784771958</v>
          </cell>
          <cell r="BG2044">
            <v>17.429620749261797</v>
          </cell>
          <cell r="BH2044">
            <v>16.109902701379674</v>
          </cell>
          <cell r="BI2044">
            <v>13.839355674417275</v>
          </cell>
          <cell r="BJ2044">
            <v>18.380449728342072</v>
          </cell>
          <cell r="BU2044">
            <v>11.467297425329422</v>
          </cell>
          <cell r="BV2044">
            <v>11.522967903511651</v>
          </cell>
          <cell r="BW2044">
            <v>10.055977276238897</v>
          </cell>
          <cell r="BX2044">
            <v>8.6149332270911767</v>
          </cell>
          <cell r="BY2044">
            <v>11.497021325386617</v>
          </cell>
        </row>
        <row r="2045">
          <cell r="A2045">
            <v>42299</v>
          </cell>
          <cell r="BF2045">
            <v>16.68974084329934</v>
          </cell>
          <cell r="BG2045">
            <v>17.429620749261797</v>
          </cell>
          <cell r="BH2045">
            <v>16.109902701379674</v>
          </cell>
          <cell r="BI2045">
            <v>13.839355674417275</v>
          </cell>
          <cell r="BJ2045">
            <v>18.380449728342072</v>
          </cell>
          <cell r="BU2045">
            <v>11.467297425329422</v>
          </cell>
          <cell r="BV2045">
            <v>11.522967903511651</v>
          </cell>
          <cell r="BW2045">
            <v>10.055977276238897</v>
          </cell>
          <cell r="BX2045">
            <v>8.6149332270911767</v>
          </cell>
          <cell r="BY2045">
            <v>11.497021325386617</v>
          </cell>
        </row>
        <row r="2046">
          <cell r="A2046">
            <v>42300</v>
          </cell>
          <cell r="BF2046">
            <v>16.523597860291144</v>
          </cell>
          <cell r="BG2046">
            <v>17.429620749261797</v>
          </cell>
          <cell r="BH2046">
            <v>16.109902701379674</v>
          </cell>
          <cell r="BI2046">
            <v>13.839355674417275</v>
          </cell>
          <cell r="BJ2046">
            <v>18.380449728342072</v>
          </cell>
          <cell r="BU2046">
            <v>10.975396061865526</v>
          </cell>
          <cell r="BV2046">
            <v>11.522967903511651</v>
          </cell>
          <cell r="BW2046">
            <v>10.055977276238897</v>
          </cell>
          <cell r="BX2046">
            <v>8.6149332270911767</v>
          </cell>
          <cell r="BY2046">
            <v>11.497021325386617</v>
          </cell>
        </row>
        <row r="2047">
          <cell r="A2047">
            <v>42303</v>
          </cell>
          <cell r="BF2047">
            <v>16.448079798617126</v>
          </cell>
          <cell r="BG2047">
            <v>17.429620749261797</v>
          </cell>
          <cell r="BH2047">
            <v>16.109902701379674</v>
          </cell>
          <cell r="BI2047">
            <v>13.839355674417275</v>
          </cell>
          <cell r="BJ2047">
            <v>18.380449728342072</v>
          </cell>
          <cell r="BU2047">
            <v>10.934877306522331</v>
          </cell>
          <cell r="BV2047">
            <v>11.522967903511651</v>
          </cell>
          <cell r="BW2047">
            <v>10.055977276238897</v>
          </cell>
          <cell r="BX2047">
            <v>8.6149332270911767</v>
          </cell>
          <cell r="BY2047">
            <v>11.497021325386617</v>
          </cell>
        </row>
        <row r="2048">
          <cell r="A2048">
            <v>42304</v>
          </cell>
          <cell r="BF2048">
            <v>16.470734801763761</v>
          </cell>
          <cell r="BG2048">
            <v>17.429620749261797</v>
          </cell>
          <cell r="BH2048">
            <v>16.109902701379674</v>
          </cell>
          <cell r="BI2048">
            <v>13.839355674417275</v>
          </cell>
          <cell r="BJ2048">
            <v>18.380449728342072</v>
          </cell>
          <cell r="BU2048">
            <v>10.947032710268793</v>
          </cell>
          <cell r="BV2048">
            <v>11.522967903511651</v>
          </cell>
          <cell r="BW2048">
            <v>10.055977276238897</v>
          </cell>
          <cell r="BX2048">
            <v>8.6149332270911767</v>
          </cell>
          <cell r="BY2048">
            <v>11.497021325386617</v>
          </cell>
        </row>
        <row r="2049">
          <cell r="A2049">
            <v>42305</v>
          </cell>
          <cell r="BF2049">
            <v>16.825675770926789</v>
          </cell>
          <cell r="BG2049">
            <v>17.429620749261797</v>
          </cell>
          <cell r="BH2049">
            <v>16.109902701379674</v>
          </cell>
          <cell r="BI2049">
            <v>13.839355674417275</v>
          </cell>
          <cell r="BJ2049">
            <v>18.380449728342072</v>
          </cell>
          <cell r="BU2049">
            <v>11.137474122190534</v>
          </cell>
          <cell r="BV2049">
            <v>11.522967903511651</v>
          </cell>
          <cell r="BW2049">
            <v>10.055977276238897</v>
          </cell>
          <cell r="BX2049">
            <v>8.6149332270911767</v>
          </cell>
          <cell r="BY2049">
            <v>11.497021325386617</v>
          </cell>
        </row>
        <row r="2050">
          <cell r="A2050">
            <v>42306</v>
          </cell>
          <cell r="BF2050">
            <v>16.765258904973354</v>
          </cell>
          <cell r="BG2050">
            <v>17.429620749261797</v>
          </cell>
          <cell r="BH2050">
            <v>16.109902701379674</v>
          </cell>
          <cell r="BI2050">
            <v>13.839355674417275</v>
          </cell>
          <cell r="BJ2050">
            <v>18.380449728342072</v>
          </cell>
          <cell r="BU2050">
            <v>11.105057821296359</v>
          </cell>
          <cell r="BV2050">
            <v>11.522967903511651</v>
          </cell>
          <cell r="BW2050">
            <v>10.055977276238897</v>
          </cell>
          <cell r="BX2050">
            <v>8.6149332270911767</v>
          </cell>
          <cell r="BY2050">
            <v>11.497021325386617</v>
          </cell>
        </row>
        <row r="2051">
          <cell r="A2051">
            <v>42307</v>
          </cell>
          <cell r="BF2051">
            <v>16.633104090624695</v>
          </cell>
          <cell r="BG2051">
            <v>17.429620749261797</v>
          </cell>
          <cell r="BH2051">
            <v>16.109902701379674</v>
          </cell>
          <cell r="BI2051">
            <v>13.839355674417275</v>
          </cell>
          <cell r="BJ2051">
            <v>18.380449728342072</v>
          </cell>
          <cell r="BU2051">
            <v>11.034150961780647</v>
          </cell>
          <cell r="BV2051">
            <v>11.522967903511651</v>
          </cell>
          <cell r="BW2051">
            <v>10.055977276238897</v>
          </cell>
          <cell r="BX2051">
            <v>8.6149332270911767</v>
          </cell>
          <cell r="BY2051">
            <v>11.497021325386617</v>
          </cell>
        </row>
        <row r="2052">
          <cell r="A2052">
            <v>42310</v>
          </cell>
          <cell r="BF2052">
            <v>16.733645369114662</v>
          </cell>
          <cell r="BG2052">
            <v>17.429620749261797</v>
          </cell>
          <cell r="BH2052">
            <v>16.109902701379674</v>
          </cell>
          <cell r="BI2052">
            <v>13.839355674417275</v>
          </cell>
          <cell r="BJ2052">
            <v>18.380449728342072</v>
          </cell>
          <cell r="BU2052">
            <v>11.088852912398323</v>
          </cell>
          <cell r="BV2052">
            <v>11.522967903511651</v>
          </cell>
          <cell r="BW2052">
            <v>10.055977276238897</v>
          </cell>
          <cell r="BX2052">
            <v>8.6149332270911767</v>
          </cell>
          <cell r="BY2052">
            <v>11.497021325386617</v>
          </cell>
        </row>
        <row r="2053">
          <cell r="A2053">
            <v>42311</v>
          </cell>
          <cell r="BF2053">
            <v>16.869562793321823</v>
          </cell>
          <cell r="BG2053">
            <v>17.429620749261797</v>
          </cell>
          <cell r="BH2053">
            <v>16.109902701379674</v>
          </cell>
          <cell r="BI2053">
            <v>13.839355674417275</v>
          </cell>
          <cell r="BJ2053">
            <v>18.380449728342072</v>
          </cell>
          <cell r="BU2053">
            <v>11.161784727086642</v>
          </cell>
          <cell r="BV2053">
            <v>11.522967903511651</v>
          </cell>
          <cell r="BW2053">
            <v>10.055977276238897</v>
          </cell>
          <cell r="BX2053">
            <v>8.6149332270911767</v>
          </cell>
          <cell r="BY2053">
            <v>11.497021325386617</v>
          </cell>
        </row>
        <row r="2054">
          <cell r="A2054">
            <v>42312</v>
          </cell>
          <cell r="BF2054">
            <v>16.952627280017097</v>
          </cell>
          <cell r="BG2054">
            <v>17.429620749261797</v>
          </cell>
          <cell r="BH2054">
            <v>16.109902701379674</v>
          </cell>
          <cell r="BI2054">
            <v>13.839355674417275</v>
          </cell>
          <cell r="BJ2054">
            <v>18.380449728342072</v>
          </cell>
          <cell r="BU2054">
            <v>11.206356229130462</v>
          </cell>
          <cell r="BV2054">
            <v>11.522967903511651</v>
          </cell>
          <cell r="BW2054">
            <v>10.055977276238897</v>
          </cell>
          <cell r="BX2054">
            <v>8.6149332270911767</v>
          </cell>
          <cell r="BY2054">
            <v>11.497021325386617</v>
          </cell>
        </row>
        <row r="2055">
          <cell r="A2055">
            <v>42313</v>
          </cell>
          <cell r="BF2055">
            <v>17.016818468425381</v>
          </cell>
          <cell r="BG2055">
            <v>17.429620749261797</v>
          </cell>
          <cell r="BH2055">
            <v>16.109902701379674</v>
          </cell>
          <cell r="BI2055">
            <v>13.839355674417275</v>
          </cell>
          <cell r="BJ2055">
            <v>18.380449728342072</v>
          </cell>
          <cell r="BU2055">
            <v>11.240800524149476</v>
          </cell>
          <cell r="BV2055">
            <v>11.522967903511651</v>
          </cell>
          <cell r="BW2055">
            <v>10.055977276238897</v>
          </cell>
          <cell r="BX2055">
            <v>8.6149332270911767</v>
          </cell>
          <cell r="BY2055">
            <v>11.497021325386617</v>
          </cell>
        </row>
        <row r="2056">
          <cell r="A2056">
            <v>42314</v>
          </cell>
          <cell r="BF2056">
            <v>17.016818468425381</v>
          </cell>
          <cell r="BG2056">
            <v>17.429620749261797</v>
          </cell>
          <cell r="BH2056">
            <v>16.109902701379674</v>
          </cell>
          <cell r="BI2056">
            <v>13.839355674417275</v>
          </cell>
          <cell r="BJ2056">
            <v>18.380449728342072</v>
          </cell>
          <cell r="BU2056">
            <v>11.240800524149476</v>
          </cell>
          <cell r="BV2056">
            <v>11.522967903511651</v>
          </cell>
          <cell r="BW2056">
            <v>10.055977276238897</v>
          </cell>
          <cell r="BX2056">
            <v>8.6149332270911767</v>
          </cell>
          <cell r="BY2056">
            <v>11.497021325386617</v>
          </cell>
        </row>
        <row r="2057">
          <cell r="A2057">
            <v>42317</v>
          </cell>
          <cell r="BF2057">
            <v>17.073450822902732</v>
          </cell>
          <cell r="BG2057">
            <v>17.429620749261797</v>
          </cell>
          <cell r="BH2057">
            <v>16.109902701379674</v>
          </cell>
          <cell r="BI2057">
            <v>13.839355674417275</v>
          </cell>
          <cell r="BJ2057">
            <v>18.380449728342072</v>
          </cell>
          <cell r="BU2057">
            <v>11.271188830918813</v>
          </cell>
          <cell r="BV2057">
            <v>11.522967903511651</v>
          </cell>
          <cell r="BW2057">
            <v>10.055977276238897</v>
          </cell>
          <cell r="BX2057">
            <v>8.6149332270911767</v>
          </cell>
          <cell r="BY2057">
            <v>11.497021325386617</v>
          </cell>
        </row>
        <row r="2058">
          <cell r="A2058">
            <v>42318</v>
          </cell>
          <cell r="BF2058">
            <v>17.190494571258764</v>
          </cell>
          <cell r="BG2058">
            <v>17.429620749261797</v>
          </cell>
          <cell r="BH2058">
            <v>16.109902701379674</v>
          </cell>
          <cell r="BI2058">
            <v>13.839355674417275</v>
          </cell>
          <cell r="BJ2058">
            <v>18.380449728342072</v>
          </cell>
          <cell r="BU2058">
            <v>11.33399323598551</v>
          </cell>
          <cell r="BV2058">
            <v>11.522967903511651</v>
          </cell>
          <cell r="BW2058">
            <v>10.055977276238897</v>
          </cell>
          <cell r="BX2058">
            <v>8.6149332270911767</v>
          </cell>
          <cell r="BY2058">
            <v>11.497021325386617</v>
          </cell>
        </row>
        <row r="2059">
          <cell r="A2059">
            <v>42319</v>
          </cell>
          <cell r="BF2059">
            <v>17.16028868553736</v>
          </cell>
          <cell r="BG2059">
            <v>17.429620749261797</v>
          </cell>
          <cell r="BH2059">
            <v>16.109902701379674</v>
          </cell>
          <cell r="BI2059">
            <v>13.839355674417275</v>
          </cell>
          <cell r="BJ2059">
            <v>18.380449728342072</v>
          </cell>
          <cell r="BU2059">
            <v>11.317785085538423</v>
          </cell>
          <cell r="BV2059">
            <v>11.522967903511651</v>
          </cell>
          <cell r="BW2059">
            <v>10.055977276238897</v>
          </cell>
          <cell r="BX2059">
            <v>8.6149332270911767</v>
          </cell>
          <cell r="BY2059">
            <v>11.497021325386617</v>
          </cell>
        </row>
        <row r="2060">
          <cell r="A2060">
            <v>42320</v>
          </cell>
          <cell r="BF2060">
            <v>17.069677069399251</v>
          </cell>
          <cell r="BG2060">
            <v>17.429620749261797</v>
          </cell>
          <cell r="BH2060">
            <v>16.109902701379674</v>
          </cell>
          <cell r="BI2060">
            <v>13.839355674417275</v>
          </cell>
          <cell r="BJ2060">
            <v>18.380449728342072</v>
          </cell>
          <cell r="BU2060">
            <v>11.269163875746207</v>
          </cell>
          <cell r="BV2060">
            <v>11.522967903511651</v>
          </cell>
          <cell r="BW2060">
            <v>10.055977276238897</v>
          </cell>
          <cell r="BX2060">
            <v>8.6149332270911767</v>
          </cell>
          <cell r="BY2060">
            <v>11.497021325386617</v>
          </cell>
        </row>
        <row r="2061">
          <cell r="A2061">
            <v>42321</v>
          </cell>
          <cell r="BF2061">
            <v>16.905835148500966</v>
          </cell>
          <cell r="BG2061">
            <v>17.429620749261797</v>
          </cell>
          <cell r="BH2061">
            <v>16.109902701379674</v>
          </cell>
          <cell r="BI2061">
            <v>13.839355674417275</v>
          </cell>
          <cell r="BJ2061">
            <v>18.380449728342072</v>
          </cell>
          <cell r="BU2061">
            <v>11.173497330418236</v>
          </cell>
          <cell r="BV2061">
            <v>11.522967903511651</v>
          </cell>
          <cell r="BW2061">
            <v>10.055977276238897</v>
          </cell>
          <cell r="BX2061">
            <v>8.6149332270911767</v>
          </cell>
          <cell r="BY2061">
            <v>11.497021325386617</v>
          </cell>
        </row>
        <row r="2062">
          <cell r="A2062">
            <v>42324</v>
          </cell>
          <cell r="BF2062">
            <v>16.300048425244693</v>
          </cell>
          <cell r="BG2062">
            <v>17.429620749261797</v>
          </cell>
          <cell r="BH2062">
            <v>16.109902701379674</v>
          </cell>
          <cell r="BI2062">
            <v>13.839355674417275</v>
          </cell>
          <cell r="BJ2062">
            <v>18.380449728342072</v>
          </cell>
          <cell r="BU2062">
            <v>10.84807470425031</v>
          </cell>
          <cell r="BV2062">
            <v>11.522967903511651</v>
          </cell>
          <cell r="BW2062">
            <v>10.055977276238897</v>
          </cell>
          <cell r="BX2062">
            <v>8.6149332270911767</v>
          </cell>
          <cell r="BY2062">
            <v>11.497021325386617</v>
          </cell>
        </row>
        <row r="2063">
          <cell r="A2063">
            <v>42325</v>
          </cell>
          <cell r="BF2063">
            <v>16.524967591683264</v>
          </cell>
          <cell r="BG2063">
            <v>17.429620749261797</v>
          </cell>
          <cell r="BH2063">
            <v>16.109902701379674</v>
          </cell>
          <cell r="BI2063">
            <v>13.839355674417275</v>
          </cell>
          <cell r="BJ2063">
            <v>18.380449728342072</v>
          </cell>
          <cell r="BU2063">
            <v>11.032789174601438</v>
          </cell>
          <cell r="BV2063">
            <v>11.522967903511651</v>
          </cell>
          <cell r="BW2063">
            <v>10.055977276238897</v>
          </cell>
          <cell r="BX2063">
            <v>8.6149332270911767</v>
          </cell>
          <cell r="BY2063">
            <v>11.497021325386617</v>
          </cell>
        </row>
        <row r="2064">
          <cell r="A2064">
            <v>42326</v>
          </cell>
          <cell r="BF2064">
            <v>16.51921967642383</v>
          </cell>
          <cell r="BG2064">
            <v>17.429620749261797</v>
          </cell>
          <cell r="BH2064">
            <v>16.109902701379674</v>
          </cell>
          <cell r="BI2064">
            <v>13.839355674417275</v>
          </cell>
          <cell r="BJ2064">
            <v>18.380449728342072</v>
          </cell>
          <cell r="BU2064">
            <v>10.989690506386449</v>
          </cell>
          <cell r="BV2064">
            <v>11.522967903511651</v>
          </cell>
          <cell r="BW2064">
            <v>10.055977276238897</v>
          </cell>
          <cell r="BX2064">
            <v>8.6149332270911767</v>
          </cell>
          <cell r="BY2064">
            <v>11.497021325386617</v>
          </cell>
        </row>
        <row r="2065">
          <cell r="A2065">
            <v>42327</v>
          </cell>
          <cell r="BF2065">
            <v>16.257367249602542</v>
          </cell>
          <cell r="BG2065">
            <v>17.429620749261797</v>
          </cell>
          <cell r="BH2065">
            <v>16.109902701379674</v>
          </cell>
          <cell r="BI2065">
            <v>13.839355674417275</v>
          </cell>
          <cell r="BJ2065">
            <v>18.380449728342072</v>
          </cell>
          <cell r="BU2065">
            <v>10.848729472865886</v>
          </cell>
          <cell r="BV2065">
            <v>11.522967903511651</v>
          </cell>
          <cell r="BW2065">
            <v>10.055977276238897</v>
          </cell>
          <cell r="BX2065">
            <v>8.6149332270911767</v>
          </cell>
          <cell r="BY2065">
            <v>11.497021325386617</v>
          </cell>
        </row>
        <row r="2066">
          <cell r="A2066">
            <v>42328</v>
          </cell>
          <cell r="BF2066">
            <v>15.857102777518003</v>
          </cell>
          <cell r="BG2066">
            <v>17.429620749261797</v>
          </cell>
          <cell r="BH2066">
            <v>16.109902701379674</v>
          </cell>
          <cell r="BI2066">
            <v>13.839355674417275</v>
          </cell>
          <cell r="BJ2066">
            <v>18.380449728342072</v>
          </cell>
          <cell r="BU2066">
            <v>10.848729472865886</v>
          </cell>
          <cell r="BV2066">
            <v>11.522967903511651</v>
          </cell>
          <cell r="BW2066">
            <v>10.055977276238897</v>
          </cell>
          <cell r="BX2066">
            <v>8.6149332270911767</v>
          </cell>
          <cell r="BY2066">
            <v>11.497021325386617</v>
          </cell>
        </row>
        <row r="2067">
          <cell r="A2067">
            <v>42331</v>
          </cell>
          <cell r="BF2067">
            <v>15.488569668688754</v>
          </cell>
          <cell r="BG2067">
            <v>17.429620749261797</v>
          </cell>
          <cell r="BH2067">
            <v>16.109902701379674</v>
          </cell>
          <cell r="BI2067">
            <v>13.839355674417275</v>
          </cell>
          <cell r="BJ2067">
            <v>18.380449728342072</v>
          </cell>
          <cell r="BU2067">
            <v>10.452022948414301</v>
          </cell>
          <cell r="BV2067">
            <v>11.522967903511651</v>
          </cell>
          <cell r="BW2067">
            <v>10.055977276238897</v>
          </cell>
          <cell r="BX2067">
            <v>8.6149332270911767</v>
          </cell>
          <cell r="BY2067">
            <v>11.497021325386617</v>
          </cell>
        </row>
        <row r="2068">
          <cell r="A2068">
            <v>42332</v>
          </cell>
          <cell r="BF2068">
            <v>15.57069790013999</v>
          </cell>
          <cell r="BG2068">
            <v>17.429620749261797</v>
          </cell>
          <cell r="BH2068">
            <v>16.109902701379674</v>
          </cell>
          <cell r="BI2068">
            <v>13.839355674417275</v>
          </cell>
          <cell r="BJ2068">
            <v>18.380449728342072</v>
          </cell>
          <cell r="BU2068">
            <v>10.496325378761227</v>
          </cell>
          <cell r="BV2068">
            <v>11.522967903511651</v>
          </cell>
          <cell r="BW2068">
            <v>10.055977276238897</v>
          </cell>
          <cell r="BX2068">
            <v>8.6149332270911767</v>
          </cell>
          <cell r="BY2068">
            <v>11.497021325386617</v>
          </cell>
        </row>
        <row r="2069">
          <cell r="A2069">
            <v>42333</v>
          </cell>
          <cell r="BF2069">
            <v>15.010735230984601</v>
          </cell>
          <cell r="BG2069">
            <v>17.429620749261797</v>
          </cell>
          <cell r="BH2069">
            <v>16.109902701379674</v>
          </cell>
          <cell r="BI2069">
            <v>13.839355674417275</v>
          </cell>
          <cell r="BJ2069">
            <v>18.380449728342072</v>
          </cell>
          <cell r="BU2069">
            <v>10.194264726671518</v>
          </cell>
          <cell r="BV2069">
            <v>11.522967903511651</v>
          </cell>
          <cell r="BW2069">
            <v>10.055977276238897</v>
          </cell>
          <cell r="BX2069">
            <v>8.6149332270911767</v>
          </cell>
          <cell r="BY2069">
            <v>11.497021325386617</v>
          </cell>
        </row>
        <row r="2070">
          <cell r="A2070">
            <v>42334</v>
          </cell>
          <cell r="BF2070">
            <v>15.111524405039663</v>
          </cell>
          <cell r="BG2070">
            <v>17.429620749261797</v>
          </cell>
          <cell r="BH2070">
            <v>16.109902701379674</v>
          </cell>
          <cell r="BI2070">
            <v>13.839355674417275</v>
          </cell>
          <cell r="BJ2070">
            <v>18.380449728342072</v>
          </cell>
          <cell r="BU2070">
            <v>10.194264726671518</v>
          </cell>
          <cell r="BV2070">
            <v>11.522967903511651</v>
          </cell>
          <cell r="BW2070">
            <v>10.055977276238897</v>
          </cell>
          <cell r="BX2070">
            <v>8.6149332270911767</v>
          </cell>
          <cell r="BY2070">
            <v>11.497021325386617</v>
          </cell>
        </row>
        <row r="2071">
          <cell r="A2071">
            <v>42335</v>
          </cell>
          <cell r="BF2071">
            <v>15.021934111059263</v>
          </cell>
          <cell r="BG2071">
            <v>17.429620749261797</v>
          </cell>
          <cell r="BH2071">
            <v>16.109902701379674</v>
          </cell>
          <cell r="BI2071">
            <v>13.839355674417275</v>
          </cell>
          <cell r="BJ2071">
            <v>18.380449728342072</v>
          </cell>
          <cell r="BU2071">
            <v>10.248633428936214</v>
          </cell>
          <cell r="BV2071">
            <v>11.522967903511651</v>
          </cell>
          <cell r="BW2071">
            <v>10.055977276238897</v>
          </cell>
          <cell r="BX2071">
            <v>8.6149332270911767</v>
          </cell>
          <cell r="BY2071">
            <v>11.497021325386617</v>
          </cell>
        </row>
        <row r="2072">
          <cell r="A2072">
            <v>42338</v>
          </cell>
          <cell r="BF2072">
            <v>15.022817393836501</v>
          </cell>
          <cell r="BG2072">
            <v>17.429620749261797</v>
          </cell>
          <cell r="BH2072">
            <v>16.109902701379674</v>
          </cell>
          <cell r="BI2072">
            <v>13.839355674417275</v>
          </cell>
          <cell r="BJ2072">
            <v>18.380449728342072</v>
          </cell>
          <cell r="BU2072">
            <v>10.200305738339543</v>
          </cell>
          <cell r="BV2072">
            <v>11.522967903511651</v>
          </cell>
          <cell r="BW2072">
            <v>10.055977276238897</v>
          </cell>
          <cell r="BX2072">
            <v>8.6149332270911767</v>
          </cell>
          <cell r="BY2072">
            <v>11.497021325386617</v>
          </cell>
        </row>
        <row r="2073">
          <cell r="A2073">
            <v>42339</v>
          </cell>
          <cell r="BF2073">
            <v>14.877218912544553</v>
          </cell>
          <cell r="BG2073">
            <v>17.429620749261797</v>
          </cell>
          <cell r="BH2073">
            <v>16.109902701379674</v>
          </cell>
          <cell r="BI2073">
            <v>13.839355674417275</v>
          </cell>
          <cell r="BJ2073">
            <v>18.380449728342072</v>
          </cell>
          <cell r="BU2073">
            <v>10.121770170169986</v>
          </cell>
          <cell r="BV2073">
            <v>11.522967903511651</v>
          </cell>
          <cell r="BW2073">
            <v>10.055977276238897</v>
          </cell>
          <cell r="BX2073">
            <v>8.6149332270911767</v>
          </cell>
          <cell r="BY2073">
            <v>11.497021325386617</v>
          </cell>
        </row>
        <row r="2074">
          <cell r="A2074">
            <v>42340</v>
          </cell>
          <cell r="BF2074">
            <v>14.768949737595397</v>
          </cell>
          <cell r="BG2074">
            <v>17.429620749261797</v>
          </cell>
          <cell r="BH2074">
            <v>16.109902701379674</v>
          </cell>
          <cell r="BI2074">
            <v>13.839355674417275</v>
          </cell>
          <cell r="BJ2074">
            <v>18.380449728342072</v>
          </cell>
          <cell r="BU2074">
            <v>10.063369965068729</v>
          </cell>
          <cell r="BV2074">
            <v>11.522967903511651</v>
          </cell>
          <cell r="BW2074">
            <v>10.055977276238897</v>
          </cell>
          <cell r="BX2074">
            <v>8.6149332270911767</v>
          </cell>
          <cell r="BY2074">
            <v>11.497021325386617</v>
          </cell>
        </row>
        <row r="2075">
          <cell r="A2075">
            <v>42341</v>
          </cell>
          <cell r="BF2075">
            <v>14.705484316856706</v>
          </cell>
          <cell r="BG2075">
            <v>17.429620749261797</v>
          </cell>
          <cell r="BH2075">
            <v>16.109902701379674</v>
          </cell>
          <cell r="BI2075">
            <v>13.839355674417275</v>
          </cell>
          <cell r="BJ2075">
            <v>18.380449728342072</v>
          </cell>
          <cell r="BU2075">
            <v>10.029136827246099</v>
          </cell>
          <cell r="BV2075">
            <v>11.522967903511651</v>
          </cell>
          <cell r="BW2075">
            <v>10.055977276238897</v>
          </cell>
          <cell r="BX2075">
            <v>8.6149332270911767</v>
          </cell>
          <cell r="BY2075">
            <v>11.497021325386617</v>
          </cell>
        </row>
        <row r="2076">
          <cell r="A2076">
            <v>42342</v>
          </cell>
          <cell r="BF2076">
            <v>15.081265084999067</v>
          </cell>
          <cell r="BG2076">
            <v>17.429620749261797</v>
          </cell>
          <cell r="BH2076">
            <v>16.109902701379674</v>
          </cell>
          <cell r="BI2076">
            <v>13.839355674417275</v>
          </cell>
          <cell r="BJ2076">
            <v>18.380449728342072</v>
          </cell>
          <cell r="BU2076">
            <v>10.036520526433662</v>
          </cell>
          <cell r="BV2076">
            <v>11.522967903511651</v>
          </cell>
          <cell r="BW2076">
            <v>10.055977276238897</v>
          </cell>
          <cell r="BX2076">
            <v>8.6149332270911767</v>
          </cell>
          <cell r="BY2076">
            <v>11.497021325386617</v>
          </cell>
        </row>
        <row r="2077">
          <cell r="A2077">
            <v>42345</v>
          </cell>
          <cell r="BF2077">
            <v>15.038085586321879</v>
          </cell>
          <cell r="BG2077">
            <v>17.429620749261797</v>
          </cell>
          <cell r="BH2077">
            <v>16.109902701379674</v>
          </cell>
          <cell r="BI2077">
            <v>13.839355674417275</v>
          </cell>
          <cell r="BJ2077">
            <v>18.380449728342072</v>
          </cell>
          <cell r="BU2077">
            <v>10.209829467435352</v>
          </cell>
          <cell r="BV2077">
            <v>11.522967903511651</v>
          </cell>
          <cell r="BW2077">
            <v>10.055977276238897</v>
          </cell>
          <cell r="BX2077">
            <v>8.6149332270911767</v>
          </cell>
          <cell r="BY2077">
            <v>11.497021325386617</v>
          </cell>
        </row>
        <row r="2078">
          <cell r="A2078">
            <v>42346</v>
          </cell>
          <cell r="BF2078">
            <v>15.449207742533133</v>
          </cell>
          <cell r="BG2078">
            <v>17.429620749261797</v>
          </cell>
          <cell r="BH2078">
            <v>16.109902701379674</v>
          </cell>
          <cell r="BI2078">
            <v>13.839355674417275</v>
          </cell>
          <cell r="BJ2078">
            <v>18.380449728342072</v>
          </cell>
          <cell r="BU2078">
            <v>10.433519116064211</v>
          </cell>
          <cell r="BV2078">
            <v>11.522967903511651</v>
          </cell>
          <cell r="BW2078">
            <v>10.055977276238897</v>
          </cell>
          <cell r="BX2078">
            <v>8.6149332270911767</v>
          </cell>
          <cell r="BY2078">
            <v>11.497021325386617</v>
          </cell>
        </row>
        <row r="2079">
          <cell r="A2079">
            <v>42347</v>
          </cell>
          <cell r="BF2079">
            <v>15.202676343587983</v>
          </cell>
          <cell r="BG2079">
            <v>17.429620749261797</v>
          </cell>
          <cell r="BH2079">
            <v>16.109902701379674</v>
          </cell>
          <cell r="BI2079">
            <v>13.839355674417275</v>
          </cell>
          <cell r="BJ2079">
            <v>18.380449728342072</v>
          </cell>
          <cell r="BU2079">
            <v>10.300513773858537</v>
          </cell>
          <cell r="BV2079">
            <v>11.522967903511651</v>
          </cell>
          <cell r="BW2079">
            <v>10.055977276238897</v>
          </cell>
          <cell r="BX2079">
            <v>8.6149332270911767</v>
          </cell>
          <cell r="BY2079">
            <v>11.497021325386617</v>
          </cell>
        </row>
        <row r="2080">
          <cell r="A2080">
            <v>42348</v>
          </cell>
          <cell r="BF2080">
            <v>15.358505547785548</v>
          </cell>
          <cell r="BG2080">
            <v>17.429620749261797</v>
          </cell>
          <cell r="BH2080">
            <v>16.109902701379674</v>
          </cell>
          <cell r="BI2080">
            <v>13.839355674417275</v>
          </cell>
          <cell r="BJ2080">
            <v>18.380449728342072</v>
          </cell>
          <cell r="BU2080">
            <v>10.283313971964592</v>
          </cell>
          <cell r="BV2080">
            <v>11.522967903511651</v>
          </cell>
          <cell r="BW2080">
            <v>10.055977276238897</v>
          </cell>
          <cell r="BX2080">
            <v>8.6149332270911767</v>
          </cell>
          <cell r="BY2080">
            <v>11.497021325386617</v>
          </cell>
        </row>
        <row r="2081">
          <cell r="A2081">
            <v>42349</v>
          </cell>
          <cell r="BF2081">
            <v>15.83589445221445</v>
          </cell>
          <cell r="BG2081">
            <v>17.429620749261797</v>
          </cell>
          <cell r="BH2081">
            <v>16.109902701379674</v>
          </cell>
          <cell r="BI2081">
            <v>13.839355674417275</v>
          </cell>
          <cell r="BJ2081">
            <v>18.380449728342072</v>
          </cell>
          <cell r="BU2081">
            <v>10.379882218198205</v>
          </cell>
          <cell r="BV2081">
            <v>11.522967903511651</v>
          </cell>
          <cell r="BW2081">
            <v>10.055977276238897</v>
          </cell>
          <cell r="BX2081">
            <v>8.6149332270911767</v>
          </cell>
          <cell r="BY2081">
            <v>11.497021325386617</v>
          </cell>
        </row>
        <row r="2082">
          <cell r="A2082">
            <v>42352</v>
          </cell>
          <cell r="BF2082">
            <v>15.917618986303705</v>
          </cell>
          <cell r="BG2082">
            <v>17.429620749261797</v>
          </cell>
          <cell r="BH2082">
            <v>16.109902701379674</v>
          </cell>
          <cell r="BI2082">
            <v>13.839355674417275</v>
          </cell>
          <cell r="BJ2082">
            <v>18.380449728342072</v>
          </cell>
          <cell r="BU2082">
            <v>10.680741832306538</v>
          </cell>
          <cell r="BV2082">
            <v>11.522967903511651</v>
          </cell>
          <cell r="BW2082">
            <v>10.055977276238897</v>
          </cell>
          <cell r="BX2082">
            <v>8.6149332270911767</v>
          </cell>
          <cell r="BY2082">
            <v>11.497021325386617</v>
          </cell>
        </row>
        <row r="2083">
          <cell r="A2083">
            <v>42353</v>
          </cell>
          <cell r="BF2083">
            <v>15.817808930651172</v>
          </cell>
          <cell r="BG2083">
            <v>17.429620749261797</v>
          </cell>
          <cell r="BH2083">
            <v>16.109902701379674</v>
          </cell>
          <cell r="BI2083">
            <v>13.839355674417275</v>
          </cell>
          <cell r="BJ2083">
            <v>18.380449728342072</v>
          </cell>
          <cell r="BU2083">
            <v>10.626811601333491</v>
          </cell>
          <cell r="BV2083">
            <v>11.522967903511651</v>
          </cell>
          <cell r="BW2083">
            <v>10.055977276238897</v>
          </cell>
          <cell r="BX2083">
            <v>8.6149332270911767</v>
          </cell>
          <cell r="BY2083">
            <v>11.497021325386617</v>
          </cell>
        </row>
        <row r="2084">
          <cell r="A2084">
            <v>42354</v>
          </cell>
          <cell r="BF2084">
            <v>15.92501369287573</v>
          </cell>
          <cell r="BG2084">
            <v>17.429620749261797</v>
          </cell>
          <cell r="BH2084">
            <v>16.109902701379674</v>
          </cell>
          <cell r="BI2084">
            <v>13.839355674417275</v>
          </cell>
          <cell r="BJ2084">
            <v>18.380449728342072</v>
          </cell>
          <cell r="BU2084">
            <v>10.684737404003197</v>
          </cell>
          <cell r="BV2084">
            <v>11.522967903511651</v>
          </cell>
          <cell r="BW2084">
            <v>10.055977276238897</v>
          </cell>
          <cell r="BX2084">
            <v>8.6149332270911767</v>
          </cell>
          <cell r="BY2084">
            <v>11.497021325386617</v>
          </cell>
        </row>
        <row r="2085">
          <cell r="A2085">
            <v>42355</v>
          </cell>
          <cell r="BF2085">
            <v>16.006912388945238</v>
          </cell>
          <cell r="BG2085">
            <v>17.429620749261797</v>
          </cell>
          <cell r="BH2085">
            <v>16.109902701379674</v>
          </cell>
          <cell r="BI2085">
            <v>13.839355674417275</v>
          </cell>
          <cell r="BJ2085">
            <v>18.380449728342072</v>
          </cell>
          <cell r="BU2085">
            <v>10.716696384894634</v>
          </cell>
          <cell r="BV2085">
            <v>11.522967903511651</v>
          </cell>
          <cell r="BW2085">
            <v>10.055977276238897</v>
          </cell>
          <cell r="BX2085">
            <v>8.6149332270911767</v>
          </cell>
          <cell r="BY2085">
            <v>11.497021325386617</v>
          </cell>
        </row>
        <row r="2086">
          <cell r="A2086">
            <v>42356</v>
          </cell>
          <cell r="BF2086">
            <v>15.777392398816886</v>
          </cell>
          <cell r="BG2086">
            <v>17.429620749261797</v>
          </cell>
          <cell r="BH2086">
            <v>16.109902701379674</v>
          </cell>
          <cell r="BI2086">
            <v>13.839355674417275</v>
          </cell>
          <cell r="BJ2086">
            <v>18.380449728342072</v>
          </cell>
          <cell r="BU2086">
            <v>10.716696384894634</v>
          </cell>
          <cell r="BV2086">
            <v>11.522967903511651</v>
          </cell>
          <cell r="BW2086">
            <v>10.055977276238897</v>
          </cell>
          <cell r="BX2086">
            <v>8.6149332270911767</v>
          </cell>
          <cell r="BY2086">
            <v>11.497021325386617</v>
          </cell>
        </row>
        <row r="2087">
          <cell r="A2087">
            <v>42359</v>
          </cell>
          <cell r="BF2087">
            <v>15.133269373150487</v>
          </cell>
          <cell r="BG2087">
            <v>17.429620749261797</v>
          </cell>
          <cell r="BH2087">
            <v>16.109902701379674</v>
          </cell>
          <cell r="BI2087">
            <v>13.839355674417275</v>
          </cell>
          <cell r="BJ2087">
            <v>18.380449728342072</v>
          </cell>
          <cell r="BU2087">
            <v>10.245313001586888</v>
          </cell>
          <cell r="BV2087">
            <v>11.522967903511651</v>
          </cell>
          <cell r="BW2087">
            <v>10.055977276238897</v>
          </cell>
          <cell r="BX2087">
            <v>8.6149332270911767</v>
          </cell>
          <cell r="BY2087">
            <v>11.497021325386617</v>
          </cell>
        </row>
        <row r="2088">
          <cell r="A2088">
            <v>42360</v>
          </cell>
          <cell r="BF2088">
            <v>15.281342176704301</v>
          </cell>
          <cell r="BG2088">
            <v>17.429620749261797</v>
          </cell>
          <cell r="BH2088">
            <v>16.109902701379674</v>
          </cell>
          <cell r="BI2088">
            <v>13.839355674417275</v>
          </cell>
          <cell r="BJ2088">
            <v>18.380449728342072</v>
          </cell>
          <cell r="BU2088">
            <v>10.325207257997288</v>
          </cell>
          <cell r="BV2088">
            <v>11.522967903511651</v>
          </cell>
          <cell r="BW2088">
            <v>10.055977276238897</v>
          </cell>
          <cell r="BX2088">
            <v>8.6149332270911767</v>
          </cell>
          <cell r="BY2088">
            <v>11.497021325386617</v>
          </cell>
        </row>
        <row r="2089">
          <cell r="A2089">
            <v>42361</v>
          </cell>
          <cell r="BF2089">
            <v>15.629319595263071</v>
          </cell>
          <cell r="BG2089">
            <v>17.429620749261797</v>
          </cell>
          <cell r="BH2089">
            <v>16.109902701379674</v>
          </cell>
          <cell r="BI2089">
            <v>13.839355674417275</v>
          </cell>
          <cell r="BJ2089">
            <v>18.380449728342072</v>
          </cell>
          <cell r="BU2089">
            <v>10.512962176092421</v>
          </cell>
          <cell r="BV2089">
            <v>11.522967903511651</v>
          </cell>
          <cell r="BW2089">
            <v>10.055977276238897</v>
          </cell>
          <cell r="BX2089">
            <v>8.6149332270911767</v>
          </cell>
          <cell r="BY2089">
            <v>11.497021325386617</v>
          </cell>
        </row>
        <row r="2090">
          <cell r="A2090">
            <v>42362</v>
          </cell>
          <cell r="BF2090">
            <v>15.347978899310428</v>
          </cell>
          <cell r="BG2090">
            <v>17.429620749261797</v>
          </cell>
          <cell r="BH2090">
            <v>16.109902701379674</v>
          </cell>
          <cell r="BI2090">
            <v>13.839355674417275</v>
          </cell>
          <cell r="BJ2090">
            <v>18.380449728342072</v>
          </cell>
          <cell r="BU2090">
            <v>10.361161810585385</v>
          </cell>
          <cell r="BV2090">
            <v>11.522967903511651</v>
          </cell>
          <cell r="BW2090">
            <v>10.055977276238897</v>
          </cell>
          <cell r="BX2090">
            <v>8.6149332270911767</v>
          </cell>
          <cell r="BY2090">
            <v>11.497021325386617</v>
          </cell>
        </row>
        <row r="2091">
          <cell r="A2091">
            <v>42363</v>
          </cell>
          <cell r="BF2091">
            <v>15.725566140179172</v>
          </cell>
          <cell r="BG2091">
            <v>17.429620749261797</v>
          </cell>
          <cell r="BH2091">
            <v>16.109902701379674</v>
          </cell>
          <cell r="BI2091">
            <v>13.839355674417275</v>
          </cell>
          <cell r="BJ2091">
            <v>18.380449728342072</v>
          </cell>
          <cell r="BU2091">
            <v>10.361161810585385</v>
          </cell>
          <cell r="BV2091">
            <v>11.522967903511651</v>
          </cell>
          <cell r="BW2091">
            <v>10.055977276238897</v>
          </cell>
          <cell r="BX2091">
            <v>8.6149332270911767</v>
          </cell>
          <cell r="BY2091">
            <v>11.497021325386617</v>
          </cell>
        </row>
        <row r="2092">
          <cell r="A2092">
            <v>42366</v>
          </cell>
          <cell r="BF2092">
            <v>15.725119844823261</v>
          </cell>
          <cell r="BG2092">
            <v>17.429620749261797</v>
          </cell>
          <cell r="BH2092">
            <v>16.109902701379674</v>
          </cell>
          <cell r="BI2092">
            <v>13.839355674417275</v>
          </cell>
          <cell r="BJ2092">
            <v>18.380449728342072</v>
          </cell>
          <cell r="BU2092">
            <v>10.564893023308041</v>
          </cell>
          <cell r="BV2092">
            <v>11.522967903511651</v>
          </cell>
          <cell r="BW2092">
            <v>10.055977276238897</v>
          </cell>
          <cell r="BX2092">
            <v>8.6149332270911767</v>
          </cell>
          <cell r="BY2092">
            <v>11.497021325386617</v>
          </cell>
        </row>
        <row r="2093">
          <cell r="A2093">
            <v>42367</v>
          </cell>
          <cell r="BF2093">
            <v>16.128617277645418</v>
          </cell>
          <cell r="BG2093">
            <v>17.429620749261797</v>
          </cell>
          <cell r="BH2093">
            <v>16.109902701379674</v>
          </cell>
          <cell r="BI2093">
            <v>13.839355674417275</v>
          </cell>
          <cell r="BJ2093">
            <v>18.380449728342072</v>
          </cell>
          <cell r="BU2093">
            <v>10.782610534616742</v>
          </cell>
          <cell r="BV2093">
            <v>11.522967903511651</v>
          </cell>
          <cell r="BW2093">
            <v>10.055977276238897</v>
          </cell>
          <cell r="BX2093">
            <v>8.6149332270911767</v>
          </cell>
          <cell r="BY2093">
            <v>11.497021325386617</v>
          </cell>
        </row>
        <row r="2094">
          <cell r="A2094">
            <v>42368</v>
          </cell>
          <cell r="BF2094">
            <v>16.376635164600774</v>
          </cell>
          <cell r="BG2094">
            <v>17.429620749261797</v>
          </cell>
          <cell r="BH2094">
            <v>16.109902701379674</v>
          </cell>
          <cell r="BI2094">
            <v>13.839355674417275</v>
          </cell>
          <cell r="BJ2094">
            <v>18.380449728342072</v>
          </cell>
          <cell r="BU2094">
            <v>10.916435022000192</v>
          </cell>
          <cell r="BV2094">
            <v>11.522967903511651</v>
          </cell>
          <cell r="BW2094">
            <v>10.055977276238897</v>
          </cell>
          <cell r="BX2094">
            <v>8.6149332270911767</v>
          </cell>
          <cell r="BY2094">
            <v>11.497021325386617</v>
          </cell>
        </row>
        <row r="2095">
          <cell r="A2095">
            <v>42369</v>
          </cell>
          <cell r="BF2095">
            <v>16.458074487028696</v>
          </cell>
          <cell r="BG2095">
            <v>17.429620749261797</v>
          </cell>
          <cell r="BH2095">
            <v>16.109902701379674</v>
          </cell>
          <cell r="BI2095">
            <v>13.839355674417275</v>
          </cell>
          <cell r="BJ2095">
            <v>18.380449728342072</v>
          </cell>
          <cell r="BU2095">
            <v>10.960377721902047</v>
          </cell>
          <cell r="BV2095">
            <v>11.522967903511651</v>
          </cell>
          <cell r="BW2095">
            <v>10.055977276238897</v>
          </cell>
          <cell r="BX2095">
            <v>8.6149332270911767</v>
          </cell>
          <cell r="BY2095">
            <v>11.497021325386617</v>
          </cell>
        </row>
        <row r="2096">
          <cell r="A2096">
            <v>42370</v>
          </cell>
          <cell r="BF2096">
            <v>16.461774406700279</v>
          </cell>
          <cell r="BG2096">
            <v>17.429620749261797</v>
          </cell>
          <cell r="BH2096">
            <v>16.109902701379674</v>
          </cell>
          <cell r="BI2096">
            <v>13.839355674417275</v>
          </cell>
          <cell r="BJ2096">
            <v>18.380449728342072</v>
          </cell>
          <cell r="BU2096">
            <v>10.962374109579919</v>
          </cell>
          <cell r="BV2096">
            <v>11.522967903511651</v>
          </cell>
          <cell r="BW2096">
            <v>10.055977276238897</v>
          </cell>
          <cell r="BX2096">
            <v>8.6149332270911767</v>
          </cell>
          <cell r="BY2096">
            <v>11.497021325386617</v>
          </cell>
        </row>
        <row r="2097">
          <cell r="A2097">
            <v>42373</v>
          </cell>
          <cell r="BF2097">
            <v>16.786322626010023</v>
          </cell>
          <cell r="BG2097">
            <v>17.429620749261797</v>
          </cell>
          <cell r="BH2097">
            <v>16.109902701379674</v>
          </cell>
          <cell r="BI2097">
            <v>13.839355674417275</v>
          </cell>
          <cell r="BJ2097">
            <v>18.380449728342072</v>
          </cell>
          <cell r="BU2097">
            <v>11.141211848106575</v>
          </cell>
          <cell r="BV2097">
            <v>11.522967903511651</v>
          </cell>
          <cell r="BW2097">
            <v>10.055977276238897</v>
          </cell>
          <cell r="BX2097">
            <v>8.6149332270911767</v>
          </cell>
          <cell r="BY2097">
            <v>11.497021325386617</v>
          </cell>
        </row>
        <row r="2098">
          <cell r="A2098">
            <v>42374</v>
          </cell>
          <cell r="BF2098">
            <v>16.619792761455201</v>
          </cell>
          <cell r="BG2098">
            <v>17.429620749261797</v>
          </cell>
          <cell r="BH2098">
            <v>16.109902701379674</v>
          </cell>
          <cell r="BI2098">
            <v>13.839355674417275</v>
          </cell>
          <cell r="BJ2098">
            <v>18.380449728342072</v>
          </cell>
          <cell r="BU2098">
            <v>11.051321423117024</v>
          </cell>
          <cell r="BV2098">
            <v>11.522967903511651</v>
          </cell>
          <cell r="BW2098">
            <v>10.055977276238897</v>
          </cell>
          <cell r="BX2098">
            <v>8.6149332270911767</v>
          </cell>
          <cell r="BY2098">
            <v>11.497021325386617</v>
          </cell>
        </row>
        <row r="2099">
          <cell r="A2099">
            <v>42375</v>
          </cell>
          <cell r="BF2099">
            <v>16.634592924285489</v>
          </cell>
          <cell r="BG2099">
            <v>17.429620749261797</v>
          </cell>
          <cell r="BH2099">
            <v>16.109902701379674</v>
          </cell>
          <cell r="BI2099">
            <v>13.839355674417275</v>
          </cell>
          <cell r="BJ2099">
            <v>18.380449728342072</v>
          </cell>
          <cell r="BU2099">
            <v>11.05931033808003</v>
          </cell>
          <cell r="BV2099">
            <v>11.522967903511651</v>
          </cell>
          <cell r="BW2099">
            <v>10.055977276238897</v>
          </cell>
          <cell r="BX2099">
            <v>8.6149332270911767</v>
          </cell>
          <cell r="BY2099">
            <v>11.497021325386617</v>
          </cell>
        </row>
        <row r="2100">
          <cell r="A2100">
            <v>42376</v>
          </cell>
          <cell r="BF2100">
            <v>16.774063627859654</v>
          </cell>
          <cell r="BG2100">
            <v>17.429620749261797</v>
          </cell>
          <cell r="BH2100">
            <v>16.109902701379674</v>
          </cell>
          <cell r="BI2100">
            <v>13.839355674417275</v>
          </cell>
          <cell r="BJ2100">
            <v>18.380449728342072</v>
          </cell>
          <cell r="BU2100">
            <v>11.106514221823401</v>
          </cell>
          <cell r="BV2100">
            <v>11.522967903511651</v>
          </cell>
          <cell r="BW2100">
            <v>10.055977276238897</v>
          </cell>
          <cell r="BX2100">
            <v>8.6149332270911767</v>
          </cell>
          <cell r="BY2100">
            <v>11.497021325386617</v>
          </cell>
        </row>
        <row r="2101">
          <cell r="A2101">
            <v>42377</v>
          </cell>
          <cell r="BF2101">
            <v>16.707315915532032</v>
          </cell>
          <cell r="BG2101">
            <v>17.429620749261797</v>
          </cell>
          <cell r="BH2101">
            <v>16.109902701379674</v>
          </cell>
          <cell r="BI2101">
            <v>13.839355674417275</v>
          </cell>
          <cell r="BJ2101">
            <v>18.380449728342072</v>
          </cell>
          <cell r="BU2101">
            <v>11.273805547524544</v>
          </cell>
          <cell r="BV2101">
            <v>11.522967903511651</v>
          </cell>
          <cell r="BW2101">
            <v>10.055977276238897</v>
          </cell>
          <cell r="BX2101">
            <v>8.6149332270911767</v>
          </cell>
          <cell r="BY2101">
            <v>11.497021325386617</v>
          </cell>
        </row>
        <row r="2102">
          <cell r="A2102">
            <v>42380</v>
          </cell>
          <cell r="BF2102">
            <v>16.355915464322774</v>
          </cell>
          <cell r="BG2102">
            <v>17.429620749261797</v>
          </cell>
          <cell r="BH2102">
            <v>16.109902701379674</v>
          </cell>
          <cell r="BI2102">
            <v>13.839355674417275</v>
          </cell>
          <cell r="BJ2102">
            <v>18.380449728342072</v>
          </cell>
          <cell r="BU2102">
            <v>11.166691905173364</v>
          </cell>
          <cell r="BV2102">
            <v>11.522967903511651</v>
          </cell>
          <cell r="BW2102">
            <v>10.055977276238897</v>
          </cell>
          <cell r="BX2102">
            <v>8.6149332270911767</v>
          </cell>
          <cell r="BY2102">
            <v>11.497021325386617</v>
          </cell>
        </row>
        <row r="2103">
          <cell r="A2103">
            <v>42381</v>
          </cell>
          <cell r="BF2103">
            <v>16.438796306502962</v>
          </cell>
          <cell r="BG2103">
            <v>17.429620749261797</v>
          </cell>
          <cell r="BH2103">
            <v>16.109902701379674</v>
          </cell>
          <cell r="BI2103">
            <v>13.839355674417275</v>
          </cell>
          <cell r="BJ2103">
            <v>18.380449728342072</v>
          </cell>
          <cell r="BU2103">
            <v>11.193800281266533</v>
          </cell>
          <cell r="BV2103">
            <v>11.522967903511651</v>
          </cell>
          <cell r="BW2103">
            <v>10.055977276238897</v>
          </cell>
          <cell r="BX2103">
            <v>8.6149332270911767</v>
          </cell>
          <cell r="BY2103">
            <v>11.497021325386617</v>
          </cell>
        </row>
        <row r="2104">
          <cell r="A2104">
            <v>42382</v>
          </cell>
          <cell r="BF2104">
            <v>16.356601951361437</v>
          </cell>
          <cell r="BG2104">
            <v>17.429620749261797</v>
          </cell>
          <cell r="BH2104">
            <v>16.109902701379674</v>
          </cell>
          <cell r="BI2104">
            <v>13.839355674417275</v>
          </cell>
          <cell r="BJ2104">
            <v>18.380449728342072</v>
          </cell>
          <cell r="BU2104">
            <v>11.149457213182435</v>
          </cell>
          <cell r="BV2104">
            <v>11.522967903511651</v>
          </cell>
          <cell r="BW2104">
            <v>10.055977276238897</v>
          </cell>
          <cell r="BX2104">
            <v>8.6149332270911767</v>
          </cell>
          <cell r="BY2104">
            <v>11.497021325386617</v>
          </cell>
        </row>
        <row r="2105">
          <cell r="A2105">
            <v>42383</v>
          </cell>
          <cell r="BF2105">
            <v>16.677470514900019</v>
          </cell>
          <cell r="BG2105">
            <v>17.429620749261797</v>
          </cell>
          <cell r="BH2105">
            <v>16.109902701379674</v>
          </cell>
          <cell r="BI2105">
            <v>13.839355674417275</v>
          </cell>
          <cell r="BJ2105">
            <v>18.380449728342072</v>
          </cell>
          <cell r="BU2105">
            <v>11.312719182273414</v>
          </cell>
          <cell r="BV2105">
            <v>11.522967903511651</v>
          </cell>
          <cell r="BW2105">
            <v>10.055977276238897</v>
          </cell>
          <cell r="BX2105">
            <v>8.6149332270911767</v>
          </cell>
          <cell r="BY2105">
            <v>11.497021325386617</v>
          </cell>
        </row>
        <row r="2106">
          <cell r="A2106">
            <v>42384</v>
          </cell>
          <cell r="BF2106">
            <v>16.703654407182782</v>
          </cell>
          <cell r="BG2106">
            <v>17.429620749261797</v>
          </cell>
          <cell r="BH2106">
            <v>16.109902701379674</v>
          </cell>
          <cell r="BI2106">
            <v>13.839355674417275</v>
          </cell>
          <cell r="BJ2106">
            <v>18.380449728342072</v>
          </cell>
          <cell r="BU2106">
            <v>11.37586059656072</v>
          </cell>
          <cell r="BV2106">
            <v>11.522967903511651</v>
          </cell>
          <cell r="BW2106">
            <v>10.055977276238897</v>
          </cell>
          <cell r="BX2106">
            <v>8.6149332270911767</v>
          </cell>
          <cell r="BY2106">
            <v>11.497021325386617</v>
          </cell>
        </row>
        <row r="2107">
          <cell r="A2107">
            <v>42387</v>
          </cell>
          <cell r="BF2107">
            <v>16.714874579231154</v>
          </cell>
          <cell r="BG2107">
            <v>17.429620749261797</v>
          </cell>
          <cell r="BH2107">
            <v>16.109902701379674</v>
          </cell>
          <cell r="BI2107">
            <v>13.839355674417275</v>
          </cell>
          <cell r="BJ2107">
            <v>18.380449728342072</v>
          </cell>
          <cell r="BU2107">
            <v>11.396130160009825</v>
          </cell>
          <cell r="BV2107">
            <v>11.522967903511651</v>
          </cell>
          <cell r="BW2107">
            <v>10.055977276238897</v>
          </cell>
          <cell r="BX2107">
            <v>8.6149332270911767</v>
          </cell>
          <cell r="BY2107">
            <v>11.497021325386617</v>
          </cell>
        </row>
        <row r="2108">
          <cell r="A2108">
            <v>42388</v>
          </cell>
          <cell r="BF2108">
            <v>16.490461413790413</v>
          </cell>
          <cell r="BG2108">
            <v>17.429620749261797</v>
          </cell>
          <cell r="BH2108">
            <v>16.109902701379674</v>
          </cell>
          <cell r="BI2108">
            <v>13.839355674417275</v>
          </cell>
          <cell r="BJ2108">
            <v>18.380449728342072</v>
          </cell>
          <cell r="BU2108">
            <v>11.2745188598194</v>
          </cell>
          <cell r="BV2108">
            <v>11.522967903511651</v>
          </cell>
          <cell r="BW2108">
            <v>10.055977276238897</v>
          </cell>
          <cell r="BX2108">
            <v>8.6149332270911767</v>
          </cell>
          <cell r="BY2108">
            <v>11.497021325386617</v>
          </cell>
        </row>
        <row r="2109">
          <cell r="A2109">
            <v>42389</v>
          </cell>
          <cell r="BF2109">
            <v>16.408177035283988</v>
          </cell>
          <cell r="BG2109">
            <v>17.429620749261797</v>
          </cell>
          <cell r="BH2109">
            <v>16.109902701379674</v>
          </cell>
          <cell r="BI2109">
            <v>13.839355674417275</v>
          </cell>
          <cell r="BJ2109">
            <v>18.380449728342072</v>
          </cell>
          <cell r="BU2109">
            <v>11.229928292969747</v>
          </cell>
          <cell r="BV2109">
            <v>11.522967903511651</v>
          </cell>
          <cell r="BW2109">
            <v>10.055977276238897</v>
          </cell>
          <cell r="BX2109">
            <v>8.6149332270911767</v>
          </cell>
          <cell r="BY2109">
            <v>11.497021325386617</v>
          </cell>
        </row>
        <row r="2110">
          <cell r="A2110">
            <v>42390</v>
          </cell>
          <cell r="BF2110">
            <v>16.262309936418493</v>
          </cell>
          <cell r="BG2110">
            <v>17.429620749261797</v>
          </cell>
          <cell r="BH2110">
            <v>16.109902701379674</v>
          </cell>
          <cell r="BI2110">
            <v>13.839355674417275</v>
          </cell>
          <cell r="BJ2110">
            <v>18.380449728342072</v>
          </cell>
          <cell r="BU2110">
            <v>11.229928292969747</v>
          </cell>
          <cell r="BV2110">
            <v>11.522967903511651</v>
          </cell>
          <cell r="BW2110">
            <v>10.055977276238897</v>
          </cell>
          <cell r="BX2110">
            <v>8.6149332270911767</v>
          </cell>
          <cell r="BY2110">
            <v>11.497021325386617</v>
          </cell>
        </row>
        <row r="2111">
          <cell r="A2111">
            <v>42391</v>
          </cell>
          <cell r="BF2111">
            <v>16.583965964345218</v>
          </cell>
          <cell r="BG2111">
            <v>17.429620749261797</v>
          </cell>
          <cell r="BH2111">
            <v>16.109902701379674</v>
          </cell>
          <cell r="BI2111">
            <v>13.839355674417275</v>
          </cell>
          <cell r="BJ2111">
            <v>18.380449728342072</v>
          </cell>
          <cell r="BU2111">
            <v>11.120658255331067</v>
          </cell>
          <cell r="BV2111">
            <v>11.522967903511651</v>
          </cell>
          <cell r="BW2111">
            <v>10.055977276238897</v>
          </cell>
          <cell r="BX2111">
            <v>8.6149332270911767</v>
          </cell>
          <cell r="BY2111">
            <v>11.497021325386617</v>
          </cell>
        </row>
        <row r="2112">
          <cell r="A2112">
            <v>42394</v>
          </cell>
          <cell r="BF2112">
            <v>16.49249701683825</v>
          </cell>
          <cell r="BG2112">
            <v>17.429620749261797</v>
          </cell>
          <cell r="BH2112">
            <v>16.109902701379674</v>
          </cell>
          <cell r="BI2112">
            <v>13.839355674417275</v>
          </cell>
          <cell r="BJ2112">
            <v>18.380449728342072</v>
          </cell>
          <cell r="BU2112">
            <v>11.243871357599355</v>
          </cell>
          <cell r="BV2112">
            <v>11.522967903511651</v>
          </cell>
          <cell r="BW2112">
            <v>10.055977276238897</v>
          </cell>
          <cell r="BX2112">
            <v>8.6149332270911767</v>
          </cell>
          <cell r="BY2112">
            <v>11.497021325386617</v>
          </cell>
        </row>
        <row r="2113">
          <cell r="A2113">
            <v>42395</v>
          </cell>
          <cell r="BF2113">
            <v>16.533644097702243</v>
          </cell>
          <cell r="BG2113">
            <v>17.429620749261797</v>
          </cell>
          <cell r="BH2113">
            <v>16.109902701379674</v>
          </cell>
          <cell r="BI2113">
            <v>13.839355674417275</v>
          </cell>
          <cell r="BJ2113">
            <v>18.380449728342072</v>
          </cell>
          <cell r="BU2113">
            <v>11.266090077321964</v>
          </cell>
          <cell r="BV2113">
            <v>11.522967903511651</v>
          </cell>
          <cell r="BW2113">
            <v>10.055977276238897</v>
          </cell>
          <cell r="BX2113">
            <v>8.6149332270911767</v>
          </cell>
          <cell r="BY2113">
            <v>11.497021325386617</v>
          </cell>
        </row>
        <row r="2114">
          <cell r="A2114">
            <v>42396</v>
          </cell>
          <cell r="BF2114">
            <v>16.805241947567186</v>
          </cell>
          <cell r="BG2114">
            <v>17.429620749261797</v>
          </cell>
          <cell r="BH2114">
            <v>16.109902701379674</v>
          </cell>
          <cell r="BI2114">
            <v>13.839355674417275</v>
          </cell>
          <cell r="BJ2114">
            <v>18.380449728342072</v>
          </cell>
          <cell r="BU2114">
            <v>11.38425910408356</v>
          </cell>
          <cell r="BV2114">
            <v>11.522967903511651</v>
          </cell>
          <cell r="BW2114">
            <v>10.055977276238897</v>
          </cell>
          <cell r="BX2114">
            <v>8.6149332270911767</v>
          </cell>
          <cell r="BY2114">
            <v>11.497021325386617</v>
          </cell>
        </row>
        <row r="2115">
          <cell r="A2115">
            <v>42397</v>
          </cell>
          <cell r="BF2115">
            <v>16.932586891387423</v>
          </cell>
          <cell r="BG2115">
            <v>17.429620749261797</v>
          </cell>
          <cell r="BH2115">
            <v>16.109902701379674</v>
          </cell>
          <cell r="BI2115">
            <v>13.839355674417275</v>
          </cell>
          <cell r="BJ2115">
            <v>18.380449728342072</v>
          </cell>
          <cell r="BU2115">
            <v>11.452833984857703</v>
          </cell>
          <cell r="BV2115">
            <v>11.522967903511651</v>
          </cell>
          <cell r="BW2115">
            <v>10.055977276238897</v>
          </cell>
          <cell r="BX2115">
            <v>8.6149332270911767</v>
          </cell>
          <cell r="BY2115">
            <v>11.497021325386617</v>
          </cell>
        </row>
        <row r="2116">
          <cell r="A2116">
            <v>42398</v>
          </cell>
          <cell r="BF2116">
            <v>16.94756554307282</v>
          </cell>
          <cell r="BG2116">
            <v>17.429620749261797</v>
          </cell>
          <cell r="BH2116">
            <v>16.109902701379674</v>
          </cell>
          <cell r="BI2116">
            <v>13.839355674417275</v>
          </cell>
          <cell r="BJ2116">
            <v>18.380449728342072</v>
          </cell>
          <cell r="BU2116">
            <v>11.460899945096637</v>
          </cell>
          <cell r="BV2116">
            <v>11.522967903511651</v>
          </cell>
          <cell r="BW2116">
            <v>10.055977276238897</v>
          </cell>
          <cell r="BX2116">
            <v>8.6149332270911767</v>
          </cell>
          <cell r="BY2116">
            <v>11.497021325386617</v>
          </cell>
        </row>
        <row r="2117">
          <cell r="A2117">
            <v>42401</v>
          </cell>
          <cell r="BF2117">
            <v>17.007959269794341</v>
          </cell>
          <cell r="BG2117">
            <v>17.429620749261797</v>
          </cell>
          <cell r="BH2117">
            <v>16.109902701379674</v>
          </cell>
          <cell r="BI2117">
            <v>13.839355674417275</v>
          </cell>
          <cell r="BJ2117">
            <v>18.380449728342072</v>
          </cell>
          <cell r="BU2117">
            <v>11.493170239949999</v>
          </cell>
          <cell r="BV2117">
            <v>11.522967903511651</v>
          </cell>
          <cell r="BW2117">
            <v>10.055977276238897</v>
          </cell>
          <cell r="BX2117">
            <v>8.6149332270911767</v>
          </cell>
          <cell r="BY2117">
            <v>11.497021325386617</v>
          </cell>
        </row>
        <row r="2118">
          <cell r="A2118">
            <v>42402</v>
          </cell>
          <cell r="BF2118">
            <v>17.150281530830242</v>
          </cell>
          <cell r="BG2118">
            <v>17.429620749261797</v>
          </cell>
          <cell r="BH2118">
            <v>16.109902701379674</v>
          </cell>
          <cell r="BI2118">
            <v>13.839355674417275</v>
          </cell>
          <cell r="BJ2118">
            <v>18.380449728342072</v>
          </cell>
          <cell r="BU2118">
            <v>11.569808257382867</v>
          </cell>
          <cell r="BV2118">
            <v>11.522967903511651</v>
          </cell>
          <cell r="BW2118">
            <v>10.055977276238897</v>
          </cell>
          <cell r="BX2118">
            <v>8.6149332270911767</v>
          </cell>
          <cell r="BY2118">
            <v>11.497021325386617</v>
          </cell>
        </row>
        <row r="2119">
          <cell r="A2119">
            <v>42403</v>
          </cell>
          <cell r="BF2119">
            <v>17.191481164278354</v>
          </cell>
          <cell r="BG2119">
            <v>17.429620749261797</v>
          </cell>
          <cell r="BH2119">
            <v>16.109902701379674</v>
          </cell>
          <cell r="BI2119">
            <v>13.839355674417275</v>
          </cell>
          <cell r="BJ2119">
            <v>18.380449728342072</v>
          </cell>
          <cell r="BU2119">
            <v>11.591993530462727</v>
          </cell>
          <cell r="BV2119">
            <v>11.522967903511651</v>
          </cell>
          <cell r="BW2119">
            <v>10.055977276238897</v>
          </cell>
          <cell r="BX2119">
            <v>8.6149332270911767</v>
          </cell>
          <cell r="BY2119">
            <v>11.497021325386617</v>
          </cell>
        </row>
        <row r="2120">
          <cell r="A2120">
            <v>42404</v>
          </cell>
          <cell r="BF2120">
            <v>16.743838785267361</v>
          </cell>
          <cell r="BG2120">
            <v>17.429620749261797</v>
          </cell>
          <cell r="BH2120">
            <v>16.109902701379674</v>
          </cell>
          <cell r="BI2120">
            <v>13.839355674417275</v>
          </cell>
          <cell r="BJ2120">
            <v>18.380449728342072</v>
          </cell>
          <cell r="BU2120">
            <v>11.714969360231228</v>
          </cell>
          <cell r="BV2120">
            <v>11.522967903511651</v>
          </cell>
          <cell r="BW2120">
            <v>10.055977276238897</v>
          </cell>
          <cell r="BX2120">
            <v>8.6149332270911767</v>
          </cell>
          <cell r="BY2120">
            <v>11.497021325386617</v>
          </cell>
        </row>
        <row r="2121">
          <cell r="A2121">
            <v>42405</v>
          </cell>
          <cell r="BF2121">
            <v>16.743838785267361</v>
          </cell>
          <cell r="BG2121">
            <v>17.429620749261797</v>
          </cell>
          <cell r="BH2121">
            <v>16.109902701379674</v>
          </cell>
          <cell r="BI2121">
            <v>13.839355674417275</v>
          </cell>
          <cell r="BJ2121">
            <v>18.380449728342072</v>
          </cell>
          <cell r="BU2121">
            <v>11.714969360231228</v>
          </cell>
          <cell r="BV2121">
            <v>11.522967903511651</v>
          </cell>
          <cell r="BW2121">
            <v>10.055977276238897</v>
          </cell>
          <cell r="BX2121">
            <v>8.6149332270911767</v>
          </cell>
          <cell r="BY2121">
            <v>11.497021325386617</v>
          </cell>
        </row>
        <row r="2122">
          <cell r="A2122">
            <v>42408</v>
          </cell>
          <cell r="BF2122">
            <v>16.800074233763009</v>
          </cell>
          <cell r="BG2122">
            <v>17.429620749261797</v>
          </cell>
          <cell r="BH2122">
            <v>16.109902701379674</v>
          </cell>
          <cell r="BI2122">
            <v>13.839355674417275</v>
          </cell>
          <cell r="BJ2122">
            <v>18.380449728342072</v>
          </cell>
          <cell r="BU2122">
            <v>11.492802117635275</v>
          </cell>
          <cell r="BV2122">
            <v>11.522967903511651</v>
          </cell>
          <cell r="BW2122">
            <v>10.055977276238897</v>
          </cell>
          <cell r="BX2122">
            <v>8.6149332270911767</v>
          </cell>
          <cell r="BY2122">
            <v>11.497021325386617</v>
          </cell>
        </row>
        <row r="2123">
          <cell r="A2123">
            <v>42409</v>
          </cell>
          <cell r="BF2123">
            <v>17.219980504266378</v>
          </cell>
          <cell r="BG2123">
            <v>17.429620749261797</v>
          </cell>
          <cell r="BH2123">
            <v>16.109902701379674</v>
          </cell>
          <cell r="BI2123">
            <v>13.839355674417275</v>
          </cell>
          <cell r="BJ2123">
            <v>18.380449728342072</v>
          </cell>
          <cell r="BU2123">
            <v>11.721083873597001</v>
          </cell>
          <cell r="BV2123">
            <v>11.522967903511651</v>
          </cell>
          <cell r="BW2123">
            <v>10.055977276238897</v>
          </cell>
          <cell r="BX2123">
            <v>8.6149332270911767</v>
          </cell>
          <cell r="BY2123">
            <v>11.497021325386617</v>
          </cell>
        </row>
        <row r="2124">
          <cell r="A2124">
            <v>42410</v>
          </cell>
          <cell r="BF2124">
            <v>17.362451213798682</v>
          </cell>
          <cell r="BG2124">
            <v>17.429620749261797</v>
          </cell>
          <cell r="BH2124">
            <v>16.109902701379674</v>
          </cell>
          <cell r="BI2124">
            <v>13.839355674417275</v>
          </cell>
          <cell r="BJ2124">
            <v>18.380449728342072</v>
          </cell>
          <cell r="BU2124">
            <v>11.7985379771191</v>
          </cell>
          <cell r="BV2124">
            <v>11.522967903511651</v>
          </cell>
          <cell r="BW2124">
            <v>10.055977276238897</v>
          </cell>
          <cell r="BX2124">
            <v>8.6149332270911767</v>
          </cell>
          <cell r="BY2124">
            <v>11.497021325386617</v>
          </cell>
        </row>
        <row r="2125">
          <cell r="A2125">
            <v>42411</v>
          </cell>
          <cell r="BF2125">
            <v>17.444933545788565</v>
          </cell>
          <cell r="BG2125">
            <v>17.429620749261797</v>
          </cell>
          <cell r="BH2125">
            <v>16.109902701379674</v>
          </cell>
          <cell r="BI2125">
            <v>13.839355674417275</v>
          </cell>
          <cell r="BJ2125">
            <v>18.380449728342072</v>
          </cell>
          <cell r="BU2125">
            <v>11.843379440333965</v>
          </cell>
          <cell r="BV2125">
            <v>11.522967903511651</v>
          </cell>
          <cell r="BW2125">
            <v>10.055977276238897</v>
          </cell>
          <cell r="BX2125">
            <v>8.6149332270911767</v>
          </cell>
          <cell r="BY2125">
            <v>11.497021325386617</v>
          </cell>
        </row>
        <row r="2126">
          <cell r="A2126">
            <v>42412</v>
          </cell>
          <cell r="BF2126">
            <v>17.249723483438778</v>
          </cell>
          <cell r="BG2126">
            <v>17.429620749261797</v>
          </cell>
          <cell r="BH2126">
            <v>16.109902701379674</v>
          </cell>
          <cell r="BI2126">
            <v>13.839355674417275</v>
          </cell>
          <cell r="BJ2126">
            <v>18.380449728342072</v>
          </cell>
          <cell r="BU2126">
            <v>11.733377811032609</v>
          </cell>
          <cell r="BV2126">
            <v>11.522967903511651</v>
          </cell>
          <cell r="BW2126">
            <v>10.055977276238897</v>
          </cell>
          <cell r="BX2126">
            <v>8.6149332270911767</v>
          </cell>
          <cell r="BY2126">
            <v>11.497021325386617</v>
          </cell>
        </row>
        <row r="2127">
          <cell r="A2127">
            <v>42415</v>
          </cell>
          <cell r="BF2127">
            <v>17.279491254186826</v>
          </cell>
          <cell r="BG2127">
            <v>17.429620749261797</v>
          </cell>
          <cell r="BH2127">
            <v>16.109902701379674</v>
          </cell>
          <cell r="BI2127">
            <v>13.839355674417275</v>
          </cell>
          <cell r="BJ2127">
            <v>18.380449728342072</v>
          </cell>
          <cell r="BU2127">
            <v>11.749579634366707</v>
          </cell>
          <cell r="BV2127">
            <v>11.522967903511651</v>
          </cell>
          <cell r="BW2127">
            <v>10.055977276238897</v>
          </cell>
          <cell r="BX2127">
            <v>8.6149332270911767</v>
          </cell>
          <cell r="BY2127">
            <v>11.497021325386617</v>
          </cell>
        </row>
        <row r="2128">
          <cell r="A2128">
            <v>42416</v>
          </cell>
          <cell r="BF2128">
            <v>16.784520655005583</v>
          </cell>
          <cell r="BG2128">
            <v>17.429620749261797</v>
          </cell>
          <cell r="BH2128">
            <v>16.109902701379674</v>
          </cell>
          <cell r="BI2128">
            <v>13.839355674417275</v>
          </cell>
          <cell r="BJ2128">
            <v>18.380449728342072</v>
          </cell>
          <cell r="BU2128">
            <v>11.48018001182249</v>
          </cell>
          <cell r="BV2128">
            <v>11.522967903511651</v>
          </cell>
          <cell r="BW2128">
            <v>10.055977276238897</v>
          </cell>
          <cell r="BX2128">
            <v>8.6149332270911767</v>
          </cell>
          <cell r="BY2128">
            <v>11.497021325386617</v>
          </cell>
        </row>
        <row r="2129">
          <cell r="A2129">
            <v>42417</v>
          </cell>
          <cell r="BF2129">
            <v>17.0636423520655</v>
          </cell>
          <cell r="BG2129">
            <v>17.429620749261797</v>
          </cell>
          <cell r="BH2129">
            <v>16.109902701379674</v>
          </cell>
          <cell r="BI2129">
            <v>13.839355674417275</v>
          </cell>
          <cell r="BJ2129">
            <v>18.380449728342072</v>
          </cell>
          <cell r="BU2129">
            <v>11.632098691348562</v>
          </cell>
          <cell r="BV2129">
            <v>11.522967903511651</v>
          </cell>
          <cell r="BW2129">
            <v>10.055977276238897</v>
          </cell>
          <cell r="BX2129">
            <v>8.6149332270911767</v>
          </cell>
          <cell r="BY2129">
            <v>11.497021325386617</v>
          </cell>
        </row>
        <row r="2130">
          <cell r="A2130">
            <v>42418</v>
          </cell>
          <cell r="BF2130">
            <v>16.710083364346858</v>
          </cell>
          <cell r="BG2130">
            <v>17.429620749261797</v>
          </cell>
          <cell r="BH2130">
            <v>16.109902701379674</v>
          </cell>
          <cell r="BI2130">
            <v>13.839355674417275</v>
          </cell>
          <cell r="BJ2130">
            <v>18.380449728342072</v>
          </cell>
          <cell r="BU2130">
            <v>11.439665730691759</v>
          </cell>
          <cell r="BV2130">
            <v>11.522967903511651</v>
          </cell>
          <cell r="BW2130">
            <v>10.055977276238897</v>
          </cell>
          <cell r="BX2130">
            <v>8.6149332270911767</v>
          </cell>
          <cell r="BY2130">
            <v>11.497021325386617</v>
          </cell>
        </row>
        <row r="2131">
          <cell r="A2131">
            <v>42419</v>
          </cell>
          <cell r="BF2131">
            <v>16.724973204317081</v>
          </cell>
          <cell r="BG2131">
            <v>17.429620749261797</v>
          </cell>
          <cell r="BH2131">
            <v>16.109902701379674</v>
          </cell>
          <cell r="BI2131">
            <v>13.839355674417275</v>
          </cell>
          <cell r="BJ2131">
            <v>18.380449728342072</v>
          </cell>
          <cell r="BU2131">
            <v>11.447769883290636</v>
          </cell>
          <cell r="BV2131">
            <v>11.522967903511651</v>
          </cell>
          <cell r="BW2131">
            <v>10.055977276238897</v>
          </cell>
          <cell r="BX2131">
            <v>8.6149332270911767</v>
          </cell>
          <cell r="BY2131">
            <v>11.497021325386617</v>
          </cell>
        </row>
        <row r="2132">
          <cell r="A2132">
            <v>42422</v>
          </cell>
          <cell r="BF2132">
            <v>16.671754032108009</v>
          </cell>
          <cell r="BG2132">
            <v>17.429620749261797</v>
          </cell>
          <cell r="BH2132">
            <v>16.109902701379674</v>
          </cell>
          <cell r="BI2132">
            <v>13.839355674417275</v>
          </cell>
          <cell r="BJ2132">
            <v>18.380449728342072</v>
          </cell>
          <cell r="BU2132">
            <v>11.419411932337344</v>
          </cell>
          <cell r="BV2132">
            <v>11.522967903511651</v>
          </cell>
          <cell r="BW2132">
            <v>10.055977276238897</v>
          </cell>
          <cell r="BX2132">
            <v>8.6149332270911767</v>
          </cell>
          <cell r="BY2132">
            <v>11.497021325386617</v>
          </cell>
        </row>
        <row r="2133">
          <cell r="A2133">
            <v>42423</v>
          </cell>
          <cell r="BF2133">
            <v>16.590736743838686</v>
          </cell>
          <cell r="BG2133">
            <v>17.429620749261797</v>
          </cell>
          <cell r="BH2133">
            <v>16.109902701379674</v>
          </cell>
          <cell r="BI2133">
            <v>13.839355674417275</v>
          </cell>
          <cell r="BJ2133">
            <v>18.380449728342072</v>
          </cell>
          <cell r="BU2133">
            <v>11.411811290078738</v>
          </cell>
          <cell r="BV2133">
            <v>11.522967903511651</v>
          </cell>
          <cell r="BW2133">
            <v>10.055977276238897</v>
          </cell>
          <cell r="BX2133">
            <v>8.6149332270911767</v>
          </cell>
          <cell r="BY2133">
            <v>11.497021325386617</v>
          </cell>
        </row>
        <row r="2134">
          <cell r="A2134">
            <v>42424</v>
          </cell>
          <cell r="BF2134">
            <v>16.661686333084393</v>
          </cell>
          <cell r="BG2134">
            <v>17.429620749261797</v>
          </cell>
          <cell r="BH2134">
            <v>16.109902701379674</v>
          </cell>
          <cell r="BI2134">
            <v>13.839355674417275</v>
          </cell>
          <cell r="BJ2134">
            <v>18.380449728342072</v>
          </cell>
          <cell r="BU2134">
            <v>11.450526445234043</v>
          </cell>
          <cell r="BV2134">
            <v>11.522967903511651</v>
          </cell>
          <cell r="BW2134">
            <v>10.055977276238897</v>
          </cell>
          <cell r="BX2134">
            <v>8.6149332270911767</v>
          </cell>
          <cell r="BY2134">
            <v>11.497021325386617</v>
          </cell>
        </row>
        <row r="2135">
          <cell r="A2135">
            <v>42425</v>
          </cell>
          <cell r="BF2135">
            <v>16.624348394324123</v>
          </cell>
          <cell r="BG2135">
            <v>17.429620749261797</v>
          </cell>
          <cell r="BH2135">
            <v>16.109902701379674</v>
          </cell>
          <cell r="BI2135">
            <v>13.839355674417275</v>
          </cell>
          <cell r="BJ2135">
            <v>18.380449728342072</v>
          </cell>
          <cell r="BU2135">
            <v>11.430152203358208</v>
          </cell>
          <cell r="BV2135">
            <v>11.522967903511651</v>
          </cell>
          <cell r="BW2135">
            <v>10.055977276238897</v>
          </cell>
          <cell r="BX2135">
            <v>8.6149332270911767</v>
          </cell>
          <cell r="BY2135">
            <v>11.497021325386617</v>
          </cell>
        </row>
        <row r="2136">
          <cell r="A2136">
            <v>42426</v>
          </cell>
          <cell r="BF2136">
            <v>16.713963778939508</v>
          </cell>
          <cell r="BG2136">
            <v>17.429620749261797</v>
          </cell>
          <cell r="BH2136">
            <v>16.109902701379674</v>
          </cell>
          <cell r="BI2136">
            <v>13.839355674417275</v>
          </cell>
          <cell r="BJ2136">
            <v>18.380449728342072</v>
          </cell>
          <cell r="BU2136">
            <v>11.479052747484994</v>
          </cell>
          <cell r="BV2136">
            <v>11.522967903511651</v>
          </cell>
          <cell r="BW2136">
            <v>10.055977276238897</v>
          </cell>
          <cell r="BX2136">
            <v>8.6149332270911767</v>
          </cell>
          <cell r="BY2136">
            <v>11.497021325386617</v>
          </cell>
        </row>
        <row r="2137">
          <cell r="A2137">
            <v>42429</v>
          </cell>
          <cell r="BF2137">
            <v>16.763135292580007</v>
          </cell>
          <cell r="BG2137">
            <v>17.429620749261797</v>
          </cell>
          <cell r="BH2137">
            <v>16.109902701379674</v>
          </cell>
          <cell r="BI2137">
            <v>13.839355674417275</v>
          </cell>
          <cell r="BJ2137">
            <v>18.380449728342072</v>
          </cell>
          <cell r="BU2137">
            <v>11.505542664728223</v>
          </cell>
          <cell r="BV2137">
            <v>11.522967903511651</v>
          </cell>
          <cell r="BW2137">
            <v>10.055977276238897</v>
          </cell>
          <cell r="BX2137">
            <v>8.6149332270911767</v>
          </cell>
          <cell r="BY2137">
            <v>11.497021325386617</v>
          </cell>
        </row>
        <row r="2138">
          <cell r="A2138">
            <v>42430</v>
          </cell>
          <cell r="BF2138">
            <v>16.886366929310281</v>
          </cell>
          <cell r="BG2138">
            <v>17.429620749261797</v>
          </cell>
          <cell r="BH2138">
            <v>16.109902701379674</v>
          </cell>
          <cell r="BI2138">
            <v>13.839355674417275</v>
          </cell>
          <cell r="BJ2138">
            <v>18.380449728342072</v>
          </cell>
          <cell r="BU2138">
            <v>11.572784122134481</v>
          </cell>
          <cell r="BV2138">
            <v>11.522967903511651</v>
          </cell>
          <cell r="BW2138">
            <v>10.055977276238897</v>
          </cell>
          <cell r="BX2138">
            <v>8.6149332270911767</v>
          </cell>
          <cell r="BY2138">
            <v>11.497021325386617</v>
          </cell>
        </row>
        <row r="2139">
          <cell r="A2139">
            <v>42431</v>
          </cell>
          <cell r="BF2139">
            <v>16.834087157847566</v>
          </cell>
          <cell r="BG2139">
            <v>17.429620749261797</v>
          </cell>
          <cell r="BH2139">
            <v>16.109902701379674</v>
          </cell>
          <cell r="BI2139">
            <v>13.839355674417275</v>
          </cell>
          <cell r="BJ2139">
            <v>18.380449728342072</v>
          </cell>
          <cell r="BU2139">
            <v>11.544257616122772</v>
          </cell>
          <cell r="BV2139">
            <v>11.522967903511651</v>
          </cell>
          <cell r="BW2139">
            <v>10.055977276238897</v>
          </cell>
          <cell r="BX2139">
            <v>8.6149332270911767</v>
          </cell>
          <cell r="BY2139">
            <v>11.497021325386617</v>
          </cell>
        </row>
        <row r="2140">
          <cell r="A2140">
            <v>42432</v>
          </cell>
          <cell r="BF2140">
            <v>16.725790358116434</v>
          </cell>
          <cell r="BG2140">
            <v>17.429620749261797</v>
          </cell>
          <cell r="BH2140">
            <v>16.109902701379674</v>
          </cell>
          <cell r="BI2140">
            <v>13.839355674417275</v>
          </cell>
          <cell r="BJ2140">
            <v>18.380449728342072</v>
          </cell>
          <cell r="BU2140">
            <v>11.485165366441031</v>
          </cell>
          <cell r="BV2140">
            <v>11.522967903511651</v>
          </cell>
          <cell r="BW2140">
            <v>10.055977276238897</v>
          </cell>
          <cell r="BX2140">
            <v>8.6149332270911767</v>
          </cell>
          <cell r="BY2140">
            <v>11.497021325386617</v>
          </cell>
        </row>
        <row r="2141">
          <cell r="A2141">
            <v>42433</v>
          </cell>
          <cell r="BF2141">
            <v>16.834017609591609</v>
          </cell>
          <cell r="BG2141">
            <v>17.429620749261797</v>
          </cell>
          <cell r="BH2141">
            <v>16.109902701379674</v>
          </cell>
          <cell r="BI2141">
            <v>13.839355674417275</v>
          </cell>
          <cell r="BJ2141">
            <v>18.380449728342072</v>
          </cell>
          <cell r="BU2141">
            <v>11.513691668691983</v>
          </cell>
          <cell r="BV2141">
            <v>11.522967903511651</v>
          </cell>
          <cell r="BW2141">
            <v>10.055977276238897</v>
          </cell>
          <cell r="BX2141">
            <v>8.6149332270911767</v>
          </cell>
          <cell r="BY2141">
            <v>11.497021325386617</v>
          </cell>
        </row>
        <row r="2142">
          <cell r="A2142">
            <v>42436</v>
          </cell>
          <cell r="BF2142">
            <v>16.841512551517422</v>
          </cell>
          <cell r="BG2142">
            <v>17.429620749261797</v>
          </cell>
          <cell r="BH2142">
            <v>16.109902701379674</v>
          </cell>
          <cell r="BI2142">
            <v>13.839355674417275</v>
          </cell>
          <cell r="BJ2142">
            <v>18.380449728342072</v>
          </cell>
          <cell r="BU2142">
            <v>11.517767698879544</v>
          </cell>
          <cell r="BV2142">
            <v>11.522967903511651</v>
          </cell>
          <cell r="BW2142">
            <v>10.055977276238897</v>
          </cell>
          <cell r="BX2142">
            <v>8.6149332270911767</v>
          </cell>
          <cell r="BY2142">
            <v>11.497021325386617</v>
          </cell>
        </row>
        <row r="2143">
          <cell r="A2143">
            <v>42437</v>
          </cell>
          <cell r="BF2143">
            <v>16.702885724990633</v>
          </cell>
          <cell r="BG2143">
            <v>17.429620749261797</v>
          </cell>
          <cell r="BH2143">
            <v>16.109902701379674</v>
          </cell>
          <cell r="BI2143">
            <v>13.839355674417275</v>
          </cell>
          <cell r="BJ2143">
            <v>18.380449728342072</v>
          </cell>
          <cell r="BU2143">
            <v>11.547642700860235</v>
          </cell>
          <cell r="BV2143">
            <v>11.522967903511651</v>
          </cell>
          <cell r="BW2143">
            <v>10.055977276238897</v>
          </cell>
          <cell r="BX2143">
            <v>8.6149332270911767</v>
          </cell>
          <cell r="BY2143">
            <v>11.497021325386617</v>
          </cell>
        </row>
        <row r="2144">
          <cell r="A2144">
            <v>42438</v>
          </cell>
          <cell r="BF2144">
            <v>16.57795952023988</v>
          </cell>
          <cell r="BG2144">
            <v>17.429620749261797</v>
          </cell>
          <cell r="BH2144">
            <v>16.109902701379674</v>
          </cell>
          <cell r="BI2144">
            <v>13.839355674417275</v>
          </cell>
          <cell r="BJ2144">
            <v>18.380449728342072</v>
          </cell>
          <cell r="BU2144">
            <v>11.471574407608829</v>
          </cell>
          <cell r="BV2144">
            <v>11.522967903511651</v>
          </cell>
          <cell r="BW2144">
            <v>10.055977276238897</v>
          </cell>
          <cell r="BX2144">
            <v>8.6149332270911767</v>
          </cell>
          <cell r="BY2144">
            <v>11.497021325386617</v>
          </cell>
        </row>
        <row r="2145">
          <cell r="A2145">
            <v>42439</v>
          </cell>
          <cell r="BF2145">
            <v>16.326835832083958</v>
          </cell>
          <cell r="BG2145">
            <v>17.429620749261797</v>
          </cell>
          <cell r="BH2145">
            <v>16.109902701379674</v>
          </cell>
          <cell r="BI2145">
            <v>13.839355674417275</v>
          </cell>
          <cell r="BJ2145">
            <v>18.380449728342072</v>
          </cell>
          <cell r="BU2145">
            <v>11.333848343336403</v>
          </cell>
          <cell r="BV2145">
            <v>11.522967903511651</v>
          </cell>
          <cell r="BW2145">
            <v>10.055977276238897</v>
          </cell>
          <cell r="BX2145">
            <v>8.6149332270911767</v>
          </cell>
          <cell r="BY2145">
            <v>11.497021325386617</v>
          </cell>
        </row>
        <row r="2146">
          <cell r="A2146">
            <v>42440</v>
          </cell>
          <cell r="BF2146">
            <v>16.248128560719639</v>
          </cell>
          <cell r="BG2146">
            <v>17.429620749261797</v>
          </cell>
          <cell r="BH2146">
            <v>16.109902701379674</v>
          </cell>
          <cell r="BI2146">
            <v>13.839355674417275</v>
          </cell>
          <cell r="BJ2146">
            <v>18.380449728342072</v>
          </cell>
          <cell r="BU2146">
            <v>11.290682193642478</v>
          </cell>
          <cell r="BV2146">
            <v>11.522967903511651</v>
          </cell>
          <cell r="BW2146">
            <v>10.055977276238897</v>
          </cell>
          <cell r="BX2146">
            <v>8.6149332270911767</v>
          </cell>
          <cell r="BY2146">
            <v>11.497021325386617</v>
          </cell>
        </row>
        <row r="2147">
          <cell r="A2147">
            <v>42443</v>
          </cell>
          <cell r="BF2147">
            <v>16.172886958533535</v>
          </cell>
          <cell r="BG2147">
            <v>17.429620749261797</v>
          </cell>
          <cell r="BH2147">
            <v>16.109902701379674</v>
          </cell>
          <cell r="BI2147">
            <v>13.839355674417275</v>
          </cell>
          <cell r="BJ2147">
            <v>18.380449728342072</v>
          </cell>
          <cell r="BU2147">
            <v>11.26617796135625</v>
          </cell>
          <cell r="BV2147">
            <v>11.522967903511651</v>
          </cell>
          <cell r="BW2147">
            <v>10.055977276238897</v>
          </cell>
          <cell r="BX2147">
            <v>8.6149332270911767</v>
          </cell>
          <cell r="BY2147">
            <v>11.497021325386617</v>
          </cell>
        </row>
        <row r="2148">
          <cell r="A2148">
            <v>42444</v>
          </cell>
          <cell r="BF2148">
            <v>16.076467479618668</v>
          </cell>
          <cell r="BG2148">
            <v>17.429620749261797</v>
          </cell>
          <cell r="BH2148">
            <v>16.109902701379674</v>
          </cell>
          <cell r="BI2148">
            <v>13.839355674417275</v>
          </cell>
          <cell r="BJ2148">
            <v>18.380449728342072</v>
          </cell>
          <cell r="BU2148">
            <v>11.213100336387164</v>
          </cell>
          <cell r="BV2148">
            <v>11.522967903511651</v>
          </cell>
          <cell r="BW2148">
            <v>10.055977276238897</v>
          </cell>
          <cell r="BX2148">
            <v>8.6149332270911767</v>
          </cell>
          <cell r="BY2148">
            <v>11.497021325386617</v>
          </cell>
        </row>
        <row r="2149">
          <cell r="A2149">
            <v>42445</v>
          </cell>
          <cell r="BF2149">
            <v>15.898454100489127</v>
          </cell>
          <cell r="BG2149">
            <v>17.429620749261797</v>
          </cell>
          <cell r="BH2149">
            <v>16.109902701379674</v>
          </cell>
          <cell r="BI2149">
            <v>13.839355674417275</v>
          </cell>
          <cell r="BJ2149">
            <v>18.380449728342072</v>
          </cell>
          <cell r="BU2149">
            <v>11.115106367914668</v>
          </cell>
          <cell r="BV2149">
            <v>11.522967903511651</v>
          </cell>
          <cell r="BW2149">
            <v>10.055977276238897</v>
          </cell>
          <cell r="BX2149">
            <v>8.6149332270911767</v>
          </cell>
          <cell r="BY2149">
            <v>11.497021325386617</v>
          </cell>
        </row>
        <row r="2150">
          <cell r="A2150">
            <v>42446</v>
          </cell>
          <cell r="BF2150">
            <v>15.958215780203766</v>
          </cell>
          <cell r="BG2150">
            <v>17.429620749261797</v>
          </cell>
          <cell r="BH2150">
            <v>16.109902701379674</v>
          </cell>
          <cell r="BI2150">
            <v>13.839355674417275</v>
          </cell>
          <cell r="BJ2150">
            <v>18.380449728342072</v>
          </cell>
          <cell r="BU2150">
            <v>11.147770887972552</v>
          </cell>
          <cell r="BV2150">
            <v>11.522967903511651</v>
          </cell>
          <cell r="BW2150">
            <v>10.055977276238897</v>
          </cell>
          <cell r="BX2150">
            <v>8.6149332270911767</v>
          </cell>
          <cell r="BY2150">
            <v>11.497021325386617</v>
          </cell>
        </row>
        <row r="2151">
          <cell r="A2151">
            <v>42447</v>
          </cell>
          <cell r="BF2151">
            <v>15.939671539390339</v>
          </cell>
          <cell r="BG2151">
            <v>17.429620749261797</v>
          </cell>
          <cell r="BH2151">
            <v>16.109902701379674</v>
          </cell>
          <cell r="BI2151">
            <v>13.839355674417275</v>
          </cell>
          <cell r="BJ2151">
            <v>18.380449728342072</v>
          </cell>
          <cell r="BU2151">
            <v>11.13756280439628</v>
          </cell>
          <cell r="BV2151">
            <v>11.522967903511651</v>
          </cell>
          <cell r="BW2151">
            <v>10.055977276238897</v>
          </cell>
          <cell r="BX2151">
            <v>8.6149332270911767</v>
          </cell>
          <cell r="BY2151">
            <v>11.497021325386617</v>
          </cell>
        </row>
        <row r="2152">
          <cell r="A2152">
            <v>42450</v>
          </cell>
          <cell r="BF2152">
            <v>16.147353833793428</v>
          </cell>
          <cell r="BG2152">
            <v>17.429620749261797</v>
          </cell>
          <cell r="BH2152">
            <v>16.109902701379674</v>
          </cell>
          <cell r="BI2152">
            <v>13.839355674417275</v>
          </cell>
          <cell r="BJ2152">
            <v>18.380449728342072</v>
          </cell>
          <cell r="BU2152">
            <v>11.251886072731088</v>
          </cell>
          <cell r="BV2152">
            <v>11.522967903511651</v>
          </cell>
          <cell r="BW2152">
            <v>10.055977276238897</v>
          </cell>
          <cell r="BX2152">
            <v>8.6149332270911767</v>
          </cell>
          <cell r="BY2152">
            <v>11.497021325386617</v>
          </cell>
        </row>
        <row r="2153">
          <cell r="A2153">
            <v>42451</v>
          </cell>
          <cell r="BF2153">
            <v>16.336497450321556</v>
          </cell>
          <cell r="BG2153">
            <v>17.429620749261797</v>
          </cell>
          <cell r="BH2153">
            <v>16.109902701379674</v>
          </cell>
          <cell r="BI2153">
            <v>13.839355674417275</v>
          </cell>
          <cell r="BJ2153">
            <v>18.380449728342072</v>
          </cell>
          <cell r="BU2153">
            <v>11.356004319730964</v>
          </cell>
          <cell r="BV2153">
            <v>11.522967903511651</v>
          </cell>
          <cell r="BW2153">
            <v>10.055977276238897</v>
          </cell>
          <cell r="BX2153">
            <v>8.6149332270911767</v>
          </cell>
          <cell r="BY2153">
            <v>11.497021325386617</v>
          </cell>
        </row>
        <row r="2154">
          <cell r="A2154">
            <v>42452</v>
          </cell>
          <cell r="BF2154">
            <v>16.214112062306583</v>
          </cell>
          <cell r="BG2154">
            <v>17.429620749261797</v>
          </cell>
          <cell r="BH2154">
            <v>16.109902701379674</v>
          </cell>
          <cell r="BI2154">
            <v>13.839355674417275</v>
          </cell>
          <cell r="BJ2154">
            <v>18.380449728342072</v>
          </cell>
          <cell r="BU2154">
            <v>11.288634601987287</v>
          </cell>
          <cell r="BV2154">
            <v>11.522967903511651</v>
          </cell>
          <cell r="BW2154">
            <v>10.055977276238897</v>
          </cell>
          <cell r="BX2154">
            <v>8.6149332270911767</v>
          </cell>
          <cell r="BY2154">
            <v>11.497021325386617</v>
          </cell>
        </row>
        <row r="2155">
          <cell r="A2155">
            <v>42453</v>
          </cell>
          <cell r="BF2155">
            <v>16.462589238806284</v>
          </cell>
          <cell r="BG2155">
            <v>17.429620749261797</v>
          </cell>
          <cell r="BH2155">
            <v>16.109902701379674</v>
          </cell>
          <cell r="BI2155">
            <v>13.839355674417275</v>
          </cell>
          <cell r="BJ2155">
            <v>18.380449728342072</v>
          </cell>
          <cell r="BU2155">
            <v>11.425414306803702</v>
          </cell>
          <cell r="BV2155">
            <v>11.522967903511651</v>
          </cell>
          <cell r="BW2155">
            <v>10.055977276238897</v>
          </cell>
          <cell r="BX2155">
            <v>8.6149332270911767</v>
          </cell>
          <cell r="BY2155">
            <v>11.497021325386617</v>
          </cell>
        </row>
        <row r="2156">
          <cell r="A2156">
            <v>42454</v>
          </cell>
          <cell r="BF2156">
            <v>16.544179373862075</v>
          </cell>
          <cell r="BG2156">
            <v>17.429620749261797</v>
          </cell>
          <cell r="BH2156">
            <v>16.109902701379674</v>
          </cell>
          <cell r="BI2156">
            <v>13.839355674417275</v>
          </cell>
          <cell r="BJ2156">
            <v>18.380449728342072</v>
          </cell>
          <cell r="BU2156">
            <v>11.470327383916347</v>
          </cell>
          <cell r="BV2156">
            <v>11.522967903511651</v>
          </cell>
          <cell r="BW2156">
            <v>10.055977276238897</v>
          </cell>
          <cell r="BX2156">
            <v>8.6149332270911767</v>
          </cell>
          <cell r="BY2156">
            <v>11.497021325386617</v>
          </cell>
        </row>
        <row r="2157">
          <cell r="A2157">
            <v>42457</v>
          </cell>
          <cell r="BF2157">
            <v>16.911011502083788</v>
          </cell>
          <cell r="BG2157">
            <v>17.429620749261797</v>
          </cell>
          <cell r="BH2157">
            <v>16.109902701379674</v>
          </cell>
          <cell r="BI2157">
            <v>13.839355674417275</v>
          </cell>
          <cell r="BJ2157">
            <v>18.380449728342072</v>
          </cell>
          <cell r="BU2157">
            <v>11.672436537147377</v>
          </cell>
          <cell r="BV2157">
            <v>11.522967903511651</v>
          </cell>
          <cell r="BW2157">
            <v>10.055977276238897</v>
          </cell>
          <cell r="BX2157">
            <v>8.6149332270911767</v>
          </cell>
          <cell r="BY2157">
            <v>11.497021325386617</v>
          </cell>
        </row>
        <row r="2158">
          <cell r="A2158">
            <v>42458</v>
          </cell>
          <cell r="BF2158">
            <v>16.647701530584005</v>
          </cell>
          <cell r="BG2158">
            <v>17.429620749261797</v>
          </cell>
          <cell r="BH2158">
            <v>16.109902701379674</v>
          </cell>
          <cell r="BI2158">
            <v>13.839355674417275</v>
          </cell>
          <cell r="BJ2158">
            <v>18.380449728342072</v>
          </cell>
          <cell r="BU2158">
            <v>11.527489018083751</v>
          </cell>
          <cell r="BV2158">
            <v>11.522967903511651</v>
          </cell>
          <cell r="BW2158">
            <v>10.055977276238897</v>
          </cell>
          <cell r="BX2158">
            <v>8.6149332270911767</v>
          </cell>
          <cell r="BY2158">
            <v>11.497021325386617</v>
          </cell>
        </row>
        <row r="2159">
          <cell r="A2159">
            <v>42459</v>
          </cell>
          <cell r="BF2159">
            <v>16.755247017551227</v>
          </cell>
          <cell r="BG2159">
            <v>17.429620749261797</v>
          </cell>
          <cell r="BH2159">
            <v>16.109902701379674</v>
          </cell>
          <cell r="BI2159">
            <v>13.839355674417275</v>
          </cell>
          <cell r="BJ2159">
            <v>18.380449728342072</v>
          </cell>
          <cell r="BU2159">
            <v>11.586690921580225</v>
          </cell>
          <cell r="BV2159">
            <v>11.522967903511651</v>
          </cell>
          <cell r="BW2159">
            <v>10.055977276238897</v>
          </cell>
          <cell r="BX2159">
            <v>8.6149332270911767</v>
          </cell>
          <cell r="BY2159">
            <v>11.497021325386617</v>
          </cell>
        </row>
        <row r="2160">
          <cell r="A2160">
            <v>42460</v>
          </cell>
          <cell r="BF2160">
            <v>16.768919590740282</v>
          </cell>
          <cell r="BG2160">
            <v>17.429620749261797</v>
          </cell>
          <cell r="BH2160">
            <v>16.109902701379674</v>
          </cell>
          <cell r="BI2160">
            <v>13.839355674417275</v>
          </cell>
          <cell r="BJ2160">
            <v>18.380449728342072</v>
          </cell>
          <cell r="BU2160">
            <v>11.75148591105982</v>
          </cell>
          <cell r="BV2160">
            <v>11.522967903511651</v>
          </cell>
          <cell r="BW2160">
            <v>10.055977276238897</v>
          </cell>
          <cell r="BX2160">
            <v>8.6149332270911767</v>
          </cell>
          <cell r="BY2160">
            <v>11.497021325386617</v>
          </cell>
        </row>
        <row r="2161">
          <cell r="A2161">
            <v>42461</v>
          </cell>
          <cell r="BF2161">
            <v>17.063004316369806</v>
          </cell>
          <cell r="BG2161">
            <v>17.429620749261797</v>
          </cell>
          <cell r="BH2161">
            <v>16.109902701379674</v>
          </cell>
          <cell r="BI2161">
            <v>13.839355674417275</v>
          </cell>
          <cell r="BJ2161">
            <v>18.380449728342072</v>
          </cell>
          <cell r="BU2161">
            <v>11.909262121715384</v>
          </cell>
          <cell r="BV2161">
            <v>11.522967903511651</v>
          </cell>
          <cell r="BW2161">
            <v>10.055977276238897</v>
          </cell>
          <cell r="BX2161">
            <v>8.6149332270911767</v>
          </cell>
          <cell r="BY2161">
            <v>11.497021325386617</v>
          </cell>
        </row>
        <row r="2162">
          <cell r="A2162">
            <v>42464</v>
          </cell>
          <cell r="BF2162">
            <v>16.783876446209195</v>
          </cell>
          <cell r="BG2162">
            <v>17.429620749261797</v>
          </cell>
          <cell r="BH2162">
            <v>16.109902701379674</v>
          </cell>
          <cell r="BI2162">
            <v>13.839355674417275</v>
          </cell>
          <cell r="BJ2162">
            <v>18.380449728342072</v>
          </cell>
          <cell r="BU2162">
            <v>11.753560889481392</v>
          </cell>
          <cell r="BV2162">
            <v>11.522967903511651</v>
          </cell>
          <cell r="BW2162">
            <v>10.055977276238897</v>
          </cell>
          <cell r="BX2162">
            <v>8.6149332270911767</v>
          </cell>
          <cell r="BY2162">
            <v>11.497021325386617</v>
          </cell>
        </row>
        <row r="2163">
          <cell r="A2163">
            <v>42465</v>
          </cell>
          <cell r="BF2163">
            <v>17.133401565533248</v>
          </cell>
          <cell r="BG2163">
            <v>17.429620749261797</v>
          </cell>
          <cell r="BH2163">
            <v>16.109902701379674</v>
          </cell>
          <cell r="BI2163">
            <v>13.839355674417275</v>
          </cell>
          <cell r="BJ2163">
            <v>18.380449728342072</v>
          </cell>
          <cell r="BU2163">
            <v>11.948706849084614</v>
          </cell>
          <cell r="BV2163">
            <v>11.522967903511651</v>
          </cell>
          <cell r="BW2163">
            <v>10.055977276238897</v>
          </cell>
          <cell r="BX2163">
            <v>8.6149332270911767</v>
          </cell>
          <cell r="BY2163">
            <v>11.497021325386617</v>
          </cell>
        </row>
        <row r="2164">
          <cell r="A2164">
            <v>42466</v>
          </cell>
          <cell r="BF2164">
            <v>16.961996363159344</v>
          </cell>
          <cell r="BG2164">
            <v>17.429620749261797</v>
          </cell>
          <cell r="BH2164">
            <v>16.109902701379674</v>
          </cell>
          <cell r="BI2164">
            <v>13.839355674417275</v>
          </cell>
          <cell r="BJ2164">
            <v>18.380449728342072</v>
          </cell>
          <cell r="BU2164">
            <v>11.853211961729221</v>
          </cell>
          <cell r="BV2164">
            <v>11.522967903511651</v>
          </cell>
          <cell r="BW2164">
            <v>10.055977276238897</v>
          </cell>
          <cell r="BX2164">
            <v>8.6149332270911767</v>
          </cell>
          <cell r="BY2164">
            <v>11.497021325386617</v>
          </cell>
        </row>
        <row r="2165">
          <cell r="A2165">
            <v>42467</v>
          </cell>
          <cell r="BF2165">
            <v>17.949029452573235</v>
          </cell>
          <cell r="BG2165">
            <v>17.429620749261797</v>
          </cell>
          <cell r="BH2165">
            <v>16.109902701379674</v>
          </cell>
          <cell r="BI2165">
            <v>13.839355674417275</v>
          </cell>
          <cell r="BJ2165">
            <v>18.380449728342072</v>
          </cell>
          <cell r="BU2165">
            <v>12.407507933278943</v>
          </cell>
          <cell r="BV2165">
            <v>11.522967903511651</v>
          </cell>
          <cell r="BW2165">
            <v>10.055977276238897</v>
          </cell>
          <cell r="BX2165">
            <v>8.6149332270911767</v>
          </cell>
          <cell r="BY2165">
            <v>11.497021325386617</v>
          </cell>
        </row>
        <row r="2166">
          <cell r="A2166">
            <v>42468</v>
          </cell>
          <cell r="BF2166">
            <v>18.034097013922871</v>
          </cell>
          <cell r="BG2166">
            <v>17.429620749261797</v>
          </cell>
          <cell r="BH2166">
            <v>16.109902701379674</v>
          </cell>
          <cell r="BI2166">
            <v>13.839355674417275</v>
          </cell>
          <cell r="BJ2166">
            <v>18.380449728342072</v>
          </cell>
          <cell r="BU2166">
            <v>12.18195676902354</v>
          </cell>
          <cell r="BV2166">
            <v>11.522967903511651</v>
          </cell>
          <cell r="BW2166">
            <v>10.055977276238897</v>
          </cell>
          <cell r="BX2166">
            <v>8.6149332270911767</v>
          </cell>
          <cell r="BY2166">
            <v>11.497021325386617</v>
          </cell>
        </row>
        <row r="2167">
          <cell r="A2167">
            <v>42471</v>
          </cell>
          <cell r="BF2167">
            <v>18.201865030448406</v>
          </cell>
          <cell r="BG2167">
            <v>17.429620749261797</v>
          </cell>
          <cell r="BH2167">
            <v>16.109902701379674</v>
          </cell>
          <cell r="BI2167">
            <v>13.839355674417275</v>
          </cell>
          <cell r="BJ2167">
            <v>18.380449728342072</v>
          </cell>
          <cell r="BU2167">
            <v>11.722916051865742</v>
          </cell>
          <cell r="BV2167">
            <v>11.522967903511651</v>
          </cell>
          <cell r="BW2167">
            <v>10.055977276238897</v>
          </cell>
          <cell r="BX2167">
            <v>8.6149332270911767</v>
          </cell>
          <cell r="BY2167">
            <v>11.497021325386617</v>
          </cell>
        </row>
        <row r="2168">
          <cell r="A2168">
            <v>42472</v>
          </cell>
          <cell r="BF2168">
            <v>18.180462985382256</v>
          </cell>
          <cell r="BG2168">
            <v>17.429620749261797</v>
          </cell>
          <cell r="BH2168">
            <v>16.109902701379674</v>
          </cell>
          <cell r="BI2168">
            <v>13.839355674417275</v>
          </cell>
          <cell r="BJ2168">
            <v>18.380449728342072</v>
          </cell>
          <cell r="BU2168">
            <v>11.613415509405</v>
          </cell>
          <cell r="BV2168">
            <v>11.522967903511651</v>
          </cell>
          <cell r="BW2168">
            <v>10.055977276238897</v>
          </cell>
          <cell r="BX2168">
            <v>8.6149332270911767</v>
          </cell>
          <cell r="BY2168">
            <v>11.497021325386617</v>
          </cell>
        </row>
        <row r="2169">
          <cell r="A2169">
            <v>42473</v>
          </cell>
          <cell r="BF2169">
            <v>18.046891268231548</v>
          </cell>
          <cell r="BG2169">
            <v>17.429620749261797</v>
          </cell>
          <cell r="BH2169">
            <v>16.109902701379674</v>
          </cell>
          <cell r="BI2169">
            <v>13.839355674417275</v>
          </cell>
          <cell r="BJ2169">
            <v>18.380449728342072</v>
          </cell>
          <cell r="BU2169">
            <v>11.545750310516171</v>
          </cell>
          <cell r="BV2169">
            <v>11.522967903511651</v>
          </cell>
          <cell r="BW2169">
            <v>10.055977276238897</v>
          </cell>
          <cell r="BX2169">
            <v>8.6149332270911767</v>
          </cell>
          <cell r="BY2169">
            <v>11.497021325386617</v>
          </cell>
        </row>
        <row r="2170">
          <cell r="A2170">
            <v>42474</v>
          </cell>
          <cell r="BF2170">
            <v>18.201958279492409</v>
          </cell>
          <cell r="BG2170">
            <v>17.429620749261797</v>
          </cell>
          <cell r="BH2170">
            <v>16.109902701379674</v>
          </cell>
          <cell r="BI2170">
            <v>13.839355674417275</v>
          </cell>
          <cell r="BJ2170">
            <v>18.380449728342072</v>
          </cell>
          <cell r="BU2170">
            <v>11.629103311784197</v>
          </cell>
          <cell r="BV2170">
            <v>11.522967903511651</v>
          </cell>
          <cell r="BW2170">
            <v>10.055977276238897</v>
          </cell>
          <cell r="BX2170">
            <v>8.6149332270911767</v>
          </cell>
          <cell r="BY2170">
            <v>11.497021325386617</v>
          </cell>
        </row>
        <row r="2171">
          <cell r="A2171">
            <v>42475</v>
          </cell>
          <cell r="BF2171">
            <v>18.128117777369454</v>
          </cell>
          <cell r="BG2171">
            <v>17.429620749261797</v>
          </cell>
          <cell r="BH2171">
            <v>16.109902701379674</v>
          </cell>
          <cell r="BI2171">
            <v>13.839355674417275</v>
          </cell>
          <cell r="BJ2171">
            <v>18.380449728342072</v>
          </cell>
          <cell r="BU2171">
            <v>11.589411907293705</v>
          </cell>
          <cell r="BV2171">
            <v>11.522967903511651</v>
          </cell>
          <cell r="BW2171">
            <v>10.055977276238897</v>
          </cell>
          <cell r="BX2171">
            <v>8.6149332270911767</v>
          </cell>
          <cell r="BY2171">
            <v>11.497021325386617</v>
          </cell>
        </row>
        <row r="2172">
          <cell r="A2172">
            <v>42478</v>
          </cell>
          <cell r="BF2172">
            <v>18.161345024923456</v>
          </cell>
          <cell r="BG2172">
            <v>17.429620749261797</v>
          </cell>
          <cell r="BH2172">
            <v>16.109902701379674</v>
          </cell>
          <cell r="BI2172">
            <v>13.839355674417275</v>
          </cell>
          <cell r="BJ2172">
            <v>18.380449728342072</v>
          </cell>
          <cell r="BU2172">
            <v>11.607272513395428</v>
          </cell>
          <cell r="BV2172">
            <v>11.522967903511651</v>
          </cell>
          <cell r="BW2172">
            <v>10.055977276238897</v>
          </cell>
          <cell r="BX2172">
            <v>8.6149332270911767</v>
          </cell>
          <cell r="BY2172">
            <v>11.497021325386617</v>
          </cell>
        </row>
        <row r="2173">
          <cell r="A2173">
            <v>42479</v>
          </cell>
          <cell r="BF2173">
            <v>18.168730662730361</v>
          </cell>
          <cell r="BG2173">
            <v>17.429620749261797</v>
          </cell>
          <cell r="BH2173">
            <v>16.109902701379674</v>
          </cell>
          <cell r="BI2173">
            <v>13.839355674417275</v>
          </cell>
          <cell r="BJ2173">
            <v>18.380449728342072</v>
          </cell>
          <cell r="BU2173">
            <v>11.611242507222475</v>
          </cell>
          <cell r="BV2173">
            <v>11.522967903511651</v>
          </cell>
          <cell r="BW2173">
            <v>10.055977276238897</v>
          </cell>
          <cell r="BX2173">
            <v>8.6149332270911767</v>
          </cell>
          <cell r="BY2173">
            <v>11.497021325386617</v>
          </cell>
        </row>
        <row r="2174">
          <cell r="A2174">
            <v>42480</v>
          </cell>
          <cell r="BF2174">
            <v>18.453016798968161</v>
          </cell>
          <cell r="BG2174">
            <v>17.429620749261797</v>
          </cell>
          <cell r="BH2174">
            <v>16.109902701379674</v>
          </cell>
          <cell r="BI2174">
            <v>13.839355674417275</v>
          </cell>
          <cell r="BJ2174">
            <v>18.380449728342072</v>
          </cell>
          <cell r="BU2174">
            <v>11.764054523663857</v>
          </cell>
          <cell r="BV2174">
            <v>11.522967903511651</v>
          </cell>
          <cell r="BW2174">
            <v>10.055977276238897</v>
          </cell>
          <cell r="BX2174">
            <v>8.6149332270911767</v>
          </cell>
          <cell r="BY2174">
            <v>11.497021325386617</v>
          </cell>
        </row>
        <row r="2175">
          <cell r="A2175">
            <v>42481</v>
          </cell>
          <cell r="BF2175">
            <v>18.578551966034816</v>
          </cell>
          <cell r="BG2175">
            <v>17.429620749261797</v>
          </cell>
          <cell r="BH2175">
            <v>16.109902701379674</v>
          </cell>
          <cell r="BI2175">
            <v>13.839355674417275</v>
          </cell>
          <cell r="BJ2175">
            <v>18.380449728342072</v>
          </cell>
          <cell r="BU2175">
            <v>11.831533304963676</v>
          </cell>
          <cell r="BV2175">
            <v>11.522967903511651</v>
          </cell>
          <cell r="BW2175">
            <v>10.055977276238897</v>
          </cell>
          <cell r="BX2175">
            <v>8.6149332270911767</v>
          </cell>
          <cell r="BY2175">
            <v>11.497021325386617</v>
          </cell>
        </row>
        <row r="2176">
          <cell r="A2176">
            <v>42482</v>
          </cell>
          <cell r="BF2176">
            <v>18.312721801737204</v>
          </cell>
          <cell r="BG2176">
            <v>17.429620749261797</v>
          </cell>
          <cell r="BH2176">
            <v>16.109902701379674</v>
          </cell>
          <cell r="BI2176">
            <v>13.839355674417275</v>
          </cell>
          <cell r="BJ2176">
            <v>18.380449728342072</v>
          </cell>
          <cell r="BU2176">
            <v>11.688641906969924</v>
          </cell>
          <cell r="BV2176">
            <v>11.522967903511651</v>
          </cell>
          <cell r="BW2176">
            <v>10.055977276238897</v>
          </cell>
          <cell r="BX2176">
            <v>8.6149332270911767</v>
          </cell>
          <cell r="BY2176">
            <v>11.497021325386617</v>
          </cell>
        </row>
        <row r="2177">
          <cell r="A2177">
            <v>42485</v>
          </cell>
          <cell r="BF2177">
            <v>18.140052786947077</v>
          </cell>
          <cell r="BG2177">
            <v>17.429620749261797</v>
          </cell>
          <cell r="BH2177">
            <v>16.109902701379674</v>
          </cell>
          <cell r="BI2177">
            <v>13.839355674417275</v>
          </cell>
          <cell r="BJ2177">
            <v>18.380449728342072</v>
          </cell>
          <cell r="BU2177">
            <v>11.595365310354278</v>
          </cell>
          <cell r="BV2177">
            <v>11.522967903511651</v>
          </cell>
          <cell r="BW2177">
            <v>10.055977276238897</v>
          </cell>
          <cell r="BX2177">
            <v>8.6149332270911767</v>
          </cell>
          <cell r="BY2177">
            <v>11.497021325386617</v>
          </cell>
        </row>
        <row r="2178">
          <cell r="A2178">
            <v>42486</v>
          </cell>
          <cell r="BF2178">
            <v>17.87421002656766</v>
          </cell>
          <cell r="BG2178">
            <v>17.429620749261797</v>
          </cell>
          <cell r="BH2178">
            <v>16.109902701379674</v>
          </cell>
          <cell r="BI2178">
            <v>13.839355674417275</v>
          </cell>
          <cell r="BJ2178">
            <v>18.380449728342072</v>
          </cell>
          <cell r="BU2178">
            <v>11.45247391236053</v>
          </cell>
          <cell r="BV2178">
            <v>11.522967903511651</v>
          </cell>
          <cell r="BW2178">
            <v>10.055977276238897</v>
          </cell>
          <cell r="BX2178">
            <v>8.6149332270911767</v>
          </cell>
          <cell r="BY2178">
            <v>11.497021325386617</v>
          </cell>
        </row>
        <row r="2179">
          <cell r="A2179">
            <v>42487</v>
          </cell>
          <cell r="BF2179">
            <v>17.792953312421137</v>
          </cell>
          <cell r="BG2179">
            <v>17.429620749261797</v>
          </cell>
          <cell r="BH2179">
            <v>16.109902701379674</v>
          </cell>
          <cell r="BI2179">
            <v>13.839355674417275</v>
          </cell>
          <cell r="BJ2179">
            <v>18.380449728342072</v>
          </cell>
          <cell r="BU2179">
            <v>11.412782507870039</v>
          </cell>
          <cell r="BV2179">
            <v>11.522967903511651</v>
          </cell>
          <cell r="BW2179">
            <v>10.055977276238897</v>
          </cell>
          <cell r="BX2179">
            <v>8.6149332270911767</v>
          </cell>
          <cell r="BY2179">
            <v>11.497021325386617</v>
          </cell>
        </row>
        <row r="2180">
          <cell r="A2180">
            <v>42488</v>
          </cell>
          <cell r="BF2180">
            <v>17.597340099651237</v>
          </cell>
          <cell r="BG2180">
            <v>17.429620749261797</v>
          </cell>
          <cell r="BH2180">
            <v>16.109902701379674</v>
          </cell>
          <cell r="BI2180">
            <v>13.839355674417275</v>
          </cell>
          <cell r="BJ2180">
            <v>18.380449728342072</v>
          </cell>
          <cell r="BU2180">
            <v>11.30759592977326</v>
          </cell>
          <cell r="BV2180">
            <v>11.522967903511651</v>
          </cell>
          <cell r="BW2180">
            <v>10.055977276238897</v>
          </cell>
          <cell r="BX2180">
            <v>8.6149332270911767</v>
          </cell>
          <cell r="BY2180">
            <v>11.497021325386617</v>
          </cell>
        </row>
        <row r="2181">
          <cell r="A2181">
            <v>42489</v>
          </cell>
          <cell r="BF2181">
            <v>17.453402472782795</v>
          </cell>
          <cell r="BG2181">
            <v>17.429620749261797</v>
          </cell>
          <cell r="BH2181">
            <v>16.109902701379674</v>
          </cell>
          <cell r="BI2181">
            <v>13.839355674417275</v>
          </cell>
          <cell r="BJ2181">
            <v>18.380449728342072</v>
          </cell>
          <cell r="BU2181">
            <v>11.230196728485808</v>
          </cell>
          <cell r="BV2181">
            <v>11.522967903511651</v>
          </cell>
          <cell r="BW2181">
            <v>10.055977276238897</v>
          </cell>
          <cell r="BX2181">
            <v>8.6149332270911767</v>
          </cell>
          <cell r="BY2181">
            <v>11.497021325386617</v>
          </cell>
        </row>
        <row r="2182">
          <cell r="A2182">
            <v>42492</v>
          </cell>
          <cell r="BF2182">
            <v>17.737589223105761</v>
          </cell>
          <cell r="BG2182">
            <v>17.429620749261797</v>
          </cell>
          <cell r="BH2182">
            <v>16.109902701379674</v>
          </cell>
          <cell r="BI2182">
            <v>13.839355674417275</v>
          </cell>
          <cell r="BJ2182">
            <v>18.380449728342072</v>
          </cell>
          <cell r="BU2182">
            <v>11.383011721827181</v>
          </cell>
          <cell r="BV2182">
            <v>11.522967903511651</v>
          </cell>
          <cell r="BW2182">
            <v>10.055977276238897</v>
          </cell>
          <cell r="BX2182">
            <v>8.6149332270911767</v>
          </cell>
          <cell r="BY2182">
            <v>11.497021325386617</v>
          </cell>
        </row>
        <row r="2183">
          <cell r="A2183">
            <v>42493</v>
          </cell>
          <cell r="BF2183">
            <v>17.682230669867153</v>
          </cell>
          <cell r="BG2183">
            <v>17.429620749261797</v>
          </cell>
          <cell r="BH2183">
            <v>16.109902701379674</v>
          </cell>
          <cell r="BI2183">
            <v>13.839355674417275</v>
          </cell>
          <cell r="BJ2183">
            <v>18.380449728342072</v>
          </cell>
          <cell r="BU2183">
            <v>11.353243912684311</v>
          </cell>
          <cell r="BV2183">
            <v>11.522967903511651</v>
          </cell>
          <cell r="BW2183">
            <v>10.055977276238897</v>
          </cell>
          <cell r="BX2183">
            <v>8.6149332270911767</v>
          </cell>
          <cell r="BY2183">
            <v>11.497021325386617</v>
          </cell>
        </row>
        <row r="2184">
          <cell r="A2184">
            <v>42494</v>
          </cell>
          <cell r="BF2184">
            <v>17.678536261304686</v>
          </cell>
          <cell r="BG2184">
            <v>17.429620749261797</v>
          </cell>
          <cell r="BH2184">
            <v>16.109902701379674</v>
          </cell>
          <cell r="BI2184">
            <v>13.839355674417275</v>
          </cell>
          <cell r="BJ2184">
            <v>18.380449728342072</v>
          </cell>
          <cell r="BU2184">
            <v>11.351257328090794</v>
          </cell>
          <cell r="BV2184">
            <v>11.522967903511651</v>
          </cell>
          <cell r="BW2184">
            <v>10.055977276238897</v>
          </cell>
          <cell r="BX2184">
            <v>8.6149332270911767</v>
          </cell>
          <cell r="BY2184">
            <v>11.497021325386617</v>
          </cell>
        </row>
        <row r="2185">
          <cell r="A2185">
            <v>42495</v>
          </cell>
          <cell r="BF2185">
            <v>17.885221258536667</v>
          </cell>
          <cell r="BG2185">
            <v>17.429620749261797</v>
          </cell>
          <cell r="BH2185">
            <v>16.109902701379674</v>
          </cell>
          <cell r="BI2185">
            <v>13.839355674417275</v>
          </cell>
          <cell r="BJ2185">
            <v>18.380449728342072</v>
          </cell>
          <cell r="BU2185">
            <v>11.46239750770815</v>
          </cell>
          <cell r="BV2185">
            <v>11.522967903511651</v>
          </cell>
          <cell r="BW2185">
            <v>10.055977276238897</v>
          </cell>
          <cell r="BX2185">
            <v>8.6149332270911767</v>
          </cell>
          <cell r="BY2185">
            <v>11.497021325386617</v>
          </cell>
        </row>
        <row r="2186">
          <cell r="A2186">
            <v>42496</v>
          </cell>
          <cell r="BF2186">
            <v>17.106479793321601</v>
          </cell>
          <cell r="BG2186">
            <v>17.429620749261797</v>
          </cell>
          <cell r="BH2186">
            <v>16.109902701379674</v>
          </cell>
          <cell r="BI2186">
            <v>13.839355674417275</v>
          </cell>
          <cell r="BJ2186">
            <v>18.380449728342072</v>
          </cell>
          <cell r="BU2186">
            <v>11.043646909074511</v>
          </cell>
          <cell r="BV2186">
            <v>11.522967903511651</v>
          </cell>
          <cell r="BW2186">
            <v>10.055977276238897</v>
          </cell>
          <cell r="BX2186">
            <v>8.6149332270911767</v>
          </cell>
          <cell r="BY2186">
            <v>11.497021325386617</v>
          </cell>
        </row>
        <row r="2187">
          <cell r="A2187">
            <v>42499</v>
          </cell>
          <cell r="BF2187">
            <v>16.855508027313086</v>
          </cell>
          <cell r="BG2187">
            <v>17.429620749261797</v>
          </cell>
          <cell r="BH2187">
            <v>16.109902701379674</v>
          </cell>
          <cell r="BI2187">
            <v>13.839355674417275</v>
          </cell>
          <cell r="BJ2187">
            <v>18.380449728342072</v>
          </cell>
          <cell r="BU2187">
            <v>10.908692521834864</v>
          </cell>
          <cell r="BV2187">
            <v>11.522967903511651</v>
          </cell>
          <cell r="BW2187">
            <v>10.055977276238897</v>
          </cell>
          <cell r="BX2187">
            <v>8.6149332270911767</v>
          </cell>
          <cell r="BY2187">
            <v>11.497021325386617</v>
          </cell>
        </row>
        <row r="2188">
          <cell r="A2188">
            <v>42500</v>
          </cell>
          <cell r="BF2188">
            <v>17.139694777636052</v>
          </cell>
          <cell r="BG2188">
            <v>17.429620749261797</v>
          </cell>
          <cell r="BH2188">
            <v>16.109902701379674</v>
          </cell>
          <cell r="BI2188">
            <v>13.839355674417275</v>
          </cell>
          <cell r="BJ2188">
            <v>18.380449728342072</v>
          </cell>
          <cell r="BU2188">
            <v>11.061507515176235</v>
          </cell>
          <cell r="BV2188">
            <v>11.522967903511651</v>
          </cell>
          <cell r="BW2188">
            <v>10.055977276238897</v>
          </cell>
          <cell r="BX2188">
            <v>8.6149332270911767</v>
          </cell>
          <cell r="BY2188">
            <v>11.497021325386617</v>
          </cell>
        </row>
        <row r="2189">
          <cell r="A2189">
            <v>42501</v>
          </cell>
          <cell r="BF2189">
            <v>17.564125115336783</v>
          </cell>
          <cell r="BG2189">
            <v>17.429620749261797</v>
          </cell>
          <cell r="BH2189">
            <v>16.109902701379674</v>
          </cell>
          <cell r="BI2189">
            <v>13.839355674417275</v>
          </cell>
          <cell r="BJ2189">
            <v>18.380449728342072</v>
          </cell>
          <cell r="BU2189">
            <v>11.29065225756559</v>
          </cell>
          <cell r="BV2189">
            <v>11.522967903511651</v>
          </cell>
          <cell r="BW2189">
            <v>10.055977276238897</v>
          </cell>
          <cell r="BX2189">
            <v>8.6149332270911767</v>
          </cell>
          <cell r="BY2189">
            <v>11.497021325386617</v>
          </cell>
        </row>
        <row r="2190">
          <cell r="A2190">
            <v>42502</v>
          </cell>
          <cell r="BF2190">
            <v>17.67484775789077</v>
          </cell>
          <cell r="BG2190">
            <v>17.429620749261797</v>
          </cell>
          <cell r="BH2190">
            <v>16.109902701379674</v>
          </cell>
          <cell r="BI2190">
            <v>13.839355674417275</v>
          </cell>
          <cell r="BJ2190">
            <v>18.380449728342072</v>
          </cell>
          <cell r="BU2190">
            <v>11.350196633018948</v>
          </cell>
          <cell r="BV2190">
            <v>11.522967903511651</v>
          </cell>
          <cell r="BW2190">
            <v>10.055977276238897</v>
          </cell>
          <cell r="BX2190">
            <v>8.6149332270911767</v>
          </cell>
          <cell r="BY2190">
            <v>11.497021325386617</v>
          </cell>
        </row>
        <row r="2191">
          <cell r="A2191">
            <v>42503</v>
          </cell>
          <cell r="BF2191">
            <v>17.733468215494376</v>
          </cell>
          <cell r="BG2191">
            <v>17.429620749261797</v>
          </cell>
          <cell r="BH2191">
            <v>16.109902701379674</v>
          </cell>
          <cell r="BI2191">
            <v>13.839355674417275</v>
          </cell>
          <cell r="BJ2191">
            <v>18.380449728342072</v>
          </cell>
          <cell r="BU2191">
            <v>11.389297556041598</v>
          </cell>
          <cell r="BV2191">
            <v>11.522967903511651</v>
          </cell>
          <cell r="BW2191">
            <v>10.055977276238897</v>
          </cell>
          <cell r="BX2191">
            <v>8.6149332270911767</v>
          </cell>
          <cell r="BY2191">
            <v>11.497021325386617</v>
          </cell>
        </row>
        <row r="2192">
          <cell r="A2192">
            <v>42506</v>
          </cell>
          <cell r="BF2192">
            <v>17.733468215494376</v>
          </cell>
          <cell r="BG2192">
            <v>17.429620749261797</v>
          </cell>
          <cell r="BH2192">
            <v>16.109902701379674</v>
          </cell>
          <cell r="BI2192">
            <v>13.839355674417275</v>
          </cell>
          <cell r="BJ2192">
            <v>18.380449728342072</v>
          </cell>
          <cell r="BU2192">
            <v>11.385357821975324</v>
          </cell>
          <cell r="BV2192">
            <v>11.522967903511651</v>
          </cell>
          <cell r="BW2192">
            <v>10.055977276238897</v>
          </cell>
          <cell r="BX2192">
            <v>8.6149332270911767</v>
          </cell>
          <cell r="BY2192">
            <v>11.497021325386617</v>
          </cell>
        </row>
        <row r="2193">
          <cell r="A2193">
            <v>42507</v>
          </cell>
          <cell r="BF2193">
            <v>17.685903960486598</v>
          </cell>
          <cell r="BG2193">
            <v>17.429620749261797</v>
          </cell>
          <cell r="BH2193">
            <v>16.109902701379674</v>
          </cell>
          <cell r="BI2193">
            <v>13.839355674417275</v>
          </cell>
          <cell r="BJ2193">
            <v>18.380449728342072</v>
          </cell>
          <cell r="BU2193">
            <v>11.359734472768958</v>
          </cell>
          <cell r="BV2193">
            <v>11.522967903511651</v>
          </cell>
          <cell r="BW2193">
            <v>10.055977276238897</v>
          </cell>
          <cell r="BX2193">
            <v>8.6149332270911767</v>
          </cell>
          <cell r="BY2193">
            <v>11.497021325386617</v>
          </cell>
        </row>
        <row r="2194">
          <cell r="A2194">
            <v>42508</v>
          </cell>
          <cell r="BF2194">
            <v>17.949326991676575</v>
          </cell>
          <cell r="BG2194">
            <v>17.429620749261797</v>
          </cell>
          <cell r="BH2194">
            <v>16.109902701379674</v>
          </cell>
          <cell r="BI2194">
            <v>13.839355674417275</v>
          </cell>
          <cell r="BJ2194">
            <v>18.380449728342072</v>
          </cell>
          <cell r="BU2194">
            <v>11.501643145911769</v>
          </cell>
          <cell r="BV2194">
            <v>11.522967903511651</v>
          </cell>
          <cell r="BW2194">
            <v>10.055977276238897</v>
          </cell>
          <cell r="BX2194">
            <v>8.6149332270911767</v>
          </cell>
          <cell r="BY2194">
            <v>11.497021325386617</v>
          </cell>
        </row>
        <row r="2195">
          <cell r="A2195">
            <v>42509</v>
          </cell>
          <cell r="BF2195">
            <v>17.960302570200309</v>
          </cell>
          <cell r="BG2195">
            <v>17.429620749261797</v>
          </cell>
          <cell r="BH2195">
            <v>16.109902701379674</v>
          </cell>
          <cell r="BI2195">
            <v>13.839355674417275</v>
          </cell>
          <cell r="BJ2195">
            <v>18.380449728342072</v>
          </cell>
          <cell r="BU2195">
            <v>11.507555801985317</v>
          </cell>
          <cell r="BV2195">
            <v>11.522967903511651</v>
          </cell>
          <cell r="BW2195">
            <v>10.055977276238897</v>
          </cell>
          <cell r="BX2195">
            <v>8.6149332270911767</v>
          </cell>
          <cell r="BY2195">
            <v>11.497021325386617</v>
          </cell>
        </row>
        <row r="2196">
          <cell r="A2196">
            <v>42510</v>
          </cell>
          <cell r="BF2196">
            <v>18.23104436110857</v>
          </cell>
          <cell r="BG2196">
            <v>17.429620749261797</v>
          </cell>
          <cell r="BH2196">
            <v>16.109902701379674</v>
          </cell>
          <cell r="BI2196">
            <v>13.839355674417275</v>
          </cell>
          <cell r="BJ2196">
            <v>18.380449728342072</v>
          </cell>
          <cell r="BU2196">
            <v>11.653407165620985</v>
          </cell>
          <cell r="BV2196">
            <v>11.522967903511651</v>
          </cell>
          <cell r="BW2196">
            <v>10.055977276238897</v>
          </cell>
          <cell r="BX2196">
            <v>8.6149332270911767</v>
          </cell>
          <cell r="BY2196">
            <v>11.497021325386617</v>
          </cell>
        </row>
        <row r="2197">
          <cell r="A2197">
            <v>42513</v>
          </cell>
          <cell r="BF2197">
            <v>18.157551092144359</v>
          </cell>
          <cell r="BG2197">
            <v>17.429620749261797</v>
          </cell>
          <cell r="BH2197">
            <v>16.109902701379674</v>
          </cell>
          <cell r="BI2197">
            <v>13.839355674417275</v>
          </cell>
          <cell r="BJ2197">
            <v>18.380449728342072</v>
          </cell>
          <cell r="BU2197">
            <v>11.660475248420969</v>
          </cell>
          <cell r="BV2197">
            <v>11.522967903511651</v>
          </cell>
          <cell r="BW2197">
            <v>10.055977276238897</v>
          </cell>
          <cell r="BX2197">
            <v>8.6149332270911767</v>
          </cell>
          <cell r="BY2197">
            <v>11.497021325386617</v>
          </cell>
        </row>
        <row r="2198">
          <cell r="A2198">
            <v>42514</v>
          </cell>
          <cell r="BF2198">
            <v>18.080661785840476</v>
          </cell>
          <cell r="BG2198">
            <v>17.429620749261797</v>
          </cell>
          <cell r="BH2198">
            <v>16.109902701379674</v>
          </cell>
          <cell r="BI2198">
            <v>13.839355674417275</v>
          </cell>
          <cell r="BJ2198">
            <v>18.380449728342072</v>
          </cell>
          <cell r="BU2198">
            <v>11.618892957999247</v>
          </cell>
          <cell r="BV2198">
            <v>11.522967903511651</v>
          </cell>
          <cell r="BW2198">
            <v>10.055977276238897</v>
          </cell>
          <cell r="BX2198">
            <v>8.6149332270911767</v>
          </cell>
          <cell r="BY2198">
            <v>11.497021325386617</v>
          </cell>
        </row>
        <row r="2199">
          <cell r="A2199">
            <v>42515</v>
          </cell>
          <cell r="BF2199">
            <v>18.073337251175811</v>
          </cell>
          <cell r="BG2199">
            <v>17.429620749261797</v>
          </cell>
          <cell r="BH2199">
            <v>16.109902701379674</v>
          </cell>
          <cell r="BI2199">
            <v>13.839355674417275</v>
          </cell>
          <cell r="BJ2199">
            <v>18.380449728342072</v>
          </cell>
          <cell r="BU2199">
            <v>11.614931796918842</v>
          </cell>
          <cell r="BV2199">
            <v>11.522967903511651</v>
          </cell>
          <cell r="BW2199">
            <v>10.055977276238897</v>
          </cell>
          <cell r="BX2199">
            <v>8.6149332270911767</v>
          </cell>
          <cell r="BY2199">
            <v>11.497021325386617</v>
          </cell>
        </row>
        <row r="2200">
          <cell r="A2200">
            <v>42516</v>
          </cell>
          <cell r="BF2200">
            <v>18.11361450260793</v>
          </cell>
          <cell r="BG2200">
            <v>17.429620749261797</v>
          </cell>
          <cell r="BH2200">
            <v>16.109902701379674</v>
          </cell>
          <cell r="BI2200">
            <v>13.839355674417275</v>
          </cell>
          <cell r="BJ2200">
            <v>18.380449728342072</v>
          </cell>
          <cell r="BU2200">
            <v>11.636714024473608</v>
          </cell>
          <cell r="BV2200">
            <v>11.522967903511651</v>
          </cell>
          <cell r="BW2200">
            <v>10.055977276238897</v>
          </cell>
          <cell r="BX2200">
            <v>8.6149332270911767</v>
          </cell>
          <cell r="BY2200">
            <v>11.497021325386617</v>
          </cell>
        </row>
        <row r="2201">
          <cell r="A2201">
            <v>42517</v>
          </cell>
          <cell r="BF2201">
            <v>18.032607437259571</v>
          </cell>
          <cell r="BG2201">
            <v>17.429620749261797</v>
          </cell>
          <cell r="BH2201">
            <v>16.109902701379674</v>
          </cell>
          <cell r="BI2201">
            <v>13.839355674417275</v>
          </cell>
          <cell r="BJ2201">
            <v>18.380449728342072</v>
          </cell>
          <cell r="BU2201">
            <v>11.587209411891077</v>
          </cell>
          <cell r="BV2201">
            <v>11.522967903511651</v>
          </cell>
          <cell r="BW2201">
            <v>10.055977276238897</v>
          </cell>
          <cell r="BX2201">
            <v>8.6149332270911767</v>
          </cell>
          <cell r="BY2201">
            <v>11.497021325386617</v>
          </cell>
        </row>
        <row r="2202">
          <cell r="A2202">
            <v>42520</v>
          </cell>
          <cell r="BF2202">
            <v>18.172461397264239</v>
          </cell>
          <cell r="BG2202">
            <v>17.429620749261797</v>
          </cell>
          <cell r="BH2202">
            <v>16.109902701379674</v>
          </cell>
          <cell r="BI2202">
            <v>13.839355674417275</v>
          </cell>
          <cell r="BJ2202">
            <v>18.380449728342072</v>
          </cell>
          <cell r="BU2202">
            <v>11.662457413108775</v>
          </cell>
          <cell r="BV2202">
            <v>11.522967903511651</v>
          </cell>
          <cell r="BW2202">
            <v>10.055977276238897</v>
          </cell>
          <cell r="BX2202">
            <v>8.6149332270911767</v>
          </cell>
          <cell r="BY2202">
            <v>11.497021325386617</v>
          </cell>
        </row>
        <row r="2203">
          <cell r="A2203">
            <v>42521</v>
          </cell>
          <cell r="BF2203">
            <v>18.143150247031862</v>
          </cell>
          <cell r="BG2203">
            <v>17.429620749261797</v>
          </cell>
          <cell r="BH2203">
            <v>16.109902701379674</v>
          </cell>
          <cell r="BI2203">
            <v>13.839355674417275</v>
          </cell>
          <cell r="BJ2203">
            <v>18.380449728342072</v>
          </cell>
          <cell r="BU2203">
            <v>11.638929153526108</v>
          </cell>
          <cell r="BV2203">
            <v>11.522967903511651</v>
          </cell>
          <cell r="BW2203">
            <v>10.055977276238897</v>
          </cell>
          <cell r="BX2203">
            <v>8.6149332270911767</v>
          </cell>
          <cell r="BY2203">
            <v>11.497021325386617</v>
          </cell>
        </row>
        <row r="2204">
          <cell r="A2204">
            <v>42522</v>
          </cell>
          <cell r="BF2204">
            <v>18.172461397264239</v>
          </cell>
          <cell r="BG2204">
            <v>17.429620749261797</v>
          </cell>
          <cell r="BH2204">
            <v>16.109902701379674</v>
          </cell>
          <cell r="BI2204">
            <v>13.839355674417275</v>
          </cell>
          <cell r="BJ2204">
            <v>18.380449728342072</v>
          </cell>
          <cell r="BU2204">
            <v>11.654760570469021</v>
          </cell>
          <cell r="BV2204">
            <v>11.522967903511651</v>
          </cell>
          <cell r="BW2204">
            <v>10.055977276238897</v>
          </cell>
          <cell r="BX2204">
            <v>8.6149332270911767</v>
          </cell>
          <cell r="BY2204">
            <v>11.497021325386617</v>
          </cell>
        </row>
        <row r="2205">
          <cell r="A2205">
            <v>42523</v>
          </cell>
          <cell r="BF2205">
            <v>18.076219127885672</v>
          </cell>
          <cell r="BG2205">
            <v>17.429620749261797</v>
          </cell>
          <cell r="BH2205">
            <v>16.109902701379674</v>
          </cell>
          <cell r="BI2205">
            <v>13.839355674417275</v>
          </cell>
          <cell r="BJ2205">
            <v>18.380449728342072</v>
          </cell>
          <cell r="BU2205">
            <v>11.612216723634088</v>
          </cell>
          <cell r="BV2205">
            <v>11.522967903511651</v>
          </cell>
          <cell r="BW2205">
            <v>10.055977276238897</v>
          </cell>
          <cell r="BX2205">
            <v>8.6149332270911767</v>
          </cell>
          <cell r="BY2205">
            <v>11.497021325386617</v>
          </cell>
        </row>
        <row r="2206">
          <cell r="A2206">
            <v>42524</v>
          </cell>
          <cell r="BF2206">
            <v>18.14217478930011</v>
          </cell>
          <cell r="BG2206">
            <v>17.429620749261797</v>
          </cell>
          <cell r="BH2206">
            <v>16.109902701379674</v>
          </cell>
          <cell r="BI2206">
            <v>13.839355674417275</v>
          </cell>
          <cell r="BJ2206">
            <v>18.380449728342072</v>
          </cell>
          <cell r="BU2206">
            <v>11.647868560828403</v>
          </cell>
          <cell r="BV2206">
            <v>11.522967903511651</v>
          </cell>
          <cell r="BW2206">
            <v>10.055977276238897</v>
          </cell>
          <cell r="BX2206">
            <v>8.6149332270911767</v>
          </cell>
          <cell r="BY2206">
            <v>11.497021325386617</v>
          </cell>
        </row>
        <row r="2207">
          <cell r="A2207">
            <v>42527</v>
          </cell>
          <cell r="BF2207">
            <v>18.100805376013131</v>
          </cell>
          <cell r="BG2207">
            <v>17.429620749261797</v>
          </cell>
          <cell r="BH2207">
            <v>16.109902701379674</v>
          </cell>
          <cell r="BI2207">
            <v>13.839355674417275</v>
          </cell>
          <cell r="BJ2207">
            <v>18.380449728342072</v>
          </cell>
          <cell r="BU2207">
            <v>11.6260802815997</v>
          </cell>
          <cell r="BV2207">
            <v>11.522967903511651</v>
          </cell>
          <cell r="BW2207">
            <v>10.055977276238897</v>
          </cell>
          <cell r="BX2207">
            <v>8.6149332270911767</v>
          </cell>
          <cell r="BY2207">
            <v>11.497021325386617</v>
          </cell>
        </row>
        <row r="2208">
          <cell r="A2208">
            <v>42528</v>
          </cell>
          <cell r="BF2208">
            <v>18.078821688724734</v>
          </cell>
          <cell r="BG2208">
            <v>17.429620749261797</v>
          </cell>
          <cell r="BH2208">
            <v>16.109902701379674</v>
          </cell>
          <cell r="BI2208">
            <v>13.839355674417275</v>
          </cell>
          <cell r="BJ2208">
            <v>18.380449728342072</v>
          </cell>
          <cell r="BU2208">
            <v>11.614196467917237</v>
          </cell>
          <cell r="BV2208">
            <v>11.522967903511651</v>
          </cell>
          <cell r="BW2208">
            <v>10.055977276238897</v>
          </cell>
          <cell r="BX2208">
            <v>8.6149332270911767</v>
          </cell>
          <cell r="BY2208">
            <v>11.497021325386617</v>
          </cell>
        </row>
        <row r="2209">
          <cell r="A2209">
            <v>42529</v>
          </cell>
          <cell r="BF2209">
            <v>17.899282929546086</v>
          </cell>
          <cell r="BG2209">
            <v>17.429620749261797</v>
          </cell>
          <cell r="BH2209">
            <v>16.109902701379674</v>
          </cell>
          <cell r="BI2209">
            <v>13.839355674417275</v>
          </cell>
          <cell r="BJ2209">
            <v>18.380449728342072</v>
          </cell>
          <cell r="BU2209">
            <v>11.517142450778557</v>
          </cell>
          <cell r="BV2209">
            <v>11.522967903511651</v>
          </cell>
          <cell r="BW2209">
            <v>10.055977276238897</v>
          </cell>
          <cell r="BX2209">
            <v>8.6149332270911767</v>
          </cell>
          <cell r="BY2209">
            <v>11.497021325386617</v>
          </cell>
        </row>
        <row r="2210">
          <cell r="A2210">
            <v>42530</v>
          </cell>
          <cell r="BF2210">
            <v>17.924928915856892</v>
          </cell>
          <cell r="BG2210">
            <v>17.429620749261797</v>
          </cell>
          <cell r="BH2210">
            <v>16.109902701379674</v>
          </cell>
          <cell r="BI2210">
            <v>13.839355674417275</v>
          </cell>
          <cell r="BJ2210">
            <v>18.380449728342072</v>
          </cell>
          <cell r="BU2210">
            <v>11.531006008744169</v>
          </cell>
          <cell r="BV2210">
            <v>11.522967903511651</v>
          </cell>
          <cell r="BW2210">
            <v>10.055977276238897</v>
          </cell>
          <cell r="BX2210">
            <v>8.6149332270911767</v>
          </cell>
          <cell r="BY2210">
            <v>11.497021325386617</v>
          </cell>
        </row>
        <row r="2211">
          <cell r="A2211">
            <v>42531</v>
          </cell>
          <cell r="BF2211">
            <v>18.086151416553076</v>
          </cell>
          <cell r="BG2211">
            <v>17.429620749261797</v>
          </cell>
          <cell r="BH2211">
            <v>16.109902701379674</v>
          </cell>
          <cell r="BI2211">
            <v>13.839355674417275</v>
          </cell>
          <cell r="BJ2211">
            <v>18.380449728342072</v>
          </cell>
          <cell r="BU2211">
            <v>11.61815872951205</v>
          </cell>
          <cell r="BV2211">
            <v>11.522967903511651</v>
          </cell>
          <cell r="BW2211">
            <v>10.055977276238897</v>
          </cell>
          <cell r="BX2211">
            <v>8.6149332270911767</v>
          </cell>
          <cell r="BY2211">
            <v>11.497021325386617</v>
          </cell>
        </row>
        <row r="2212">
          <cell r="A2212">
            <v>42534</v>
          </cell>
          <cell r="BF2212">
            <v>17.859002476082075</v>
          </cell>
          <cell r="BG2212">
            <v>17.429620749261797</v>
          </cell>
          <cell r="BH2212">
            <v>16.109902701379674</v>
          </cell>
          <cell r="BI2212">
            <v>13.839355674417275</v>
          </cell>
          <cell r="BJ2212">
            <v>18.380449728342072</v>
          </cell>
          <cell r="BU2212">
            <v>11.499011384783563</v>
          </cell>
          <cell r="BV2212">
            <v>11.522967903511651</v>
          </cell>
          <cell r="BW2212">
            <v>10.055977276238897</v>
          </cell>
          <cell r="BX2212">
            <v>8.6149332270911767</v>
          </cell>
          <cell r="BY2212">
            <v>11.497021325386617</v>
          </cell>
        </row>
        <row r="2213">
          <cell r="A2213">
            <v>42535</v>
          </cell>
          <cell r="BF2213">
            <v>17.750082899073064</v>
          </cell>
          <cell r="BG2213">
            <v>17.429620749261797</v>
          </cell>
          <cell r="BH2213">
            <v>16.109902701379674</v>
          </cell>
          <cell r="BI2213">
            <v>13.839355674417275</v>
          </cell>
          <cell r="BJ2213">
            <v>18.380449728342072</v>
          </cell>
          <cell r="BU2213">
            <v>11.499011384783563</v>
          </cell>
          <cell r="BV2213">
            <v>11.522967903511651</v>
          </cell>
          <cell r="BW2213">
            <v>10.055977276238897</v>
          </cell>
          <cell r="BX2213">
            <v>8.6149332270911767</v>
          </cell>
          <cell r="BY2213">
            <v>11.497021325386617</v>
          </cell>
        </row>
        <row r="2214">
          <cell r="A2214">
            <v>42536</v>
          </cell>
          <cell r="BF2214">
            <v>17.855368229205013</v>
          </cell>
          <cell r="BG2214">
            <v>17.429620749261797</v>
          </cell>
          <cell r="BH2214">
            <v>16.109902701379674</v>
          </cell>
          <cell r="BI2214">
            <v>13.839355674417275</v>
          </cell>
          <cell r="BJ2214">
            <v>18.380449728342072</v>
          </cell>
          <cell r="BU2214">
            <v>11.499011384783563</v>
          </cell>
          <cell r="BV2214">
            <v>11.522967903511651</v>
          </cell>
          <cell r="BW2214">
            <v>10.055977276238897</v>
          </cell>
          <cell r="BX2214">
            <v>8.6149332270911767</v>
          </cell>
          <cell r="BY2214">
            <v>11.497021325386617</v>
          </cell>
        </row>
        <row r="2215">
          <cell r="A2215">
            <v>42537</v>
          </cell>
          <cell r="BF2215">
            <v>17.194598974231607</v>
          </cell>
          <cell r="BG2215">
            <v>17.429620749261797</v>
          </cell>
          <cell r="BH2215">
            <v>16.109902701379674</v>
          </cell>
          <cell r="BI2215">
            <v>13.839355674417275</v>
          </cell>
          <cell r="BJ2215">
            <v>18.380449728342072</v>
          </cell>
          <cell r="BU2215">
            <v>11.499011384783563</v>
          </cell>
          <cell r="BV2215">
            <v>11.522967903511651</v>
          </cell>
          <cell r="BW2215">
            <v>10.055977276238897</v>
          </cell>
          <cell r="BX2215">
            <v>8.6149332270911767</v>
          </cell>
          <cell r="BY2215">
            <v>11.497021325386617</v>
          </cell>
        </row>
        <row r="2216">
          <cell r="A2216">
            <v>42538</v>
          </cell>
          <cell r="BF2216">
            <v>17.444980773883241</v>
          </cell>
          <cell r="BG2216">
            <v>17.429620749261797</v>
          </cell>
          <cell r="BH2216">
            <v>16.109902701379674</v>
          </cell>
          <cell r="BI2216">
            <v>13.839355674417275</v>
          </cell>
          <cell r="BJ2216">
            <v>18.380449728342072</v>
          </cell>
          <cell r="BU2216">
            <v>11.488648816863888</v>
          </cell>
          <cell r="BV2216">
            <v>11.522967903511651</v>
          </cell>
          <cell r="BW2216">
            <v>10.055977276238897</v>
          </cell>
          <cell r="BX2216">
            <v>8.6149332270911767</v>
          </cell>
          <cell r="BY2216">
            <v>11.497021325386617</v>
          </cell>
        </row>
        <row r="2217">
          <cell r="A2217">
            <v>42541</v>
          </cell>
          <cell r="BF2217">
            <v>16.802904957680035</v>
          </cell>
          <cell r="BG2217">
            <v>17.429620749261797</v>
          </cell>
          <cell r="BH2217">
            <v>16.109902701379674</v>
          </cell>
          <cell r="BI2217">
            <v>13.839355674417275</v>
          </cell>
          <cell r="BJ2217">
            <v>18.380449728342072</v>
          </cell>
          <cell r="BU2217">
            <v>10.92479480601275</v>
          </cell>
          <cell r="BV2217">
            <v>11.522967903511651</v>
          </cell>
          <cell r="BW2217">
            <v>10.055977276238897</v>
          </cell>
          <cell r="BX2217">
            <v>8.6149332270911767</v>
          </cell>
          <cell r="BY2217">
            <v>11.497021325386617</v>
          </cell>
        </row>
        <row r="2218">
          <cell r="A2218">
            <v>42542</v>
          </cell>
          <cell r="BF2218">
            <v>16.679563240630447</v>
          </cell>
          <cell r="BG2218">
            <v>17.429620749261797</v>
          </cell>
          <cell r="BH2218">
            <v>16.109902701379674</v>
          </cell>
          <cell r="BI2218">
            <v>13.839355674417275</v>
          </cell>
          <cell r="BJ2218">
            <v>18.380449728342072</v>
          </cell>
          <cell r="BU2218">
            <v>10.857994295929105</v>
          </cell>
          <cell r="BV2218">
            <v>11.522967903511651</v>
          </cell>
          <cell r="BW2218">
            <v>10.055977276238897</v>
          </cell>
          <cell r="BX2218">
            <v>8.6149332270911767</v>
          </cell>
          <cell r="BY2218">
            <v>11.497021325386617</v>
          </cell>
        </row>
        <row r="2219">
          <cell r="A2219">
            <v>42543</v>
          </cell>
          <cell r="BF2219">
            <v>16.708584522371684</v>
          </cell>
          <cell r="BG2219">
            <v>17.429620749261797</v>
          </cell>
          <cell r="BH2219">
            <v>16.109902701379674</v>
          </cell>
          <cell r="BI2219">
            <v>13.839355674417275</v>
          </cell>
          <cell r="BJ2219">
            <v>18.380449728342072</v>
          </cell>
          <cell r="BU2219">
            <v>10.873711901212776</v>
          </cell>
          <cell r="BV2219">
            <v>11.522967903511651</v>
          </cell>
          <cell r="BW2219">
            <v>10.055977276238897</v>
          </cell>
          <cell r="BX2219">
            <v>8.6149332270911767</v>
          </cell>
          <cell r="BY2219">
            <v>11.497021325386617</v>
          </cell>
        </row>
        <row r="2220">
          <cell r="A2220">
            <v>42544</v>
          </cell>
          <cell r="BF2220">
            <v>16.83555163240797</v>
          </cell>
          <cell r="BG2220">
            <v>17.429620749261797</v>
          </cell>
          <cell r="BH2220">
            <v>16.109902701379674</v>
          </cell>
          <cell r="BI2220">
            <v>13.839355674417275</v>
          </cell>
          <cell r="BJ2220">
            <v>18.380449728342072</v>
          </cell>
          <cell r="BU2220">
            <v>10.942475884049669</v>
          </cell>
          <cell r="BV2220">
            <v>11.522967903511651</v>
          </cell>
          <cell r="BW2220">
            <v>10.055977276238897</v>
          </cell>
          <cell r="BX2220">
            <v>8.6149332270911767</v>
          </cell>
          <cell r="BY2220">
            <v>11.497021325386617</v>
          </cell>
        </row>
        <row r="2221">
          <cell r="A2221">
            <v>42545</v>
          </cell>
          <cell r="BF2221">
            <v>16.675937847643748</v>
          </cell>
          <cell r="BG2221">
            <v>17.429620749261797</v>
          </cell>
          <cell r="BH2221">
            <v>16.109902701379674</v>
          </cell>
          <cell r="BI2221">
            <v>13.839355674417275</v>
          </cell>
          <cell r="BJ2221">
            <v>18.380449728342072</v>
          </cell>
          <cell r="BU2221">
            <v>10.85603082317586</v>
          </cell>
          <cell r="BV2221">
            <v>11.522967903511651</v>
          </cell>
          <cell r="BW2221">
            <v>10.055977276238897</v>
          </cell>
          <cell r="BX2221">
            <v>8.6149332270911767</v>
          </cell>
          <cell r="BY2221">
            <v>11.497021325386617</v>
          </cell>
        </row>
        <row r="2222">
          <cell r="A2222">
            <v>42548</v>
          </cell>
          <cell r="BF2222">
            <v>16.667051325027899</v>
          </cell>
          <cell r="BG2222">
            <v>17.429620749261797</v>
          </cell>
          <cell r="BH2222">
            <v>16.109902701379674</v>
          </cell>
          <cell r="BI2222">
            <v>13.839355674417275</v>
          </cell>
          <cell r="BJ2222">
            <v>18.380449728342072</v>
          </cell>
          <cell r="BU2222">
            <v>10.844228988163565</v>
          </cell>
          <cell r="BV2222">
            <v>11.522967903511651</v>
          </cell>
          <cell r="BW2222">
            <v>10.055977276238897</v>
          </cell>
          <cell r="BX2222">
            <v>8.6149332270911767</v>
          </cell>
          <cell r="BY2222">
            <v>11.497021325386617</v>
          </cell>
        </row>
        <row r="2223">
          <cell r="A2223">
            <v>42549</v>
          </cell>
          <cell r="BF2223">
            <v>16.702485626998932</v>
          </cell>
          <cell r="BG2223">
            <v>17.429620749261797</v>
          </cell>
          <cell r="BH2223">
            <v>16.109902701379674</v>
          </cell>
          <cell r="BI2223">
            <v>13.839355674417275</v>
          </cell>
          <cell r="BJ2223">
            <v>18.380449728342072</v>
          </cell>
          <cell r="BU2223">
            <v>10.854052822308526</v>
          </cell>
          <cell r="BV2223">
            <v>11.522967903511651</v>
          </cell>
          <cell r="BW2223">
            <v>10.055977276238897</v>
          </cell>
          <cell r="BX2223">
            <v>8.6149332270911767</v>
          </cell>
          <cell r="BY2223">
            <v>11.497021325386617</v>
          </cell>
        </row>
        <row r="2224">
          <cell r="A2224">
            <v>42550</v>
          </cell>
          <cell r="BF2224">
            <v>16.380501636960531</v>
          </cell>
          <cell r="BG2224">
            <v>17.429620749261797</v>
          </cell>
          <cell r="BH2224">
            <v>16.109902701379674</v>
          </cell>
          <cell r="BI2224">
            <v>13.839355674417275</v>
          </cell>
          <cell r="BJ2224">
            <v>18.380449728342072</v>
          </cell>
          <cell r="BU2224">
            <v>10.687793609498511</v>
          </cell>
          <cell r="BV2224">
            <v>11.522967903511651</v>
          </cell>
          <cell r="BW2224">
            <v>10.055977276238897</v>
          </cell>
          <cell r="BX2224">
            <v>8.6149332270911767</v>
          </cell>
          <cell r="BY2224">
            <v>11.497021325386617</v>
          </cell>
        </row>
        <row r="2225">
          <cell r="A2225">
            <v>42551</v>
          </cell>
          <cell r="BF2225">
            <v>16.566021826120245</v>
          </cell>
          <cell r="BG2225">
            <v>17.429620749261797</v>
          </cell>
          <cell r="BH2225">
            <v>16.109902701379674</v>
          </cell>
          <cell r="BI2225">
            <v>13.839355674417275</v>
          </cell>
          <cell r="BJ2225">
            <v>18.380449728342072</v>
          </cell>
          <cell r="BU2225">
            <v>10.788144221402973</v>
          </cell>
          <cell r="BV2225">
            <v>11.522967903511651</v>
          </cell>
          <cell r="BW2225">
            <v>10.055977276238897</v>
          </cell>
          <cell r="BX2225">
            <v>8.6149332270911767</v>
          </cell>
          <cell r="BY2225">
            <v>11.497021325386617</v>
          </cell>
        </row>
        <row r="2226">
          <cell r="A2226">
            <v>42552</v>
          </cell>
          <cell r="BF2226">
            <v>16.940708621318535</v>
          </cell>
          <cell r="BG2226">
            <v>17.429620749261797</v>
          </cell>
          <cell r="BH2226">
            <v>16.109902701379674</v>
          </cell>
          <cell r="BI2226">
            <v>13.839355674417275</v>
          </cell>
          <cell r="BJ2226">
            <v>18.380449728342072</v>
          </cell>
          <cell r="BU2226">
            <v>11.018722254265622</v>
          </cell>
          <cell r="BV2226">
            <v>11.522967903511651</v>
          </cell>
          <cell r="BW2226">
            <v>10.055977276238897</v>
          </cell>
          <cell r="BX2226">
            <v>8.6149332270911767</v>
          </cell>
          <cell r="BY2226">
            <v>11.497021325386617</v>
          </cell>
        </row>
        <row r="2227">
          <cell r="A2227">
            <v>42555</v>
          </cell>
          <cell r="BF2227">
            <v>17.069970022048601</v>
          </cell>
          <cell r="BG2227">
            <v>17.429620749261797</v>
          </cell>
          <cell r="BH2227">
            <v>16.109902701379674</v>
          </cell>
          <cell r="BI2227">
            <v>13.839355674417275</v>
          </cell>
          <cell r="BJ2227">
            <v>18.380449728342072</v>
          </cell>
          <cell r="BU2227">
            <v>11.087764070762924</v>
          </cell>
          <cell r="BV2227">
            <v>11.522967903511651</v>
          </cell>
          <cell r="BW2227">
            <v>10.055977276238897</v>
          </cell>
          <cell r="BX2227">
            <v>8.6149332270911767</v>
          </cell>
          <cell r="BY2227">
            <v>11.497021325386617</v>
          </cell>
        </row>
        <row r="2228">
          <cell r="A2228">
            <v>42556</v>
          </cell>
          <cell r="BF2228">
            <v>17.022572963422284</v>
          </cell>
          <cell r="BG2228">
            <v>17.429620749261797</v>
          </cell>
          <cell r="BH2228">
            <v>16.109902701379674</v>
          </cell>
          <cell r="BI2228">
            <v>13.839355674417275</v>
          </cell>
          <cell r="BJ2228">
            <v>18.380449728342072</v>
          </cell>
          <cell r="BU2228">
            <v>11.054228809105554</v>
          </cell>
          <cell r="BV2228">
            <v>11.522967903511651</v>
          </cell>
          <cell r="BW2228">
            <v>10.055977276238897</v>
          </cell>
          <cell r="BX2228">
            <v>8.6149332270911767</v>
          </cell>
          <cell r="BY2228">
            <v>11.497021325386617</v>
          </cell>
        </row>
        <row r="2229">
          <cell r="A2229">
            <v>42557</v>
          </cell>
          <cell r="BF2229">
            <v>16.626723680417708</v>
          </cell>
          <cell r="BG2229">
            <v>17.429620749261797</v>
          </cell>
          <cell r="BH2229">
            <v>16.109902701379674</v>
          </cell>
          <cell r="BI2229">
            <v>13.839355674417275</v>
          </cell>
          <cell r="BJ2229">
            <v>18.380449728342072</v>
          </cell>
          <cell r="BU2229">
            <v>10.866493635256028</v>
          </cell>
          <cell r="BV2229">
            <v>11.522967903511651</v>
          </cell>
          <cell r="BW2229">
            <v>10.055977276238897</v>
          </cell>
          <cell r="BX2229">
            <v>8.6149332270911767</v>
          </cell>
          <cell r="BY2229">
            <v>11.497021325386617</v>
          </cell>
        </row>
        <row r="2230">
          <cell r="A2230">
            <v>42558</v>
          </cell>
          <cell r="BF2230">
            <v>16.678313963751091</v>
          </cell>
          <cell r="BG2230">
            <v>17.429620749261797</v>
          </cell>
          <cell r="BH2230">
            <v>16.109902701379674</v>
          </cell>
          <cell r="BI2230">
            <v>13.839355674417275</v>
          </cell>
          <cell r="BJ2230">
            <v>18.380449728342072</v>
          </cell>
          <cell r="BU2230">
            <v>10.996578074638876</v>
          </cell>
          <cell r="BV2230">
            <v>11.522967903511651</v>
          </cell>
          <cell r="BW2230">
            <v>10.055977276238897</v>
          </cell>
          <cell r="BX2230">
            <v>8.6149332270911767</v>
          </cell>
          <cell r="BY2230">
            <v>11.497021325386617</v>
          </cell>
        </row>
        <row r="2231">
          <cell r="A2231">
            <v>42559</v>
          </cell>
          <cell r="BF2231">
            <v>16.679105560906816</v>
          </cell>
          <cell r="BG2231">
            <v>17.429620749261797</v>
          </cell>
          <cell r="BH2231">
            <v>16.109902701379674</v>
          </cell>
          <cell r="BI2231">
            <v>13.839355674417275</v>
          </cell>
          <cell r="BJ2231">
            <v>18.380449728342072</v>
          </cell>
          <cell r="BU2231">
            <v>11.061721569873155</v>
          </cell>
          <cell r="BV2231">
            <v>11.522967903511651</v>
          </cell>
          <cell r="BW2231">
            <v>10.055977276238897</v>
          </cell>
          <cell r="BX2231">
            <v>8.6149332270911767</v>
          </cell>
          <cell r="BY2231">
            <v>11.497021325386617</v>
          </cell>
        </row>
        <row r="2232">
          <cell r="A2232">
            <v>42562</v>
          </cell>
          <cell r="BF2232">
            <v>16.802348703363236</v>
          </cell>
          <cell r="BG2232">
            <v>17.429620749261797</v>
          </cell>
          <cell r="BH2232">
            <v>16.109902701379674</v>
          </cell>
          <cell r="BI2232">
            <v>13.839355674417275</v>
          </cell>
          <cell r="BJ2232">
            <v>18.380449728342072</v>
          </cell>
          <cell r="BU2232">
            <v>11.435455776119422</v>
          </cell>
          <cell r="BV2232">
            <v>11.522967903511651</v>
          </cell>
          <cell r="BW2232">
            <v>10.055977276238897</v>
          </cell>
          <cell r="BX2232">
            <v>8.6149332270911767</v>
          </cell>
          <cell r="BY2232">
            <v>11.497021325386617</v>
          </cell>
        </row>
        <row r="2233">
          <cell r="A2233">
            <v>42563</v>
          </cell>
          <cell r="BF2233">
            <v>16.751597280208738</v>
          </cell>
          <cell r="BG2233">
            <v>17.429620749261797</v>
          </cell>
          <cell r="BH2233">
            <v>16.109902701379674</v>
          </cell>
          <cell r="BI2233">
            <v>13.839355674417275</v>
          </cell>
          <cell r="BJ2233">
            <v>18.380449728342072</v>
          </cell>
          <cell r="BU2233">
            <v>11.407350510234709</v>
          </cell>
          <cell r="BV2233">
            <v>11.522967903511651</v>
          </cell>
          <cell r="BW2233">
            <v>10.055977276238897</v>
          </cell>
          <cell r="BX2233">
            <v>8.6149332270911767</v>
          </cell>
          <cell r="BY2233">
            <v>11.497021325386617</v>
          </cell>
        </row>
        <row r="2234">
          <cell r="A2234">
            <v>42564</v>
          </cell>
          <cell r="BF2234">
            <v>16.824385117491971</v>
          </cell>
          <cell r="BG2234">
            <v>17.429620749261797</v>
          </cell>
          <cell r="BH2234">
            <v>16.109902701379674</v>
          </cell>
          <cell r="BI2234">
            <v>13.839355674417275</v>
          </cell>
          <cell r="BJ2234">
            <v>18.380449728342072</v>
          </cell>
          <cell r="BU2234">
            <v>11.449287125416971</v>
          </cell>
          <cell r="BV2234">
            <v>11.522967903511651</v>
          </cell>
          <cell r="BW2234">
            <v>10.055977276238897</v>
          </cell>
          <cell r="BX2234">
            <v>8.6149332270911767</v>
          </cell>
          <cell r="BY2234">
            <v>11.497021325386617</v>
          </cell>
        </row>
        <row r="2235">
          <cell r="A2235">
            <v>42565</v>
          </cell>
          <cell r="BF2235">
            <v>16.684588533802231</v>
          </cell>
          <cell r="BG2235">
            <v>17.429620749261797</v>
          </cell>
          <cell r="BH2235">
            <v>16.109902701379674</v>
          </cell>
          <cell r="BI2235">
            <v>13.839355674417275</v>
          </cell>
          <cell r="BJ2235">
            <v>18.380449728342072</v>
          </cell>
          <cell r="BU2235">
            <v>11.390583316329627</v>
          </cell>
          <cell r="BV2235">
            <v>11.522967903511651</v>
          </cell>
          <cell r="BW2235">
            <v>10.055977276238897</v>
          </cell>
          <cell r="BX2235">
            <v>8.6149332270911767</v>
          </cell>
          <cell r="BY2235">
            <v>11.497021325386617</v>
          </cell>
        </row>
        <row r="2236">
          <cell r="A2236">
            <v>42566</v>
          </cell>
          <cell r="BF2236">
            <v>16.996314867397384</v>
          </cell>
          <cell r="BG2236">
            <v>17.429620749261797</v>
          </cell>
          <cell r="BH2236">
            <v>16.109902701379674</v>
          </cell>
          <cell r="BI2236">
            <v>13.839355674417275</v>
          </cell>
          <cell r="BJ2236">
            <v>18.380449728342072</v>
          </cell>
          <cell r="BU2236">
            <v>11.568775727990126</v>
          </cell>
          <cell r="BV2236">
            <v>11.522967903511651</v>
          </cell>
          <cell r="BW2236">
            <v>10.055977276238897</v>
          </cell>
          <cell r="BX2236">
            <v>8.6149332270911767</v>
          </cell>
          <cell r="BY2236">
            <v>11.497021325386617</v>
          </cell>
        </row>
        <row r="2237">
          <cell r="A2237">
            <v>42569</v>
          </cell>
          <cell r="BF2237">
            <v>16.996314867397384</v>
          </cell>
          <cell r="BG2237">
            <v>17.429620749261797</v>
          </cell>
          <cell r="BH2237">
            <v>16.109902701379674</v>
          </cell>
          <cell r="BI2237">
            <v>13.839355674417275</v>
          </cell>
          <cell r="BJ2237">
            <v>18.380449728342072</v>
          </cell>
          <cell r="BU2237">
            <v>11.568775727990126</v>
          </cell>
          <cell r="BV2237">
            <v>11.522967903511651</v>
          </cell>
          <cell r="BW2237">
            <v>10.055977276238897</v>
          </cell>
          <cell r="BX2237">
            <v>8.6149332270911767</v>
          </cell>
          <cell r="BY2237">
            <v>11.497021325386617</v>
          </cell>
        </row>
        <row r="2238">
          <cell r="A2238">
            <v>42570</v>
          </cell>
          <cell r="BF2238">
            <v>17.036186793936384</v>
          </cell>
          <cell r="BG2238">
            <v>17.429620749261797</v>
          </cell>
          <cell r="BH2238">
            <v>16.109902701379674</v>
          </cell>
          <cell r="BI2238">
            <v>13.839355674417275</v>
          </cell>
          <cell r="BJ2238">
            <v>18.380449728342072</v>
          </cell>
          <cell r="BU2238">
            <v>11.590906098426602</v>
          </cell>
          <cell r="BV2238">
            <v>11.522967903511651</v>
          </cell>
          <cell r="BW2238">
            <v>10.055977276238897</v>
          </cell>
          <cell r="BX2238">
            <v>8.6149332270911767</v>
          </cell>
          <cell r="BY2238">
            <v>11.497021325386617</v>
          </cell>
        </row>
        <row r="2239">
          <cell r="A2239">
            <v>42571</v>
          </cell>
          <cell r="BF2239">
            <v>17.101429227332151</v>
          </cell>
          <cell r="BG2239">
            <v>17.429620749261797</v>
          </cell>
          <cell r="BH2239">
            <v>16.109902701379674</v>
          </cell>
          <cell r="BI2239">
            <v>13.839355674417275</v>
          </cell>
          <cell r="BJ2239">
            <v>18.380449728342072</v>
          </cell>
          <cell r="BU2239">
            <v>11.627118023571809</v>
          </cell>
          <cell r="BV2239">
            <v>11.522967903511651</v>
          </cell>
          <cell r="BW2239">
            <v>10.055977276238897</v>
          </cell>
          <cell r="BX2239">
            <v>8.6149332270911767</v>
          </cell>
          <cell r="BY2239">
            <v>11.497021325386617</v>
          </cell>
        </row>
        <row r="2240">
          <cell r="A2240">
            <v>42572</v>
          </cell>
          <cell r="BF2240">
            <v>16.912947743613167</v>
          </cell>
          <cell r="BG2240">
            <v>17.429620749261797</v>
          </cell>
          <cell r="BH2240">
            <v>16.109902701379674</v>
          </cell>
          <cell r="BI2240">
            <v>13.839355674417275</v>
          </cell>
          <cell r="BJ2240">
            <v>18.380449728342072</v>
          </cell>
          <cell r="BU2240">
            <v>11.510958498201143</v>
          </cell>
          <cell r="BV2240">
            <v>11.522967903511651</v>
          </cell>
          <cell r="BW2240">
            <v>10.055977276238897</v>
          </cell>
          <cell r="BX2240">
            <v>8.6149332270911767</v>
          </cell>
          <cell r="BY2240">
            <v>11.497021325386617</v>
          </cell>
        </row>
        <row r="2241">
          <cell r="A2241">
            <v>42573</v>
          </cell>
          <cell r="BF2241">
            <v>16.318493928594677</v>
          </cell>
          <cell r="BG2241">
            <v>17.429620749261797</v>
          </cell>
          <cell r="BH2241">
            <v>16.109902701379674</v>
          </cell>
          <cell r="BI2241">
            <v>13.839355674417275</v>
          </cell>
          <cell r="BJ2241">
            <v>18.380449728342072</v>
          </cell>
          <cell r="BU2241">
            <v>11.181420792197724</v>
          </cell>
          <cell r="BV2241">
            <v>11.522967903511651</v>
          </cell>
          <cell r="BW2241">
            <v>10.055977276238897</v>
          </cell>
          <cell r="BX2241">
            <v>8.6149332270911767</v>
          </cell>
          <cell r="BY2241">
            <v>11.497021325386617</v>
          </cell>
        </row>
        <row r="2242">
          <cell r="A2242">
            <v>42576</v>
          </cell>
          <cell r="BF2242">
            <v>16.593970518940868</v>
          </cell>
          <cell r="BG2242">
            <v>17.429620749261797</v>
          </cell>
          <cell r="BH2242">
            <v>16.109902701379674</v>
          </cell>
          <cell r="BI2242">
            <v>13.839355674417275</v>
          </cell>
          <cell r="BJ2242">
            <v>18.380449728342072</v>
          </cell>
          <cell r="BU2242">
            <v>11.334132275153724</v>
          </cell>
          <cell r="BV2242">
            <v>11.522967903511651</v>
          </cell>
          <cell r="BW2242">
            <v>10.055977276238897</v>
          </cell>
          <cell r="BX2242">
            <v>8.6149332270911767</v>
          </cell>
          <cell r="BY2242">
            <v>11.497021325386617</v>
          </cell>
        </row>
        <row r="2243">
          <cell r="A2243">
            <v>42577</v>
          </cell>
          <cell r="BF2243">
            <v>16.416357397452298</v>
          </cell>
          <cell r="BG2243">
            <v>17.429620749261797</v>
          </cell>
          <cell r="BH2243">
            <v>16.109902701379674</v>
          </cell>
          <cell r="BI2243">
            <v>13.839355674417275</v>
          </cell>
          <cell r="BJ2243">
            <v>18.380449728342072</v>
          </cell>
          <cell r="BU2243">
            <v>11.235671773878906</v>
          </cell>
          <cell r="BV2243">
            <v>11.522967903511651</v>
          </cell>
          <cell r="BW2243">
            <v>10.055977276238897</v>
          </cell>
          <cell r="BX2243">
            <v>8.6149332270911767</v>
          </cell>
          <cell r="BY2243">
            <v>11.497021325386617</v>
          </cell>
        </row>
        <row r="2244">
          <cell r="A2244">
            <v>42578</v>
          </cell>
          <cell r="BF2244">
            <v>16.430859179606593</v>
          </cell>
          <cell r="BG2244">
            <v>17.429620749261797</v>
          </cell>
          <cell r="BH2244">
            <v>16.109902701379674</v>
          </cell>
          <cell r="BI2244">
            <v>13.839355674417275</v>
          </cell>
          <cell r="BJ2244">
            <v>18.380449728342072</v>
          </cell>
          <cell r="BU2244">
            <v>11.254927240534107</v>
          </cell>
          <cell r="BV2244">
            <v>11.522967903511651</v>
          </cell>
          <cell r="BW2244">
            <v>10.055977276238897</v>
          </cell>
          <cell r="BX2244">
            <v>8.6149332270911767</v>
          </cell>
          <cell r="BY2244">
            <v>11.497021325386617</v>
          </cell>
        </row>
        <row r="2245">
          <cell r="A2245">
            <v>42579</v>
          </cell>
          <cell r="BF2245">
            <v>16.684588533802231</v>
          </cell>
          <cell r="BG2245">
            <v>17.429620749261797</v>
          </cell>
          <cell r="BH2245">
            <v>16.109902701379674</v>
          </cell>
          <cell r="BI2245">
            <v>13.839355674417275</v>
          </cell>
          <cell r="BJ2245">
            <v>18.380449728342072</v>
          </cell>
          <cell r="BU2245">
            <v>11.395756267028853</v>
          </cell>
          <cell r="BV2245">
            <v>11.522967903511651</v>
          </cell>
          <cell r="BW2245">
            <v>10.055977276238897</v>
          </cell>
          <cell r="BX2245">
            <v>8.6149332270911767</v>
          </cell>
          <cell r="BY2245">
            <v>11.497021325386617</v>
          </cell>
        </row>
        <row r="2246">
          <cell r="A2246">
            <v>42580</v>
          </cell>
          <cell r="BF2246">
            <v>16.724460822813292</v>
          </cell>
          <cell r="BG2246">
            <v>17.429620749261797</v>
          </cell>
          <cell r="BH2246">
            <v>16.109902701379674</v>
          </cell>
          <cell r="BI2246">
            <v>13.839355674417275</v>
          </cell>
          <cell r="BJ2246">
            <v>18.380449728342072</v>
          </cell>
          <cell r="BU2246">
            <v>11.417886838650515</v>
          </cell>
          <cell r="BV2246">
            <v>11.522967903511651</v>
          </cell>
          <cell r="BW2246">
            <v>10.055977276238897</v>
          </cell>
          <cell r="BX2246">
            <v>8.6149332270911767</v>
          </cell>
          <cell r="BY2246">
            <v>11.497021325386617</v>
          </cell>
        </row>
        <row r="2247">
          <cell r="A2247">
            <v>42583</v>
          </cell>
          <cell r="BF2247">
            <v>16.691839787351437</v>
          </cell>
          <cell r="BG2247">
            <v>17.429620749261797</v>
          </cell>
          <cell r="BH2247">
            <v>16.109902701379674</v>
          </cell>
          <cell r="BI2247">
            <v>13.839355674417275</v>
          </cell>
          <cell r="BJ2247">
            <v>18.380449728342072</v>
          </cell>
          <cell r="BU2247">
            <v>11.399780976670506</v>
          </cell>
          <cell r="BV2247">
            <v>11.522967903511651</v>
          </cell>
          <cell r="BW2247">
            <v>10.055977276238897</v>
          </cell>
          <cell r="BX2247">
            <v>8.6149332270911767</v>
          </cell>
          <cell r="BY2247">
            <v>11.497021325386617</v>
          </cell>
        </row>
        <row r="2248">
          <cell r="A2248">
            <v>42584</v>
          </cell>
          <cell r="BF2248">
            <v>16.757081858275146</v>
          </cell>
          <cell r="BG2248">
            <v>17.429620749261797</v>
          </cell>
          <cell r="BH2248">
            <v>16.109902701379674</v>
          </cell>
          <cell r="BI2248">
            <v>13.839355674417275</v>
          </cell>
          <cell r="BJ2248">
            <v>18.380449728342072</v>
          </cell>
          <cell r="BU2248">
            <v>11.435992700630525</v>
          </cell>
          <cell r="BV2248">
            <v>11.522967903511651</v>
          </cell>
          <cell r="BW2248">
            <v>10.055977276238897</v>
          </cell>
          <cell r="BX2248">
            <v>8.6149332270911767</v>
          </cell>
          <cell r="BY2248">
            <v>11.497021325386617</v>
          </cell>
        </row>
        <row r="2249">
          <cell r="A2249">
            <v>42585</v>
          </cell>
          <cell r="BF2249">
            <v>16.963693831935529</v>
          </cell>
          <cell r="BG2249">
            <v>17.429620749261797</v>
          </cell>
          <cell r="BH2249">
            <v>16.109902701379674</v>
          </cell>
          <cell r="BI2249">
            <v>13.839355674417275</v>
          </cell>
          <cell r="BJ2249">
            <v>18.380449728342072</v>
          </cell>
          <cell r="BU2249">
            <v>11.550669866010116</v>
          </cell>
          <cell r="BV2249">
            <v>11.522967903511651</v>
          </cell>
          <cell r="BW2249">
            <v>10.055977276238897</v>
          </cell>
          <cell r="BX2249">
            <v>8.6149332270911767</v>
          </cell>
          <cell r="BY2249">
            <v>11.497021325386617</v>
          </cell>
        </row>
        <row r="2250">
          <cell r="A2250">
            <v>42586</v>
          </cell>
          <cell r="BF2250">
            <v>17.101429227332151</v>
          </cell>
          <cell r="BG2250">
            <v>17.429620749261797</v>
          </cell>
          <cell r="BH2250">
            <v>16.109902701379674</v>
          </cell>
          <cell r="BI2250">
            <v>13.839355674417275</v>
          </cell>
          <cell r="BJ2250">
            <v>18.380449728342072</v>
          </cell>
          <cell r="BU2250">
            <v>11.627118023571809</v>
          </cell>
          <cell r="BV2250">
            <v>11.522967903511651</v>
          </cell>
          <cell r="BW2250">
            <v>10.055977276238897</v>
          </cell>
          <cell r="BX2250">
            <v>8.6149332270911767</v>
          </cell>
          <cell r="BY2250">
            <v>11.497021325386617</v>
          </cell>
        </row>
        <row r="2251">
          <cell r="A2251">
            <v>42587</v>
          </cell>
          <cell r="BF2251">
            <v>16.920193197609422</v>
          </cell>
          <cell r="BG2251">
            <v>17.429620749261797</v>
          </cell>
          <cell r="BH2251">
            <v>16.109902701379674</v>
          </cell>
          <cell r="BI2251">
            <v>13.839355674417275</v>
          </cell>
          <cell r="BJ2251">
            <v>18.380449728342072</v>
          </cell>
          <cell r="BU2251">
            <v>11.526525430678735</v>
          </cell>
          <cell r="BV2251">
            <v>11.522967903511651</v>
          </cell>
          <cell r="BW2251">
            <v>10.055977276238897</v>
          </cell>
          <cell r="BX2251">
            <v>8.6149332270911767</v>
          </cell>
          <cell r="BY2251">
            <v>11.497021325386617</v>
          </cell>
        </row>
        <row r="2252">
          <cell r="A2252">
            <v>42590</v>
          </cell>
          <cell r="BF2252">
            <v>16.636585935318966</v>
          </cell>
          <cell r="BG2252">
            <v>17.429620749261797</v>
          </cell>
          <cell r="BH2252">
            <v>16.109902701379674</v>
          </cell>
          <cell r="BI2252">
            <v>13.839355674417275</v>
          </cell>
          <cell r="BJ2252">
            <v>18.380449728342072</v>
          </cell>
          <cell r="BU2252">
            <v>11.369601186950726</v>
          </cell>
          <cell r="BV2252">
            <v>11.522967903511651</v>
          </cell>
          <cell r="BW2252">
            <v>10.055977276238897</v>
          </cell>
          <cell r="BX2252">
            <v>8.6149332270911767</v>
          </cell>
          <cell r="BY2252">
            <v>11.497021325386617</v>
          </cell>
        </row>
        <row r="2253">
          <cell r="A2253">
            <v>42591</v>
          </cell>
          <cell r="BF2253">
            <v>16.636585935318966</v>
          </cell>
          <cell r="BG2253">
            <v>17.429620749261797</v>
          </cell>
          <cell r="BH2253">
            <v>16.109902701379674</v>
          </cell>
          <cell r="BI2253">
            <v>13.839355674417275</v>
          </cell>
          <cell r="BJ2253">
            <v>18.380449728342072</v>
          </cell>
          <cell r="BU2253">
            <v>11.369601186950726</v>
          </cell>
          <cell r="BV2253">
            <v>11.522967903511651</v>
          </cell>
          <cell r="BW2253">
            <v>10.055977276238897</v>
          </cell>
          <cell r="BX2253">
            <v>8.6149332270911767</v>
          </cell>
          <cell r="BY2253">
            <v>11.497021325386617</v>
          </cell>
        </row>
        <row r="2254">
          <cell r="A2254">
            <v>42592</v>
          </cell>
          <cell r="BF2254">
            <v>16.738072384866289</v>
          </cell>
          <cell r="BG2254">
            <v>17.429620749261797</v>
          </cell>
          <cell r="BH2254">
            <v>16.109902701379674</v>
          </cell>
          <cell r="BI2254">
            <v>13.839355674417275</v>
          </cell>
          <cell r="BJ2254">
            <v>18.380449728342072</v>
          </cell>
          <cell r="BU2254">
            <v>11.425932837785661</v>
          </cell>
          <cell r="BV2254">
            <v>11.522967903511651</v>
          </cell>
          <cell r="BW2254">
            <v>10.055977276238897</v>
          </cell>
          <cell r="BX2254">
            <v>8.6149332270911767</v>
          </cell>
          <cell r="BY2254">
            <v>11.497021325386617</v>
          </cell>
        </row>
        <row r="2255">
          <cell r="A2255">
            <v>42593</v>
          </cell>
          <cell r="BF2255">
            <v>16.477111371206316</v>
          </cell>
          <cell r="BG2255">
            <v>17.429620749261797</v>
          </cell>
          <cell r="BH2255">
            <v>16.109902701379674</v>
          </cell>
          <cell r="BI2255">
            <v>13.839355674417275</v>
          </cell>
          <cell r="BJ2255">
            <v>18.380449728342072</v>
          </cell>
          <cell r="BU2255">
            <v>11.281082320612237</v>
          </cell>
          <cell r="BV2255">
            <v>11.522967903511651</v>
          </cell>
          <cell r="BW2255">
            <v>10.055977276238897</v>
          </cell>
          <cell r="BX2255">
            <v>8.6149332270911767</v>
          </cell>
          <cell r="BY2255">
            <v>11.497021325386617</v>
          </cell>
        </row>
        <row r="2256">
          <cell r="A2256">
            <v>42594</v>
          </cell>
          <cell r="BF2256">
            <v>16.557889716197653</v>
          </cell>
          <cell r="BG2256">
            <v>17.429620749261797</v>
          </cell>
          <cell r="BH2256">
            <v>16.109902701379674</v>
          </cell>
          <cell r="BI2256">
            <v>13.839355674417275</v>
          </cell>
          <cell r="BJ2256">
            <v>18.380449728342072</v>
          </cell>
          <cell r="BU2256">
            <v>11.334443963093486</v>
          </cell>
          <cell r="BV2256">
            <v>11.522967903511651</v>
          </cell>
          <cell r="BW2256">
            <v>10.055977276238897</v>
          </cell>
          <cell r="BX2256">
            <v>8.6149332270911767</v>
          </cell>
          <cell r="BY2256">
            <v>11.497021325386617</v>
          </cell>
        </row>
        <row r="2257">
          <cell r="A2257">
            <v>42597</v>
          </cell>
          <cell r="BF2257">
            <v>16.214671914132381</v>
          </cell>
          <cell r="BG2257">
            <v>17.429620749261797</v>
          </cell>
          <cell r="BH2257">
            <v>16.109902701379674</v>
          </cell>
          <cell r="BI2257">
            <v>13.839355674417275</v>
          </cell>
          <cell r="BJ2257">
            <v>18.380449728342072</v>
          </cell>
          <cell r="BU2257">
            <v>11.154785496240342</v>
          </cell>
          <cell r="BV2257">
            <v>11.522967903511651</v>
          </cell>
          <cell r="BW2257">
            <v>10.055977276238897</v>
          </cell>
          <cell r="BX2257">
            <v>8.6149332270911767</v>
          </cell>
          <cell r="BY2257">
            <v>11.497021325386617</v>
          </cell>
        </row>
        <row r="2258">
          <cell r="A2258">
            <v>42598</v>
          </cell>
          <cell r="BF2258">
            <v>16.007157781753133</v>
          </cell>
          <cell r="BG2258">
            <v>17.429620749261797</v>
          </cell>
          <cell r="BH2258">
            <v>16.109902701379674</v>
          </cell>
          <cell r="BI2258">
            <v>13.839355674417275</v>
          </cell>
          <cell r="BJ2258">
            <v>18.380449728342072</v>
          </cell>
          <cell r="BU2258">
            <v>11.039115262580868</v>
          </cell>
          <cell r="BV2258">
            <v>11.522967903511651</v>
          </cell>
          <cell r="BW2258">
            <v>10.055977276238897</v>
          </cell>
          <cell r="BX2258">
            <v>8.6149332270911767</v>
          </cell>
          <cell r="BY2258">
            <v>11.497021325386617</v>
          </cell>
        </row>
        <row r="2259">
          <cell r="A2259">
            <v>42599</v>
          </cell>
          <cell r="BF2259">
            <v>16.140026083083029</v>
          </cell>
          <cell r="BG2259">
            <v>17.429620749261797</v>
          </cell>
          <cell r="BH2259">
            <v>16.109902701379674</v>
          </cell>
          <cell r="BI2259">
            <v>13.839355674417275</v>
          </cell>
          <cell r="BJ2259">
            <v>18.380449728342072</v>
          </cell>
          <cell r="BU2259">
            <v>11.116602539079471</v>
          </cell>
          <cell r="BV2259">
            <v>11.522967903511651</v>
          </cell>
          <cell r="BW2259">
            <v>10.055977276238897</v>
          </cell>
          <cell r="BX2259">
            <v>8.6149332270911767</v>
          </cell>
          <cell r="BY2259">
            <v>11.497021325386617</v>
          </cell>
        </row>
        <row r="2260">
          <cell r="A2260">
            <v>42600</v>
          </cell>
          <cell r="BF2260">
            <v>16.240601861797348</v>
          </cell>
          <cell r="BG2260">
            <v>17.429620749261797</v>
          </cell>
          <cell r="BH2260">
            <v>16.109902701379674</v>
          </cell>
          <cell r="BI2260">
            <v>13.839355674417275</v>
          </cell>
          <cell r="BJ2260">
            <v>18.380449728342072</v>
          </cell>
          <cell r="BU2260">
            <v>11.06802277051573</v>
          </cell>
          <cell r="BV2260">
            <v>11.522967903511651</v>
          </cell>
          <cell r="BW2260">
            <v>10.055977276238897</v>
          </cell>
          <cell r="BX2260">
            <v>8.6149332270911767</v>
          </cell>
          <cell r="BY2260">
            <v>11.497021325386617</v>
          </cell>
        </row>
        <row r="2261">
          <cell r="A2261">
            <v>42601</v>
          </cell>
          <cell r="BF2261">
            <v>16.233265306853131</v>
          </cell>
          <cell r="BG2261">
            <v>17.429620749261797</v>
          </cell>
          <cell r="BH2261">
            <v>16.109902701379674</v>
          </cell>
          <cell r="BI2261">
            <v>13.839355674417275</v>
          </cell>
          <cell r="BJ2261">
            <v>18.380449728342072</v>
          </cell>
          <cell r="BU2261">
            <v>11.064067216018426</v>
          </cell>
          <cell r="BV2261">
            <v>11.522967903511651</v>
          </cell>
          <cell r="BW2261">
            <v>10.055977276238897</v>
          </cell>
          <cell r="BX2261">
            <v>8.6149332270911767</v>
          </cell>
          <cell r="BY2261">
            <v>11.497021325386617</v>
          </cell>
        </row>
        <row r="2262">
          <cell r="A2262">
            <v>42604</v>
          </cell>
          <cell r="BF2262">
            <v>16.452883912576137</v>
          </cell>
          <cell r="BG2262">
            <v>17.429620749261797</v>
          </cell>
          <cell r="BH2262">
            <v>16.109902701379674</v>
          </cell>
          <cell r="BI2262">
            <v>13.839355674417275</v>
          </cell>
          <cell r="BJ2262">
            <v>18.380449728342072</v>
          </cell>
          <cell r="BU2262">
            <v>11.178755754287993</v>
          </cell>
          <cell r="BV2262">
            <v>11.522967903511651</v>
          </cell>
          <cell r="BW2262">
            <v>10.055977276238897</v>
          </cell>
          <cell r="BX2262">
            <v>8.6149332270911767</v>
          </cell>
          <cell r="BY2262">
            <v>11.497021325386617</v>
          </cell>
        </row>
        <row r="2263">
          <cell r="A2263">
            <v>42605</v>
          </cell>
          <cell r="BF2263">
            <v>16.311166875784188</v>
          </cell>
          <cell r="BG2263">
            <v>17.429620749261797</v>
          </cell>
          <cell r="BH2263">
            <v>16.109902701379674</v>
          </cell>
          <cell r="BI2263">
            <v>13.839355674417275</v>
          </cell>
          <cell r="BJ2263">
            <v>18.380449728342072</v>
          </cell>
          <cell r="BU2263">
            <v>11.094821248643331</v>
          </cell>
          <cell r="BV2263">
            <v>11.522967903511651</v>
          </cell>
          <cell r="BW2263">
            <v>10.055977276238897</v>
          </cell>
          <cell r="BX2263">
            <v>8.6149332270911767</v>
          </cell>
          <cell r="BY2263">
            <v>11.497021325386617</v>
          </cell>
        </row>
        <row r="2264">
          <cell r="A2264">
            <v>42606</v>
          </cell>
          <cell r="BF2264">
            <v>16.311166875784188</v>
          </cell>
          <cell r="BG2264">
            <v>17.429620749261797</v>
          </cell>
          <cell r="BH2264">
            <v>16.109902701379674</v>
          </cell>
          <cell r="BI2264">
            <v>13.839355674417275</v>
          </cell>
          <cell r="BJ2264">
            <v>18.380449728342072</v>
          </cell>
          <cell r="BU2264">
            <v>11.094821248643331</v>
          </cell>
          <cell r="BV2264">
            <v>11.522967903511651</v>
          </cell>
          <cell r="BW2264">
            <v>10.055977276238897</v>
          </cell>
          <cell r="BX2264">
            <v>8.6149332270911767</v>
          </cell>
          <cell r="BY2264">
            <v>11.497021325386617</v>
          </cell>
        </row>
        <row r="2265">
          <cell r="A2265">
            <v>42607</v>
          </cell>
          <cell r="BF2265">
            <v>16.239470872916293</v>
          </cell>
          <cell r="BG2265">
            <v>17.429620749261797</v>
          </cell>
          <cell r="BH2265">
            <v>16.109902701379674</v>
          </cell>
          <cell r="BI2265">
            <v>13.839355674417275</v>
          </cell>
          <cell r="BJ2265">
            <v>18.380449728342072</v>
          </cell>
          <cell r="BU2265">
            <v>11.094821248643331</v>
          </cell>
          <cell r="BV2265">
            <v>11.522967903511651</v>
          </cell>
          <cell r="BW2265">
            <v>10.055977276238897</v>
          </cell>
          <cell r="BX2265">
            <v>8.6149332270911767</v>
          </cell>
          <cell r="BY2265">
            <v>11.497021325386617</v>
          </cell>
        </row>
        <row r="2266">
          <cell r="A2266">
            <v>42608</v>
          </cell>
          <cell r="BF2266">
            <v>15.920617035883225</v>
          </cell>
          <cell r="BG2266">
            <v>17.429620749261797</v>
          </cell>
          <cell r="BH2266">
            <v>16.109902701379674</v>
          </cell>
          <cell r="BI2266">
            <v>13.839355674417275</v>
          </cell>
          <cell r="BJ2266">
            <v>18.380449728342072</v>
          </cell>
          <cell r="BU2266">
            <v>10.879304611088834</v>
          </cell>
          <cell r="BV2266">
            <v>11.522967903511651</v>
          </cell>
          <cell r="BW2266">
            <v>10.055977276238897</v>
          </cell>
          <cell r="BX2266">
            <v>8.6149332270911767</v>
          </cell>
          <cell r="BY2266">
            <v>11.497021325386617</v>
          </cell>
        </row>
        <row r="2267">
          <cell r="A2267">
            <v>42611</v>
          </cell>
          <cell r="BF2267">
            <v>15.871129229661626</v>
          </cell>
          <cell r="BG2267">
            <v>17.429620749261797</v>
          </cell>
          <cell r="BH2267">
            <v>16.109902701379674</v>
          </cell>
          <cell r="BI2267">
            <v>13.839355674417275</v>
          </cell>
          <cell r="BJ2267">
            <v>18.380449728342072</v>
          </cell>
          <cell r="BU2267">
            <v>10.847383593655465</v>
          </cell>
          <cell r="BV2267">
            <v>11.522967903511651</v>
          </cell>
          <cell r="BW2267">
            <v>10.055977276238897</v>
          </cell>
          <cell r="BX2267">
            <v>8.6149332270911767</v>
          </cell>
          <cell r="BY2267">
            <v>11.497021325386617</v>
          </cell>
        </row>
        <row r="2268">
          <cell r="A2268">
            <v>42612</v>
          </cell>
          <cell r="BF2268">
            <v>16.047516918646508</v>
          </cell>
          <cell r="BG2268">
            <v>17.429620749261797</v>
          </cell>
          <cell r="BH2268">
            <v>16.109902701379674</v>
          </cell>
          <cell r="BI2268">
            <v>13.839355674417275</v>
          </cell>
          <cell r="BJ2268">
            <v>18.380449728342072</v>
          </cell>
          <cell r="BU2268">
            <v>10.944549396318196</v>
          </cell>
          <cell r="BV2268">
            <v>11.522967903511651</v>
          </cell>
          <cell r="BW2268">
            <v>10.055977276238897</v>
          </cell>
          <cell r="BX2268">
            <v>8.6149332270911767</v>
          </cell>
          <cell r="BY2268">
            <v>11.497021325386617</v>
          </cell>
        </row>
        <row r="2269">
          <cell r="A2269">
            <v>42613</v>
          </cell>
          <cell r="BF2269">
            <v>15.979121670266379</v>
          </cell>
          <cell r="BG2269">
            <v>17.429620749261797</v>
          </cell>
          <cell r="BH2269">
            <v>16.109902701379674</v>
          </cell>
          <cell r="BI2269">
            <v>13.839355674417275</v>
          </cell>
          <cell r="BJ2269">
            <v>18.380449728342072</v>
          </cell>
          <cell r="BU2269">
            <v>10.90687284845129</v>
          </cell>
          <cell r="BV2269">
            <v>11.522967903511651</v>
          </cell>
          <cell r="BW2269">
            <v>10.055977276238897</v>
          </cell>
          <cell r="BX2269">
            <v>8.6149332270911767</v>
          </cell>
          <cell r="BY2269">
            <v>11.497021325386617</v>
          </cell>
        </row>
        <row r="2270">
          <cell r="A2270">
            <v>42614</v>
          </cell>
          <cell r="BF2270">
            <v>15.856732901367891</v>
          </cell>
          <cell r="BG2270">
            <v>17.429620749261797</v>
          </cell>
          <cell r="BH2270">
            <v>16.109902701379674</v>
          </cell>
          <cell r="BI2270">
            <v>13.839355674417275</v>
          </cell>
          <cell r="BJ2270">
            <v>18.380449728342072</v>
          </cell>
          <cell r="BU2270">
            <v>10.839453160402968</v>
          </cell>
          <cell r="BV2270">
            <v>11.522967903511651</v>
          </cell>
          <cell r="BW2270">
            <v>10.055977276238897</v>
          </cell>
          <cell r="BX2270">
            <v>8.6149332270911767</v>
          </cell>
          <cell r="BY2270">
            <v>11.497021325386617</v>
          </cell>
        </row>
        <row r="2271">
          <cell r="A2271">
            <v>42615</v>
          </cell>
          <cell r="BF2271">
            <v>15.805910207607784</v>
          </cell>
          <cell r="BG2271">
            <v>17.429620749261797</v>
          </cell>
          <cell r="BH2271">
            <v>16.109902701379674</v>
          </cell>
          <cell r="BI2271">
            <v>13.839355674417275</v>
          </cell>
          <cell r="BJ2271">
            <v>18.380449728342072</v>
          </cell>
          <cell r="BU2271">
            <v>10.811691785778665</v>
          </cell>
          <cell r="BV2271">
            <v>11.522967903511651</v>
          </cell>
          <cell r="BW2271">
            <v>10.055977276238897</v>
          </cell>
          <cell r="BX2271">
            <v>8.6149332270911767</v>
          </cell>
          <cell r="BY2271">
            <v>11.497021325386617</v>
          </cell>
        </row>
        <row r="2272">
          <cell r="A2272">
            <v>42618</v>
          </cell>
          <cell r="BF2272">
            <v>15.766314444354453</v>
          </cell>
          <cell r="BG2272">
            <v>17.429620749261797</v>
          </cell>
          <cell r="BH2272">
            <v>16.109902701379674</v>
          </cell>
          <cell r="BI2272">
            <v>13.839355674417275</v>
          </cell>
          <cell r="BJ2272">
            <v>18.380449728342072</v>
          </cell>
          <cell r="BU2272">
            <v>10.789879277145282</v>
          </cell>
          <cell r="BV2272">
            <v>11.522967903511651</v>
          </cell>
          <cell r="BW2272">
            <v>10.055977276238897</v>
          </cell>
          <cell r="BX2272">
            <v>8.6149332270911767</v>
          </cell>
          <cell r="BY2272">
            <v>11.497021325386617</v>
          </cell>
        </row>
        <row r="2273">
          <cell r="A2273">
            <v>42619</v>
          </cell>
          <cell r="BF2273">
            <v>15.996689434230534</v>
          </cell>
          <cell r="BG2273">
            <v>17.429620749261797</v>
          </cell>
          <cell r="BH2273">
            <v>16.109902701379674</v>
          </cell>
          <cell r="BI2273">
            <v>13.839355674417275</v>
          </cell>
          <cell r="BJ2273">
            <v>18.380449728342072</v>
          </cell>
          <cell r="BU2273">
            <v>10.916788219989424</v>
          </cell>
          <cell r="BV2273">
            <v>11.522967903511651</v>
          </cell>
          <cell r="BW2273">
            <v>10.055977276238897</v>
          </cell>
          <cell r="BX2273">
            <v>8.6149332270911767</v>
          </cell>
          <cell r="BY2273">
            <v>11.497021325386617</v>
          </cell>
        </row>
        <row r="2274">
          <cell r="A2274">
            <v>42620</v>
          </cell>
          <cell r="BF2274">
            <v>15.467545692610889</v>
          </cell>
          <cell r="BG2274">
            <v>17.429620749261797</v>
          </cell>
          <cell r="BH2274">
            <v>16.109902701379674</v>
          </cell>
          <cell r="BI2274">
            <v>13.839355674417275</v>
          </cell>
          <cell r="BJ2274">
            <v>18.380449728342072</v>
          </cell>
          <cell r="BU2274">
            <v>10.625293588138698</v>
          </cell>
          <cell r="BV2274">
            <v>11.522967903511651</v>
          </cell>
          <cell r="BW2274">
            <v>10.055977276238897</v>
          </cell>
          <cell r="BX2274">
            <v>8.6149332270911767</v>
          </cell>
          <cell r="BY2274">
            <v>11.497021325386617</v>
          </cell>
        </row>
        <row r="2275">
          <cell r="A2275">
            <v>42621</v>
          </cell>
          <cell r="BF2275">
            <v>15.345159867894132</v>
          </cell>
          <cell r="BG2275">
            <v>17.429620749261797</v>
          </cell>
          <cell r="BH2275">
            <v>16.109902701379674</v>
          </cell>
          <cell r="BI2275">
            <v>13.839355674417275</v>
          </cell>
          <cell r="BJ2275">
            <v>18.380449728342072</v>
          </cell>
          <cell r="BU2275">
            <v>10.56084516035731</v>
          </cell>
          <cell r="BV2275">
            <v>11.522967903511651</v>
          </cell>
          <cell r="BW2275">
            <v>10.055977276238897</v>
          </cell>
          <cell r="BX2275">
            <v>8.6149332270911767</v>
          </cell>
          <cell r="BY2275">
            <v>11.497021325386617</v>
          </cell>
        </row>
        <row r="2276">
          <cell r="A2276">
            <v>42622</v>
          </cell>
          <cell r="BF2276">
            <v>15.39630179059443</v>
          </cell>
          <cell r="BG2276">
            <v>17.429620749261797</v>
          </cell>
          <cell r="BH2276">
            <v>16.109902701379674</v>
          </cell>
          <cell r="BI2276">
            <v>13.839355674417275</v>
          </cell>
          <cell r="BJ2276">
            <v>18.380449728342072</v>
          </cell>
          <cell r="BU2276">
            <v>10.593825951009689</v>
          </cell>
          <cell r="BV2276">
            <v>11.522967903511651</v>
          </cell>
          <cell r="BW2276">
            <v>10.055977276238897</v>
          </cell>
          <cell r="BX2276">
            <v>8.6149332270911767</v>
          </cell>
          <cell r="BY2276">
            <v>11.497021325386617</v>
          </cell>
        </row>
        <row r="2277">
          <cell r="A2277">
            <v>42625</v>
          </cell>
          <cell r="BF2277">
            <v>15.378302949998019</v>
          </cell>
          <cell r="BG2277">
            <v>17.429620749261797</v>
          </cell>
          <cell r="BH2277">
            <v>16.109902701379674</v>
          </cell>
          <cell r="BI2277">
            <v>13.839355674417275</v>
          </cell>
          <cell r="BJ2277">
            <v>18.380449728342072</v>
          </cell>
          <cell r="BU2277">
            <v>10.583904023478203</v>
          </cell>
          <cell r="BV2277">
            <v>11.522967903511651</v>
          </cell>
          <cell r="BW2277">
            <v>10.055977276238897</v>
          </cell>
          <cell r="BX2277">
            <v>8.6149332270911767</v>
          </cell>
          <cell r="BY2277">
            <v>11.497021325386617</v>
          </cell>
        </row>
        <row r="2278">
          <cell r="A2278">
            <v>42626</v>
          </cell>
          <cell r="BF2278">
            <v>15.690028405592665</v>
          </cell>
          <cell r="BG2278">
            <v>17.429620749261797</v>
          </cell>
          <cell r="BH2278">
            <v>16.109902701379674</v>
          </cell>
          <cell r="BI2278">
            <v>13.839355674417275</v>
          </cell>
          <cell r="BJ2278">
            <v>18.380449728342072</v>
          </cell>
          <cell r="BU2278">
            <v>10.763804057929908</v>
          </cell>
          <cell r="BV2278">
            <v>11.522967903511651</v>
          </cell>
          <cell r="BW2278">
            <v>10.055977276238897</v>
          </cell>
          <cell r="BX2278">
            <v>8.6149332270911767</v>
          </cell>
          <cell r="BY2278">
            <v>11.497021325386617</v>
          </cell>
        </row>
        <row r="2279">
          <cell r="A2279">
            <v>42627</v>
          </cell>
          <cell r="BF2279">
            <v>16.18993610081197</v>
          </cell>
          <cell r="BG2279">
            <v>17.429620749261797</v>
          </cell>
          <cell r="BH2279">
            <v>16.109902701379674</v>
          </cell>
          <cell r="BI2279">
            <v>13.839355674417275</v>
          </cell>
          <cell r="BJ2279">
            <v>18.380449728342072</v>
          </cell>
          <cell r="BU2279">
            <v>11.040035013720528</v>
          </cell>
          <cell r="BV2279">
            <v>11.522967903511651</v>
          </cell>
          <cell r="BW2279">
            <v>10.055977276238897</v>
          </cell>
          <cell r="BX2279">
            <v>8.6149332270911767</v>
          </cell>
          <cell r="BY2279">
            <v>11.497021325386617</v>
          </cell>
        </row>
        <row r="2280">
          <cell r="A2280">
            <v>42628</v>
          </cell>
          <cell r="BF2280">
            <v>16.209556779284213</v>
          </cell>
          <cell r="BG2280">
            <v>17.429620749261797</v>
          </cell>
          <cell r="BH2280">
            <v>16.109902701379674</v>
          </cell>
          <cell r="BI2280">
            <v>13.839355674417275</v>
          </cell>
          <cell r="BJ2280">
            <v>18.380449728342072</v>
          </cell>
          <cell r="BU2280">
            <v>11.121459349938288</v>
          </cell>
          <cell r="BV2280">
            <v>11.522967903511651</v>
          </cell>
          <cell r="BW2280">
            <v>10.055977276238897</v>
          </cell>
          <cell r="BX2280">
            <v>8.6149332270911767</v>
          </cell>
          <cell r="BY2280">
            <v>11.497021325386617</v>
          </cell>
        </row>
        <row r="2281">
          <cell r="A2281">
            <v>42629</v>
          </cell>
          <cell r="BF2281">
            <v>16.343505283525928</v>
          </cell>
          <cell r="BG2281">
            <v>17.429620749261797</v>
          </cell>
          <cell r="BH2281">
            <v>16.109902701379674</v>
          </cell>
          <cell r="BI2281">
            <v>13.839355674417275</v>
          </cell>
          <cell r="BJ2281">
            <v>18.380449728342072</v>
          </cell>
          <cell r="BU2281">
            <v>11.203947956684242</v>
          </cell>
          <cell r="BV2281">
            <v>11.522967903511651</v>
          </cell>
          <cell r="BW2281">
            <v>10.055977276238897</v>
          </cell>
          <cell r="BX2281">
            <v>8.6149332270911767</v>
          </cell>
          <cell r="BY2281">
            <v>11.497021325386617</v>
          </cell>
        </row>
        <row r="2282">
          <cell r="A2282">
            <v>42632</v>
          </cell>
          <cell r="BF2282">
            <v>16.670337490699648</v>
          </cell>
          <cell r="BG2282">
            <v>17.429620749261797</v>
          </cell>
          <cell r="BH2282">
            <v>16.109902701379674</v>
          </cell>
          <cell r="BI2282">
            <v>13.839355674417275</v>
          </cell>
          <cell r="BJ2282">
            <v>18.380449728342072</v>
          </cell>
          <cell r="BU2282">
            <v>11.385815728488419</v>
          </cell>
          <cell r="BV2282">
            <v>11.522967903511651</v>
          </cell>
          <cell r="BW2282">
            <v>10.055977276238897</v>
          </cell>
          <cell r="BX2282">
            <v>8.6149332270911767</v>
          </cell>
          <cell r="BY2282">
            <v>11.497021325386617</v>
          </cell>
        </row>
        <row r="2283">
          <cell r="A2283">
            <v>42633</v>
          </cell>
          <cell r="BF2283">
            <v>16.670337490699648</v>
          </cell>
          <cell r="BG2283">
            <v>17.429620749261797</v>
          </cell>
          <cell r="BH2283">
            <v>16.109902701379674</v>
          </cell>
          <cell r="BI2283">
            <v>13.839355674417275</v>
          </cell>
          <cell r="BJ2283">
            <v>18.380449728342072</v>
          </cell>
          <cell r="BU2283">
            <v>11.385815728488419</v>
          </cell>
          <cell r="BV2283">
            <v>11.522967903511651</v>
          </cell>
          <cell r="BW2283">
            <v>10.055977276238897</v>
          </cell>
          <cell r="BX2283">
            <v>8.6149332270911767</v>
          </cell>
          <cell r="BY2283">
            <v>11.497021325386617</v>
          </cell>
        </row>
        <row r="2284">
          <cell r="A2284">
            <v>42634</v>
          </cell>
          <cell r="BF2284">
            <v>16.791782705761428</v>
          </cell>
          <cell r="BG2284">
            <v>17.429620749261797</v>
          </cell>
          <cell r="BH2284">
            <v>16.109902701379674</v>
          </cell>
          <cell r="BI2284">
            <v>13.839355674417275</v>
          </cell>
          <cell r="BJ2284">
            <v>18.380449728342072</v>
          </cell>
          <cell r="BU2284">
            <v>11.453394657904713</v>
          </cell>
          <cell r="BV2284">
            <v>11.522967903511651</v>
          </cell>
          <cell r="BW2284">
            <v>10.055977276238897</v>
          </cell>
          <cell r="BX2284">
            <v>8.6149332270911767</v>
          </cell>
          <cell r="BY2284">
            <v>11.497021325386617</v>
          </cell>
        </row>
        <row r="2285">
          <cell r="A2285">
            <v>42635</v>
          </cell>
          <cell r="BF2285">
            <v>16.959665188273721</v>
          </cell>
          <cell r="BG2285">
            <v>17.429620749261797</v>
          </cell>
          <cell r="BH2285">
            <v>16.109902701379674</v>
          </cell>
          <cell r="BI2285">
            <v>13.839355674417275</v>
          </cell>
          <cell r="BJ2285">
            <v>18.380449728342072</v>
          </cell>
          <cell r="BU2285">
            <v>11.453394657904713</v>
          </cell>
          <cell r="BV2285">
            <v>11.522967903511651</v>
          </cell>
          <cell r="BW2285">
            <v>10.055977276238897</v>
          </cell>
          <cell r="BX2285">
            <v>8.6149332270911767</v>
          </cell>
          <cell r="BY2285">
            <v>11.497021325386617</v>
          </cell>
        </row>
        <row r="2286">
          <cell r="A2286">
            <v>42636</v>
          </cell>
          <cell r="BF2286">
            <v>17.023963327877834</v>
          </cell>
          <cell r="BG2286">
            <v>17.429620749261797</v>
          </cell>
          <cell r="BH2286">
            <v>16.109902701379674</v>
          </cell>
          <cell r="BI2286">
            <v>13.839355674417275</v>
          </cell>
          <cell r="BJ2286">
            <v>18.380449728342072</v>
          </cell>
          <cell r="BU2286">
            <v>11.582592978858358</v>
          </cell>
          <cell r="BV2286">
            <v>11.522967903511651</v>
          </cell>
          <cell r="BW2286">
            <v>10.055977276238897</v>
          </cell>
          <cell r="BX2286">
            <v>8.6149332270911767</v>
          </cell>
          <cell r="BY2286">
            <v>11.497021325386617</v>
          </cell>
        </row>
        <row r="2287">
          <cell r="A2287">
            <v>42639</v>
          </cell>
          <cell r="BF2287">
            <v>17.102546807562319</v>
          </cell>
          <cell r="BG2287">
            <v>17.429620749261797</v>
          </cell>
          <cell r="BH2287">
            <v>16.109902701379674</v>
          </cell>
          <cell r="BI2287">
            <v>13.839355674417275</v>
          </cell>
          <cell r="BJ2287">
            <v>18.380449728342072</v>
          </cell>
          <cell r="BU2287">
            <v>11.626321234633467</v>
          </cell>
          <cell r="BV2287">
            <v>11.522967903511651</v>
          </cell>
          <cell r="BW2287">
            <v>10.055977276238897</v>
          </cell>
          <cell r="BX2287">
            <v>8.6149332270911767</v>
          </cell>
          <cell r="BY2287">
            <v>11.497021325386617</v>
          </cell>
        </row>
        <row r="2288">
          <cell r="A2288">
            <v>42640</v>
          </cell>
          <cell r="BF2288">
            <v>17.170415121299488</v>
          </cell>
          <cell r="BG2288">
            <v>17.429620749261797</v>
          </cell>
          <cell r="BH2288">
            <v>16.109902701379674</v>
          </cell>
          <cell r="BI2288">
            <v>13.839355674417275</v>
          </cell>
          <cell r="BJ2288">
            <v>18.380449728342072</v>
          </cell>
          <cell r="BU2288">
            <v>11.664086971071203</v>
          </cell>
          <cell r="BV2288">
            <v>11.522967903511651</v>
          </cell>
          <cell r="BW2288">
            <v>10.055977276238897</v>
          </cell>
          <cell r="BX2288">
            <v>8.6149332270911767</v>
          </cell>
          <cell r="BY2288">
            <v>11.497021325386617</v>
          </cell>
        </row>
        <row r="2289">
          <cell r="A2289">
            <v>42641</v>
          </cell>
          <cell r="BF2289">
            <v>17.27399946420767</v>
          </cell>
          <cell r="BG2289">
            <v>17.429620749261797</v>
          </cell>
          <cell r="BH2289">
            <v>16.109902701379674</v>
          </cell>
          <cell r="BI2289">
            <v>13.839355674417275</v>
          </cell>
          <cell r="BJ2289">
            <v>18.380449728342072</v>
          </cell>
          <cell r="BU2289">
            <v>11.721727109420534</v>
          </cell>
          <cell r="BV2289">
            <v>11.522967903511651</v>
          </cell>
          <cell r="BW2289">
            <v>10.055977276238897</v>
          </cell>
          <cell r="BX2289">
            <v>8.6149332270911767</v>
          </cell>
          <cell r="BY2289">
            <v>11.497021325386617</v>
          </cell>
        </row>
        <row r="2290">
          <cell r="A2290">
            <v>42642</v>
          </cell>
          <cell r="BF2290">
            <v>17.227562196757152</v>
          </cell>
          <cell r="BG2290">
            <v>17.429620749261797</v>
          </cell>
          <cell r="BH2290">
            <v>16.109902701379674</v>
          </cell>
          <cell r="BI2290">
            <v>13.839355674417275</v>
          </cell>
          <cell r="BJ2290">
            <v>18.380449728342072</v>
          </cell>
          <cell r="BU2290">
            <v>11.721727109420534</v>
          </cell>
          <cell r="BV2290">
            <v>11.522967903511651</v>
          </cell>
          <cell r="BW2290">
            <v>10.055977276238897</v>
          </cell>
          <cell r="BX2290">
            <v>8.6149332270911767</v>
          </cell>
          <cell r="BY2290">
            <v>11.497021325386617</v>
          </cell>
        </row>
        <row r="2291">
          <cell r="A2291">
            <v>42643</v>
          </cell>
          <cell r="BF2291">
            <v>16.603968904023144</v>
          </cell>
          <cell r="BG2291">
            <v>17.429620749261797</v>
          </cell>
          <cell r="BH2291">
            <v>16.109902701379674</v>
          </cell>
          <cell r="BI2291">
            <v>13.839355674417275</v>
          </cell>
          <cell r="BJ2291">
            <v>18.380449728342072</v>
          </cell>
          <cell r="BU2291">
            <v>11.350039618644693</v>
          </cell>
          <cell r="BV2291">
            <v>11.522967903511651</v>
          </cell>
          <cell r="BW2291">
            <v>10.055977276238897</v>
          </cell>
          <cell r="BX2291">
            <v>8.6149332270911767</v>
          </cell>
          <cell r="BY2291">
            <v>11.497021325386617</v>
          </cell>
        </row>
        <row r="2292">
          <cell r="A2292">
            <v>42646</v>
          </cell>
          <cell r="BF2292">
            <v>16.968259363319831</v>
          </cell>
          <cell r="BG2292">
            <v>17.429620749261797</v>
          </cell>
          <cell r="BH2292">
            <v>16.109902701379674</v>
          </cell>
          <cell r="BI2292">
            <v>13.839355674417275</v>
          </cell>
          <cell r="BJ2292">
            <v>18.380449728342072</v>
          </cell>
          <cell r="BU2292">
            <v>11.548042629305787</v>
          </cell>
          <cell r="BV2292">
            <v>11.522967903511651</v>
          </cell>
          <cell r="BW2292">
            <v>10.055977276238897</v>
          </cell>
          <cell r="BX2292">
            <v>8.6149332270911767</v>
          </cell>
          <cell r="BY2292">
            <v>11.497021325386617</v>
          </cell>
        </row>
        <row r="2293">
          <cell r="A2293">
            <v>42647</v>
          </cell>
          <cell r="BF2293">
            <v>14.739926722640426</v>
          </cell>
          <cell r="BG2293">
            <v>17.429620749261797</v>
          </cell>
          <cell r="BH2293">
            <v>16.109902701379674</v>
          </cell>
          <cell r="BI2293">
            <v>13.839355674417275</v>
          </cell>
          <cell r="BJ2293">
            <v>18.380449728342072</v>
          </cell>
          <cell r="BU2293">
            <v>10.248917072951006</v>
          </cell>
          <cell r="BV2293">
            <v>11.522967903511651</v>
          </cell>
          <cell r="BW2293">
            <v>10.055977276238897</v>
          </cell>
          <cell r="BX2293">
            <v>8.6149332270911767</v>
          </cell>
          <cell r="BY2293">
            <v>11.497021325386617</v>
          </cell>
        </row>
        <row r="2294">
          <cell r="A2294">
            <v>42648</v>
          </cell>
          <cell r="BF2294">
            <v>15.462778653014515</v>
          </cell>
          <cell r="BG2294">
            <v>17.429620749261797</v>
          </cell>
          <cell r="BH2294">
            <v>16.109902701379674</v>
          </cell>
          <cell r="BI2294">
            <v>13.839355674417275</v>
          </cell>
          <cell r="BJ2294">
            <v>18.380449728342072</v>
          </cell>
          <cell r="BU2294">
            <v>10.714549286724422</v>
          </cell>
          <cell r="BV2294">
            <v>11.522967903511651</v>
          </cell>
          <cell r="BW2294">
            <v>10.055977276238897</v>
          </cell>
          <cell r="BX2294">
            <v>8.6149332270911767</v>
          </cell>
          <cell r="BY2294">
            <v>11.497021325386617</v>
          </cell>
        </row>
        <row r="2295">
          <cell r="A2295">
            <v>42649</v>
          </cell>
          <cell r="BF2295">
            <v>15.462778653014515</v>
          </cell>
          <cell r="BG2295">
            <v>17.429620749261797</v>
          </cell>
          <cell r="BH2295">
            <v>16.109902701379674</v>
          </cell>
          <cell r="BI2295">
            <v>13.839355674417275</v>
          </cell>
          <cell r="BJ2295">
            <v>18.380449728342072</v>
          </cell>
          <cell r="BU2295">
            <v>10.776344047499622</v>
          </cell>
          <cell r="BV2295">
            <v>11.522967903511651</v>
          </cell>
          <cell r="BW2295">
            <v>10.055977276238897</v>
          </cell>
          <cell r="BX2295">
            <v>8.6149332270911767</v>
          </cell>
          <cell r="BY2295">
            <v>11.497021325386617</v>
          </cell>
        </row>
        <row r="2296">
          <cell r="A2296">
            <v>42650</v>
          </cell>
          <cell r="BF2296">
            <v>15.380814552889548</v>
          </cell>
          <cell r="BG2296">
            <v>17.429620749261797</v>
          </cell>
          <cell r="BH2296">
            <v>16.109902701379674</v>
          </cell>
          <cell r="BI2296">
            <v>13.839355674417275</v>
          </cell>
          <cell r="BJ2296">
            <v>18.380449728342072</v>
          </cell>
          <cell r="BU2296">
            <v>10.7312498493381</v>
          </cell>
          <cell r="BV2296">
            <v>11.522967903511651</v>
          </cell>
          <cell r="BW2296">
            <v>10.055977276238897</v>
          </cell>
          <cell r="BX2296">
            <v>8.6149332270911767</v>
          </cell>
          <cell r="BY2296">
            <v>11.497021325386617</v>
          </cell>
        </row>
        <row r="2297">
          <cell r="A2297">
            <v>42653</v>
          </cell>
          <cell r="BF2297">
            <v>15.483589359025551</v>
          </cell>
          <cell r="BG2297">
            <v>17.429620749261797</v>
          </cell>
          <cell r="BH2297">
            <v>16.109902701379674</v>
          </cell>
          <cell r="BI2297">
            <v>13.839355674417275</v>
          </cell>
          <cell r="BJ2297">
            <v>18.380449728342072</v>
          </cell>
          <cell r="BU2297">
            <v>10.717830172947167</v>
          </cell>
          <cell r="BV2297">
            <v>11.522967903511651</v>
          </cell>
          <cell r="BW2297">
            <v>10.055977276238897</v>
          </cell>
          <cell r="BX2297">
            <v>8.6149332270911767</v>
          </cell>
          <cell r="BY2297">
            <v>11.497021325386617</v>
          </cell>
        </row>
        <row r="2298">
          <cell r="A2298">
            <v>42654</v>
          </cell>
          <cell r="BF2298">
            <v>15.895397613306196</v>
          </cell>
          <cell r="BG2298">
            <v>17.429620749261797</v>
          </cell>
          <cell r="BH2298">
            <v>16.109902701379674</v>
          </cell>
          <cell r="BI2298">
            <v>13.839355674417275</v>
          </cell>
          <cell r="BJ2298">
            <v>18.380449728342072</v>
          </cell>
          <cell r="BU2298">
            <v>10.882200543586128</v>
          </cell>
          <cell r="BV2298">
            <v>11.522967903511651</v>
          </cell>
          <cell r="BW2298">
            <v>10.055977276238897</v>
          </cell>
          <cell r="BX2298">
            <v>8.6149332270911767</v>
          </cell>
          <cell r="BY2298">
            <v>11.497021325386617</v>
          </cell>
        </row>
        <row r="2299">
          <cell r="A2299">
            <v>42655</v>
          </cell>
          <cell r="BF2299">
            <v>15.842239832282662</v>
          </cell>
          <cell r="BG2299">
            <v>17.429620749261797</v>
          </cell>
          <cell r="BH2299">
            <v>16.109902701379674</v>
          </cell>
          <cell r="BI2299">
            <v>13.839355674417275</v>
          </cell>
          <cell r="BJ2299">
            <v>18.380449728342072</v>
          </cell>
          <cell r="BU2299">
            <v>10.916778216607101</v>
          </cell>
          <cell r="BV2299">
            <v>11.522967903511651</v>
          </cell>
          <cell r="BW2299">
            <v>10.055977276238897</v>
          </cell>
          <cell r="BX2299">
            <v>8.6149332270911767</v>
          </cell>
          <cell r="BY2299">
            <v>11.497021325386617</v>
          </cell>
        </row>
        <row r="2300">
          <cell r="A2300">
            <v>42656</v>
          </cell>
          <cell r="BF2300">
            <v>15.835070522321033</v>
          </cell>
          <cell r="BG2300">
            <v>17.429620749261797</v>
          </cell>
          <cell r="BH2300">
            <v>16.109902701379674</v>
          </cell>
          <cell r="BI2300">
            <v>13.839355674417275</v>
          </cell>
          <cell r="BJ2300">
            <v>18.380449728342072</v>
          </cell>
          <cell r="BU2300">
            <v>10.84480299357959</v>
          </cell>
          <cell r="BV2300">
            <v>11.522967903511651</v>
          </cell>
          <cell r="BW2300">
            <v>10.055977276238897</v>
          </cell>
          <cell r="BX2300">
            <v>8.6149332270911767</v>
          </cell>
          <cell r="BY2300">
            <v>11.497021325386617</v>
          </cell>
        </row>
        <row r="2301">
          <cell r="A2301">
            <v>42657</v>
          </cell>
          <cell r="BF2301">
            <v>16.047179667022601</v>
          </cell>
          <cell r="BG2301">
            <v>17.429620749261797</v>
          </cell>
          <cell r="BH2301">
            <v>16.109902701379674</v>
          </cell>
          <cell r="BI2301">
            <v>13.839355674417275</v>
          </cell>
          <cell r="BJ2301">
            <v>18.380449728342072</v>
          </cell>
          <cell r="BU2301">
            <v>11.013071219693074</v>
          </cell>
          <cell r="BV2301">
            <v>11.522967903511651</v>
          </cell>
          <cell r="BW2301">
            <v>10.055977276238897</v>
          </cell>
          <cell r="BX2301">
            <v>8.6149332270911767</v>
          </cell>
          <cell r="BY2301">
            <v>11.497021325386617</v>
          </cell>
        </row>
        <row r="2302">
          <cell r="A2302">
            <v>42660</v>
          </cell>
          <cell r="BF2302">
            <v>16.214026094172048</v>
          </cell>
          <cell r="BG2302">
            <v>17.429620749261797</v>
          </cell>
          <cell r="BH2302">
            <v>16.109902701379674</v>
          </cell>
          <cell r="BI2302">
            <v>13.839355674417275</v>
          </cell>
          <cell r="BJ2302">
            <v>18.380449728342072</v>
          </cell>
          <cell r="BU2302">
            <v>11.103158739972534</v>
          </cell>
          <cell r="BV2302">
            <v>11.522967903511651</v>
          </cell>
          <cell r="BW2302">
            <v>10.055977276238897</v>
          </cell>
          <cell r="BX2302">
            <v>8.6149332270911767</v>
          </cell>
          <cell r="BY2302">
            <v>11.497021325386617</v>
          </cell>
        </row>
        <row r="2303">
          <cell r="A2303">
            <v>42661</v>
          </cell>
          <cell r="BF2303">
            <v>16.493257251806089</v>
          </cell>
          <cell r="BG2303">
            <v>17.429620749261797</v>
          </cell>
          <cell r="BH2303">
            <v>16.109902701379674</v>
          </cell>
          <cell r="BI2303">
            <v>13.839355674417275</v>
          </cell>
          <cell r="BJ2303">
            <v>18.380449728342072</v>
          </cell>
          <cell r="BU2303">
            <v>11.270147513191306</v>
          </cell>
          <cell r="BV2303">
            <v>11.522967903511651</v>
          </cell>
          <cell r="BW2303">
            <v>10.055977276238897</v>
          </cell>
          <cell r="BX2303">
            <v>8.6149332270911767</v>
          </cell>
          <cell r="BY2303">
            <v>11.497021325386617</v>
          </cell>
        </row>
        <row r="2304">
          <cell r="A2304">
            <v>42662</v>
          </cell>
          <cell r="BF2304">
            <v>16.313492986519403</v>
          </cell>
          <cell r="BG2304">
            <v>17.429620749261797</v>
          </cell>
          <cell r="BH2304">
            <v>16.109902701379674</v>
          </cell>
          <cell r="BI2304">
            <v>13.839355674417275</v>
          </cell>
          <cell r="BJ2304">
            <v>18.380449728342072</v>
          </cell>
          <cell r="BU2304">
            <v>11.059724978485249</v>
          </cell>
          <cell r="BV2304">
            <v>11.522967903511651</v>
          </cell>
          <cell r="BW2304">
            <v>10.055977276238897</v>
          </cell>
          <cell r="BX2304">
            <v>8.6149332270911767</v>
          </cell>
          <cell r="BY2304">
            <v>11.497021325386617</v>
          </cell>
        </row>
        <row r="2305">
          <cell r="A2305">
            <v>42663</v>
          </cell>
          <cell r="BF2305">
            <v>16.272641427211216</v>
          </cell>
          <cell r="BG2305">
            <v>17.429620749261797</v>
          </cell>
          <cell r="BH2305">
            <v>16.109902701379674</v>
          </cell>
          <cell r="BI2305">
            <v>13.839355674417275</v>
          </cell>
          <cell r="BJ2305">
            <v>18.380449728342072</v>
          </cell>
          <cell r="BU2305">
            <v>11.059724978485249</v>
          </cell>
          <cell r="BV2305">
            <v>11.522967903511651</v>
          </cell>
          <cell r="BW2305">
            <v>10.055977276238897</v>
          </cell>
          <cell r="BX2305">
            <v>8.6149332270911767</v>
          </cell>
          <cell r="BY2305">
            <v>11.497021325386617</v>
          </cell>
        </row>
        <row r="2306">
          <cell r="A2306">
            <v>42664</v>
          </cell>
          <cell r="BF2306">
            <v>16.506906752308122</v>
          </cell>
          <cell r="BG2306">
            <v>17.429620749261797</v>
          </cell>
          <cell r="BH2306">
            <v>16.109902701379674</v>
          </cell>
          <cell r="BI2306">
            <v>13.839355674417275</v>
          </cell>
          <cell r="BJ2306">
            <v>18.380449728342072</v>
          </cell>
          <cell r="BU2306">
            <v>11.161656418031834</v>
          </cell>
          <cell r="BV2306">
            <v>11.522967903511651</v>
          </cell>
          <cell r="BW2306">
            <v>10.055977276238897</v>
          </cell>
          <cell r="BX2306">
            <v>8.6149332270911767</v>
          </cell>
          <cell r="BY2306">
            <v>11.497021325386617</v>
          </cell>
        </row>
        <row r="2307">
          <cell r="A2307">
            <v>42667</v>
          </cell>
          <cell r="BF2307">
            <v>16.580455656069581</v>
          </cell>
          <cell r="BG2307">
            <v>17.429620749261797</v>
          </cell>
          <cell r="BH2307">
            <v>16.109902701379674</v>
          </cell>
          <cell r="BI2307">
            <v>13.839355674417275</v>
          </cell>
          <cell r="BJ2307">
            <v>18.380449728342072</v>
          </cell>
          <cell r="BU2307">
            <v>11.20069564256519</v>
          </cell>
          <cell r="BV2307">
            <v>11.522967903511651</v>
          </cell>
          <cell r="BW2307">
            <v>10.055977276238897</v>
          </cell>
          <cell r="BX2307">
            <v>8.6149332270911767</v>
          </cell>
          <cell r="BY2307">
            <v>11.497021325386617</v>
          </cell>
        </row>
        <row r="2308">
          <cell r="A2308">
            <v>42668</v>
          </cell>
          <cell r="BF2308">
            <v>16.711301407297746</v>
          </cell>
          <cell r="BG2308">
            <v>17.429620749261797</v>
          </cell>
          <cell r="BH2308">
            <v>16.109902701379674</v>
          </cell>
          <cell r="BI2308">
            <v>13.839355674417275</v>
          </cell>
          <cell r="BJ2308">
            <v>18.380449728342072</v>
          </cell>
          <cell r="BU2308">
            <v>11.289658192582728</v>
          </cell>
          <cell r="BV2308">
            <v>11.522967903511651</v>
          </cell>
          <cell r="BW2308">
            <v>10.055977276238897</v>
          </cell>
          <cell r="BX2308">
            <v>8.6149332270911767</v>
          </cell>
          <cell r="BY2308">
            <v>11.497021325386617</v>
          </cell>
        </row>
        <row r="2309">
          <cell r="A2309">
            <v>42669</v>
          </cell>
          <cell r="BF2309">
            <v>16.453067358930461</v>
          </cell>
          <cell r="BG2309">
            <v>17.429620749261797</v>
          </cell>
          <cell r="BH2309">
            <v>16.109902701379674</v>
          </cell>
          <cell r="BI2309">
            <v>13.839355674417275</v>
          </cell>
          <cell r="BJ2309">
            <v>18.380449728342072</v>
          </cell>
          <cell r="BU2309">
            <v>11.152445480128028</v>
          </cell>
          <cell r="BV2309">
            <v>11.522967903511651</v>
          </cell>
          <cell r="BW2309">
            <v>10.055977276238897</v>
          </cell>
          <cell r="BX2309">
            <v>8.6149332270911767</v>
          </cell>
          <cell r="BY2309">
            <v>11.497021325386617</v>
          </cell>
        </row>
        <row r="2310">
          <cell r="A2310">
            <v>42670</v>
          </cell>
          <cell r="BF2310">
            <v>16.555540374369738</v>
          </cell>
          <cell r="BG2310">
            <v>17.429620749261797</v>
          </cell>
          <cell r="BH2310">
            <v>16.109902701379674</v>
          </cell>
          <cell r="BI2310">
            <v>13.839355674417275</v>
          </cell>
          <cell r="BJ2310">
            <v>18.380449728342072</v>
          </cell>
          <cell r="BU2310">
            <v>11.152445480128028</v>
          </cell>
          <cell r="BV2310">
            <v>11.522967903511651</v>
          </cell>
          <cell r="BW2310">
            <v>10.055977276238897</v>
          </cell>
          <cell r="BX2310">
            <v>8.6149332270911767</v>
          </cell>
          <cell r="BY2310">
            <v>11.497021325386617</v>
          </cell>
        </row>
        <row r="2311">
          <cell r="A2311">
            <v>42671</v>
          </cell>
          <cell r="BF2311">
            <v>16.784390720425762</v>
          </cell>
          <cell r="BG2311">
            <v>17.429620749261797</v>
          </cell>
          <cell r="BH2311">
            <v>16.109902701379674</v>
          </cell>
          <cell r="BI2311">
            <v>13.839355674417275</v>
          </cell>
          <cell r="BJ2311">
            <v>18.380449728342072</v>
          </cell>
          <cell r="BU2311">
            <v>11.328859771205352</v>
          </cell>
          <cell r="BV2311">
            <v>11.522967903511651</v>
          </cell>
          <cell r="BW2311">
            <v>10.055977276238897</v>
          </cell>
          <cell r="BX2311">
            <v>8.6149332270911767</v>
          </cell>
          <cell r="BY2311">
            <v>11.497021325386617</v>
          </cell>
        </row>
        <row r="2312">
          <cell r="A2312">
            <v>42674</v>
          </cell>
          <cell r="BF2312">
            <v>16.517974669710501</v>
          </cell>
          <cell r="BG2312">
            <v>17.429620749261797</v>
          </cell>
          <cell r="BH2312">
            <v>16.109902701379674</v>
          </cell>
          <cell r="BI2312">
            <v>13.839355674417275</v>
          </cell>
          <cell r="BJ2312">
            <v>18.380449728342072</v>
          </cell>
          <cell r="BU2312">
            <v>11.187293747750669</v>
          </cell>
          <cell r="BV2312">
            <v>11.522967903511651</v>
          </cell>
          <cell r="BW2312">
            <v>10.055977276238897</v>
          </cell>
          <cell r="BX2312">
            <v>8.6149332270911767</v>
          </cell>
          <cell r="BY2312">
            <v>11.497021325386617</v>
          </cell>
        </row>
        <row r="2313">
          <cell r="A2313">
            <v>42675</v>
          </cell>
          <cell r="BF2313">
            <v>16.509775115108283</v>
          </cell>
          <cell r="BG2313">
            <v>17.429620749261797</v>
          </cell>
          <cell r="BH2313">
            <v>16.109902701379674</v>
          </cell>
          <cell r="BI2313">
            <v>13.839355674417275</v>
          </cell>
          <cell r="BJ2313">
            <v>18.380449728342072</v>
          </cell>
          <cell r="BU2313">
            <v>11.182936734214813</v>
          </cell>
          <cell r="BV2313">
            <v>11.522967903511651</v>
          </cell>
          <cell r="BW2313">
            <v>10.055977276238897</v>
          </cell>
          <cell r="BX2313">
            <v>8.6149332270911767</v>
          </cell>
          <cell r="BY2313">
            <v>11.497021325386617</v>
          </cell>
        </row>
        <row r="2314">
          <cell r="A2314">
            <v>42676</v>
          </cell>
          <cell r="BF2314">
            <v>16.678080377928545</v>
          </cell>
          <cell r="BG2314">
            <v>17.429620749261797</v>
          </cell>
          <cell r="BH2314">
            <v>16.109902701379674</v>
          </cell>
          <cell r="BI2314">
            <v>13.839355674417275</v>
          </cell>
          <cell r="BJ2314">
            <v>18.380449728342072</v>
          </cell>
          <cell r="BU2314">
            <v>11.277703511050008</v>
          </cell>
          <cell r="BV2314">
            <v>11.522967903511651</v>
          </cell>
          <cell r="BW2314">
            <v>10.055977276238897</v>
          </cell>
          <cell r="BX2314">
            <v>8.6149332270911767</v>
          </cell>
          <cell r="BY2314">
            <v>11.497021325386617</v>
          </cell>
        </row>
        <row r="2315">
          <cell r="A2315">
            <v>42677</v>
          </cell>
          <cell r="BF2315">
            <v>16.772560043819286</v>
          </cell>
          <cell r="BG2315">
            <v>17.429620749261797</v>
          </cell>
          <cell r="BH2315">
            <v>16.109902701379674</v>
          </cell>
          <cell r="BI2315">
            <v>13.839355674417275</v>
          </cell>
          <cell r="BJ2315">
            <v>18.380449728342072</v>
          </cell>
          <cell r="BU2315">
            <v>11.277703511050008</v>
          </cell>
          <cell r="BV2315">
            <v>11.522967903511651</v>
          </cell>
          <cell r="BW2315">
            <v>10.055977276238897</v>
          </cell>
          <cell r="BX2315">
            <v>8.6149332270911767</v>
          </cell>
          <cell r="BY2315">
            <v>11.497021325386617</v>
          </cell>
        </row>
        <row r="2316">
          <cell r="A2316">
            <v>42678</v>
          </cell>
          <cell r="BF2316">
            <v>16.780777899495035</v>
          </cell>
          <cell r="BG2316">
            <v>17.429620749261797</v>
          </cell>
          <cell r="BH2316">
            <v>16.109902701379674</v>
          </cell>
          <cell r="BI2316">
            <v>13.839355674417275</v>
          </cell>
          <cell r="BJ2316">
            <v>18.380449728342072</v>
          </cell>
          <cell r="BU2316">
            <v>11.332273877456952</v>
          </cell>
          <cell r="BV2316">
            <v>11.522967903511651</v>
          </cell>
          <cell r="BW2316">
            <v>10.055977276238897</v>
          </cell>
          <cell r="BX2316">
            <v>8.6149332270911767</v>
          </cell>
          <cell r="BY2316">
            <v>11.497021325386617</v>
          </cell>
        </row>
        <row r="2317">
          <cell r="A2317">
            <v>42681</v>
          </cell>
          <cell r="BF2317">
            <v>16.780777899495035</v>
          </cell>
          <cell r="BG2317">
            <v>17.429620749261797</v>
          </cell>
          <cell r="BH2317">
            <v>16.109902701379674</v>
          </cell>
          <cell r="BI2317">
            <v>13.839355674417275</v>
          </cell>
          <cell r="BJ2317">
            <v>18.380449728342072</v>
          </cell>
          <cell r="BU2317">
            <v>11.332273877456952</v>
          </cell>
          <cell r="BV2317">
            <v>11.522967903511651</v>
          </cell>
          <cell r="BW2317">
            <v>10.055977276238897</v>
          </cell>
          <cell r="BX2317">
            <v>8.6149332270911767</v>
          </cell>
          <cell r="BY2317">
            <v>11.497021325386617</v>
          </cell>
        </row>
        <row r="2318">
          <cell r="A2318">
            <v>42682</v>
          </cell>
          <cell r="BF2318">
            <v>16.809529919212963</v>
          </cell>
          <cell r="BG2318">
            <v>17.429620749261797</v>
          </cell>
          <cell r="BH2318">
            <v>16.109902701379674</v>
          </cell>
          <cell r="BI2318">
            <v>13.839355674417275</v>
          </cell>
          <cell r="BJ2318">
            <v>18.380449728342072</v>
          </cell>
          <cell r="BU2318">
            <v>11.347551833799168</v>
          </cell>
          <cell r="BV2318">
            <v>11.522967903511651</v>
          </cell>
          <cell r="BW2318">
            <v>10.055977276238897</v>
          </cell>
          <cell r="BX2318">
            <v>8.6149332270911767</v>
          </cell>
          <cell r="BY2318">
            <v>11.497021325386617</v>
          </cell>
        </row>
        <row r="2319">
          <cell r="A2319">
            <v>42683</v>
          </cell>
          <cell r="BF2319">
            <v>16.813635355335105</v>
          </cell>
          <cell r="BG2319">
            <v>17.429620749261797</v>
          </cell>
          <cell r="BH2319">
            <v>16.109902701379674</v>
          </cell>
          <cell r="BI2319">
            <v>13.839355674417275</v>
          </cell>
          <cell r="BJ2319">
            <v>18.380449728342072</v>
          </cell>
          <cell r="BU2319">
            <v>11.349733338766654</v>
          </cell>
          <cell r="BV2319">
            <v>11.522967903511651</v>
          </cell>
          <cell r="BW2319">
            <v>10.055977276238897</v>
          </cell>
          <cell r="BX2319">
            <v>8.6149332270911767</v>
          </cell>
          <cell r="BY2319">
            <v>11.497021325386617</v>
          </cell>
        </row>
        <row r="2320">
          <cell r="A2320">
            <v>42684</v>
          </cell>
          <cell r="BF2320">
            <v>16.899904148981559</v>
          </cell>
          <cell r="BG2320">
            <v>17.429620749261797</v>
          </cell>
          <cell r="BH2320">
            <v>16.109902701379674</v>
          </cell>
          <cell r="BI2320">
            <v>13.839355674417275</v>
          </cell>
          <cell r="BJ2320">
            <v>18.380449728342072</v>
          </cell>
          <cell r="BU2320">
            <v>11.395573974518745</v>
          </cell>
          <cell r="BV2320">
            <v>11.522967903511651</v>
          </cell>
          <cell r="BW2320">
            <v>10.055977276238897</v>
          </cell>
          <cell r="BX2320">
            <v>8.6149332270911767</v>
          </cell>
          <cell r="BY2320">
            <v>11.497021325386617</v>
          </cell>
        </row>
        <row r="2321">
          <cell r="A2321">
            <v>42685</v>
          </cell>
          <cell r="BF2321">
            <v>16.854716828702216</v>
          </cell>
          <cell r="BG2321">
            <v>17.429620749261797</v>
          </cell>
          <cell r="BH2321">
            <v>16.109902701379674</v>
          </cell>
          <cell r="BI2321">
            <v>13.839355674417275</v>
          </cell>
          <cell r="BJ2321">
            <v>18.380449728342072</v>
          </cell>
          <cell r="BU2321">
            <v>11.395573974518745</v>
          </cell>
          <cell r="BV2321">
            <v>11.522967903511651</v>
          </cell>
          <cell r="BW2321">
            <v>10.055977276238897</v>
          </cell>
          <cell r="BX2321">
            <v>8.6149332270911767</v>
          </cell>
          <cell r="BY2321">
            <v>11.497021325386617</v>
          </cell>
        </row>
        <row r="2322">
          <cell r="A2322">
            <v>42688</v>
          </cell>
          <cell r="BF2322">
            <v>16.741813322452309</v>
          </cell>
          <cell r="BG2322">
            <v>17.429620749261797</v>
          </cell>
          <cell r="BH2322">
            <v>16.109902701379674</v>
          </cell>
          <cell r="BI2322">
            <v>13.839355674417275</v>
          </cell>
          <cell r="BJ2322">
            <v>18.380449728342072</v>
          </cell>
          <cell r="BU2322">
            <v>11.311123074966867</v>
          </cell>
          <cell r="BV2322">
            <v>11.522967903511651</v>
          </cell>
          <cell r="BW2322">
            <v>10.055977276238897</v>
          </cell>
          <cell r="BX2322">
            <v>8.6149332270911767</v>
          </cell>
          <cell r="BY2322">
            <v>11.497021325386617</v>
          </cell>
        </row>
        <row r="2323">
          <cell r="A2323">
            <v>42689</v>
          </cell>
          <cell r="BF2323">
            <v>17.341601601703594</v>
          </cell>
          <cell r="BG2323">
            <v>17.429620749261797</v>
          </cell>
          <cell r="BH2323">
            <v>16.109902701379674</v>
          </cell>
          <cell r="BI2323">
            <v>13.839355674417275</v>
          </cell>
          <cell r="BJ2323">
            <v>18.380449728342072</v>
          </cell>
          <cell r="BU2323">
            <v>11.735578802184465</v>
          </cell>
          <cell r="BV2323">
            <v>11.522967903511651</v>
          </cell>
          <cell r="BW2323">
            <v>10.055977276238897</v>
          </cell>
          <cell r="BX2323">
            <v>8.6149332270911767</v>
          </cell>
          <cell r="BY2323">
            <v>11.497021325386617</v>
          </cell>
        </row>
        <row r="2324">
          <cell r="A2324">
            <v>42690</v>
          </cell>
          <cell r="BF2324">
            <v>17.733533308697691</v>
          </cell>
          <cell r="BG2324">
            <v>17.429620749261797</v>
          </cell>
          <cell r="BH2324">
            <v>16.109902701379674</v>
          </cell>
          <cell r="BI2324">
            <v>13.839355674417275</v>
          </cell>
          <cell r="BJ2324">
            <v>18.380449728342072</v>
          </cell>
          <cell r="BU2324">
            <v>11.837877573603533</v>
          </cell>
          <cell r="BV2324">
            <v>11.522967903511651</v>
          </cell>
          <cell r="BW2324">
            <v>10.055977276238897</v>
          </cell>
          <cell r="BX2324">
            <v>8.6149332270911767</v>
          </cell>
          <cell r="BY2324">
            <v>11.497021325386617</v>
          </cell>
        </row>
        <row r="2325">
          <cell r="A2325">
            <v>42691</v>
          </cell>
          <cell r="BF2325">
            <v>17.528925206611568</v>
          </cell>
          <cell r="BG2325">
            <v>17.429620749261797</v>
          </cell>
          <cell r="BH2325">
            <v>16.109902701379674</v>
          </cell>
          <cell r="BI2325">
            <v>13.839355674417275</v>
          </cell>
          <cell r="BJ2325">
            <v>18.380449728342072</v>
          </cell>
          <cell r="BU2325">
            <v>11.72172556673204</v>
          </cell>
          <cell r="BV2325">
            <v>11.522967903511651</v>
          </cell>
          <cell r="BW2325">
            <v>10.055977276238897</v>
          </cell>
          <cell r="BX2325">
            <v>8.6149332270911767</v>
          </cell>
          <cell r="BY2325">
            <v>11.497021325386617</v>
          </cell>
        </row>
        <row r="2326">
          <cell r="A2326">
            <v>42692</v>
          </cell>
          <cell r="BF2326">
            <v>17.530773060531374</v>
          </cell>
          <cell r="BG2326">
            <v>17.429620749261797</v>
          </cell>
          <cell r="BH2326">
            <v>16.109902701379674</v>
          </cell>
          <cell r="BI2326">
            <v>13.839355674417275</v>
          </cell>
          <cell r="BJ2326">
            <v>18.380449728342072</v>
          </cell>
          <cell r="BU2326">
            <v>11.723915807368185</v>
          </cell>
          <cell r="BV2326">
            <v>11.522967903511651</v>
          </cell>
          <cell r="BW2326">
            <v>10.055977276238897</v>
          </cell>
          <cell r="BX2326">
            <v>8.6149332270911767</v>
          </cell>
          <cell r="BY2326">
            <v>11.497021325386617</v>
          </cell>
        </row>
        <row r="2327">
          <cell r="A2327">
            <v>42695</v>
          </cell>
          <cell r="BF2327">
            <v>17.57622210332126</v>
          </cell>
          <cell r="BG2327">
            <v>17.429620749261797</v>
          </cell>
          <cell r="BH2327">
            <v>16.109902701379674</v>
          </cell>
          <cell r="BI2327">
            <v>13.839355674417275</v>
          </cell>
          <cell r="BJ2327">
            <v>18.380449728342072</v>
          </cell>
          <cell r="BU2327">
            <v>11.748023137788056</v>
          </cell>
          <cell r="BV2327">
            <v>11.522967903511651</v>
          </cell>
          <cell r="BW2327">
            <v>10.055977276238897</v>
          </cell>
          <cell r="BX2327">
            <v>8.6149332270911767</v>
          </cell>
          <cell r="BY2327">
            <v>11.497021325386617</v>
          </cell>
        </row>
        <row r="2328">
          <cell r="A2328">
            <v>42696</v>
          </cell>
          <cell r="BF2328">
            <v>17.268592561983471</v>
          </cell>
          <cell r="BG2328">
            <v>17.429620749261797</v>
          </cell>
          <cell r="BH2328">
            <v>16.109902701379674</v>
          </cell>
          <cell r="BI2328">
            <v>13.839355674417275</v>
          </cell>
          <cell r="BJ2328">
            <v>18.380449728342072</v>
          </cell>
          <cell r="BU2328">
            <v>11.583656470076823</v>
          </cell>
          <cell r="BV2328">
            <v>11.522967903511651</v>
          </cell>
          <cell r="BW2328">
            <v>10.055977276238897</v>
          </cell>
          <cell r="BX2328">
            <v>8.6149332270911767</v>
          </cell>
          <cell r="BY2328">
            <v>11.497021325386617</v>
          </cell>
        </row>
        <row r="2329">
          <cell r="A2329">
            <v>42697</v>
          </cell>
          <cell r="BF2329">
            <v>16.723141322314049</v>
          </cell>
          <cell r="BG2329">
            <v>17.429620749261797</v>
          </cell>
          <cell r="BH2329">
            <v>16.109902701379674</v>
          </cell>
          <cell r="BI2329">
            <v>13.839355674417275</v>
          </cell>
          <cell r="BJ2329">
            <v>18.380449728342072</v>
          </cell>
          <cell r="BU2329">
            <v>11.294372888149505</v>
          </cell>
          <cell r="BV2329">
            <v>11.522967903511651</v>
          </cell>
          <cell r="BW2329">
            <v>10.055977276238897</v>
          </cell>
          <cell r="BX2329">
            <v>8.6149332270911767</v>
          </cell>
          <cell r="BY2329">
            <v>11.497021325386617</v>
          </cell>
        </row>
        <row r="2330">
          <cell r="A2330">
            <v>42698</v>
          </cell>
          <cell r="BF2330">
            <v>16.657023966942148</v>
          </cell>
          <cell r="BG2330">
            <v>17.429620749261797</v>
          </cell>
          <cell r="BH2330">
            <v>16.109902701379674</v>
          </cell>
          <cell r="BI2330">
            <v>13.839355674417275</v>
          </cell>
          <cell r="BJ2330">
            <v>18.380449728342072</v>
          </cell>
          <cell r="BU2330">
            <v>11.294372888149505</v>
          </cell>
          <cell r="BV2330">
            <v>11.522967903511651</v>
          </cell>
          <cell r="BW2330">
            <v>10.055977276238897</v>
          </cell>
          <cell r="BX2330">
            <v>8.6149332270911767</v>
          </cell>
          <cell r="BY2330">
            <v>11.497021325386617</v>
          </cell>
        </row>
        <row r="2331">
          <cell r="A2331">
            <v>42699</v>
          </cell>
          <cell r="BF2331">
            <v>16.994647591601478</v>
          </cell>
          <cell r="BG2331">
            <v>17.429620749261797</v>
          </cell>
          <cell r="BH2331">
            <v>16.109902701379674</v>
          </cell>
          <cell r="BI2331">
            <v>13.839355674417275</v>
          </cell>
          <cell r="BJ2331">
            <v>18.380449728342072</v>
          </cell>
          <cell r="BU2331">
            <v>11.259307122415548</v>
          </cell>
          <cell r="BV2331">
            <v>11.522967903511651</v>
          </cell>
          <cell r="BW2331">
            <v>10.055977276238897</v>
          </cell>
          <cell r="BX2331">
            <v>8.6149332270911767</v>
          </cell>
          <cell r="BY2331">
            <v>11.497021325386617</v>
          </cell>
        </row>
        <row r="2332">
          <cell r="A2332">
            <v>42702</v>
          </cell>
          <cell r="BF2332">
            <v>16.994087885125232</v>
          </cell>
          <cell r="BG2332">
            <v>17.429620749261797</v>
          </cell>
          <cell r="BH2332">
            <v>16.109902701379674</v>
          </cell>
          <cell r="BI2332">
            <v>13.839355674417275</v>
          </cell>
          <cell r="BJ2332">
            <v>18.380449728342072</v>
          </cell>
          <cell r="BU2332">
            <v>11.471888231810965</v>
          </cell>
          <cell r="BV2332">
            <v>11.522967903511651</v>
          </cell>
          <cell r="BW2332">
            <v>10.055977276238897</v>
          </cell>
          <cell r="BX2332">
            <v>8.6149332270911767</v>
          </cell>
          <cell r="BY2332">
            <v>11.497021325386617</v>
          </cell>
        </row>
        <row r="2333">
          <cell r="A2333">
            <v>42703</v>
          </cell>
          <cell r="BF2333">
            <v>16.891168261234704</v>
          </cell>
          <cell r="BG2333">
            <v>17.429620749261797</v>
          </cell>
          <cell r="BH2333">
            <v>16.109902701379674</v>
          </cell>
          <cell r="BI2333">
            <v>13.839355674417275</v>
          </cell>
          <cell r="BJ2333">
            <v>18.380449728342072</v>
          </cell>
          <cell r="BU2333">
            <v>11.41709934257389</v>
          </cell>
          <cell r="BV2333">
            <v>11.522967903511651</v>
          </cell>
          <cell r="BW2333">
            <v>10.055977276238897</v>
          </cell>
          <cell r="BX2333">
            <v>8.6149332270911767</v>
          </cell>
          <cell r="BY2333">
            <v>11.497021325386617</v>
          </cell>
        </row>
        <row r="2334">
          <cell r="A2334">
            <v>42704</v>
          </cell>
          <cell r="BF2334">
            <v>16.960595534520014</v>
          </cell>
          <cell r="BG2334">
            <v>17.429620749261797</v>
          </cell>
          <cell r="BH2334">
            <v>16.109902701379674</v>
          </cell>
          <cell r="BI2334">
            <v>13.839355674417275</v>
          </cell>
          <cell r="BJ2334">
            <v>18.380449728342072</v>
          </cell>
          <cell r="BU2334">
            <v>11.426707055989946</v>
          </cell>
          <cell r="BV2334">
            <v>11.522967903511651</v>
          </cell>
          <cell r="BW2334">
            <v>10.055977276238897</v>
          </cell>
          <cell r="BX2334">
            <v>8.6149332270911767</v>
          </cell>
          <cell r="BY2334">
            <v>11.497021325386617</v>
          </cell>
        </row>
        <row r="2335">
          <cell r="A2335">
            <v>42705</v>
          </cell>
          <cell r="BF2335">
            <v>16.74658010083342</v>
          </cell>
          <cell r="BG2335">
            <v>17.429620749261797</v>
          </cell>
          <cell r="BH2335">
            <v>16.109902701379674</v>
          </cell>
          <cell r="BI2335">
            <v>13.839355674417275</v>
          </cell>
          <cell r="BJ2335">
            <v>18.380449728342072</v>
          </cell>
          <cell r="BU2335">
            <v>11.426707055989946</v>
          </cell>
          <cell r="BV2335">
            <v>11.522967903511651</v>
          </cell>
          <cell r="BW2335">
            <v>10.055977276238897</v>
          </cell>
          <cell r="BX2335">
            <v>8.6149332270911767</v>
          </cell>
          <cell r="BY2335">
            <v>11.497021325386617</v>
          </cell>
        </row>
        <row r="2336">
          <cell r="A2336">
            <v>42706</v>
          </cell>
          <cell r="BF2336">
            <v>16.810266858889857</v>
          </cell>
          <cell r="BG2336">
            <v>17.429620749261797</v>
          </cell>
          <cell r="BH2336">
            <v>16.109902701379674</v>
          </cell>
          <cell r="BI2336">
            <v>13.839355674417275</v>
          </cell>
          <cell r="BJ2336">
            <v>18.380449728342072</v>
          </cell>
          <cell r="BU2336">
            <v>11.34582853108671</v>
          </cell>
          <cell r="BV2336">
            <v>11.522967903511651</v>
          </cell>
          <cell r="BW2336">
            <v>10.055977276238897</v>
          </cell>
          <cell r="BX2336">
            <v>8.6149332270911767</v>
          </cell>
          <cell r="BY2336">
            <v>11.497021325386617</v>
          </cell>
        </row>
        <row r="2337">
          <cell r="A2337">
            <v>42709</v>
          </cell>
          <cell r="BF2337">
            <v>16.937865602235881</v>
          </cell>
          <cell r="BG2337">
            <v>17.429620749261797</v>
          </cell>
          <cell r="BH2337">
            <v>16.109902701379674</v>
          </cell>
          <cell r="BI2337">
            <v>13.839355674417275</v>
          </cell>
          <cell r="BJ2337">
            <v>18.380449728342072</v>
          </cell>
          <cell r="BU2337">
            <v>11.413589132379725</v>
          </cell>
          <cell r="BV2337">
            <v>11.522967903511651</v>
          </cell>
          <cell r="BW2337">
            <v>10.055977276238897</v>
          </cell>
          <cell r="BX2337">
            <v>8.6149332270911767</v>
          </cell>
          <cell r="BY2337">
            <v>11.497021325386617</v>
          </cell>
        </row>
        <row r="2338">
          <cell r="A2338">
            <v>42710</v>
          </cell>
          <cell r="BF2338">
            <v>16.94609991695711</v>
          </cell>
          <cell r="BG2338">
            <v>17.429620749261797</v>
          </cell>
          <cell r="BH2338">
            <v>16.109902701379674</v>
          </cell>
          <cell r="BI2338">
            <v>13.839355674417275</v>
          </cell>
          <cell r="BJ2338">
            <v>18.380449728342072</v>
          </cell>
          <cell r="BU2338">
            <v>11.417961919306263</v>
          </cell>
          <cell r="BV2338">
            <v>11.522967903511651</v>
          </cell>
          <cell r="BW2338">
            <v>10.055977276238897</v>
          </cell>
          <cell r="BX2338">
            <v>8.6149332270911767</v>
          </cell>
          <cell r="BY2338">
            <v>11.497021325386617</v>
          </cell>
        </row>
        <row r="2339">
          <cell r="A2339">
            <v>42711</v>
          </cell>
          <cell r="BF2339">
            <v>17.281756309474556</v>
          </cell>
          <cell r="BG2339">
            <v>17.429620749261797</v>
          </cell>
          <cell r="BH2339">
            <v>16.109902701379674</v>
          </cell>
          <cell r="BI2339">
            <v>13.839355674417275</v>
          </cell>
          <cell r="BJ2339">
            <v>18.380449728342072</v>
          </cell>
          <cell r="BU2339">
            <v>11.549114050905652</v>
          </cell>
          <cell r="BV2339">
            <v>11.522967903511651</v>
          </cell>
          <cell r="BW2339">
            <v>10.055977276238897</v>
          </cell>
          <cell r="BX2339">
            <v>8.6149332270911767</v>
          </cell>
          <cell r="BY2339">
            <v>11.497021325386617</v>
          </cell>
        </row>
        <row r="2340">
          <cell r="A2340">
            <v>42712</v>
          </cell>
          <cell r="BF2340">
            <v>17.281756309474556</v>
          </cell>
          <cell r="BG2340">
            <v>17.429620749261797</v>
          </cell>
          <cell r="BH2340">
            <v>16.109902701379674</v>
          </cell>
          <cell r="BI2340">
            <v>13.839355674417275</v>
          </cell>
          <cell r="BJ2340">
            <v>18.380449728342072</v>
          </cell>
          <cell r="BU2340">
            <v>11.549110772135149</v>
          </cell>
          <cell r="BV2340">
            <v>11.522967903511651</v>
          </cell>
          <cell r="BW2340">
            <v>10.055977276238897</v>
          </cell>
          <cell r="BX2340">
            <v>8.6149332270911767</v>
          </cell>
          <cell r="BY2340">
            <v>11.497021325386617</v>
          </cell>
        </row>
        <row r="2341">
          <cell r="A2341">
            <v>42713</v>
          </cell>
          <cell r="BF2341">
            <v>17.268282534068451</v>
          </cell>
          <cell r="BG2341">
            <v>17.429620749261797</v>
          </cell>
          <cell r="BH2341">
            <v>16.109902701379674</v>
          </cell>
          <cell r="BI2341">
            <v>13.839355674417275</v>
          </cell>
          <cell r="BJ2341">
            <v>18.380449728342072</v>
          </cell>
          <cell r="BU2341">
            <v>11.553009236032311</v>
          </cell>
          <cell r="BV2341">
            <v>11.522967903511651</v>
          </cell>
          <cell r="BW2341">
            <v>10.055977276238897</v>
          </cell>
          <cell r="BX2341">
            <v>8.6149332270911767</v>
          </cell>
          <cell r="BY2341">
            <v>11.497021325386617</v>
          </cell>
        </row>
        <row r="2342">
          <cell r="A2342">
            <v>42716</v>
          </cell>
          <cell r="BF2342">
            <v>17.060230937272443</v>
          </cell>
          <cell r="BG2342">
            <v>17.429620749261797</v>
          </cell>
          <cell r="BH2342">
            <v>16.109902701379674</v>
          </cell>
          <cell r="BI2342">
            <v>13.839355674417275</v>
          </cell>
          <cell r="BJ2342">
            <v>18.380449728342072</v>
          </cell>
          <cell r="BU2342">
            <v>11.443118454443317</v>
          </cell>
          <cell r="BV2342">
            <v>11.522967903511651</v>
          </cell>
          <cell r="BW2342">
            <v>10.055977276238897</v>
          </cell>
          <cell r="BX2342">
            <v>8.6149332270911767</v>
          </cell>
          <cell r="BY2342">
            <v>11.497021325386617</v>
          </cell>
        </row>
        <row r="2343">
          <cell r="A2343">
            <v>42717</v>
          </cell>
          <cell r="BF2343">
            <v>17.314054301466765</v>
          </cell>
          <cell r="BG2343">
            <v>17.429620749261797</v>
          </cell>
          <cell r="BH2343">
            <v>16.109902701379674</v>
          </cell>
          <cell r="BI2343">
            <v>13.839355674417275</v>
          </cell>
          <cell r="BJ2343">
            <v>18.380449728342072</v>
          </cell>
          <cell r="BU2343">
            <v>11.577185427763451</v>
          </cell>
          <cell r="BV2343">
            <v>11.522967903511651</v>
          </cell>
          <cell r="BW2343">
            <v>10.055977276238897</v>
          </cell>
          <cell r="BX2343">
            <v>8.6149332270911767</v>
          </cell>
          <cell r="BY2343">
            <v>11.497021325386617</v>
          </cell>
        </row>
        <row r="2344">
          <cell r="A2344">
            <v>42718</v>
          </cell>
          <cell r="BF2344">
            <v>17.361772209568887</v>
          </cell>
          <cell r="BG2344">
            <v>17.429620749261797</v>
          </cell>
          <cell r="BH2344">
            <v>16.109902701379674</v>
          </cell>
          <cell r="BI2344">
            <v>13.839355674417275</v>
          </cell>
          <cell r="BJ2344">
            <v>18.380449728342072</v>
          </cell>
          <cell r="BU2344">
            <v>11.595173771912664</v>
          </cell>
          <cell r="BV2344">
            <v>11.522967903511651</v>
          </cell>
          <cell r="BW2344">
            <v>10.055977276238897</v>
          </cell>
          <cell r="BX2344">
            <v>8.6149332270911767</v>
          </cell>
          <cell r="BY2344">
            <v>11.497021325386617</v>
          </cell>
        </row>
        <row r="2345">
          <cell r="A2345">
            <v>42719</v>
          </cell>
          <cell r="BF2345">
            <v>17.332784013254948</v>
          </cell>
          <cell r="BG2345">
            <v>17.429620749261797</v>
          </cell>
          <cell r="BH2345">
            <v>16.109902701379674</v>
          </cell>
          <cell r="BI2345">
            <v>13.839355674417275</v>
          </cell>
          <cell r="BJ2345">
            <v>18.380449728342072</v>
          </cell>
          <cell r="BU2345">
            <v>11.595173771912664</v>
          </cell>
          <cell r="BV2345">
            <v>11.522967903511651</v>
          </cell>
          <cell r="BW2345">
            <v>10.055977276238897</v>
          </cell>
          <cell r="BX2345">
            <v>8.6149332270911767</v>
          </cell>
          <cell r="BY2345">
            <v>11.497021325386617</v>
          </cell>
        </row>
        <row r="2346">
          <cell r="A2346">
            <v>42720</v>
          </cell>
          <cell r="BF2346">
            <v>17.448857623884223</v>
          </cell>
          <cell r="BG2346">
            <v>17.429620749261797</v>
          </cell>
          <cell r="BH2346">
            <v>16.109902701379674</v>
          </cell>
          <cell r="BI2346">
            <v>13.839355674417275</v>
          </cell>
          <cell r="BJ2346">
            <v>18.380449728342072</v>
          </cell>
          <cell r="BU2346">
            <v>11.64113047841087</v>
          </cell>
          <cell r="BV2346">
            <v>11.522967903511651</v>
          </cell>
          <cell r="BW2346">
            <v>10.055977276238897</v>
          </cell>
          <cell r="BX2346">
            <v>8.6149332270911767</v>
          </cell>
          <cell r="BY2346">
            <v>11.497021325386617</v>
          </cell>
        </row>
        <row r="2347">
          <cell r="A2347">
            <v>42723</v>
          </cell>
          <cell r="BF2347">
            <v>17.452511293778031</v>
          </cell>
          <cell r="BG2347">
            <v>17.429620749261797</v>
          </cell>
          <cell r="BH2347">
            <v>16.109902701379674</v>
          </cell>
          <cell r="BI2347">
            <v>13.839355674417275</v>
          </cell>
          <cell r="BJ2347">
            <v>18.380449728342072</v>
          </cell>
          <cell r="BU2347">
            <v>11.636752898928426</v>
          </cell>
          <cell r="BV2347">
            <v>11.522967903511651</v>
          </cell>
          <cell r="BW2347">
            <v>10.055977276238897</v>
          </cell>
          <cell r="BX2347">
            <v>8.6149332270911767</v>
          </cell>
          <cell r="BY2347">
            <v>11.497021325386617</v>
          </cell>
        </row>
        <row r="2348">
          <cell r="A2348">
            <v>42724</v>
          </cell>
          <cell r="BF2348">
            <v>17.452511293778031</v>
          </cell>
          <cell r="BG2348">
            <v>17.429620749261797</v>
          </cell>
          <cell r="BH2348">
            <v>16.109902701379674</v>
          </cell>
          <cell r="BI2348">
            <v>13.839355674417275</v>
          </cell>
          <cell r="BJ2348">
            <v>18.380449728342072</v>
          </cell>
          <cell r="BU2348">
            <v>11.636752898928426</v>
          </cell>
          <cell r="BV2348">
            <v>11.522967903511651</v>
          </cell>
          <cell r="BW2348">
            <v>10.055977276238897</v>
          </cell>
          <cell r="BX2348">
            <v>8.6149332270911767</v>
          </cell>
          <cell r="BY2348">
            <v>11.497021325386617</v>
          </cell>
        </row>
        <row r="2349">
          <cell r="A2349">
            <v>42725</v>
          </cell>
          <cell r="BF2349">
            <v>17.47737749533913</v>
          </cell>
          <cell r="BG2349">
            <v>17.429620749261797</v>
          </cell>
          <cell r="BH2349">
            <v>16.109902701379674</v>
          </cell>
          <cell r="BI2349">
            <v>13.839355674417275</v>
          </cell>
          <cell r="BJ2349">
            <v>18.380449728342072</v>
          </cell>
          <cell r="BU2349">
            <v>11.649882573682858</v>
          </cell>
          <cell r="BV2349">
            <v>11.522967903511651</v>
          </cell>
          <cell r="BW2349">
            <v>10.055977276238897</v>
          </cell>
          <cell r="BX2349">
            <v>8.6149332270911767</v>
          </cell>
          <cell r="BY2349">
            <v>11.497021325386617</v>
          </cell>
        </row>
        <row r="2350">
          <cell r="A2350">
            <v>42726</v>
          </cell>
          <cell r="BF2350">
            <v>17.705326517926704</v>
          </cell>
          <cell r="BG2350">
            <v>17.429620749261797</v>
          </cell>
          <cell r="BH2350">
            <v>16.109902701379674</v>
          </cell>
          <cell r="BI2350">
            <v>13.839355674417275</v>
          </cell>
          <cell r="BJ2350">
            <v>18.380449728342072</v>
          </cell>
          <cell r="BU2350">
            <v>11.649882573682858</v>
          </cell>
          <cell r="BV2350">
            <v>11.522967903511651</v>
          </cell>
          <cell r="BW2350">
            <v>10.055977276238897</v>
          </cell>
          <cell r="BX2350">
            <v>8.6149332270911767</v>
          </cell>
          <cell r="BY2350">
            <v>11.497021325386617</v>
          </cell>
        </row>
        <row r="2351">
          <cell r="A2351">
            <v>42727</v>
          </cell>
          <cell r="BF2351">
            <v>17.751480118869907</v>
          </cell>
          <cell r="BG2351">
            <v>17.429620749261797</v>
          </cell>
          <cell r="BH2351">
            <v>16.109902701379674</v>
          </cell>
          <cell r="BI2351">
            <v>13.839355674417275</v>
          </cell>
          <cell r="BJ2351">
            <v>18.380449728342072</v>
          </cell>
          <cell r="BU2351">
            <v>11.794314466861794</v>
          </cell>
          <cell r="BV2351">
            <v>11.522967903511651</v>
          </cell>
          <cell r="BW2351">
            <v>10.055977276238897</v>
          </cell>
          <cell r="BX2351">
            <v>8.6149332270911767</v>
          </cell>
          <cell r="BY2351">
            <v>11.497021325386617</v>
          </cell>
        </row>
        <row r="2352">
          <cell r="A2352">
            <v>42730</v>
          </cell>
          <cell r="BF2352">
            <v>17.852535143090972</v>
          </cell>
          <cell r="BG2352">
            <v>17.429620749261797</v>
          </cell>
          <cell r="BH2352">
            <v>16.109902701379674</v>
          </cell>
          <cell r="BI2352">
            <v>13.839355674417275</v>
          </cell>
          <cell r="BJ2352">
            <v>18.380449728342072</v>
          </cell>
          <cell r="BU2352">
            <v>11.847251793780291</v>
          </cell>
          <cell r="BV2352">
            <v>11.522967903511651</v>
          </cell>
          <cell r="BW2352">
            <v>10.055977276238897</v>
          </cell>
          <cell r="BX2352">
            <v>8.6149332270911767</v>
          </cell>
          <cell r="BY2352">
            <v>11.497021325386617</v>
          </cell>
        </row>
        <row r="2353">
          <cell r="A2353">
            <v>42731</v>
          </cell>
          <cell r="BF2353">
            <v>18.024455066659208</v>
          </cell>
          <cell r="BG2353">
            <v>17.429620749261797</v>
          </cell>
          <cell r="BH2353">
            <v>16.109902701379674</v>
          </cell>
          <cell r="BI2353">
            <v>13.839355674417275</v>
          </cell>
          <cell r="BJ2353">
            <v>18.380449728342072</v>
          </cell>
          <cell r="BU2353">
            <v>11.921551222516156</v>
          </cell>
          <cell r="BV2353">
            <v>11.522967903511651</v>
          </cell>
          <cell r="BW2353">
            <v>10.055977276238897</v>
          </cell>
          <cell r="BX2353">
            <v>8.6149332270911767</v>
          </cell>
          <cell r="BY2353">
            <v>11.497021325386617</v>
          </cell>
        </row>
        <row r="2354">
          <cell r="A2354">
            <v>42732</v>
          </cell>
          <cell r="BF2354">
            <v>18.02859708503318</v>
          </cell>
          <cell r="BG2354">
            <v>17.429620749261797</v>
          </cell>
          <cell r="BH2354">
            <v>16.109902701379674</v>
          </cell>
          <cell r="BI2354">
            <v>13.839355674417275</v>
          </cell>
          <cell r="BJ2354">
            <v>18.380449728342072</v>
          </cell>
          <cell r="BU2354">
            <v>11.923735111587089</v>
          </cell>
          <cell r="BV2354">
            <v>11.522967903511651</v>
          </cell>
          <cell r="BW2354">
            <v>10.055977276238897</v>
          </cell>
          <cell r="BX2354">
            <v>8.6149332270911767</v>
          </cell>
          <cell r="BY2354">
            <v>11.497021325386617</v>
          </cell>
        </row>
        <row r="2355">
          <cell r="A2355">
            <v>42733</v>
          </cell>
          <cell r="BF2355">
            <v>18.14878524556369</v>
          </cell>
          <cell r="BG2355">
            <v>17.429620749261797</v>
          </cell>
          <cell r="BH2355">
            <v>16.109902701379674</v>
          </cell>
          <cell r="BI2355">
            <v>13.839355674417275</v>
          </cell>
          <cell r="BJ2355">
            <v>18.380449728342072</v>
          </cell>
          <cell r="BU2355">
            <v>11.923735111587089</v>
          </cell>
          <cell r="BV2355">
            <v>11.522967903511651</v>
          </cell>
          <cell r="BW2355">
            <v>10.055977276238897</v>
          </cell>
          <cell r="BX2355">
            <v>8.6149332270911767</v>
          </cell>
          <cell r="BY2355">
            <v>11.497021325386617</v>
          </cell>
        </row>
        <row r="2356">
          <cell r="A2356">
            <v>42734</v>
          </cell>
          <cell r="BF2356">
            <v>18.267982337084991</v>
          </cell>
          <cell r="BG2356">
            <v>17.429620749261797</v>
          </cell>
          <cell r="BH2356">
            <v>16.109902701379674</v>
          </cell>
          <cell r="BI2356">
            <v>13.839355674417275</v>
          </cell>
          <cell r="BJ2356">
            <v>18.380449728342072</v>
          </cell>
          <cell r="BU2356">
            <v>12.050477159707912</v>
          </cell>
          <cell r="BV2356">
            <v>11.522967903511651</v>
          </cell>
          <cell r="BW2356">
            <v>10.055977276238897</v>
          </cell>
          <cell r="BX2356">
            <v>8.6149332270911767</v>
          </cell>
          <cell r="BY2356">
            <v>11.497021325386617</v>
          </cell>
        </row>
        <row r="2357">
          <cell r="A2357">
            <v>42737</v>
          </cell>
          <cell r="BF2357">
            <v>18.294328675364618</v>
          </cell>
          <cell r="BG2357">
            <v>17.429620749261797</v>
          </cell>
          <cell r="BH2357">
            <v>16.109902701379674</v>
          </cell>
          <cell r="BI2357">
            <v>13.839355674417275</v>
          </cell>
          <cell r="BJ2357">
            <v>18.380449728342072</v>
          </cell>
          <cell r="BU2357">
            <v>12.066433585996862</v>
          </cell>
          <cell r="BV2357">
            <v>11.522967903511651</v>
          </cell>
          <cell r="BW2357">
            <v>10.055977276238897</v>
          </cell>
          <cell r="BX2357">
            <v>8.6149332270911767</v>
          </cell>
          <cell r="BY2357">
            <v>11.497021325386617</v>
          </cell>
        </row>
        <row r="2358">
          <cell r="A2358">
            <v>42738</v>
          </cell>
          <cell r="BF2358">
            <v>18.629562843425067</v>
          </cell>
          <cell r="BG2358">
            <v>17.429620749261797</v>
          </cell>
          <cell r="BH2358">
            <v>16.109902701379674</v>
          </cell>
          <cell r="BI2358">
            <v>13.839355674417275</v>
          </cell>
          <cell r="BJ2358">
            <v>18.380449728342072</v>
          </cell>
          <cell r="BU2358">
            <v>12.226163549782532</v>
          </cell>
          <cell r="BV2358">
            <v>11.522967903511651</v>
          </cell>
          <cell r="BW2358">
            <v>10.055977276238897</v>
          </cell>
          <cell r="BX2358">
            <v>8.6149332270911767</v>
          </cell>
          <cell r="BY2358">
            <v>11.497021325386617</v>
          </cell>
        </row>
        <row r="2359">
          <cell r="A2359">
            <v>42739</v>
          </cell>
          <cell r="BF2359">
            <v>18.542259993488457</v>
          </cell>
          <cell r="BG2359">
            <v>17.429620749261797</v>
          </cell>
          <cell r="BH2359">
            <v>16.109902701379674</v>
          </cell>
          <cell r="BI2359">
            <v>13.839355674417275</v>
          </cell>
          <cell r="BJ2359">
            <v>18.380449728342072</v>
          </cell>
          <cell r="BU2359">
            <v>12.180215551676628</v>
          </cell>
          <cell r="BV2359">
            <v>11.522967903511651</v>
          </cell>
          <cell r="BW2359">
            <v>10.055977276238897</v>
          </cell>
          <cell r="BX2359">
            <v>8.6149332270911767</v>
          </cell>
          <cell r="BY2359">
            <v>11.497021325386617</v>
          </cell>
        </row>
        <row r="2360">
          <cell r="A2360">
            <v>42740</v>
          </cell>
          <cell r="BF2360">
            <v>18.575596418160909</v>
          </cell>
          <cell r="BG2360">
            <v>17.429620749261797</v>
          </cell>
          <cell r="BH2360">
            <v>16.109902701379674</v>
          </cell>
          <cell r="BI2360">
            <v>13.839355674417275</v>
          </cell>
          <cell r="BJ2360">
            <v>18.380449728342072</v>
          </cell>
          <cell r="BU2360">
            <v>12.10363398438343</v>
          </cell>
          <cell r="BV2360">
            <v>11.522967903511651</v>
          </cell>
          <cell r="BW2360">
            <v>10.055977276238897</v>
          </cell>
          <cell r="BX2360">
            <v>8.6149332270911767</v>
          </cell>
          <cell r="BY2360">
            <v>11.497021325386617</v>
          </cell>
        </row>
        <row r="2361">
          <cell r="A2361">
            <v>42741</v>
          </cell>
          <cell r="BF2361">
            <v>18.755003753490911</v>
          </cell>
          <cell r="BG2361">
            <v>17.429620749261797</v>
          </cell>
          <cell r="BH2361">
            <v>16.109902701379674</v>
          </cell>
          <cell r="BI2361">
            <v>13.839355674417275</v>
          </cell>
          <cell r="BJ2361">
            <v>18.380449728342072</v>
          </cell>
          <cell r="BU2361">
            <v>12.278719114202726</v>
          </cell>
          <cell r="BV2361">
            <v>11.522967903511651</v>
          </cell>
          <cell r="BW2361">
            <v>10.055977276238897</v>
          </cell>
          <cell r="BX2361">
            <v>8.6149332270911767</v>
          </cell>
          <cell r="BY2361">
            <v>11.497021325386617</v>
          </cell>
        </row>
        <row r="2362">
          <cell r="A2362">
            <v>42744</v>
          </cell>
          <cell r="BF2362">
            <v>18.92325948772665</v>
          </cell>
          <cell r="BG2362">
            <v>17.429620749261797</v>
          </cell>
          <cell r="BH2362">
            <v>16.109902701379674</v>
          </cell>
          <cell r="BI2362">
            <v>13.839355674417275</v>
          </cell>
          <cell r="BJ2362">
            <v>18.380449728342072</v>
          </cell>
          <cell r="BU2362">
            <v>12.300498428835853</v>
          </cell>
          <cell r="BV2362">
            <v>11.522967903511651</v>
          </cell>
          <cell r="BW2362">
            <v>10.055977276238897</v>
          </cell>
          <cell r="BX2362">
            <v>8.6149332270911767</v>
          </cell>
          <cell r="BY2362">
            <v>11.497021325386617</v>
          </cell>
        </row>
        <row r="2363">
          <cell r="A2363">
            <v>42745</v>
          </cell>
          <cell r="BF2363">
            <v>18.987710696064781</v>
          </cell>
          <cell r="BG2363">
            <v>17.429620749261797</v>
          </cell>
          <cell r="BH2363">
            <v>16.109902701379674</v>
          </cell>
          <cell r="BI2363">
            <v>13.839355674417275</v>
          </cell>
          <cell r="BJ2363">
            <v>18.380449728342072</v>
          </cell>
          <cell r="BU2363">
            <v>12.328807443593428</v>
          </cell>
          <cell r="BV2363">
            <v>11.522967903511651</v>
          </cell>
          <cell r="BW2363">
            <v>10.055977276238897</v>
          </cell>
          <cell r="BX2363">
            <v>8.6149332270911767</v>
          </cell>
          <cell r="BY2363">
            <v>11.497021325386617</v>
          </cell>
        </row>
        <row r="2364">
          <cell r="A2364">
            <v>42746</v>
          </cell>
          <cell r="BF2364">
            <v>19.10159908425733</v>
          </cell>
          <cell r="BG2364">
            <v>17.429620749261797</v>
          </cell>
          <cell r="BH2364">
            <v>16.109902701379674</v>
          </cell>
          <cell r="BI2364">
            <v>13.839355674417275</v>
          </cell>
          <cell r="BJ2364">
            <v>18.380449728342072</v>
          </cell>
          <cell r="BU2364">
            <v>12.405694875025452</v>
          </cell>
          <cell r="BV2364">
            <v>11.522967903511651</v>
          </cell>
          <cell r="BW2364">
            <v>10.055977276238897</v>
          </cell>
          <cell r="BX2364">
            <v>8.6149332270911767</v>
          </cell>
          <cell r="BY2364">
            <v>11.497021325386617</v>
          </cell>
        </row>
        <row r="2365">
          <cell r="A2365">
            <v>42747</v>
          </cell>
          <cell r="BF2365">
            <v>19.010024211733125</v>
          </cell>
          <cell r="BG2365">
            <v>17.429620749261797</v>
          </cell>
          <cell r="BH2365">
            <v>16.109902701379674</v>
          </cell>
          <cell r="BI2365">
            <v>13.839355674417275</v>
          </cell>
          <cell r="BJ2365">
            <v>18.380449728342072</v>
          </cell>
          <cell r="BU2365">
            <v>12.405694875025452</v>
          </cell>
          <cell r="BV2365">
            <v>11.522967903511651</v>
          </cell>
          <cell r="BW2365">
            <v>10.055977276238897</v>
          </cell>
          <cell r="BX2365">
            <v>8.6149332270911767</v>
          </cell>
          <cell r="BY2365">
            <v>11.497021325386617</v>
          </cell>
        </row>
        <row r="2366">
          <cell r="A2366">
            <v>42748</v>
          </cell>
          <cell r="BF2366">
            <v>18.846463792629336</v>
          </cell>
          <cell r="BG2366">
            <v>17.429620749261797</v>
          </cell>
          <cell r="BH2366">
            <v>16.109902701379674</v>
          </cell>
          <cell r="BI2366">
            <v>13.839355674417275</v>
          </cell>
          <cell r="BJ2366">
            <v>18.380449728342072</v>
          </cell>
          <cell r="BU2366">
            <v>12.180661389346362</v>
          </cell>
          <cell r="BV2366">
            <v>11.522967903511651</v>
          </cell>
          <cell r="BW2366">
            <v>10.055977276238897</v>
          </cell>
          <cell r="BX2366">
            <v>8.6149332270911767</v>
          </cell>
          <cell r="BY2366">
            <v>11.497021325386617</v>
          </cell>
        </row>
        <row r="2367">
          <cell r="A2367">
            <v>42751</v>
          </cell>
          <cell r="BF2367">
            <v>18.34944676693485</v>
          </cell>
          <cell r="BG2367">
            <v>17.429620749261797</v>
          </cell>
          <cell r="BH2367">
            <v>16.109902701379674</v>
          </cell>
          <cell r="BI2367">
            <v>13.839355674417275</v>
          </cell>
          <cell r="BJ2367">
            <v>18.380449728342072</v>
          </cell>
          <cell r="BU2367">
            <v>12.065529727733812</v>
          </cell>
          <cell r="BV2367">
            <v>11.522967903511651</v>
          </cell>
          <cell r="BW2367">
            <v>10.055977276238897</v>
          </cell>
          <cell r="BX2367">
            <v>8.6149332270911767</v>
          </cell>
          <cell r="BY2367">
            <v>11.497021325386617</v>
          </cell>
        </row>
        <row r="2368">
          <cell r="A2368">
            <v>42752</v>
          </cell>
          <cell r="BF2368">
            <v>18.487627037025941</v>
          </cell>
          <cell r="BG2368">
            <v>17.429620749261797</v>
          </cell>
          <cell r="BH2368">
            <v>16.109902701379674</v>
          </cell>
          <cell r="BI2368">
            <v>13.839355674417275</v>
          </cell>
          <cell r="BJ2368">
            <v>18.380449728342072</v>
          </cell>
          <cell r="BU2368">
            <v>12.137944477514386</v>
          </cell>
          <cell r="BV2368">
            <v>11.522967903511651</v>
          </cell>
          <cell r="BW2368">
            <v>10.055977276238897</v>
          </cell>
          <cell r="BX2368">
            <v>8.6149332270911767</v>
          </cell>
          <cell r="BY2368">
            <v>11.497021325386617</v>
          </cell>
        </row>
        <row r="2369">
          <cell r="A2369">
            <v>42753</v>
          </cell>
          <cell r="BF2369">
            <v>18.57975196287304</v>
          </cell>
          <cell r="BG2369">
            <v>17.429620749261797</v>
          </cell>
          <cell r="BH2369">
            <v>16.109902701379674</v>
          </cell>
          <cell r="BI2369">
            <v>13.839355674417275</v>
          </cell>
          <cell r="BJ2369">
            <v>18.380449728342072</v>
          </cell>
          <cell r="BU2369">
            <v>12.109150914024363</v>
          </cell>
          <cell r="BV2369">
            <v>11.522967903511651</v>
          </cell>
          <cell r="BW2369">
            <v>10.055977276238897</v>
          </cell>
          <cell r="BX2369">
            <v>8.6149332270911767</v>
          </cell>
          <cell r="BY2369">
            <v>11.497021325386617</v>
          </cell>
        </row>
        <row r="2370">
          <cell r="A2370">
            <v>42754</v>
          </cell>
          <cell r="BF2370">
            <v>18.596505147086322</v>
          </cell>
          <cell r="BG2370">
            <v>17.429620749261797</v>
          </cell>
          <cell r="BH2370">
            <v>16.109902701379674</v>
          </cell>
          <cell r="BI2370">
            <v>13.839355674417275</v>
          </cell>
          <cell r="BJ2370">
            <v>18.380449728342072</v>
          </cell>
          <cell r="BU2370">
            <v>12.109150914024363</v>
          </cell>
          <cell r="BV2370">
            <v>11.522967903511651</v>
          </cell>
          <cell r="BW2370">
            <v>10.055977276238897</v>
          </cell>
          <cell r="BX2370">
            <v>8.6149332270911767</v>
          </cell>
          <cell r="BY2370">
            <v>11.497021325386617</v>
          </cell>
        </row>
        <row r="2371">
          <cell r="A2371">
            <v>42755</v>
          </cell>
          <cell r="BF2371">
            <v>18.666378711315552</v>
          </cell>
          <cell r="BG2371">
            <v>17.429620749261797</v>
          </cell>
          <cell r="BH2371">
            <v>16.109902701379674</v>
          </cell>
          <cell r="BI2371">
            <v>13.839355674417275</v>
          </cell>
          <cell r="BJ2371">
            <v>18.380449728342072</v>
          </cell>
          <cell r="BU2371">
            <v>12.152695707260257</v>
          </cell>
          <cell r="BV2371">
            <v>11.522967903511651</v>
          </cell>
          <cell r="BW2371">
            <v>10.055977276238897</v>
          </cell>
          <cell r="BX2371">
            <v>8.6149332270911767</v>
          </cell>
          <cell r="BY2371">
            <v>11.497021325386617</v>
          </cell>
        </row>
        <row r="2372">
          <cell r="A2372">
            <v>42758</v>
          </cell>
          <cell r="BF2372">
            <v>18.645915102368946</v>
          </cell>
          <cell r="BG2372">
            <v>17.429620749261797</v>
          </cell>
          <cell r="BH2372">
            <v>16.109902701379674</v>
          </cell>
          <cell r="BI2372">
            <v>13.839355674417275</v>
          </cell>
          <cell r="BJ2372">
            <v>18.380449728342072</v>
          </cell>
          <cell r="BU2372">
            <v>12.157199235317538</v>
          </cell>
          <cell r="BV2372">
            <v>11.522967903511651</v>
          </cell>
          <cell r="BW2372">
            <v>10.055977276238897</v>
          </cell>
          <cell r="BX2372">
            <v>8.6149332270911767</v>
          </cell>
          <cell r="BY2372">
            <v>11.497021325386617</v>
          </cell>
        </row>
        <row r="2373">
          <cell r="A2373">
            <v>42759</v>
          </cell>
          <cell r="BF2373">
            <v>18.92184671612771</v>
          </cell>
          <cell r="BG2373">
            <v>17.429620749261797</v>
          </cell>
          <cell r="BH2373">
            <v>16.109902701379674</v>
          </cell>
          <cell r="BI2373">
            <v>13.839355674417275</v>
          </cell>
          <cell r="BJ2373">
            <v>18.380449728342072</v>
          </cell>
          <cell r="BU2373">
            <v>12.142135799716064</v>
          </cell>
          <cell r="BV2373">
            <v>11.522967903511651</v>
          </cell>
          <cell r="BW2373">
            <v>10.055977276238897</v>
          </cell>
          <cell r="BX2373">
            <v>8.6149332270911767</v>
          </cell>
          <cell r="BY2373">
            <v>11.497021325386617</v>
          </cell>
        </row>
        <row r="2374">
          <cell r="A2374">
            <v>42760</v>
          </cell>
          <cell r="BF2374">
            <v>19.164518027758366</v>
          </cell>
          <cell r="BG2374">
            <v>17.429620749261797</v>
          </cell>
          <cell r="BH2374">
            <v>16.109902701379674</v>
          </cell>
          <cell r="BI2374">
            <v>13.839355674417275</v>
          </cell>
          <cell r="BJ2374">
            <v>18.380449728342072</v>
          </cell>
          <cell r="BU2374">
            <v>12.362843709628784</v>
          </cell>
          <cell r="BV2374">
            <v>11.522967903511651</v>
          </cell>
          <cell r="BW2374">
            <v>10.055977276238897</v>
          </cell>
          <cell r="BX2374">
            <v>8.6149332270911767</v>
          </cell>
          <cell r="BY2374">
            <v>11.497021325386617</v>
          </cell>
        </row>
        <row r="2375">
          <cell r="A2375">
            <v>42761</v>
          </cell>
          <cell r="BF2375">
            <v>19.055719645723343</v>
          </cell>
          <cell r="BG2375">
            <v>17.429620749261797</v>
          </cell>
          <cell r="BH2375">
            <v>16.109902701379674</v>
          </cell>
          <cell r="BI2375">
            <v>13.839355674417275</v>
          </cell>
          <cell r="BJ2375">
            <v>18.380449728342072</v>
          </cell>
          <cell r="BU2375">
            <v>12.362843709628784</v>
          </cell>
          <cell r="BV2375">
            <v>11.522967903511651</v>
          </cell>
          <cell r="BW2375">
            <v>10.055977276238897</v>
          </cell>
          <cell r="BX2375">
            <v>8.6149332270911767</v>
          </cell>
          <cell r="BY2375">
            <v>11.497021325386617</v>
          </cell>
        </row>
        <row r="2376">
          <cell r="A2376">
            <v>42762</v>
          </cell>
          <cell r="BF2376">
            <v>19.0306141292996</v>
          </cell>
          <cell r="BG2376">
            <v>17.429620749261797</v>
          </cell>
          <cell r="BH2376">
            <v>16.109902701379674</v>
          </cell>
          <cell r="BI2376">
            <v>13.839355674417275</v>
          </cell>
          <cell r="BJ2376">
            <v>18.380449728342072</v>
          </cell>
          <cell r="BU2376">
            <v>12.156789265236011</v>
          </cell>
          <cell r="BV2376">
            <v>11.522967903511651</v>
          </cell>
          <cell r="BW2376">
            <v>10.055977276238897</v>
          </cell>
          <cell r="BX2376">
            <v>8.6149332270911767</v>
          </cell>
          <cell r="BY2376">
            <v>11.497021325386617</v>
          </cell>
        </row>
        <row r="2377">
          <cell r="A2377">
            <v>42765</v>
          </cell>
          <cell r="BF2377">
            <v>19.055719645723343</v>
          </cell>
          <cell r="BG2377">
            <v>17.429620749261797</v>
          </cell>
          <cell r="BH2377">
            <v>16.109902701379674</v>
          </cell>
          <cell r="BI2377">
            <v>13.839355674417275</v>
          </cell>
          <cell r="BJ2377">
            <v>18.380449728342072</v>
          </cell>
          <cell r="BU2377">
            <v>12.169646287645485</v>
          </cell>
          <cell r="BV2377">
            <v>11.522967903511651</v>
          </cell>
          <cell r="BW2377">
            <v>10.055977276238897</v>
          </cell>
          <cell r="BX2377">
            <v>8.6149332270911767</v>
          </cell>
          <cell r="BY2377">
            <v>11.497021325386617</v>
          </cell>
        </row>
        <row r="2378">
          <cell r="A2378">
            <v>42766</v>
          </cell>
          <cell r="BF2378">
            <v>18.741890229446028</v>
          </cell>
          <cell r="BG2378">
            <v>17.429620749261797</v>
          </cell>
          <cell r="BH2378">
            <v>16.109902701379674</v>
          </cell>
          <cell r="BI2378">
            <v>13.839355674417275</v>
          </cell>
          <cell r="BJ2378">
            <v>18.380449728342072</v>
          </cell>
          <cell r="BU2378">
            <v>12.008928150255839</v>
          </cell>
          <cell r="BV2378">
            <v>11.522967903511651</v>
          </cell>
          <cell r="BW2378">
            <v>10.055977276238897</v>
          </cell>
          <cell r="BX2378">
            <v>8.6149332270911767</v>
          </cell>
          <cell r="BY2378">
            <v>11.497021325386617</v>
          </cell>
        </row>
        <row r="2379">
          <cell r="A2379">
            <v>42767</v>
          </cell>
          <cell r="BF2379">
            <v>18.549411534976379</v>
          </cell>
          <cell r="BG2379">
            <v>17.429620749261797</v>
          </cell>
          <cell r="BH2379">
            <v>16.109902701379674</v>
          </cell>
          <cell r="BI2379">
            <v>13.839355674417275</v>
          </cell>
          <cell r="BJ2379">
            <v>18.380449728342072</v>
          </cell>
          <cell r="BU2379">
            <v>11.91035607365032</v>
          </cell>
          <cell r="BV2379">
            <v>11.522967903511651</v>
          </cell>
          <cell r="BW2379">
            <v>10.055977276238897</v>
          </cell>
          <cell r="BX2379">
            <v>8.6149332270911767</v>
          </cell>
          <cell r="BY2379">
            <v>11.497021325386617</v>
          </cell>
        </row>
        <row r="2380">
          <cell r="A2380">
            <v>42768</v>
          </cell>
          <cell r="BF2380">
            <v>18.499846008998585</v>
          </cell>
          <cell r="BG2380">
            <v>17.429620749261797</v>
          </cell>
          <cell r="BH2380">
            <v>16.109902701379674</v>
          </cell>
          <cell r="BI2380">
            <v>13.839355674417275</v>
          </cell>
          <cell r="BJ2380">
            <v>18.380449728342072</v>
          </cell>
          <cell r="BU2380">
            <v>11.91035607365032</v>
          </cell>
          <cell r="BV2380">
            <v>11.522967903511651</v>
          </cell>
          <cell r="BW2380">
            <v>10.055977276238897</v>
          </cell>
          <cell r="BX2380">
            <v>8.6149332270911767</v>
          </cell>
          <cell r="BY2380">
            <v>11.497021325386617</v>
          </cell>
        </row>
        <row r="2381">
          <cell r="A2381">
            <v>42769</v>
          </cell>
          <cell r="BF2381">
            <v>18.612823935559955</v>
          </cell>
          <cell r="BG2381">
            <v>17.429620749261797</v>
          </cell>
          <cell r="BH2381">
            <v>16.109902701379674</v>
          </cell>
          <cell r="BI2381">
            <v>13.839355674417275</v>
          </cell>
          <cell r="BJ2381">
            <v>18.380449728342072</v>
          </cell>
          <cell r="BU2381">
            <v>11.942498415383151</v>
          </cell>
          <cell r="BV2381">
            <v>11.522967903511651</v>
          </cell>
          <cell r="BW2381">
            <v>10.055977276238897</v>
          </cell>
          <cell r="BX2381">
            <v>8.6149332270911767</v>
          </cell>
          <cell r="BY2381">
            <v>11.497021325386617</v>
          </cell>
        </row>
        <row r="2382">
          <cell r="A2382">
            <v>42772</v>
          </cell>
          <cell r="BF2382">
            <v>18.704884192909059</v>
          </cell>
          <cell r="BG2382">
            <v>17.429620749261797</v>
          </cell>
          <cell r="BH2382">
            <v>16.109902701379674</v>
          </cell>
          <cell r="BI2382">
            <v>13.839355674417275</v>
          </cell>
          <cell r="BJ2382">
            <v>18.380449728342072</v>
          </cell>
          <cell r="BU2382">
            <v>11.98964261664163</v>
          </cell>
          <cell r="BV2382">
            <v>11.522967903511651</v>
          </cell>
          <cell r="BW2382">
            <v>10.055977276238897</v>
          </cell>
          <cell r="BX2382">
            <v>8.6149332270911767</v>
          </cell>
          <cell r="BY2382">
            <v>11.497021325386617</v>
          </cell>
        </row>
        <row r="2383">
          <cell r="A2383">
            <v>42773</v>
          </cell>
          <cell r="BF2383">
            <v>18.838792760750895</v>
          </cell>
          <cell r="BG2383">
            <v>17.429620749261797</v>
          </cell>
          <cell r="BH2383">
            <v>16.109902701379674</v>
          </cell>
          <cell r="BI2383">
            <v>13.839355674417275</v>
          </cell>
          <cell r="BJ2383">
            <v>18.380449728342072</v>
          </cell>
          <cell r="BU2383">
            <v>12.058217402921343</v>
          </cell>
          <cell r="BV2383">
            <v>11.522967903511651</v>
          </cell>
          <cell r="BW2383">
            <v>10.055977276238897</v>
          </cell>
          <cell r="BX2383">
            <v>8.6149332270911767</v>
          </cell>
          <cell r="BY2383">
            <v>11.497021325386617</v>
          </cell>
        </row>
        <row r="2384">
          <cell r="A2384">
            <v>42774</v>
          </cell>
          <cell r="BF2384">
            <v>18.863898734179081</v>
          </cell>
          <cell r="BG2384">
            <v>17.429620749261797</v>
          </cell>
          <cell r="BH2384">
            <v>16.109902701379674</v>
          </cell>
          <cell r="BI2384">
            <v>13.839355674417275</v>
          </cell>
          <cell r="BJ2384">
            <v>18.380449728342072</v>
          </cell>
          <cell r="BU2384">
            <v>12.071074211039965</v>
          </cell>
          <cell r="BV2384">
            <v>11.522967903511651</v>
          </cell>
          <cell r="BW2384">
            <v>10.055977276238897</v>
          </cell>
          <cell r="BX2384">
            <v>8.6149332270911767</v>
          </cell>
          <cell r="BY2384">
            <v>11.497021325386617</v>
          </cell>
        </row>
        <row r="2385">
          <cell r="A2385">
            <v>42775</v>
          </cell>
          <cell r="BF2385">
            <v>18.943406214040998</v>
          </cell>
          <cell r="BG2385">
            <v>17.429620749261797</v>
          </cell>
          <cell r="BH2385">
            <v>16.109902701379674</v>
          </cell>
          <cell r="BI2385">
            <v>13.839355674417275</v>
          </cell>
          <cell r="BJ2385">
            <v>18.380449728342072</v>
          </cell>
          <cell r="BU2385">
            <v>12.111790115384558</v>
          </cell>
          <cell r="BV2385">
            <v>11.522967903511651</v>
          </cell>
          <cell r="BW2385">
            <v>10.055977276238897</v>
          </cell>
          <cell r="BX2385">
            <v>8.6149332270911767</v>
          </cell>
          <cell r="BY2385">
            <v>11.497021325386617</v>
          </cell>
        </row>
        <row r="2386">
          <cell r="A2386">
            <v>42776</v>
          </cell>
          <cell r="BF2386">
            <v>18.925964727044075</v>
          </cell>
          <cell r="BG2386">
            <v>17.429620749261797</v>
          </cell>
          <cell r="BH2386">
            <v>16.109902701379674</v>
          </cell>
          <cell r="BI2386">
            <v>13.839355674417275</v>
          </cell>
          <cell r="BJ2386">
            <v>18.380449728342072</v>
          </cell>
          <cell r="BU2386">
            <v>12.103216552772796</v>
          </cell>
          <cell r="BV2386">
            <v>11.522967903511651</v>
          </cell>
          <cell r="BW2386">
            <v>10.055977276238897</v>
          </cell>
          <cell r="BX2386">
            <v>8.6149332270911767</v>
          </cell>
          <cell r="BY2386">
            <v>11.497021325386617</v>
          </cell>
        </row>
        <row r="2387">
          <cell r="A2387">
            <v>42779</v>
          </cell>
          <cell r="BF2387">
            <v>18.831812249016917</v>
          </cell>
          <cell r="BG2387">
            <v>17.429620749261797</v>
          </cell>
          <cell r="BH2387">
            <v>16.109902701379674</v>
          </cell>
          <cell r="BI2387">
            <v>13.839355674417275</v>
          </cell>
          <cell r="BJ2387">
            <v>18.380449728342072</v>
          </cell>
          <cell r="BU2387">
            <v>12.050398804796615</v>
          </cell>
          <cell r="BV2387">
            <v>11.522967903511651</v>
          </cell>
          <cell r="BW2387">
            <v>10.055977276238897</v>
          </cell>
          <cell r="BX2387">
            <v>8.6149332270911767</v>
          </cell>
          <cell r="BY2387">
            <v>11.497021325386617</v>
          </cell>
        </row>
        <row r="2388">
          <cell r="A2388">
            <v>42780</v>
          </cell>
          <cell r="BF2388">
            <v>18.748413098867005</v>
          </cell>
          <cell r="BG2388">
            <v>17.429620749261797</v>
          </cell>
          <cell r="BH2388">
            <v>16.109902701379674</v>
          </cell>
          <cell r="BI2388">
            <v>13.839355674417275</v>
          </cell>
          <cell r="BJ2388">
            <v>18.380449728342072</v>
          </cell>
          <cell r="BU2388">
            <v>12.00767536141846</v>
          </cell>
          <cell r="BV2388">
            <v>11.522967903511651</v>
          </cell>
          <cell r="BW2388">
            <v>10.055977276238897</v>
          </cell>
          <cell r="BX2388">
            <v>8.6149332270911767</v>
          </cell>
          <cell r="BY2388">
            <v>11.497021325386617</v>
          </cell>
        </row>
        <row r="2389">
          <cell r="A2389">
            <v>42781</v>
          </cell>
          <cell r="BF2389">
            <v>18.455760434056764</v>
          </cell>
          <cell r="BG2389">
            <v>17.429620749261797</v>
          </cell>
          <cell r="BH2389">
            <v>16.109902701379674</v>
          </cell>
          <cell r="BI2389">
            <v>13.839355674417275</v>
          </cell>
          <cell r="BJ2389">
            <v>18.380449728342072</v>
          </cell>
          <cell r="BU2389">
            <v>11.894168493307108</v>
          </cell>
          <cell r="BV2389">
            <v>11.522967903511651</v>
          </cell>
          <cell r="BW2389">
            <v>10.055977276238897</v>
          </cell>
          <cell r="BX2389">
            <v>8.6149332270911767</v>
          </cell>
          <cell r="BY2389">
            <v>11.497021325386617</v>
          </cell>
        </row>
        <row r="2390">
          <cell r="A2390">
            <v>42782</v>
          </cell>
          <cell r="BF2390">
            <v>18.647743322203674</v>
          </cell>
          <cell r="BG2390">
            <v>17.429620749261797</v>
          </cell>
          <cell r="BH2390">
            <v>16.109902701379674</v>
          </cell>
          <cell r="BI2390">
            <v>13.839355674417275</v>
          </cell>
          <cell r="BJ2390">
            <v>18.380449728342072</v>
          </cell>
          <cell r="BU2390">
            <v>12.050259783651805</v>
          </cell>
          <cell r="BV2390">
            <v>11.522967903511651</v>
          </cell>
          <cell r="BW2390">
            <v>10.055977276238897</v>
          </cell>
          <cell r="BX2390">
            <v>8.6149332270911767</v>
          </cell>
          <cell r="BY2390">
            <v>11.497021325386617</v>
          </cell>
        </row>
        <row r="2391">
          <cell r="A2391">
            <v>42783</v>
          </cell>
          <cell r="BF2391">
            <v>18.576792570951589</v>
          </cell>
          <cell r="BG2391">
            <v>17.429620749261797</v>
          </cell>
          <cell r="BH2391">
            <v>16.109902701379674</v>
          </cell>
          <cell r="BI2391">
            <v>13.839355674417275</v>
          </cell>
          <cell r="BJ2391">
            <v>18.380449728342072</v>
          </cell>
          <cell r="BU2391">
            <v>12.013633495097373</v>
          </cell>
          <cell r="BV2391">
            <v>11.522967903511651</v>
          </cell>
          <cell r="BW2391">
            <v>10.055977276238897</v>
          </cell>
          <cell r="BX2391">
            <v>8.6149332270911767</v>
          </cell>
          <cell r="BY2391">
            <v>11.497021325386617</v>
          </cell>
        </row>
        <row r="2392">
          <cell r="A2392">
            <v>42786</v>
          </cell>
          <cell r="BF2392">
            <v>18.547580550918198</v>
          </cell>
          <cell r="BG2392">
            <v>17.429620749261797</v>
          </cell>
          <cell r="BH2392">
            <v>16.109902701379674</v>
          </cell>
          <cell r="BI2392">
            <v>13.839355674417275</v>
          </cell>
          <cell r="BJ2392">
            <v>18.380449728342072</v>
          </cell>
          <cell r="BU2392">
            <v>11.998553628343048</v>
          </cell>
          <cell r="BV2392">
            <v>11.522967903511651</v>
          </cell>
          <cell r="BW2392">
            <v>10.055977276238897</v>
          </cell>
          <cell r="BX2392">
            <v>8.6149332270911767</v>
          </cell>
          <cell r="BY2392">
            <v>11.497021325386617</v>
          </cell>
        </row>
        <row r="2393">
          <cell r="A2393">
            <v>42787</v>
          </cell>
          <cell r="BF2393">
            <v>18.489150250417364</v>
          </cell>
          <cell r="BG2393">
            <v>17.429620749261797</v>
          </cell>
          <cell r="BH2393">
            <v>16.109902701379674</v>
          </cell>
          <cell r="BI2393">
            <v>13.839355674417275</v>
          </cell>
          <cell r="BJ2393">
            <v>18.380449728342072</v>
          </cell>
          <cell r="BU2393">
            <v>11.998553628343048</v>
          </cell>
          <cell r="BV2393">
            <v>11.522967903511651</v>
          </cell>
          <cell r="BW2393">
            <v>10.055977276238897</v>
          </cell>
          <cell r="BX2393">
            <v>8.6149332270911767</v>
          </cell>
          <cell r="BY2393">
            <v>11.497021325386617</v>
          </cell>
        </row>
        <row r="2394">
          <cell r="A2394">
            <v>42788</v>
          </cell>
          <cell r="BF2394">
            <v>18.314557363370881</v>
          </cell>
          <cell r="BG2394">
            <v>17.429620749261797</v>
          </cell>
          <cell r="BH2394">
            <v>16.109902701379674</v>
          </cell>
          <cell r="BI2394">
            <v>13.839355674417275</v>
          </cell>
          <cell r="BJ2394">
            <v>18.380449728342072</v>
          </cell>
          <cell r="BU2394">
            <v>11.949584096283367</v>
          </cell>
          <cell r="BV2394">
            <v>11.522967903511651</v>
          </cell>
          <cell r="BW2394">
            <v>10.055977276238897</v>
          </cell>
          <cell r="BX2394">
            <v>8.6149332270911767</v>
          </cell>
          <cell r="BY2394">
            <v>11.497021325386617</v>
          </cell>
        </row>
        <row r="2395">
          <cell r="A2395">
            <v>42789</v>
          </cell>
          <cell r="BF2395">
            <v>18.168545682102632</v>
          </cell>
          <cell r="BG2395">
            <v>17.429620749261797</v>
          </cell>
          <cell r="BH2395">
            <v>16.109902701379674</v>
          </cell>
          <cell r="BI2395">
            <v>13.839355674417275</v>
          </cell>
          <cell r="BJ2395">
            <v>18.380449728342072</v>
          </cell>
          <cell r="BU2395">
            <v>11.873750722814378</v>
          </cell>
          <cell r="BV2395">
            <v>11.522967903511651</v>
          </cell>
          <cell r="BW2395">
            <v>10.055977276238897</v>
          </cell>
          <cell r="BX2395">
            <v>8.6149332270911767</v>
          </cell>
          <cell r="BY2395">
            <v>11.497021325386617</v>
          </cell>
        </row>
        <row r="2396">
          <cell r="A2396">
            <v>42790</v>
          </cell>
          <cell r="BF2396">
            <v>18.168545682102632</v>
          </cell>
          <cell r="BG2396">
            <v>17.429620749261797</v>
          </cell>
          <cell r="BH2396">
            <v>16.109902701379674</v>
          </cell>
          <cell r="BI2396">
            <v>13.839355674417275</v>
          </cell>
          <cell r="BJ2396">
            <v>18.380449728342072</v>
          </cell>
          <cell r="BU2396">
            <v>11.873750722814378</v>
          </cell>
          <cell r="BV2396">
            <v>11.522967903511651</v>
          </cell>
          <cell r="BW2396">
            <v>10.055977276238897</v>
          </cell>
          <cell r="BX2396">
            <v>8.6149332270911767</v>
          </cell>
          <cell r="BY2396">
            <v>11.497021325386617</v>
          </cell>
        </row>
        <row r="2397">
          <cell r="A2397">
            <v>42793</v>
          </cell>
          <cell r="BF2397">
            <v>18.30621818940342</v>
          </cell>
          <cell r="BG2397">
            <v>17.429620749261797</v>
          </cell>
          <cell r="BH2397">
            <v>16.109902701379674</v>
          </cell>
          <cell r="BI2397">
            <v>13.839355674417275</v>
          </cell>
          <cell r="BJ2397">
            <v>18.380449728342072</v>
          </cell>
          <cell r="BU2397">
            <v>11.945253020246129</v>
          </cell>
          <cell r="BV2397">
            <v>11.522967903511651</v>
          </cell>
          <cell r="BW2397">
            <v>10.055977276238897</v>
          </cell>
          <cell r="BX2397">
            <v>8.6149332270911767</v>
          </cell>
          <cell r="BY2397">
            <v>11.497021325386617</v>
          </cell>
        </row>
        <row r="2398">
          <cell r="A2398">
            <v>42794</v>
          </cell>
          <cell r="BF2398">
            <v>18.23112098456404</v>
          </cell>
          <cell r="BG2398">
            <v>17.429620749261797</v>
          </cell>
          <cell r="BH2398">
            <v>16.109902701379674</v>
          </cell>
          <cell r="BI2398">
            <v>13.839355674417275</v>
          </cell>
          <cell r="BJ2398">
            <v>18.380449728342072</v>
          </cell>
          <cell r="BU2398">
            <v>11.90625015190302</v>
          </cell>
          <cell r="BV2398">
            <v>11.522967903511651</v>
          </cell>
          <cell r="BW2398">
            <v>10.055977276238897</v>
          </cell>
          <cell r="BX2398">
            <v>8.6149332270911767</v>
          </cell>
          <cell r="BY2398">
            <v>11.497021325386617</v>
          </cell>
        </row>
        <row r="2399">
          <cell r="A2399">
            <v>42795</v>
          </cell>
          <cell r="BF2399">
            <v>18.28118815185649</v>
          </cell>
          <cell r="BG2399">
            <v>17.429620749261797</v>
          </cell>
          <cell r="BH2399">
            <v>16.109902701379674</v>
          </cell>
          <cell r="BI2399">
            <v>13.839355674417275</v>
          </cell>
          <cell r="BJ2399">
            <v>18.380449728342072</v>
          </cell>
          <cell r="BU2399">
            <v>11.932253291945269</v>
          </cell>
          <cell r="BV2399">
            <v>11.522967903511651</v>
          </cell>
          <cell r="BW2399">
            <v>10.055977276238897</v>
          </cell>
          <cell r="BX2399">
            <v>8.6149332270911767</v>
          </cell>
          <cell r="BY2399">
            <v>11.497021325386617</v>
          </cell>
        </row>
        <row r="2400">
          <cell r="A2400">
            <v>42796</v>
          </cell>
          <cell r="BF2400">
            <v>18.468921568627451</v>
          </cell>
          <cell r="BG2400">
            <v>17.429620749261797</v>
          </cell>
          <cell r="BH2400">
            <v>16.109902701379674</v>
          </cell>
          <cell r="BI2400">
            <v>13.839355674417275</v>
          </cell>
          <cell r="BJ2400">
            <v>18.380449728342072</v>
          </cell>
          <cell r="BU2400">
            <v>12.02975547932469</v>
          </cell>
          <cell r="BV2400">
            <v>11.522967903511651</v>
          </cell>
          <cell r="BW2400">
            <v>10.055977276238897</v>
          </cell>
          <cell r="BX2400">
            <v>8.6149332270911767</v>
          </cell>
          <cell r="BY2400">
            <v>11.497021325386617</v>
          </cell>
        </row>
        <row r="2401">
          <cell r="A2401">
            <v>42797</v>
          </cell>
          <cell r="BF2401">
            <v>18.234613499143155</v>
          </cell>
          <cell r="BG2401">
            <v>17.429620749261797</v>
          </cell>
          <cell r="BH2401">
            <v>16.109902701379674</v>
          </cell>
          <cell r="BI2401">
            <v>13.839355674417275</v>
          </cell>
          <cell r="BJ2401">
            <v>18.380449728342072</v>
          </cell>
          <cell r="BU2401">
            <v>11.916720112513747</v>
          </cell>
          <cell r="BV2401">
            <v>11.522967903511651</v>
          </cell>
          <cell r="BW2401">
            <v>10.055977276238897</v>
          </cell>
          <cell r="BX2401">
            <v>8.6149332270911767</v>
          </cell>
          <cell r="BY2401">
            <v>11.497021325386617</v>
          </cell>
        </row>
        <row r="2402">
          <cell r="A2402">
            <v>42800</v>
          </cell>
          <cell r="BF2402">
            <v>18.330979984664825</v>
          </cell>
          <cell r="BG2402">
            <v>17.429620749261797</v>
          </cell>
          <cell r="BH2402">
            <v>16.109902701379674</v>
          </cell>
          <cell r="BI2402">
            <v>13.839355674417275</v>
          </cell>
          <cell r="BJ2402">
            <v>18.380449728342072</v>
          </cell>
          <cell r="BU2402">
            <v>11.966761547541983</v>
          </cell>
          <cell r="BV2402">
            <v>11.522967903511651</v>
          </cell>
          <cell r="BW2402">
            <v>10.055977276238897</v>
          </cell>
          <cell r="BX2402">
            <v>8.6149332270911767</v>
          </cell>
          <cell r="BY2402">
            <v>11.497021325386617</v>
          </cell>
        </row>
        <row r="2403">
          <cell r="A2403">
            <v>42801</v>
          </cell>
          <cell r="BF2403">
            <v>18.542506068342743</v>
          </cell>
          <cell r="BG2403">
            <v>17.429620749261797</v>
          </cell>
          <cell r="BH2403">
            <v>16.109902701379674</v>
          </cell>
          <cell r="BI2403">
            <v>13.839355674417275</v>
          </cell>
          <cell r="BJ2403">
            <v>18.380449728342072</v>
          </cell>
          <cell r="BU2403">
            <v>12.070602418729962</v>
          </cell>
          <cell r="BV2403">
            <v>11.522967903511651</v>
          </cell>
          <cell r="BW2403">
            <v>10.055977276238897</v>
          </cell>
          <cell r="BX2403">
            <v>8.6149332270911767</v>
          </cell>
          <cell r="BY2403">
            <v>11.497021325386617</v>
          </cell>
        </row>
        <row r="2404">
          <cell r="A2404">
            <v>42802</v>
          </cell>
          <cell r="BF2404">
            <v>18.689238805532149</v>
          </cell>
          <cell r="BG2404">
            <v>17.429620749261797</v>
          </cell>
          <cell r="BH2404">
            <v>16.109902701379674</v>
          </cell>
          <cell r="BI2404">
            <v>13.839355674417275</v>
          </cell>
          <cell r="BJ2404">
            <v>18.380449728342072</v>
          </cell>
          <cell r="BU2404">
            <v>12.146751636921017</v>
          </cell>
          <cell r="BV2404">
            <v>11.522967903511651</v>
          </cell>
          <cell r="BW2404">
            <v>10.055977276238897</v>
          </cell>
          <cell r="BX2404">
            <v>8.6149332270911767</v>
          </cell>
          <cell r="BY2404">
            <v>11.497021325386617</v>
          </cell>
        </row>
        <row r="2405">
          <cell r="A2405">
            <v>42803</v>
          </cell>
          <cell r="BF2405">
            <v>18.731154103852596</v>
          </cell>
          <cell r="BG2405">
            <v>17.429620749261797</v>
          </cell>
          <cell r="BH2405">
            <v>16.109902701379674</v>
          </cell>
          <cell r="BI2405">
            <v>13.839355674417275</v>
          </cell>
          <cell r="BJ2405">
            <v>18.380449728342072</v>
          </cell>
          <cell r="BU2405">
            <v>12.179385151298908</v>
          </cell>
          <cell r="BV2405">
            <v>11.522967903511651</v>
          </cell>
          <cell r="BW2405">
            <v>10.055977276238897</v>
          </cell>
          <cell r="BX2405">
            <v>8.6149332270911767</v>
          </cell>
          <cell r="BY2405">
            <v>11.497021325386617</v>
          </cell>
        </row>
        <row r="2406">
          <cell r="A2406">
            <v>42804</v>
          </cell>
          <cell r="BF2406">
            <v>18.630655778894475</v>
          </cell>
          <cell r="BG2406">
            <v>17.429620749261797</v>
          </cell>
          <cell r="BH2406">
            <v>16.109902701379674</v>
          </cell>
          <cell r="BI2406">
            <v>13.839355674417275</v>
          </cell>
          <cell r="BJ2406">
            <v>18.380449728342072</v>
          </cell>
          <cell r="BU2406">
            <v>12.127171615320465</v>
          </cell>
          <cell r="BV2406">
            <v>11.522967903511651</v>
          </cell>
          <cell r="BW2406">
            <v>10.055977276238897</v>
          </cell>
          <cell r="BX2406">
            <v>8.6149332270911767</v>
          </cell>
          <cell r="BY2406">
            <v>11.497021325386617</v>
          </cell>
        </row>
        <row r="2407">
          <cell r="A2407">
            <v>42807</v>
          </cell>
          <cell r="BF2407">
            <v>18.458662602613504</v>
          </cell>
          <cell r="BG2407">
            <v>17.429620749261797</v>
          </cell>
          <cell r="BH2407">
            <v>16.109902701379674</v>
          </cell>
          <cell r="BI2407">
            <v>13.839355674417275</v>
          </cell>
          <cell r="BJ2407">
            <v>18.380449728342072</v>
          </cell>
          <cell r="BU2407">
            <v>12.068035268683463</v>
          </cell>
          <cell r="BV2407">
            <v>11.522967903511651</v>
          </cell>
          <cell r="BW2407">
            <v>10.055977276238897</v>
          </cell>
          <cell r="BX2407">
            <v>8.6149332270911767</v>
          </cell>
          <cell r="BY2407">
            <v>11.497021325386617</v>
          </cell>
        </row>
        <row r="2408">
          <cell r="A2408">
            <v>42808</v>
          </cell>
          <cell r="BF2408">
            <v>18.516852481730965</v>
          </cell>
          <cell r="BG2408">
            <v>17.429620749261797</v>
          </cell>
          <cell r="BH2408">
            <v>16.109902701379674</v>
          </cell>
          <cell r="BI2408">
            <v>13.839355674417275</v>
          </cell>
          <cell r="BJ2408">
            <v>18.380449728342072</v>
          </cell>
          <cell r="BU2408">
            <v>12.098389470461209</v>
          </cell>
          <cell r="BV2408">
            <v>11.522967903511651</v>
          </cell>
          <cell r="BW2408">
            <v>10.055977276238897</v>
          </cell>
          <cell r="BX2408">
            <v>8.6149332270911767</v>
          </cell>
          <cell r="BY2408">
            <v>11.497021325386617</v>
          </cell>
        </row>
        <row r="2409">
          <cell r="A2409">
            <v>42809</v>
          </cell>
          <cell r="BF2409">
            <v>18.521006407815964</v>
          </cell>
          <cell r="BG2409">
            <v>17.429620749261797</v>
          </cell>
          <cell r="BH2409">
            <v>16.109902701379674</v>
          </cell>
          <cell r="BI2409">
            <v>13.839355674417275</v>
          </cell>
          <cell r="BJ2409">
            <v>18.380449728342072</v>
          </cell>
          <cell r="BU2409">
            <v>12.100556326836685</v>
          </cell>
          <cell r="BV2409">
            <v>11.522967903511651</v>
          </cell>
          <cell r="BW2409">
            <v>10.055977276238897</v>
          </cell>
          <cell r="BX2409">
            <v>8.6149332270911767</v>
          </cell>
          <cell r="BY2409">
            <v>11.497021325386617</v>
          </cell>
        </row>
        <row r="2410">
          <cell r="A2410">
            <v>42810</v>
          </cell>
          <cell r="BF2410">
            <v>18.807800214750287</v>
          </cell>
          <cell r="BG2410">
            <v>17.429620749261797</v>
          </cell>
          <cell r="BH2410">
            <v>16.109902701379674</v>
          </cell>
          <cell r="BI2410">
            <v>13.839355674417275</v>
          </cell>
          <cell r="BJ2410">
            <v>18.380449728342072</v>
          </cell>
          <cell r="BU2410">
            <v>12.250159612087023</v>
          </cell>
          <cell r="BV2410">
            <v>11.522967903511651</v>
          </cell>
          <cell r="BW2410">
            <v>10.055977276238897</v>
          </cell>
          <cell r="BX2410">
            <v>8.6149332270911767</v>
          </cell>
          <cell r="BY2410">
            <v>11.497021325386617</v>
          </cell>
        </row>
        <row r="2411">
          <cell r="A2411">
            <v>42811</v>
          </cell>
          <cell r="BF2411">
            <v>18.857675591425849</v>
          </cell>
          <cell r="BG2411">
            <v>17.429620749261797</v>
          </cell>
          <cell r="BH2411">
            <v>16.109902701379674</v>
          </cell>
          <cell r="BI2411">
            <v>13.839355674417275</v>
          </cell>
          <cell r="BJ2411">
            <v>18.380449728342072</v>
          </cell>
          <cell r="BU2411">
            <v>12.351997566171542</v>
          </cell>
          <cell r="BV2411">
            <v>11.522967903511651</v>
          </cell>
          <cell r="BW2411">
            <v>10.055977276238897</v>
          </cell>
          <cell r="BX2411">
            <v>8.6149332270911767</v>
          </cell>
          <cell r="BY2411">
            <v>11.497021325386617</v>
          </cell>
        </row>
        <row r="2412">
          <cell r="A2412">
            <v>42814</v>
          </cell>
          <cell r="BF2412">
            <v>18.533475251984854</v>
          </cell>
          <cell r="BG2412">
            <v>17.429620749261797</v>
          </cell>
          <cell r="BH2412">
            <v>16.109902701379674</v>
          </cell>
          <cell r="BI2412">
            <v>13.839355674417275</v>
          </cell>
          <cell r="BJ2412">
            <v>18.380449728342072</v>
          </cell>
          <cell r="BU2412">
            <v>12.181837010204394</v>
          </cell>
          <cell r="BV2412">
            <v>11.522967903511651</v>
          </cell>
          <cell r="BW2412">
            <v>10.055977276238897</v>
          </cell>
          <cell r="BX2412">
            <v>8.6149332270911767</v>
          </cell>
          <cell r="BY2412">
            <v>11.497021325386617</v>
          </cell>
        </row>
        <row r="2413">
          <cell r="A2413">
            <v>42815</v>
          </cell>
          <cell r="BF2413">
            <v>18.363060372001463</v>
          </cell>
          <cell r="BG2413">
            <v>17.429620749261797</v>
          </cell>
          <cell r="BH2413">
            <v>16.109902701379674</v>
          </cell>
          <cell r="BI2413">
            <v>13.839355674417275</v>
          </cell>
          <cell r="BJ2413">
            <v>18.380449728342072</v>
          </cell>
          <cell r="BU2413">
            <v>12.092392653751688</v>
          </cell>
          <cell r="BV2413">
            <v>11.522967903511651</v>
          </cell>
          <cell r="BW2413">
            <v>10.055977276238897</v>
          </cell>
          <cell r="BX2413">
            <v>8.6149332270911767</v>
          </cell>
          <cell r="BY2413">
            <v>11.497021325386617</v>
          </cell>
        </row>
        <row r="2414">
          <cell r="A2414">
            <v>42816</v>
          </cell>
          <cell r="BF2414">
            <v>18.034706106475468</v>
          </cell>
          <cell r="BG2414">
            <v>17.429620749261797</v>
          </cell>
          <cell r="BH2414">
            <v>16.109902701379674</v>
          </cell>
          <cell r="BI2414">
            <v>13.839355674417275</v>
          </cell>
          <cell r="BJ2414">
            <v>18.380449728342072</v>
          </cell>
          <cell r="BU2414">
            <v>11.920051858327392</v>
          </cell>
          <cell r="BV2414">
            <v>11.522967903511651</v>
          </cell>
          <cell r="BW2414">
            <v>10.055977276238897</v>
          </cell>
          <cell r="BX2414">
            <v>8.6149332270911767</v>
          </cell>
          <cell r="BY2414">
            <v>11.497021325386617</v>
          </cell>
        </row>
        <row r="2415">
          <cell r="A2415">
            <v>42817</v>
          </cell>
          <cell r="BF2415">
            <v>18.022053401763408</v>
          </cell>
          <cell r="BG2415">
            <v>17.429620749261797</v>
          </cell>
          <cell r="BH2415">
            <v>16.109902701379674</v>
          </cell>
          <cell r="BI2415">
            <v>13.839355674417275</v>
          </cell>
          <cell r="BJ2415">
            <v>18.380449728342072</v>
          </cell>
          <cell r="BU2415">
            <v>11.902599034928283</v>
          </cell>
          <cell r="BV2415">
            <v>11.522967903511651</v>
          </cell>
          <cell r="BW2415">
            <v>10.055977276238897</v>
          </cell>
          <cell r="BX2415">
            <v>8.6149332270911767</v>
          </cell>
          <cell r="BY2415">
            <v>11.497021325386617</v>
          </cell>
        </row>
        <row r="2416">
          <cell r="A2416">
            <v>42818</v>
          </cell>
          <cell r="BF2416">
            <v>18.073819314522616</v>
          </cell>
          <cell r="BG2416">
            <v>17.429620749261797</v>
          </cell>
          <cell r="BH2416">
            <v>16.109902701379674</v>
          </cell>
          <cell r="BI2416">
            <v>13.839355674417275</v>
          </cell>
          <cell r="BJ2416">
            <v>18.380449728342072</v>
          </cell>
          <cell r="BU2416">
            <v>11.930960254722805</v>
          </cell>
          <cell r="BV2416">
            <v>11.522967903511651</v>
          </cell>
          <cell r="BW2416">
            <v>10.055977276238897</v>
          </cell>
          <cell r="BX2416">
            <v>8.6149332270911767</v>
          </cell>
          <cell r="BY2416">
            <v>11.497021325386617</v>
          </cell>
        </row>
        <row r="2417">
          <cell r="A2417">
            <v>42821</v>
          </cell>
          <cell r="BF2417">
            <v>18.136226410909384</v>
          </cell>
          <cell r="BG2417">
            <v>17.429620749261797</v>
          </cell>
          <cell r="BH2417">
            <v>16.109902701379674</v>
          </cell>
          <cell r="BI2417">
            <v>13.839355674417275</v>
          </cell>
          <cell r="BJ2417">
            <v>18.380449728342072</v>
          </cell>
          <cell r="BU2417">
            <v>11.963682171586465</v>
          </cell>
          <cell r="BV2417">
            <v>11.522967903511651</v>
          </cell>
          <cell r="BW2417">
            <v>10.055977276238897</v>
          </cell>
          <cell r="BX2417">
            <v>8.6149332270911767</v>
          </cell>
          <cell r="BY2417">
            <v>11.497021325386617</v>
          </cell>
        </row>
        <row r="2418">
          <cell r="A2418">
            <v>42822</v>
          </cell>
          <cell r="BF2418">
            <v>18.005847947133066</v>
          </cell>
          <cell r="BG2418">
            <v>17.429620749261797</v>
          </cell>
          <cell r="BH2418">
            <v>16.109902701379674</v>
          </cell>
          <cell r="BI2418">
            <v>13.839355674417275</v>
          </cell>
          <cell r="BJ2418">
            <v>18.380449728342072</v>
          </cell>
          <cell r="BU2418">
            <v>11.891690638532872</v>
          </cell>
          <cell r="BV2418">
            <v>11.522967903511651</v>
          </cell>
          <cell r="BW2418">
            <v>10.055977276238897</v>
          </cell>
          <cell r="BX2418">
            <v>8.6149332270911767</v>
          </cell>
          <cell r="BY2418">
            <v>11.497021325386617</v>
          </cell>
        </row>
        <row r="2419">
          <cell r="A2419">
            <v>42823</v>
          </cell>
          <cell r="BF2419">
            <v>17.826874542805772</v>
          </cell>
          <cell r="BG2419">
            <v>17.429620749261797</v>
          </cell>
          <cell r="BH2419">
            <v>16.109902701379674</v>
          </cell>
          <cell r="BI2419">
            <v>13.839355674417275</v>
          </cell>
          <cell r="BJ2419">
            <v>18.380449728342072</v>
          </cell>
          <cell r="BU2419">
            <v>11.797885585011029</v>
          </cell>
          <cell r="BV2419">
            <v>11.522967903511651</v>
          </cell>
          <cell r="BW2419">
            <v>10.055977276238897</v>
          </cell>
          <cell r="BX2419">
            <v>8.6149332270911767</v>
          </cell>
          <cell r="BY2419">
            <v>11.497021325386617</v>
          </cell>
        </row>
        <row r="2420">
          <cell r="A2420">
            <v>42824</v>
          </cell>
          <cell r="BF2420">
            <v>17.770498850416367</v>
          </cell>
          <cell r="BG2420">
            <v>17.429620749261797</v>
          </cell>
          <cell r="BH2420">
            <v>16.109902701379674</v>
          </cell>
          <cell r="BI2420">
            <v>13.839355674417275</v>
          </cell>
          <cell r="BJ2420">
            <v>18.380449728342072</v>
          </cell>
          <cell r="BU2420">
            <v>11.728074509569423</v>
          </cell>
          <cell r="BV2420">
            <v>11.522967903511651</v>
          </cell>
          <cell r="BW2420">
            <v>10.055977276238897</v>
          </cell>
          <cell r="BX2420">
            <v>8.6149332270911767</v>
          </cell>
          <cell r="BY2420">
            <v>11.497021325386617</v>
          </cell>
        </row>
        <row r="2421">
          <cell r="A2421">
            <v>42825</v>
          </cell>
          <cell r="BF2421">
            <v>17.917257348632599</v>
          </cell>
          <cell r="BG2421">
            <v>17.429620749261797</v>
          </cell>
          <cell r="BH2421">
            <v>16.109902701379674</v>
          </cell>
          <cell r="BI2421">
            <v>13.839355674417275</v>
          </cell>
          <cell r="BJ2421">
            <v>18.380449728342072</v>
          </cell>
          <cell r="BU2421">
            <v>11.868563003122697</v>
          </cell>
          <cell r="BV2421">
            <v>11.522967903511651</v>
          </cell>
          <cell r="BW2421">
            <v>10.055977276238897</v>
          </cell>
          <cell r="BX2421">
            <v>8.6149332270911767</v>
          </cell>
          <cell r="BY2421">
            <v>11.497021325386617</v>
          </cell>
        </row>
        <row r="2422">
          <cell r="A2422">
            <v>42828</v>
          </cell>
          <cell r="BF2422">
            <v>18.214259807598332</v>
          </cell>
          <cell r="BG2422">
            <v>17.429620749261797</v>
          </cell>
          <cell r="BH2422">
            <v>16.109902701379674</v>
          </cell>
          <cell r="BI2422">
            <v>13.839355674417275</v>
          </cell>
          <cell r="BJ2422">
            <v>18.380449728342072</v>
          </cell>
          <cell r="BU2422">
            <v>12.031554162983443</v>
          </cell>
          <cell r="BV2422">
            <v>11.522967903511651</v>
          </cell>
          <cell r="BW2422">
            <v>10.055977276238897</v>
          </cell>
          <cell r="BX2422">
            <v>8.6149332270911767</v>
          </cell>
          <cell r="BY2422">
            <v>11.497021325386617</v>
          </cell>
        </row>
        <row r="2423">
          <cell r="A2423">
            <v>42829</v>
          </cell>
          <cell r="BF2423">
            <v>18.24357349572368</v>
          </cell>
          <cell r="BG2423">
            <v>17.429620749261797</v>
          </cell>
          <cell r="BH2423">
            <v>16.109902701379674</v>
          </cell>
          <cell r="BI2423">
            <v>13.839355674417275</v>
          </cell>
          <cell r="BJ2423">
            <v>18.380449728342072</v>
          </cell>
          <cell r="BU2423">
            <v>12.046937929997258</v>
          </cell>
          <cell r="BV2423">
            <v>11.522967903511651</v>
          </cell>
          <cell r="BW2423">
            <v>10.055977276238897</v>
          </cell>
          <cell r="BX2423">
            <v>8.6149332270911767</v>
          </cell>
          <cell r="BY2423">
            <v>11.497021325386617</v>
          </cell>
        </row>
        <row r="2424">
          <cell r="A2424">
            <v>42830</v>
          </cell>
          <cell r="BF2424">
            <v>18.038358413363721</v>
          </cell>
          <cell r="BG2424">
            <v>17.429620749261797</v>
          </cell>
          <cell r="BH2424">
            <v>16.109902701379674</v>
          </cell>
          <cell r="BI2424">
            <v>13.839355674417275</v>
          </cell>
          <cell r="BJ2424">
            <v>18.380449728342072</v>
          </cell>
          <cell r="BU2424">
            <v>11.939241450412482</v>
          </cell>
          <cell r="BV2424">
            <v>11.522967903511651</v>
          </cell>
          <cell r="BW2424">
            <v>10.055977276238897</v>
          </cell>
          <cell r="BX2424">
            <v>8.6149332270911767</v>
          </cell>
          <cell r="BY2424">
            <v>11.497021325386617</v>
          </cell>
        </row>
        <row r="2425">
          <cell r="A2425">
            <v>42831</v>
          </cell>
          <cell r="BF2425">
            <v>18.880528795445294</v>
          </cell>
          <cell r="BG2425">
            <v>17.429620749261797</v>
          </cell>
          <cell r="BH2425">
            <v>16.109902701379674</v>
          </cell>
          <cell r="BI2425">
            <v>13.839355674417275</v>
          </cell>
          <cell r="BJ2425">
            <v>18.380449728342072</v>
          </cell>
          <cell r="BU2425">
            <v>12.411107555123463</v>
          </cell>
          <cell r="BV2425">
            <v>11.522967903511651</v>
          </cell>
          <cell r="BW2425">
            <v>10.055977276238897</v>
          </cell>
          <cell r="BX2425">
            <v>8.6149332270911767</v>
          </cell>
          <cell r="BY2425">
            <v>11.497021325386617</v>
          </cell>
        </row>
        <row r="2426">
          <cell r="A2426">
            <v>42832</v>
          </cell>
          <cell r="BF2426">
            <v>18.63861998999824</v>
          </cell>
          <cell r="BG2426">
            <v>17.429620749261797</v>
          </cell>
          <cell r="BH2426">
            <v>16.109902701379674</v>
          </cell>
          <cell r="BI2426">
            <v>13.839355674417275</v>
          </cell>
          <cell r="BJ2426">
            <v>18.380449728342072</v>
          </cell>
          <cell r="BU2426">
            <v>12.078587946491099</v>
          </cell>
          <cell r="BV2426">
            <v>11.522967903511651</v>
          </cell>
          <cell r="BW2426">
            <v>10.055977276238897</v>
          </cell>
          <cell r="BX2426">
            <v>8.6149332270911767</v>
          </cell>
          <cell r="BY2426">
            <v>11.497021325386617</v>
          </cell>
        </row>
        <row r="2427">
          <cell r="A2427">
            <v>42835</v>
          </cell>
          <cell r="BF2427">
            <v>18.626110252521894</v>
          </cell>
          <cell r="BG2427">
            <v>17.429620749261797</v>
          </cell>
          <cell r="BH2427">
            <v>16.109902701379674</v>
          </cell>
          <cell r="BI2427">
            <v>13.839355674417275</v>
          </cell>
          <cell r="BJ2427">
            <v>18.380449728342072</v>
          </cell>
          <cell r="BU2427">
            <v>12.046049119111803</v>
          </cell>
          <cell r="BV2427">
            <v>11.522967903511651</v>
          </cell>
          <cell r="BW2427">
            <v>10.055977276238897</v>
          </cell>
          <cell r="BX2427">
            <v>8.6149332270911767</v>
          </cell>
          <cell r="BY2427">
            <v>11.497021325386617</v>
          </cell>
        </row>
        <row r="2428">
          <cell r="A2428">
            <v>42836</v>
          </cell>
          <cell r="BF2428">
            <v>18.653872614690631</v>
          </cell>
          <cell r="BG2428">
            <v>17.429620749261797</v>
          </cell>
          <cell r="BH2428">
            <v>16.109902701379674</v>
          </cell>
          <cell r="BI2428">
            <v>13.839355674417275</v>
          </cell>
          <cell r="BJ2428">
            <v>18.380449728342072</v>
          </cell>
          <cell r="BU2428">
            <v>12.041586640910985</v>
          </cell>
          <cell r="BV2428">
            <v>11.522967903511651</v>
          </cell>
          <cell r="BW2428">
            <v>10.055977276238897</v>
          </cell>
          <cell r="BX2428">
            <v>8.6149332270911767</v>
          </cell>
          <cell r="BY2428">
            <v>11.497021325386617</v>
          </cell>
        </row>
        <row r="2429">
          <cell r="A2429">
            <v>42837</v>
          </cell>
          <cell r="BF2429">
            <v>18.755808470765874</v>
          </cell>
          <cell r="BG2429">
            <v>17.429620749261797</v>
          </cell>
          <cell r="BH2429">
            <v>16.109902701379674</v>
          </cell>
          <cell r="BI2429">
            <v>13.839355674417275</v>
          </cell>
          <cell r="BJ2429">
            <v>18.380449728342072</v>
          </cell>
          <cell r="BU2429">
            <v>12.095126786911161</v>
          </cell>
          <cell r="BV2429">
            <v>11.522967903511651</v>
          </cell>
          <cell r="BW2429">
            <v>10.055977276238897</v>
          </cell>
          <cell r="BX2429">
            <v>8.6149332270911767</v>
          </cell>
          <cell r="BY2429">
            <v>11.497021325386617</v>
          </cell>
        </row>
        <row r="2430">
          <cell r="A2430">
            <v>42838</v>
          </cell>
          <cell r="BF2430">
            <v>19.87500843412316</v>
          </cell>
          <cell r="BG2430">
            <v>17.429620749261797</v>
          </cell>
          <cell r="BH2430">
            <v>16.109902701379674</v>
          </cell>
          <cell r="BI2430">
            <v>13.839355674417275</v>
          </cell>
          <cell r="BJ2430">
            <v>18.380449728342072</v>
          </cell>
          <cell r="BU2430">
            <v>12.706141154100187</v>
          </cell>
          <cell r="BV2430">
            <v>11.522967903511651</v>
          </cell>
          <cell r="BW2430">
            <v>10.055977276238897</v>
          </cell>
          <cell r="BX2430">
            <v>8.6149332270911767</v>
          </cell>
          <cell r="BY2430">
            <v>11.497021325386617</v>
          </cell>
        </row>
        <row r="2431">
          <cell r="A2431">
            <v>42839</v>
          </cell>
          <cell r="BF2431">
            <v>19.815970008267513</v>
          </cell>
          <cell r="BG2431">
            <v>17.429620749261797</v>
          </cell>
          <cell r="BH2431">
            <v>16.109902701379674</v>
          </cell>
          <cell r="BI2431">
            <v>13.839355674417275</v>
          </cell>
          <cell r="BJ2431">
            <v>18.380449728342072</v>
          </cell>
          <cell r="BU2431">
            <v>12.677256874303424</v>
          </cell>
          <cell r="BV2431">
            <v>11.522967903511651</v>
          </cell>
          <cell r="BW2431">
            <v>10.055977276238897</v>
          </cell>
          <cell r="BX2431">
            <v>8.6149332270911767</v>
          </cell>
          <cell r="BY2431">
            <v>11.497021325386617</v>
          </cell>
        </row>
        <row r="2432">
          <cell r="A2432">
            <v>42842</v>
          </cell>
          <cell r="BF2432">
            <v>19.719682735189995</v>
          </cell>
          <cell r="BG2432">
            <v>17.429620749261797</v>
          </cell>
          <cell r="BH2432">
            <v>16.109902701379674</v>
          </cell>
          <cell r="BI2432">
            <v>13.839355674417275</v>
          </cell>
          <cell r="BJ2432">
            <v>18.380449728342072</v>
          </cell>
          <cell r="BU2432">
            <v>12.596232438822977</v>
          </cell>
          <cell r="BV2432">
            <v>11.522967903511651</v>
          </cell>
          <cell r="BW2432">
            <v>10.055977276238897</v>
          </cell>
          <cell r="BX2432">
            <v>8.6149332270911767</v>
          </cell>
          <cell r="BY2432">
            <v>11.497021325386617</v>
          </cell>
        </row>
        <row r="2433">
          <cell r="A2433">
            <v>42843</v>
          </cell>
          <cell r="BF2433">
            <v>19.579531535359866</v>
          </cell>
          <cell r="BG2433">
            <v>17.429620749261797</v>
          </cell>
          <cell r="BH2433">
            <v>16.109902701379674</v>
          </cell>
          <cell r="BI2433">
            <v>13.839355674417275</v>
          </cell>
          <cell r="BJ2433">
            <v>18.380449728342072</v>
          </cell>
          <cell r="BU2433">
            <v>12.522650249569226</v>
          </cell>
          <cell r="BV2433">
            <v>11.522967903511651</v>
          </cell>
          <cell r="BW2433">
            <v>10.055977276238897</v>
          </cell>
          <cell r="BX2433">
            <v>8.6149332270911767</v>
          </cell>
          <cell r="BY2433">
            <v>11.497021325386617</v>
          </cell>
        </row>
        <row r="2434">
          <cell r="A2434">
            <v>42844</v>
          </cell>
          <cell r="BF2434">
            <v>19.562538967935783</v>
          </cell>
          <cell r="BG2434">
            <v>17.429620749261797</v>
          </cell>
          <cell r="BH2434">
            <v>16.109902701379674</v>
          </cell>
          <cell r="BI2434">
            <v>13.839355674417275</v>
          </cell>
          <cell r="BJ2434">
            <v>18.380449728342072</v>
          </cell>
          <cell r="BU2434">
            <v>12.513728811054099</v>
          </cell>
          <cell r="BV2434">
            <v>11.522967903511651</v>
          </cell>
          <cell r="BW2434">
            <v>10.055977276238897</v>
          </cell>
          <cell r="BX2434">
            <v>8.6149332270911767</v>
          </cell>
          <cell r="BY2434">
            <v>11.497021325386617</v>
          </cell>
        </row>
        <row r="2435">
          <cell r="A2435">
            <v>42845</v>
          </cell>
          <cell r="BF2435">
            <v>19.592272244639968</v>
          </cell>
          <cell r="BG2435">
            <v>17.429620749261797</v>
          </cell>
          <cell r="BH2435">
            <v>16.109902701379674</v>
          </cell>
          <cell r="BI2435">
            <v>13.839355674417275</v>
          </cell>
          <cell r="BJ2435">
            <v>18.380449728342072</v>
          </cell>
          <cell r="BU2435">
            <v>12.529339377329904</v>
          </cell>
          <cell r="BV2435">
            <v>11.522967903511651</v>
          </cell>
          <cell r="BW2435">
            <v>10.055977276238897</v>
          </cell>
          <cell r="BX2435">
            <v>8.6149332270911767</v>
          </cell>
          <cell r="BY2435">
            <v>11.497021325386617</v>
          </cell>
        </row>
        <row r="2436">
          <cell r="A2436">
            <v>42846</v>
          </cell>
          <cell r="BF2436">
            <v>19.592272244639968</v>
          </cell>
          <cell r="BG2436">
            <v>17.429620749261797</v>
          </cell>
          <cell r="BH2436">
            <v>16.109902701379674</v>
          </cell>
          <cell r="BI2436">
            <v>13.839355674417275</v>
          </cell>
          <cell r="BJ2436">
            <v>18.380449728342072</v>
          </cell>
          <cell r="BU2436">
            <v>12.529339377329904</v>
          </cell>
          <cell r="BV2436">
            <v>11.522967903511651</v>
          </cell>
          <cell r="BW2436">
            <v>10.055977276238897</v>
          </cell>
          <cell r="BX2436">
            <v>8.6149332270911767</v>
          </cell>
          <cell r="BY2436">
            <v>11.497021325386617</v>
          </cell>
        </row>
        <row r="2437">
          <cell r="A2437">
            <v>42849</v>
          </cell>
          <cell r="BF2437">
            <v>19.660222552560978</v>
          </cell>
          <cell r="BG2437">
            <v>17.429620749261797</v>
          </cell>
          <cell r="BH2437">
            <v>16.109902701379674</v>
          </cell>
          <cell r="BI2437">
            <v>13.839355674417275</v>
          </cell>
          <cell r="BJ2437">
            <v>18.380449728342072</v>
          </cell>
          <cell r="BU2437">
            <v>12.565014651058238</v>
          </cell>
          <cell r="BV2437">
            <v>11.522967903511651</v>
          </cell>
          <cell r="BW2437">
            <v>10.055977276238897</v>
          </cell>
          <cell r="BX2437">
            <v>8.6149332270911767</v>
          </cell>
          <cell r="BY2437">
            <v>11.497021325386617</v>
          </cell>
        </row>
        <row r="2438">
          <cell r="A2438">
            <v>42850</v>
          </cell>
          <cell r="BF2438">
            <v>19.830113824593273</v>
          </cell>
          <cell r="BG2438">
            <v>17.429620749261797</v>
          </cell>
          <cell r="BH2438">
            <v>16.109902701379674</v>
          </cell>
          <cell r="BI2438">
            <v>13.839355674417275</v>
          </cell>
          <cell r="BJ2438">
            <v>18.380449728342072</v>
          </cell>
          <cell r="BU2438">
            <v>12.654210974360446</v>
          </cell>
          <cell r="BV2438">
            <v>11.522967903511651</v>
          </cell>
          <cell r="BW2438">
            <v>10.055977276238897</v>
          </cell>
          <cell r="BX2438">
            <v>8.6149332270911767</v>
          </cell>
          <cell r="BY2438">
            <v>11.497021325386617</v>
          </cell>
        </row>
        <row r="2439">
          <cell r="A2439">
            <v>42851</v>
          </cell>
          <cell r="BF2439">
            <v>19.847099596519374</v>
          </cell>
          <cell r="BG2439">
            <v>17.429620749261797</v>
          </cell>
          <cell r="BH2439">
            <v>16.109902701379674</v>
          </cell>
          <cell r="BI2439">
            <v>13.839355674417275</v>
          </cell>
          <cell r="BJ2439">
            <v>18.380449728342072</v>
          </cell>
          <cell r="BU2439">
            <v>12.663128845102918</v>
          </cell>
          <cell r="BV2439">
            <v>11.522967903511651</v>
          </cell>
          <cell r="BW2439">
            <v>10.055977276238897</v>
          </cell>
          <cell r="BX2439">
            <v>8.6149332270911767</v>
          </cell>
          <cell r="BY2439">
            <v>11.497021325386617</v>
          </cell>
        </row>
        <row r="2440">
          <cell r="A2440">
            <v>42852</v>
          </cell>
          <cell r="BF2440">
            <v>19.88957400722229</v>
          </cell>
          <cell r="BG2440">
            <v>17.429620749261797</v>
          </cell>
          <cell r="BH2440">
            <v>16.109902701379674</v>
          </cell>
          <cell r="BI2440">
            <v>13.839355674417275</v>
          </cell>
          <cell r="BJ2440">
            <v>18.380449728342072</v>
          </cell>
          <cell r="BU2440">
            <v>12.685428762125188</v>
          </cell>
          <cell r="BV2440">
            <v>11.522967903511651</v>
          </cell>
          <cell r="BW2440">
            <v>10.055977276238897</v>
          </cell>
          <cell r="BX2440">
            <v>8.6149332270911767</v>
          </cell>
          <cell r="BY2440">
            <v>11.497021325386617</v>
          </cell>
        </row>
        <row r="2441">
          <cell r="A2441">
            <v>42853</v>
          </cell>
          <cell r="BF2441">
            <v>19.910811212573744</v>
          </cell>
          <cell r="BG2441">
            <v>17.429620749261797</v>
          </cell>
          <cell r="BH2441">
            <v>16.109902701379674</v>
          </cell>
          <cell r="BI2441">
            <v>13.839355674417275</v>
          </cell>
          <cell r="BJ2441">
            <v>18.380449728342072</v>
          </cell>
          <cell r="BU2441">
            <v>12.696578720636321</v>
          </cell>
          <cell r="BV2441">
            <v>11.522967903511651</v>
          </cell>
          <cell r="BW2441">
            <v>10.055977276238897</v>
          </cell>
          <cell r="BX2441">
            <v>8.6149332270911767</v>
          </cell>
          <cell r="BY2441">
            <v>11.497021325386617</v>
          </cell>
        </row>
        <row r="2442">
          <cell r="A2442">
            <v>42856</v>
          </cell>
          <cell r="BF2442">
            <v>20.059458908475225</v>
          </cell>
          <cell r="BG2442">
            <v>17.429620749261797</v>
          </cell>
          <cell r="BH2442">
            <v>16.109902701379674</v>
          </cell>
          <cell r="BI2442">
            <v>13.839355674417275</v>
          </cell>
          <cell r="BJ2442">
            <v>18.380449728342072</v>
          </cell>
          <cell r="BU2442">
            <v>12.774621740640532</v>
          </cell>
          <cell r="BV2442">
            <v>11.522967903511651</v>
          </cell>
          <cell r="BW2442">
            <v>10.055977276238897</v>
          </cell>
          <cell r="BX2442">
            <v>8.6149332270911767</v>
          </cell>
          <cell r="BY2442">
            <v>11.497021325386617</v>
          </cell>
        </row>
        <row r="2443">
          <cell r="A2443">
            <v>42857</v>
          </cell>
          <cell r="BF2443">
            <v>20.216609471227418</v>
          </cell>
          <cell r="BG2443">
            <v>17.429620749261797</v>
          </cell>
          <cell r="BH2443">
            <v>16.109902701379674</v>
          </cell>
          <cell r="BI2443">
            <v>13.839355674417275</v>
          </cell>
          <cell r="BJ2443">
            <v>18.380449728342072</v>
          </cell>
          <cell r="BU2443">
            <v>12.857128936182065</v>
          </cell>
          <cell r="BV2443">
            <v>11.522967903511651</v>
          </cell>
          <cell r="BW2443">
            <v>10.055977276238897</v>
          </cell>
          <cell r="BX2443">
            <v>8.6149332270911767</v>
          </cell>
          <cell r="BY2443">
            <v>11.497021325386617</v>
          </cell>
        </row>
        <row r="2444">
          <cell r="A2444">
            <v>42858</v>
          </cell>
          <cell r="BF2444">
            <v>20.267573582503704</v>
          </cell>
          <cell r="BG2444">
            <v>17.429620749261797</v>
          </cell>
          <cell r="BH2444">
            <v>16.109902701379674</v>
          </cell>
          <cell r="BI2444">
            <v>13.839355674417275</v>
          </cell>
          <cell r="BJ2444">
            <v>18.380449728342072</v>
          </cell>
          <cell r="BU2444">
            <v>12.883886116182136</v>
          </cell>
          <cell r="BV2444">
            <v>11.522967903511651</v>
          </cell>
          <cell r="BW2444">
            <v>10.055977276238897</v>
          </cell>
          <cell r="BX2444">
            <v>8.6149332270911767</v>
          </cell>
          <cell r="BY2444">
            <v>11.497021325386617</v>
          </cell>
        </row>
        <row r="2445">
          <cell r="A2445">
            <v>42859</v>
          </cell>
          <cell r="BF2445">
            <v>20.356760671057547</v>
          </cell>
          <cell r="BG2445">
            <v>17.429620749261797</v>
          </cell>
          <cell r="BH2445">
            <v>16.109902701379674</v>
          </cell>
          <cell r="BI2445">
            <v>13.839355674417275</v>
          </cell>
          <cell r="BJ2445">
            <v>18.380449728342072</v>
          </cell>
          <cell r="BU2445">
            <v>12.930711125435815</v>
          </cell>
          <cell r="BV2445">
            <v>11.522967903511651</v>
          </cell>
          <cell r="BW2445">
            <v>10.055977276238897</v>
          </cell>
          <cell r="BX2445">
            <v>8.6149332270911767</v>
          </cell>
          <cell r="BY2445">
            <v>11.497021325386617</v>
          </cell>
        </row>
        <row r="2446">
          <cell r="A2446">
            <v>42860</v>
          </cell>
          <cell r="BF2446">
            <v>20.318537693779987</v>
          </cell>
          <cell r="BG2446">
            <v>17.429620749261797</v>
          </cell>
          <cell r="BH2446">
            <v>16.109902701379674</v>
          </cell>
          <cell r="BI2446">
            <v>13.839355674417275</v>
          </cell>
          <cell r="BJ2446">
            <v>18.380449728342072</v>
          </cell>
          <cell r="BU2446">
            <v>12.910643296182208</v>
          </cell>
          <cell r="BV2446">
            <v>11.522967903511651</v>
          </cell>
          <cell r="BW2446">
            <v>10.055977276238897</v>
          </cell>
          <cell r="BX2446">
            <v>8.6149332270911767</v>
          </cell>
          <cell r="BY2446">
            <v>11.497021325386617</v>
          </cell>
        </row>
        <row r="2447">
          <cell r="A2447">
            <v>42863</v>
          </cell>
          <cell r="BF2447">
            <v>20.30579655978126</v>
          </cell>
          <cell r="BG2447">
            <v>17.429620749261797</v>
          </cell>
          <cell r="BH2447">
            <v>16.109902701379674</v>
          </cell>
          <cell r="BI2447">
            <v>13.839355674417275</v>
          </cell>
          <cell r="BJ2447">
            <v>18.380449728342072</v>
          </cell>
          <cell r="BU2447">
            <v>12.903953945435743</v>
          </cell>
          <cell r="BV2447">
            <v>11.522967903511651</v>
          </cell>
          <cell r="BW2447">
            <v>10.055977276238897</v>
          </cell>
          <cell r="BX2447">
            <v>8.6149332270911767</v>
          </cell>
          <cell r="BY2447">
            <v>11.497021325386617</v>
          </cell>
        </row>
        <row r="2448">
          <cell r="A2448">
            <v>42864</v>
          </cell>
          <cell r="BF2448">
            <v>20.220854109154793</v>
          </cell>
          <cell r="BG2448">
            <v>17.429620749261797</v>
          </cell>
          <cell r="BH2448">
            <v>16.109902701379674</v>
          </cell>
          <cell r="BI2448">
            <v>13.839355674417275</v>
          </cell>
          <cell r="BJ2448">
            <v>18.380449728342072</v>
          </cell>
          <cell r="BU2448">
            <v>12.859357456178071</v>
          </cell>
          <cell r="BV2448">
            <v>11.522967903511651</v>
          </cell>
          <cell r="BW2448">
            <v>10.055977276238897</v>
          </cell>
          <cell r="BX2448">
            <v>8.6149332270911767</v>
          </cell>
          <cell r="BY2448">
            <v>11.497021325386617</v>
          </cell>
        </row>
        <row r="2449">
          <cell r="A2449">
            <v>42865</v>
          </cell>
          <cell r="BF2449">
            <v>20.288810787855159</v>
          </cell>
          <cell r="BG2449">
            <v>17.429620749261797</v>
          </cell>
          <cell r="BH2449">
            <v>16.109902701379674</v>
          </cell>
          <cell r="BI2449">
            <v>13.839355674417275</v>
          </cell>
          <cell r="BJ2449">
            <v>18.380449728342072</v>
          </cell>
          <cell r="BU2449">
            <v>12.808182816167506</v>
          </cell>
          <cell r="BV2449">
            <v>11.522967903511651</v>
          </cell>
          <cell r="BW2449">
            <v>10.055977276238897</v>
          </cell>
          <cell r="BX2449">
            <v>8.6149332270911767</v>
          </cell>
          <cell r="BY2449">
            <v>11.497021325386617</v>
          </cell>
        </row>
        <row r="2450">
          <cell r="A2450">
            <v>42866</v>
          </cell>
          <cell r="BF2450">
            <v>20.212358037802062</v>
          </cell>
          <cell r="BG2450">
            <v>17.429620749261797</v>
          </cell>
          <cell r="BH2450">
            <v>16.109902701379674</v>
          </cell>
          <cell r="BI2450">
            <v>13.839355674417275</v>
          </cell>
          <cell r="BJ2450">
            <v>18.380449728342072</v>
          </cell>
          <cell r="BU2450">
            <v>12.768370872276673</v>
          </cell>
          <cell r="BV2450">
            <v>11.522967903511651</v>
          </cell>
          <cell r="BW2450">
            <v>10.055977276238897</v>
          </cell>
          <cell r="BX2450">
            <v>8.6149332270911767</v>
          </cell>
          <cell r="BY2450">
            <v>11.497021325386617</v>
          </cell>
        </row>
        <row r="2451">
          <cell r="A2451">
            <v>42867</v>
          </cell>
          <cell r="BF2451">
            <v>19.942472087972671</v>
          </cell>
          <cell r="BG2451">
            <v>17.429620749261797</v>
          </cell>
          <cell r="BH2451">
            <v>16.109902701379674</v>
          </cell>
          <cell r="BI2451">
            <v>13.839355674417275</v>
          </cell>
          <cell r="BJ2451">
            <v>18.380449728342072</v>
          </cell>
          <cell r="BU2451">
            <v>12.626823584988708</v>
          </cell>
          <cell r="BV2451">
            <v>11.522967903511651</v>
          </cell>
          <cell r="BW2451">
            <v>10.055977276238897</v>
          </cell>
          <cell r="BX2451">
            <v>8.6149332270911767</v>
          </cell>
          <cell r="BY2451">
            <v>11.497021325386617</v>
          </cell>
        </row>
        <row r="2452">
          <cell r="A2452">
            <v>42870</v>
          </cell>
          <cell r="BF2452">
            <v>20.037512876665531</v>
          </cell>
          <cell r="BG2452">
            <v>17.429620749261797</v>
          </cell>
          <cell r="BH2452">
            <v>16.109902701379674</v>
          </cell>
          <cell r="BI2452">
            <v>13.839355674417275</v>
          </cell>
          <cell r="BJ2452">
            <v>18.380449728342072</v>
          </cell>
          <cell r="BU2452">
            <v>12.703310068858835</v>
          </cell>
          <cell r="BV2452">
            <v>11.522967903511651</v>
          </cell>
          <cell r="BW2452">
            <v>10.055977276238897</v>
          </cell>
          <cell r="BX2452">
            <v>8.6149332270911767</v>
          </cell>
          <cell r="BY2452">
            <v>11.497021325386617</v>
          </cell>
        </row>
        <row r="2453">
          <cell r="A2453">
            <v>42871</v>
          </cell>
          <cell r="BF2453">
            <v>20.037512876665531</v>
          </cell>
          <cell r="BG2453">
            <v>17.429620749261797</v>
          </cell>
          <cell r="BH2453">
            <v>16.109902701379674</v>
          </cell>
          <cell r="BI2453">
            <v>13.839355674417275</v>
          </cell>
          <cell r="BJ2453">
            <v>18.380449728342072</v>
          </cell>
          <cell r="BU2453">
            <v>12.703310068858835</v>
          </cell>
          <cell r="BV2453">
            <v>11.522967903511651</v>
          </cell>
          <cell r="BW2453">
            <v>10.055977276238897</v>
          </cell>
          <cell r="BX2453">
            <v>8.6149332270911767</v>
          </cell>
          <cell r="BY2453">
            <v>11.497021325386617</v>
          </cell>
        </row>
        <row r="2454">
          <cell r="A2454">
            <v>42872</v>
          </cell>
          <cell r="BF2454">
            <v>20.040136474067818</v>
          </cell>
          <cell r="BG2454">
            <v>17.429620749261797</v>
          </cell>
          <cell r="BH2454">
            <v>16.109902701379674</v>
          </cell>
          <cell r="BI2454">
            <v>13.839355674417275</v>
          </cell>
          <cell r="BJ2454">
            <v>18.380449728342072</v>
          </cell>
          <cell r="BU2454">
            <v>12.685681945758803</v>
          </cell>
          <cell r="BV2454">
            <v>11.522967903511651</v>
          </cell>
          <cell r="BW2454">
            <v>10.055977276238897</v>
          </cell>
          <cell r="BX2454">
            <v>8.6149332270911767</v>
          </cell>
          <cell r="BY2454">
            <v>11.497021325386617</v>
          </cell>
        </row>
        <row r="2455">
          <cell r="A2455">
            <v>42873</v>
          </cell>
          <cell r="BF2455">
            <v>18.654270201753462</v>
          </cell>
          <cell r="BG2455">
            <v>17.429620749261797</v>
          </cell>
          <cell r="BH2455">
            <v>16.109902701379674</v>
          </cell>
          <cell r="BI2455">
            <v>13.839355674417275</v>
          </cell>
          <cell r="BJ2455">
            <v>18.380449728342072</v>
          </cell>
          <cell r="BU2455">
            <v>11.962947187377923</v>
          </cell>
          <cell r="BV2455">
            <v>11.522967903511651</v>
          </cell>
          <cell r="BW2455">
            <v>10.055977276238897</v>
          </cell>
          <cell r="BX2455">
            <v>8.6149332270911767</v>
          </cell>
          <cell r="BY2455">
            <v>11.497021325386617</v>
          </cell>
        </row>
        <row r="2456">
          <cell r="A2456">
            <v>42874</v>
          </cell>
          <cell r="BF2456">
            <v>18.761624444202646</v>
          </cell>
          <cell r="BG2456">
            <v>17.429620749261797</v>
          </cell>
          <cell r="BH2456">
            <v>16.109902701379674</v>
          </cell>
          <cell r="BI2456">
            <v>13.839355674417275</v>
          </cell>
          <cell r="BJ2456">
            <v>18.380449728342072</v>
          </cell>
          <cell r="BU2456">
            <v>12.018033694902838</v>
          </cell>
          <cell r="BV2456">
            <v>11.522967903511651</v>
          </cell>
          <cell r="BW2456">
            <v>10.055977276238897</v>
          </cell>
          <cell r="BX2456">
            <v>8.6149332270911767</v>
          </cell>
          <cell r="BY2456">
            <v>11.497021325386617</v>
          </cell>
        </row>
        <row r="2457">
          <cell r="A2457">
            <v>42877</v>
          </cell>
          <cell r="BF2457">
            <v>18.592603313075145</v>
          </cell>
          <cell r="BG2457">
            <v>17.429620749261797</v>
          </cell>
          <cell r="BH2457">
            <v>16.109902701379674</v>
          </cell>
          <cell r="BI2457">
            <v>13.839355674417275</v>
          </cell>
          <cell r="BJ2457">
            <v>18.380449728342072</v>
          </cell>
          <cell r="BU2457">
            <v>11.929896604939154</v>
          </cell>
          <cell r="BV2457">
            <v>11.522967903511651</v>
          </cell>
          <cell r="BW2457">
            <v>10.055977276238897</v>
          </cell>
          <cell r="BX2457">
            <v>8.6149332270911767</v>
          </cell>
          <cell r="BY2457">
            <v>11.497021325386617</v>
          </cell>
        </row>
        <row r="2458">
          <cell r="A2458">
            <v>42878</v>
          </cell>
          <cell r="BF2458">
            <v>18.332662559152539</v>
          </cell>
          <cell r="BG2458">
            <v>17.429620749261797</v>
          </cell>
          <cell r="BH2458">
            <v>16.109902701379674</v>
          </cell>
          <cell r="BI2458">
            <v>13.839355674417275</v>
          </cell>
          <cell r="BJ2458">
            <v>18.380449728342072</v>
          </cell>
          <cell r="BU2458">
            <v>11.797057447613298</v>
          </cell>
          <cell r="BV2458">
            <v>11.522967903511651</v>
          </cell>
          <cell r="BW2458">
            <v>10.055977276238897</v>
          </cell>
          <cell r="BX2458">
            <v>8.6149332270911767</v>
          </cell>
          <cell r="BY2458">
            <v>11.497021325386617</v>
          </cell>
        </row>
        <row r="2459">
          <cell r="A2459">
            <v>42879</v>
          </cell>
          <cell r="BF2459">
            <v>18.265012668182411</v>
          </cell>
          <cell r="BG2459">
            <v>17.429620749261797</v>
          </cell>
          <cell r="BH2459">
            <v>16.109902701379674</v>
          </cell>
          <cell r="BI2459">
            <v>13.839355674417275</v>
          </cell>
          <cell r="BJ2459">
            <v>18.380449728342072</v>
          </cell>
          <cell r="BU2459">
            <v>11.761776731777742</v>
          </cell>
          <cell r="BV2459">
            <v>11.522967903511651</v>
          </cell>
          <cell r="BW2459">
            <v>10.055977276238897</v>
          </cell>
          <cell r="BX2459">
            <v>8.6149332270911767</v>
          </cell>
          <cell r="BY2459">
            <v>11.497021325386617</v>
          </cell>
        </row>
        <row r="2460">
          <cell r="A2460">
            <v>42880</v>
          </cell>
          <cell r="BF2460">
            <v>18.232933840625659</v>
          </cell>
          <cell r="BG2460">
            <v>17.429620749261797</v>
          </cell>
          <cell r="BH2460">
            <v>16.109902701379674</v>
          </cell>
          <cell r="BI2460">
            <v>13.839355674417275</v>
          </cell>
          <cell r="BJ2460">
            <v>18.380449728342072</v>
          </cell>
          <cell r="BU2460">
            <v>11.746340260980141</v>
          </cell>
          <cell r="BV2460">
            <v>11.522967903511651</v>
          </cell>
          <cell r="BW2460">
            <v>10.055977276238897</v>
          </cell>
          <cell r="BX2460">
            <v>8.6149332270911767</v>
          </cell>
          <cell r="BY2460">
            <v>11.497021325386617</v>
          </cell>
        </row>
        <row r="2461">
          <cell r="A2461">
            <v>42881</v>
          </cell>
          <cell r="BF2461">
            <v>17.969170447335102</v>
          </cell>
          <cell r="BG2461">
            <v>17.429620749261797</v>
          </cell>
          <cell r="BH2461">
            <v>16.109902701379674</v>
          </cell>
          <cell r="BI2461">
            <v>13.839355674417275</v>
          </cell>
          <cell r="BJ2461">
            <v>18.380449728342072</v>
          </cell>
          <cell r="BU2461">
            <v>11.435203858089761</v>
          </cell>
          <cell r="BV2461">
            <v>11.522967903511651</v>
          </cell>
          <cell r="BW2461">
            <v>10.055977276238897</v>
          </cell>
          <cell r="BX2461">
            <v>8.6149332270911767</v>
          </cell>
          <cell r="BY2461">
            <v>11.497021325386617</v>
          </cell>
        </row>
        <row r="2462">
          <cell r="A2462">
            <v>42884</v>
          </cell>
          <cell r="BF2462">
            <v>18.21447733755943</v>
          </cell>
          <cell r="BG2462">
            <v>17.429620749261797</v>
          </cell>
          <cell r="BH2462">
            <v>16.109902701379674</v>
          </cell>
          <cell r="BI2462">
            <v>13.839355674417275</v>
          </cell>
          <cell r="BJ2462">
            <v>18.380449728342072</v>
          </cell>
          <cell r="BU2462">
            <v>11.738049979162955</v>
          </cell>
          <cell r="BV2462">
            <v>11.522967903511651</v>
          </cell>
          <cell r="BW2462">
            <v>10.055977276238897</v>
          </cell>
          <cell r="BX2462">
            <v>8.6149332270911767</v>
          </cell>
          <cell r="BY2462">
            <v>11.497021325386617</v>
          </cell>
        </row>
        <row r="2463">
          <cell r="A2463">
            <v>42885</v>
          </cell>
          <cell r="BF2463">
            <v>18.159535974643426</v>
          </cell>
          <cell r="BG2463">
            <v>17.429620749261797</v>
          </cell>
          <cell r="BH2463">
            <v>16.109902701379674</v>
          </cell>
          <cell r="BI2463">
            <v>13.839355674417275</v>
          </cell>
          <cell r="BJ2463">
            <v>18.380449728342072</v>
          </cell>
          <cell r="BU2463">
            <v>11.709388111590929</v>
          </cell>
          <cell r="BV2463">
            <v>11.522967903511651</v>
          </cell>
          <cell r="BW2463">
            <v>10.055977276238897</v>
          </cell>
          <cell r="BX2463">
            <v>8.6149332270911767</v>
          </cell>
          <cell r="BY2463">
            <v>11.497021325386617</v>
          </cell>
        </row>
        <row r="2464">
          <cell r="A2464">
            <v>42886</v>
          </cell>
          <cell r="BF2464">
            <v>18.180667723190702</v>
          </cell>
          <cell r="BG2464">
            <v>17.429620749261797</v>
          </cell>
          <cell r="BH2464">
            <v>16.109902701379674</v>
          </cell>
          <cell r="BI2464">
            <v>13.839355674417275</v>
          </cell>
          <cell r="BJ2464">
            <v>18.380449728342072</v>
          </cell>
          <cell r="BU2464">
            <v>11.720412144237395</v>
          </cell>
          <cell r="BV2464">
            <v>11.522967903511651</v>
          </cell>
          <cell r="BW2464">
            <v>10.055977276238897</v>
          </cell>
          <cell r="BX2464">
            <v>8.6149332270911767</v>
          </cell>
          <cell r="BY2464">
            <v>11.497021325386617</v>
          </cell>
        </row>
        <row r="2465">
          <cell r="A2465">
            <v>42887</v>
          </cell>
          <cell r="BF2465">
            <v>18.146858108821974</v>
          </cell>
          <cell r="BG2465">
            <v>17.429620749261797</v>
          </cell>
          <cell r="BH2465">
            <v>16.109902701379674</v>
          </cell>
          <cell r="BI2465">
            <v>13.839355674417275</v>
          </cell>
          <cell r="BJ2465">
            <v>18.380449728342072</v>
          </cell>
          <cell r="BU2465">
            <v>11.702771002300466</v>
          </cell>
          <cell r="BV2465">
            <v>11.522967903511651</v>
          </cell>
          <cell r="BW2465">
            <v>10.055977276238897</v>
          </cell>
          <cell r="BX2465">
            <v>8.6149332270911767</v>
          </cell>
          <cell r="BY2465">
            <v>11.497021325386617</v>
          </cell>
        </row>
        <row r="2466">
          <cell r="A2466">
            <v>42888</v>
          </cell>
          <cell r="BF2466">
            <v>18.125726360274697</v>
          </cell>
          <cell r="BG2466">
            <v>17.429620749261797</v>
          </cell>
          <cell r="BH2466">
            <v>16.109902701379674</v>
          </cell>
          <cell r="BI2466">
            <v>13.839355674417275</v>
          </cell>
          <cell r="BJ2466">
            <v>18.380449728342072</v>
          </cell>
          <cell r="BU2466">
            <v>11.691770343091962</v>
          </cell>
          <cell r="BV2466">
            <v>11.522967903511651</v>
          </cell>
          <cell r="BW2466">
            <v>10.055977276238897</v>
          </cell>
          <cell r="BX2466">
            <v>8.6149332270911767</v>
          </cell>
          <cell r="BY2466">
            <v>11.497021325386617</v>
          </cell>
        </row>
        <row r="2467">
          <cell r="A2467">
            <v>42891</v>
          </cell>
          <cell r="BF2467">
            <v>18.172213417855257</v>
          </cell>
          <cell r="BG2467">
            <v>17.429620749261797</v>
          </cell>
          <cell r="BH2467">
            <v>16.109902701379674</v>
          </cell>
          <cell r="BI2467">
            <v>13.839355674417275</v>
          </cell>
          <cell r="BJ2467">
            <v>18.380449728342072</v>
          </cell>
          <cell r="BU2467">
            <v>11.691770343091962</v>
          </cell>
          <cell r="BV2467">
            <v>11.522967903511651</v>
          </cell>
          <cell r="BW2467">
            <v>10.055977276238897</v>
          </cell>
          <cell r="BX2467">
            <v>8.6149332270911767</v>
          </cell>
          <cell r="BY2467">
            <v>11.497021325386617</v>
          </cell>
        </row>
        <row r="2468">
          <cell r="A2468">
            <v>42892</v>
          </cell>
          <cell r="BF2468">
            <v>18.172213417855257</v>
          </cell>
          <cell r="BG2468">
            <v>17.429620749261797</v>
          </cell>
          <cell r="BH2468">
            <v>16.109902701379674</v>
          </cell>
          <cell r="BI2468">
            <v>13.839355674417275</v>
          </cell>
          <cell r="BJ2468">
            <v>18.380449728342072</v>
          </cell>
          <cell r="BU2468">
            <v>11.691770343091962</v>
          </cell>
          <cell r="BV2468">
            <v>11.522967903511651</v>
          </cell>
          <cell r="BW2468">
            <v>10.055977276238897</v>
          </cell>
          <cell r="BX2468">
            <v>8.6149332270911767</v>
          </cell>
          <cell r="BY2468">
            <v>11.497021325386617</v>
          </cell>
        </row>
        <row r="2469">
          <cell r="A2469">
            <v>42893</v>
          </cell>
          <cell r="BF2469">
            <v>18.131473261466923</v>
          </cell>
          <cell r="BG2469">
            <v>17.429620749261797</v>
          </cell>
          <cell r="BH2469">
            <v>16.109902701379674</v>
          </cell>
          <cell r="BI2469">
            <v>13.839355674417275</v>
          </cell>
          <cell r="BJ2469">
            <v>18.380449728342072</v>
          </cell>
          <cell r="BU2469">
            <v>11.693871010040379</v>
          </cell>
          <cell r="BV2469">
            <v>11.522967903511651</v>
          </cell>
          <cell r="BW2469">
            <v>10.055977276238897</v>
          </cell>
          <cell r="BX2469">
            <v>8.6149332270911767</v>
          </cell>
          <cell r="BY2469">
            <v>11.497021325386617</v>
          </cell>
        </row>
        <row r="2470">
          <cell r="A2470">
            <v>42894</v>
          </cell>
          <cell r="BF2470">
            <v>17.911644895370959</v>
          </cell>
          <cell r="BG2470">
            <v>17.429620749261797</v>
          </cell>
          <cell r="BH2470">
            <v>16.109902701379674</v>
          </cell>
          <cell r="BI2470">
            <v>13.839355674417275</v>
          </cell>
          <cell r="BJ2470">
            <v>18.380449728342072</v>
          </cell>
          <cell r="BU2470">
            <v>11.693871010040379</v>
          </cell>
          <cell r="BV2470">
            <v>11.522967903511651</v>
          </cell>
          <cell r="BW2470">
            <v>10.055977276238897</v>
          </cell>
          <cell r="BX2470">
            <v>8.6149332270911767</v>
          </cell>
          <cell r="BY2470">
            <v>11.497021325386617</v>
          </cell>
        </row>
        <row r="2471">
          <cell r="A2471">
            <v>42895</v>
          </cell>
          <cell r="BF2471">
            <v>17.835554005495666</v>
          </cell>
          <cell r="BG2471">
            <v>17.429620749261797</v>
          </cell>
          <cell r="BH2471">
            <v>16.109902701379674</v>
          </cell>
          <cell r="BI2471">
            <v>13.839355674417275</v>
          </cell>
          <cell r="BJ2471">
            <v>18.380449728342072</v>
          </cell>
          <cell r="BU2471">
            <v>11.53951648117191</v>
          </cell>
          <cell r="BV2471">
            <v>11.522967903511651</v>
          </cell>
          <cell r="BW2471">
            <v>10.055977276238897</v>
          </cell>
          <cell r="BX2471">
            <v>8.6149332270911767</v>
          </cell>
          <cell r="BY2471">
            <v>11.497021325386617</v>
          </cell>
        </row>
        <row r="2472">
          <cell r="A2472">
            <v>42898</v>
          </cell>
          <cell r="BF2472">
            <v>17.636864087930672</v>
          </cell>
          <cell r="BG2472">
            <v>17.429620749261797</v>
          </cell>
          <cell r="BH2472">
            <v>16.109902701379674</v>
          </cell>
          <cell r="BI2472">
            <v>13.839355674417275</v>
          </cell>
          <cell r="BJ2472">
            <v>18.380449728342072</v>
          </cell>
          <cell r="BU2472">
            <v>11.435877775687873</v>
          </cell>
          <cell r="BV2472">
            <v>11.522967903511651</v>
          </cell>
          <cell r="BW2472">
            <v>10.055977276238897</v>
          </cell>
          <cell r="BX2472">
            <v>8.6149332270911767</v>
          </cell>
          <cell r="BY2472">
            <v>11.497021325386617</v>
          </cell>
        </row>
        <row r="2473">
          <cell r="A2473">
            <v>42899</v>
          </cell>
          <cell r="BF2473">
            <v>17.114657706847574</v>
          </cell>
          <cell r="BG2473">
            <v>17.429620749261797</v>
          </cell>
          <cell r="BH2473">
            <v>16.109902701379674</v>
          </cell>
          <cell r="BI2473">
            <v>13.839355674417275</v>
          </cell>
          <cell r="BJ2473">
            <v>18.380449728342072</v>
          </cell>
          <cell r="BU2473">
            <v>11.182095467719119</v>
          </cell>
          <cell r="BV2473">
            <v>11.522967903511651</v>
          </cell>
          <cell r="BW2473">
            <v>10.055977276238897</v>
          </cell>
          <cell r="BX2473">
            <v>8.6149332270911767</v>
          </cell>
          <cell r="BY2473">
            <v>11.497021325386617</v>
          </cell>
        </row>
        <row r="2474">
          <cell r="A2474">
            <v>42900</v>
          </cell>
          <cell r="BF2474">
            <v>16.816461150778665</v>
          </cell>
          <cell r="BG2474">
            <v>17.429620749261797</v>
          </cell>
          <cell r="BH2474">
            <v>16.109902701379674</v>
          </cell>
          <cell r="BI2474">
            <v>13.839355674417275</v>
          </cell>
          <cell r="BJ2474">
            <v>18.380449728342072</v>
          </cell>
          <cell r="BU2474">
            <v>11.026090394040761</v>
          </cell>
          <cell r="BV2474">
            <v>11.522967903511651</v>
          </cell>
          <cell r="BW2474">
            <v>10.055977276238897</v>
          </cell>
          <cell r="BX2474">
            <v>8.6149332270911767</v>
          </cell>
          <cell r="BY2474">
            <v>11.497021325386617</v>
          </cell>
        </row>
        <row r="2475">
          <cell r="A2475">
            <v>42901</v>
          </cell>
          <cell r="BF2475">
            <v>16.661066358674489</v>
          </cell>
          <cell r="BG2475">
            <v>17.429620749261797</v>
          </cell>
          <cell r="BH2475">
            <v>16.109902701379674</v>
          </cell>
          <cell r="BI2475">
            <v>13.839355674417275</v>
          </cell>
          <cell r="BJ2475">
            <v>18.380449728342072</v>
          </cell>
          <cell r="BU2475">
            <v>10.942594327777739</v>
          </cell>
          <cell r="BV2475">
            <v>11.522967903511651</v>
          </cell>
          <cell r="BW2475">
            <v>10.055977276238897</v>
          </cell>
          <cell r="BX2475">
            <v>8.6149332270911767</v>
          </cell>
          <cell r="BY2475">
            <v>11.497021325386617</v>
          </cell>
        </row>
        <row r="2476">
          <cell r="A2476">
            <v>42902</v>
          </cell>
          <cell r="BF2476">
            <v>16.251774521624398</v>
          </cell>
          <cell r="BG2476">
            <v>17.429620749261797</v>
          </cell>
          <cell r="BH2476">
            <v>16.109902701379674</v>
          </cell>
          <cell r="BI2476">
            <v>13.839355674417275</v>
          </cell>
          <cell r="BJ2476">
            <v>18.380449728342072</v>
          </cell>
          <cell r="BU2476">
            <v>10.797462880254841</v>
          </cell>
          <cell r="BV2476">
            <v>11.522967903511651</v>
          </cell>
          <cell r="BW2476">
            <v>10.055977276238897</v>
          </cell>
          <cell r="BX2476">
            <v>8.6149332270911767</v>
          </cell>
          <cell r="BY2476">
            <v>11.497021325386617</v>
          </cell>
        </row>
        <row r="2477">
          <cell r="A2477">
            <v>42905</v>
          </cell>
          <cell r="BF2477">
            <v>16.251774521624398</v>
          </cell>
          <cell r="BG2477">
            <v>17.429620749261797</v>
          </cell>
          <cell r="BH2477">
            <v>16.109902701379674</v>
          </cell>
          <cell r="BI2477">
            <v>13.839355674417275</v>
          </cell>
          <cell r="BJ2477">
            <v>18.380449728342072</v>
          </cell>
          <cell r="BU2477">
            <v>10.797462880254841</v>
          </cell>
          <cell r="BV2477">
            <v>11.522967903511651</v>
          </cell>
          <cell r="BW2477">
            <v>10.055977276238897</v>
          </cell>
          <cell r="BX2477">
            <v>8.6149332270911767</v>
          </cell>
          <cell r="BY2477">
            <v>11.497021325386617</v>
          </cell>
        </row>
        <row r="2478">
          <cell r="A2478">
            <v>42906</v>
          </cell>
          <cell r="BF2478">
            <v>16.273466797423875</v>
          </cell>
          <cell r="BG2478">
            <v>17.429620749261797</v>
          </cell>
          <cell r="BH2478">
            <v>16.109902701379674</v>
          </cell>
          <cell r="BI2478">
            <v>13.839355674417275</v>
          </cell>
          <cell r="BJ2478">
            <v>18.380449728342072</v>
          </cell>
          <cell r="BU2478">
            <v>10.686063642198455</v>
          </cell>
          <cell r="BV2478">
            <v>11.522967903511651</v>
          </cell>
          <cell r="BW2478">
            <v>10.055977276238897</v>
          </cell>
          <cell r="BX2478">
            <v>8.6149332270911767</v>
          </cell>
          <cell r="BY2478">
            <v>11.497021325386617</v>
          </cell>
        </row>
        <row r="2479">
          <cell r="A2479">
            <v>42907</v>
          </cell>
          <cell r="BF2479">
            <v>16.025499439620543</v>
          </cell>
          <cell r="BG2479">
            <v>17.429620749261797</v>
          </cell>
          <cell r="BH2479">
            <v>16.109902701379674</v>
          </cell>
          <cell r="BI2479">
            <v>13.839355674417275</v>
          </cell>
          <cell r="BJ2479">
            <v>18.380449728342072</v>
          </cell>
          <cell r="BU2479">
            <v>10.557189152977887</v>
          </cell>
          <cell r="BV2479">
            <v>11.522967903511651</v>
          </cell>
          <cell r="BW2479">
            <v>10.055977276238897</v>
          </cell>
          <cell r="BX2479">
            <v>8.6149332270911767</v>
          </cell>
          <cell r="BY2479">
            <v>11.497021325386617</v>
          </cell>
        </row>
        <row r="2480">
          <cell r="A2480">
            <v>42908</v>
          </cell>
          <cell r="BF2480">
            <v>15.748109554498635</v>
          </cell>
          <cell r="BG2480">
            <v>17.429620749261797</v>
          </cell>
          <cell r="BH2480">
            <v>16.109902701379674</v>
          </cell>
          <cell r="BI2480">
            <v>13.839355674417275</v>
          </cell>
          <cell r="BJ2480">
            <v>18.380449728342072</v>
          </cell>
          <cell r="BU2480">
            <v>10.41301958685998</v>
          </cell>
          <cell r="BV2480">
            <v>11.522967903511651</v>
          </cell>
          <cell r="BW2480">
            <v>10.055977276238897</v>
          </cell>
          <cell r="BX2480">
            <v>8.6149332270911767</v>
          </cell>
          <cell r="BY2480">
            <v>11.497021325386617</v>
          </cell>
        </row>
        <row r="2481">
          <cell r="A2481">
            <v>42909</v>
          </cell>
          <cell r="BF2481">
            <v>15.96343680473599</v>
          </cell>
          <cell r="BG2481">
            <v>17.429620749261797</v>
          </cell>
          <cell r="BH2481">
            <v>16.109902701379674</v>
          </cell>
          <cell r="BI2481">
            <v>13.839355674417275</v>
          </cell>
          <cell r="BJ2481">
            <v>18.380449728342072</v>
          </cell>
          <cell r="BU2481">
            <v>10.524422319835537</v>
          </cell>
          <cell r="BV2481">
            <v>11.522967903511651</v>
          </cell>
          <cell r="BW2481">
            <v>10.055977276238897</v>
          </cell>
          <cell r="BX2481">
            <v>8.6149332270911767</v>
          </cell>
          <cell r="BY2481">
            <v>11.497021325386617</v>
          </cell>
        </row>
        <row r="2482">
          <cell r="A2482">
            <v>42912</v>
          </cell>
          <cell r="BF2482">
            <v>15.913379417294696</v>
          </cell>
          <cell r="BG2482">
            <v>17.429620749261797</v>
          </cell>
          <cell r="BH2482">
            <v>16.109902701379674</v>
          </cell>
          <cell r="BI2482">
            <v>13.839355674417275</v>
          </cell>
          <cell r="BJ2482">
            <v>18.380449728342072</v>
          </cell>
          <cell r="BU2482">
            <v>10.547520595318678</v>
          </cell>
          <cell r="BV2482">
            <v>11.522967903511651</v>
          </cell>
          <cell r="BW2482">
            <v>10.055977276238897</v>
          </cell>
          <cell r="BX2482">
            <v>8.6149332270911767</v>
          </cell>
          <cell r="BY2482">
            <v>11.497021325386617</v>
          </cell>
        </row>
        <row r="2483">
          <cell r="A2483">
            <v>42913</v>
          </cell>
          <cell r="BF2483">
            <v>15.42685153701969</v>
          </cell>
          <cell r="BG2483">
            <v>17.429620749261797</v>
          </cell>
          <cell r="BH2483">
            <v>16.109902701379674</v>
          </cell>
          <cell r="BI2483">
            <v>13.839355674417275</v>
          </cell>
          <cell r="BJ2483">
            <v>18.380449728342072</v>
          </cell>
          <cell r="BU2483">
            <v>10.336223090609364</v>
          </cell>
          <cell r="BV2483">
            <v>11.522967903511651</v>
          </cell>
          <cell r="BW2483">
            <v>10.055977276238897</v>
          </cell>
          <cell r="BX2483">
            <v>8.6149332270911767</v>
          </cell>
          <cell r="BY2483">
            <v>11.497021325386617</v>
          </cell>
        </row>
        <row r="2484">
          <cell r="A2484">
            <v>42914</v>
          </cell>
          <cell r="BF2484">
            <v>15.652784606625071</v>
          </cell>
          <cell r="BG2484">
            <v>17.429620749261797</v>
          </cell>
          <cell r="BH2484">
            <v>16.109902701379674</v>
          </cell>
          <cell r="BI2484">
            <v>13.839355674417275</v>
          </cell>
          <cell r="BJ2484">
            <v>18.380449728342072</v>
          </cell>
          <cell r="BU2484">
            <v>10.455100814788167</v>
          </cell>
          <cell r="BV2484">
            <v>11.522967903511651</v>
          </cell>
          <cell r="BW2484">
            <v>10.055977276238897</v>
          </cell>
          <cell r="BX2484">
            <v>8.6149332270911767</v>
          </cell>
          <cell r="BY2484">
            <v>11.497021325386617</v>
          </cell>
        </row>
        <row r="2485">
          <cell r="A2485">
            <v>42915</v>
          </cell>
          <cell r="BF2485">
            <v>15.451868432115882</v>
          </cell>
          <cell r="BG2485">
            <v>17.429620749261797</v>
          </cell>
          <cell r="BH2485">
            <v>16.109902701379674</v>
          </cell>
          <cell r="BI2485">
            <v>13.839355674417275</v>
          </cell>
          <cell r="BJ2485">
            <v>18.380449728342072</v>
          </cell>
          <cell r="BU2485">
            <v>10.354941637546593</v>
          </cell>
          <cell r="BV2485">
            <v>11.522967903511651</v>
          </cell>
          <cell r="BW2485">
            <v>10.055977276238897</v>
          </cell>
          <cell r="BX2485">
            <v>8.6149332270911767</v>
          </cell>
          <cell r="BY2485">
            <v>11.497021325386617</v>
          </cell>
        </row>
        <row r="2486">
          <cell r="A2486">
            <v>42916</v>
          </cell>
          <cell r="BF2486">
            <v>15.316712236283724</v>
          </cell>
          <cell r="BG2486">
            <v>17.429620749261797</v>
          </cell>
          <cell r="BH2486">
            <v>16.109902701379674</v>
          </cell>
          <cell r="BI2486">
            <v>13.839355674417275</v>
          </cell>
          <cell r="BJ2486">
            <v>18.380449728342072</v>
          </cell>
          <cell r="BU2486">
            <v>10.286595556017858</v>
          </cell>
          <cell r="BV2486">
            <v>11.522967903511651</v>
          </cell>
          <cell r="BW2486">
            <v>10.055977276238897</v>
          </cell>
          <cell r="BX2486">
            <v>8.6149332270911767</v>
          </cell>
          <cell r="BY2486">
            <v>11.497021325386617</v>
          </cell>
        </row>
        <row r="2487">
          <cell r="A2487">
            <v>42919</v>
          </cell>
          <cell r="BF2487">
            <v>15.345441666785433</v>
          </cell>
          <cell r="BG2487">
            <v>17.429620749261797</v>
          </cell>
          <cell r="BH2487">
            <v>16.109902701379674</v>
          </cell>
          <cell r="BI2487">
            <v>13.839355674417275</v>
          </cell>
          <cell r="BJ2487">
            <v>18.380449728342072</v>
          </cell>
          <cell r="BU2487">
            <v>10.266751592168369</v>
          </cell>
          <cell r="BV2487">
            <v>11.522967903511651</v>
          </cell>
          <cell r="BW2487">
            <v>10.055977276238897</v>
          </cell>
          <cell r="BX2487">
            <v>8.6149332270911767</v>
          </cell>
          <cell r="BY2487">
            <v>11.497021325386617</v>
          </cell>
        </row>
        <row r="2488">
          <cell r="A2488">
            <v>42920</v>
          </cell>
          <cell r="BF2488">
            <v>15.615548021328742</v>
          </cell>
          <cell r="BG2488">
            <v>17.429620749261797</v>
          </cell>
          <cell r="BH2488">
            <v>16.109902701379674</v>
          </cell>
          <cell r="BI2488">
            <v>13.839355674417275</v>
          </cell>
          <cell r="BJ2488">
            <v>18.380449728342072</v>
          </cell>
          <cell r="BU2488">
            <v>10.407870275439924</v>
          </cell>
          <cell r="BV2488">
            <v>11.522967903511651</v>
          </cell>
          <cell r="BW2488">
            <v>10.055977276238897</v>
          </cell>
          <cell r="BX2488">
            <v>8.6149332270911767</v>
          </cell>
          <cell r="BY2488">
            <v>11.497021325386617</v>
          </cell>
        </row>
        <row r="2489">
          <cell r="A2489">
            <v>42921</v>
          </cell>
          <cell r="BF2489">
            <v>15.307459589495501</v>
          </cell>
          <cell r="BG2489">
            <v>17.429620749261797</v>
          </cell>
          <cell r="BH2489">
            <v>16.109902701379674</v>
          </cell>
          <cell r="BI2489">
            <v>13.839355674417275</v>
          </cell>
          <cell r="BJ2489">
            <v>18.380449728342072</v>
          </cell>
          <cell r="BU2489">
            <v>10.246907628318885</v>
          </cell>
          <cell r="BV2489">
            <v>11.522967903511651</v>
          </cell>
          <cell r="BW2489">
            <v>10.055977276238897</v>
          </cell>
          <cell r="BX2489">
            <v>8.6149332270911767</v>
          </cell>
          <cell r="BY2489">
            <v>11.497021325386617</v>
          </cell>
        </row>
        <row r="2490">
          <cell r="A2490">
            <v>42922</v>
          </cell>
          <cell r="BF2490">
            <v>15.617800648341001</v>
          </cell>
          <cell r="BG2490">
            <v>17.429620749261797</v>
          </cell>
          <cell r="BH2490">
            <v>16.109902701379674</v>
          </cell>
          <cell r="BI2490">
            <v>13.839355674417275</v>
          </cell>
          <cell r="BJ2490">
            <v>18.380449728342072</v>
          </cell>
          <cell r="BU2490">
            <v>10.443493673583724</v>
          </cell>
          <cell r="BV2490">
            <v>11.522967903511651</v>
          </cell>
          <cell r="BW2490">
            <v>10.055977276238897</v>
          </cell>
          <cell r="BX2490">
            <v>8.6149332270911767</v>
          </cell>
          <cell r="BY2490">
            <v>11.497021325386617</v>
          </cell>
        </row>
        <row r="2491">
          <cell r="A2491">
            <v>42923</v>
          </cell>
          <cell r="BF2491">
            <v>15.911754044326891</v>
          </cell>
          <cell r="BG2491">
            <v>17.429620749261797</v>
          </cell>
          <cell r="BH2491">
            <v>16.109902701379674</v>
          </cell>
          <cell r="BI2491">
            <v>13.839355674417275</v>
          </cell>
          <cell r="BJ2491">
            <v>18.380449728342072</v>
          </cell>
          <cell r="BU2491">
            <v>10.920590249385466</v>
          </cell>
          <cell r="BV2491">
            <v>11.522967903511651</v>
          </cell>
          <cell r="BW2491">
            <v>10.055977276238897</v>
          </cell>
          <cell r="BX2491">
            <v>8.6149332270911767</v>
          </cell>
          <cell r="BY2491">
            <v>11.497021325386617</v>
          </cell>
        </row>
        <row r="2492">
          <cell r="A2492">
            <v>42926</v>
          </cell>
          <cell r="BF2492">
            <v>15.984996037363613</v>
          </cell>
          <cell r="BG2492">
            <v>17.429620749261797</v>
          </cell>
          <cell r="BH2492">
            <v>16.109902701379674</v>
          </cell>
          <cell r="BI2492">
            <v>13.839355674417275</v>
          </cell>
          <cell r="BJ2492">
            <v>18.380449728342072</v>
          </cell>
          <cell r="BU2492">
            <v>10.900774978861188</v>
          </cell>
          <cell r="BV2492">
            <v>11.522967903511651</v>
          </cell>
          <cell r="BW2492">
            <v>10.055977276238897</v>
          </cell>
          <cell r="BX2492">
            <v>8.6149332270911767</v>
          </cell>
          <cell r="BY2492">
            <v>11.497021325386617</v>
          </cell>
        </row>
        <row r="2493">
          <cell r="A2493">
            <v>42927</v>
          </cell>
          <cell r="BF2493">
            <v>16.095388055478541</v>
          </cell>
          <cell r="BG2493">
            <v>17.429620749261797</v>
          </cell>
          <cell r="BH2493">
            <v>16.109902701379674</v>
          </cell>
          <cell r="BI2493">
            <v>13.839355674417275</v>
          </cell>
          <cell r="BJ2493">
            <v>18.380449728342072</v>
          </cell>
          <cell r="BU2493">
            <v>10.958749308932875</v>
          </cell>
          <cell r="BV2493">
            <v>11.522967903511651</v>
          </cell>
          <cell r="BW2493">
            <v>10.055977276238897</v>
          </cell>
          <cell r="BX2493">
            <v>8.6149332270911767</v>
          </cell>
          <cell r="BY2493">
            <v>11.497021325386617</v>
          </cell>
        </row>
        <row r="2494">
          <cell r="A2494">
            <v>42928</v>
          </cell>
          <cell r="BF2494">
            <v>16.256719784886993</v>
          </cell>
          <cell r="BG2494">
            <v>17.429620749261797</v>
          </cell>
          <cell r="BH2494">
            <v>16.109902701379674</v>
          </cell>
          <cell r="BI2494">
            <v>13.839355674417275</v>
          </cell>
          <cell r="BJ2494">
            <v>18.380449728342072</v>
          </cell>
          <cell r="BU2494">
            <v>11.043475533631696</v>
          </cell>
          <cell r="BV2494">
            <v>11.522967903511651</v>
          </cell>
          <cell r="BW2494">
            <v>10.055977276238897</v>
          </cell>
          <cell r="BX2494">
            <v>8.6149332270911767</v>
          </cell>
          <cell r="BY2494">
            <v>11.497021325386617</v>
          </cell>
        </row>
        <row r="2495">
          <cell r="A2495">
            <v>42929</v>
          </cell>
          <cell r="BF2495">
            <v>16.345881686953234</v>
          </cell>
          <cell r="BG2495">
            <v>17.429620749261797</v>
          </cell>
          <cell r="BH2495">
            <v>16.109902701379674</v>
          </cell>
          <cell r="BI2495">
            <v>13.839355674417275</v>
          </cell>
          <cell r="BJ2495">
            <v>18.380449728342072</v>
          </cell>
          <cell r="BU2495">
            <v>11.090300490983468</v>
          </cell>
          <cell r="BV2495">
            <v>11.522967903511651</v>
          </cell>
          <cell r="BW2495">
            <v>10.055977276238897</v>
          </cell>
          <cell r="BX2495">
            <v>8.6149332270911767</v>
          </cell>
          <cell r="BY2495">
            <v>11.497021325386617</v>
          </cell>
        </row>
        <row r="2496">
          <cell r="A2496">
            <v>42930</v>
          </cell>
          <cell r="BF2496">
            <v>15.977534582663461</v>
          </cell>
          <cell r="BG2496">
            <v>17.429620749261797</v>
          </cell>
          <cell r="BH2496">
            <v>16.109902701379674</v>
          </cell>
          <cell r="BI2496">
            <v>13.839355674417275</v>
          </cell>
          <cell r="BJ2496">
            <v>18.380449728342072</v>
          </cell>
          <cell r="BU2496">
            <v>10.906193429009216</v>
          </cell>
          <cell r="BV2496">
            <v>11.522967903511651</v>
          </cell>
          <cell r="BW2496">
            <v>10.055977276238897</v>
          </cell>
          <cell r="BX2496">
            <v>8.6149332270911767</v>
          </cell>
          <cell r="BY2496">
            <v>11.497021325386617</v>
          </cell>
        </row>
        <row r="2497">
          <cell r="A2497">
            <v>42933</v>
          </cell>
          <cell r="BF2497">
            <v>15.977534582663461</v>
          </cell>
          <cell r="BG2497">
            <v>17.429620749261797</v>
          </cell>
          <cell r="BH2497">
            <v>16.109902701379674</v>
          </cell>
          <cell r="BI2497">
            <v>13.839355674417275</v>
          </cell>
          <cell r="BJ2497">
            <v>18.380449728342072</v>
          </cell>
          <cell r="BU2497">
            <v>10.906193429009216</v>
          </cell>
          <cell r="BV2497">
            <v>11.522967903511651</v>
          </cell>
          <cell r="BW2497">
            <v>10.055977276238897</v>
          </cell>
          <cell r="BX2497">
            <v>8.6149332270911767</v>
          </cell>
          <cell r="BY2497">
            <v>11.497021325386617</v>
          </cell>
        </row>
        <row r="2498">
          <cell r="A2498">
            <v>42934</v>
          </cell>
          <cell r="BF2498">
            <v>15.912766936336482</v>
          </cell>
          <cell r="BG2498">
            <v>17.429620749261797</v>
          </cell>
          <cell r="BH2498">
            <v>16.109902701379674</v>
          </cell>
          <cell r="BI2498">
            <v>13.839355674417275</v>
          </cell>
          <cell r="BJ2498">
            <v>18.380449728342072</v>
          </cell>
          <cell r="BU2498">
            <v>10.866225204322408</v>
          </cell>
          <cell r="BV2498">
            <v>11.522967903511651</v>
          </cell>
          <cell r="BW2498">
            <v>10.055977276238897</v>
          </cell>
          <cell r="BX2498">
            <v>8.6149332270911767</v>
          </cell>
          <cell r="BY2498">
            <v>11.497021325386617</v>
          </cell>
        </row>
        <row r="2499">
          <cell r="A2499">
            <v>42935</v>
          </cell>
          <cell r="BF2499">
            <v>16.415054519875046</v>
          </cell>
          <cell r="BG2499">
            <v>17.429620749261797</v>
          </cell>
          <cell r="BH2499">
            <v>16.109902701379674</v>
          </cell>
          <cell r="BI2499">
            <v>13.839355674417275</v>
          </cell>
          <cell r="BJ2499">
            <v>18.380449728342072</v>
          </cell>
          <cell r="BU2499">
            <v>11.123878682798415</v>
          </cell>
          <cell r="BV2499">
            <v>11.522967903511651</v>
          </cell>
          <cell r="BW2499">
            <v>10.055977276238897</v>
          </cell>
          <cell r="BX2499">
            <v>8.6149332270911767</v>
          </cell>
          <cell r="BY2499">
            <v>11.497021325386617</v>
          </cell>
        </row>
        <row r="2500">
          <cell r="A2500">
            <v>42936</v>
          </cell>
          <cell r="BF2500">
            <v>16.786495251496611</v>
          </cell>
          <cell r="BG2500">
            <v>17.429620749261797</v>
          </cell>
          <cell r="BH2500">
            <v>16.109902701379674</v>
          </cell>
          <cell r="BI2500">
            <v>13.839355674417275</v>
          </cell>
          <cell r="BJ2500">
            <v>18.380449728342072</v>
          </cell>
          <cell r="BU2500">
            <v>11.319119328276912</v>
          </cell>
          <cell r="BV2500">
            <v>11.522967903511651</v>
          </cell>
          <cell r="BW2500">
            <v>10.055977276238897</v>
          </cell>
          <cell r="BX2500">
            <v>8.6149332270911767</v>
          </cell>
          <cell r="BY2500">
            <v>11.497021325386617</v>
          </cell>
        </row>
        <row r="2501">
          <cell r="A2501">
            <v>42937</v>
          </cell>
          <cell r="BF2501">
            <v>16.618514991807462</v>
          </cell>
          <cell r="BG2501">
            <v>17.429620749261797</v>
          </cell>
          <cell r="BH2501">
            <v>16.109902701379674</v>
          </cell>
          <cell r="BI2501">
            <v>13.839355674417275</v>
          </cell>
          <cell r="BJ2501">
            <v>18.380449728342072</v>
          </cell>
          <cell r="BU2501">
            <v>11.230373903047619</v>
          </cell>
          <cell r="BV2501">
            <v>11.522967903511651</v>
          </cell>
          <cell r="BW2501">
            <v>10.055977276238897</v>
          </cell>
          <cell r="BX2501">
            <v>8.6149332270911767</v>
          </cell>
          <cell r="BY2501">
            <v>11.497021325386617</v>
          </cell>
        </row>
        <row r="2502">
          <cell r="A2502">
            <v>42940</v>
          </cell>
          <cell r="BF2502">
            <v>16.985755928992788</v>
          </cell>
          <cell r="BG2502">
            <v>17.429620749261797</v>
          </cell>
          <cell r="BH2502">
            <v>16.109902701379674</v>
          </cell>
          <cell r="BI2502">
            <v>13.839355674417275</v>
          </cell>
          <cell r="BJ2502">
            <v>18.380449728342072</v>
          </cell>
          <cell r="BU2502">
            <v>11.423400316953172</v>
          </cell>
          <cell r="BV2502">
            <v>11.522967903511651</v>
          </cell>
          <cell r="BW2502">
            <v>10.055977276238897</v>
          </cell>
          <cell r="BX2502">
            <v>8.6149332270911767</v>
          </cell>
          <cell r="BY2502">
            <v>11.497021325386617</v>
          </cell>
        </row>
        <row r="2503">
          <cell r="A2503">
            <v>42941</v>
          </cell>
          <cell r="BF2503">
            <v>17.158816442498075</v>
          </cell>
          <cell r="BG2503">
            <v>17.429620749261797</v>
          </cell>
          <cell r="BH2503">
            <v>16.109902701379674</v>
          </cell>
          <cell r="BI2503">
            <v>13.839355674417275</v>
          </cell>
          <cell r="BJ2503">
            <v>18.380449728342072</v>
          </cell>
          <cell r="BU2503">
            <v>11.514363079891883</v>
          </cell>
          <cell r="BV2503">
            <v>11.522967903511651</v>
          </cell>
          <cell r="BW2503">
            <v>10.055977276238897</v>
          </cell>
          <cell r="BX2503">
            <v>8.6149332270911767</v>
          </cell>
          <cell r="BY2503">
            <v>11.497021325386617</v>
          </cell>
        </row>
        <row r="2504">
          <cell r="A2504">
            <v>42942</v>
          </cell>
          <cell r="BF2504">
            <v>16.647204924377355</v>
          </cell>
          <cell r="BG2504">
            <v>17.429620749261797</v>
          </cell>
          <cell r="BH2504">
            <v>16.109902701379674</v>
          </cell>
          <cell r="BI2504">
            <v>13.839355674417275</v>
          </cell>
          <cell r="BJ2504">
            <v>18.380449728342072</v>
          </cell>
          <cell r="BU2504">
            <v>11.245906138491218</v>
          </cell>
          <cell r="BV2504">
            <v>11.522967903511651</v>
          </cell>
          <cell r="BW2504">
            <v>10.055977276238897</v>
          </cell>
          <cell r="BX2504">
            <v>8.6149332270911767</v>
          </cell>
          <cell r="BY2504">
            <v>11.497021325386617</v>
          </cell>
        </row>
        <row r="2505">
          <cell r="A2505">
            <v>42943</v>
          </cell>
          <cell r="BF2505">
            <v>16.136473865636539</v>
          </cell>
          <cell r="BG2505">
            <v>17.429620749261797</v>
          </cell>
          <cell r="BH2505">
            <v>16.109902701379674</v>
          </cell>
          <cell r="BI2505">
            <v>13.839355674417275</v>
          </cell>
          <cell r="BJ2505">
            <v>18.380449728342072</v>
          </cell>
          <cell r="BU2505">
            <v>10.977445647220296</v>
          </cell>
          <cell r="BV2505">
            <v>11.522967903511651</v>
          </cell>
          <cell r="BW2505">
            <v>10.055977276238897</v>
          </cell>
          <cell r="BX2505">
            <v>8.6149332270911767</v>
          </cell>
          <cell r="BY2505">
            <v>11.497021325386617</v>
          </cell>
        </row>
        <row r="2506">
          <cell r="A2506">
            <v>42944</v>
          </cell>
          <cell r="BF2506">
            <v>16.260871283926829</v>
          </cell>
          <cell r="BG2506">
            <v>17.429620749261797</v>
          </cell>
          <cell r="BH2506">
            <v>16.109902701379674</v>
          </cell>
          <cell r="BI2506">
            <v>13.839355674417275</v>
          </cell>
          <cell r="BJ2506">
            <v>18.380449728342072</v>
          </cell>
          <cell r="BU2506">
            <v>11.044006380143948</v>
          </cell>
          <cell r="BV2506">
            <v>11.522967903511651</v>
          </cell>
          <cell r="BW2506">
            <v>10.055977276238897</v>
          </cell>
          <cell r="BX2506">
            <v>8.6149332270911767</v>
          </cell>
          <cell r="BY2506">
            <v>11.497021325386617</v>
          </cell>
        </row>
        <row r="2507">
          <cell r="A2507">
            <v>42947</v>
          </cell>
          <cell r="BF2507">
            <v>15.994942242834684</v>
          </cell>
          <cell r="BG2507">
            <v>17.429620749261797</v>
          </cell>
          <cell r="BH2507">
            <v>16.109902701379674</v>
          </cell>
          <cell r="BI2507">
            <v>13.839355674417275</v>
          </cell>
          <cell r="BJ2507">
            <v>18.380449728342072</v>
          </cell>
          <cell r="BU2507">
            <v>10.968888553587822</v>
          </cell>
          <cell r="BV2507">
            <v>11.522967903511651</v>
          </cell>
          <cell r="BW2507">
            <v>10.055977276238897</v>
          </cell>
          <cell r="BX2507">
            <v>8.6149332270911767</v>
          </cell>
          <cell r="BY2507">
            <v>11.497021325386617</v>
          </cell>
        </row>
        <row r="2508">
          <cell r="A2508">
            <v>42948</v>
          </cell>
          <cell r="BF2508">
            <v>15.674533305229257</v>
          </cell>
          <cell r="BG2508">
            <v>17.429620749261797</v>
          </cell>
          <cell r="BH2508">
            <v>16.109902701379674</v>
          </cell>
          <cell r="BI2508">
            <v>13.839355674417275</v>
          </cell>
          <cell r="BJ2508">
            <v>18.380449728342072</v>
          </cell>
          <cell r="BU2508">
            <v>10.744484745989196</v>
          </cell>
          <cell r="BV2508">
            <v>11.522967903511651</v>
          </cell>
          <cell r="BW2508">
            <v>10.055977276238897</v>
          </cell>
          <cell r="BX2508">
            <v>8.6149332270911767</v>
          </cell>
          <cell r="BY2508">
            <v>11.497021325386617</v>
          </cell>
        </row>
        <row r="2509">
          <cell r="A2509">
            <v>42949</v>
          </cell>
          <cell r="BF2509">
            <v>15.94273543755733</v>
          </cell>
          <cell r="BG2509">
            <v>17.429620749261797</v>
          </cell>
          <cell r="BH2509">
            <v>16.109902701379674</v>
          </cell>
          <cell r="BI2509">
            <v>13.839355674417275</v>
          </cell>
          <cell r="BJ2509">
            <v>18.380449728342072</v>
          </cell>
          <cell r="BU2509">
            <v>10.886482884281584</v>
          </cell>
          <cell r="BV2509">
            <v>11.522967903511651</v>
          </cell>
          <cell r="BW2509">
            <v>10.055977276238897</v>
          </cell>
          <cell r="BX2509">
            <v>8.6149332270911767</v>
          </cell>
          <cell r="BY2509">
            <v>11.497021325386617</v>
          </cell>
        </row>
        <row r="2510">
          <cell r="A2510">
            <v>42950</v>
          </cell>
          <cell r="BF2510">
            <v>15.644226976181235</v>
          </cell>
          <cell r="BG2510">
            <v>17.429620749261797</v>
          </cell>
          <cell r="BH2510">
            <v>16.109902701379674</v>
          </cell>
          <cell r="BI2510">
            <v>13.839355674417275</v>
          </cell>
          <cell r="BJ2510">
            <v>18.380449728342072</v>
          </cell>
          <cell r="BU2510">
            <v>10.649789438290888</v>
          </cell>
          <cell r="BV2510">
            <v>11.522967903511651</v>
          </cell>
          <cell r="BW2510">
            <v>10.055977276238897</v>
          </cell>
          <cell r="BX2510">
            <v>8.6149332270911767</v>
          </cell>
          <cell r="BY2510">
            <v>11.497021325386617</v>
          </cell>
        </row>
        <row r="2511">
          <cell r="A2511">
            <v>42951</v>
          </cell>
          <cell r="BF2511">
            <v>15.762232168446793</v>
          </cell>
          <cell r="BG2511">
            <v>17.429620749261797</v>
          </cell>
          <cell r="BH2511">
            <v>16.109902701379674</v>
          </cell>
          <cell r="BI2511">
            <v>13.839355674417275</v>
          </cell>
          <cell r="BJ2511">
            <v>18.380449728342072</v>
          </cell>
          <cell r="BU2511">
            <v>10.711440595932842</v>
          </cell>
          <cell r="BV2511">
            <v>11.522967903511651</v>
          </cell>
          <cell r="BW2511">
            <v>10.055977276238897</v>
          </cell>
          <cell r="BX2511">
            <v>8.6149332270911767</v>
          </cell>
          <cell r="BY2511">
            <v>11.497021325386617</v>
          </cell>
        </row>
        <row r="2512">
          <cell r="A2512">
            <v>42954</v>
          </cell>
          <cell r="BF2512">
            <v>16.010892799947687</v>
          </cell>
          <cell r="BG2512">
            <v>17.429620749261797</v>
          </cell>
          <cell r="BH2512">
            <v>16.109902701379674</v>
          </cell>
          <cell r="BI2512">
            <v>13.839355674417275</v>
          </cell>
          <cell r="BJ2512">
            <v>18.380449728342072</v>
          </cell>
          <cell r="BU2512">
            <v>10.841351962523479</v>
          </cell>
          <cell r="BV2512">
            <v>11.522967903511651</v>
          </cell>
          <cell r="BW2512">
            <v>10.055977276238897</v>
          </cell>
          <cell r="BX2512">
            <v>8.6149332270911767</v>
          </cell>
          <cell r="BY2512">
            <v>11.497021325386617</v>
          </cell>
        </row>
        <row r="2513">
          <cell r="A2513">
            <v>42955</v>
          </cell>
          <cell r="BF2513">
            <v>16.310118596067007</v>
          </cell>
          <cell r="BG2513">
            <v>17.429620749261797</v>
          </cell>
          <cell r="BH2513">
            <v>16.109902701379674</v>
          </cell>
          <cell r="BI2513">
            <v>13.839355674417275</v>
          </cell>
          <cell r="BJ2513">
            <v>18.380449728342072</v>
          </cell>
          <cell r="BU2513">
            <v>10.997680818677342</v>
          </cell>
          <cell r="BV2513">
            <v>11.522967903511651</v>
          </cell>
          <cell r="BW2513">
            <v>10.055977276238897</v>
          </cell>
          <cell r="BX2513">
            <v>8.6149332270911767</v>
          </cell>
          <cell r="BY2513">
            <v>11.497021325386617</v>
          </cell>
        </row>
        <row r="2514">
          <cell r="A2514">
            <v>42956</v>
          </cell>
          <cell r="BF2514">
            <v>16.451782942477227</v>
          </cell>
          <cell r="BG2514">
            <v>17.429620749261797</v>
          </cell>
          <cell r="BH2514">
            <v>16.109902701379674</v>
          </cell>
          <cell r="BI2514">
            <v>13.839355674417275</v>
          </cell>
          <cell r="BJ2514">
            <v>18.380449728342072</v>
          </cell>
          <cell r="BU2514">
            <v>11.162750148120949</v>
          </cell>
          <cell r="BV2514">
            <v>11.522967903511651</v>
          </cell>
          <cell r="BW2514">
            <v>10.055977276238897</v>
          </cell>
          <cell r="BX2514">
            <v>8.6149332270911767</v>
          </cell>
          <cell r="BY2514">
            <v>11.497021325386617</v>
          </cell>
        </row>
        <row r="2515">
          <cell r="A2515">
            <v>42957</v>
          </cell>
          <cell r="BF2515">
            <v>16.279313071828351</v>
          </cell>
          <cell r="BG2515">
            <v>17.429620749261797</v>
          </cell>
          <cell r="BH2515">
            <v>16.109902701379674</v>
          </cell>
          <cell r="BI2515">
            <v>13.839355674417275</v>
          </cell>
          <cell r="BJ2515">
            <v>18.380449728342072</v>
          </cell>
          <cell r="BU2515">
            <v>11.071864760962175</v>
          </cell>
          <cell r="BV2515">
            <v>11.522967903511651</v>
          </cell>
          <cell r="BW2515">
            <v>10.055977276238897</v>
          </cell>
          <cell r="BX2515">
            <v>8.6149332270911767</v>
          </cell>
          <cell r="BY2515">
            <v>11.497021325386617</v>
          </cell>
        </row>
        <row r="2516">
          <cell r="A2516">
            <v>42958</v>
          </cell>
          <cell r="BF2516">
            <v>16.258279104008388</v>
          </cell>
          <cell r="BG2516">
            <v>17.429620749261797</v>
          </cell>
          <cell r="BH2516">
            <v>16.109902701379674</v>
          </cell>
          <cell r="BI2516">
            <v>13.839355674417275</v>
          </cell>
          <cell r="BJ2516">
            <v>18.380449728342072</v>
          </cell>
          <cell r="BU2516">
            <v>11.060780620285255</v>
          </cell>
          <cell r="BV2516">
            <v>11.522967903511651</v>
          </cell>
          <cell r="BW2516">
            <v>10.055977276238897</v>
          </cell>
          <cell r="BX2516">
            <v>8.6149332270911767</v>
          </cell>
          <cell r="BY2516">
            <v>11.497021325386617</v>
          </cell>
        </row>
        <row r="2517">
          <cell r="A2517">
            <v>42961</v>
          </cell>
          <cell r="BF2517">
            <v>16.122831418424898</v>
          </cell>
          <cell r="BG2517">
            <v>17.429620749261797</v>
          </cell>
          <cell r="BH2517">
            <v>16.109902701379674</v>
          </cell>
          <cell r="BI2517">
            <v>13.839355674417275</v>
          </cell>
          <cell r="BJ2517">
            <v>18.380449728342072</v>
          </cell>
          <cell r="BU2517">
            <v>11.004382033693721</v>
          </cell>
          <cell r="BV2517">
            <v>11.522967903511651</v>
          </cell>
          <cell r="BW2517">
            <v>10.055977276238897</v>
          </cell>
          <cell r="BX2517">
            <v>8.6149332270911767</v>
          </cell>
          <cell r="BY2517">
            <v>11.497021325386617</v>
          </cell>
        </row>
        <row r="2518">
          <cell r="A2518">
            <v>42962</v>
          </cell>
          <cell r="BF2518">
            <v>16.164613745560892</v>
          </cell>
          <cell r="BG2518">
            <v>17.429620749261797</v>
          </cell>
          <cell r="BH2518">
            <v>16.109902701379674</v>
          </cell>
          <cell r="BI2518">
            <v>13.839355674417275</v>
          </cell>
          <cell r="BJ2518">
            <v>18.380449728342072</v>
          </cell>
          <cell r="BU2518">
            <v>11.026463830849103</v>
          </cell>
          <cell r="BV2518">
            <v>11.522967903511651</v>
          </cell>
          <cell r="BW2518">
            <v>10.055977276238897</v>
          </cell>
          <cell r="BX2518">
            <v>8.6149332270911767</v>
          </cell>
          <cell r="BY2518">
            <v>11.497021325386617</v>
          </cell>
        </row>
        <row r="2519">
          <cell r="A2519">
            <v>42963</v>
          </cell>
          <cell r="BF2519">
            <v>16.085230833507417</v>
          </cell>
          <cell r="BG2519">
            <v>17.429620749261797</v>
          </cell>
          <cell r="BH2519">
            <v>16.109902701379674</v>
          </cell>
          <cell r="BI2519">
            <v>13.839355674417275</v>
          </cell>
          <cell r="BJ2519">
            <v>18.380449728342072</v>
          </cell>
          <cell r="BU2519">
            <v>10.984510271013558</v>
          </cell>
          <cell r="BV2519">
            <v>11.522967903511651</v>
          </cell>
          <cell r="BW2519">
            <v>10.055977276238897</v>
          </cell>
          <cell r="BX2519">
            <v>8.6149332270911767</v>
          </cell>
          <cell r="BY2519">
            <v>11.497021325386617</v>
          </cell>
        </row>
        <row r="2520">
          <cell r="A2520">
            <v>42964</v>
          </cell>
          <cell r="BF2520">
            <v>16.085230833507417</v>
          </cell>
          <cell r="BG2520">
            <v>17.429620749261797</v>
          </cell>
          <cell r="BH2520">
            <v>16.109902701379674</v>
          </cell>
          <cell r="BI2520">
            <v>13.839355674417275</v>
          </cell>
          <cell r="BJ2520">
            <v>18.380449728342072</v>
          </cell>
          <cell r="BU2520">
            <v>10.984510271013558</v>
          </cell>
          <cell r="BV2520">
            <v>11.522967903511651</v>
          </cell>
          <cell r="BW2520">
            <v>10.055977276238897</v>
          </cell>
          <cell r="BX2520">
            <v>8.6149332270911767</v>
          </cell>
          <cell r="BY2520">
            <v>11.497021325386617</v>
          </cell>
        </row>
        <row r="2521">
          <cell r="A2521">
            <v>42965</v>
          </cell>
          <cell r="BF2521">
            <v>15.849861988578223</v>
          </cell>
          <cell r="BG2521">
            <v>17.429620749261797</v>
          </cell>
          <cell r="BH2521">
            <v>16.109902701379674</v>
          </cell>
          <cell r="BI2521">
            <v>13.839355674417275</v>
          </cell>
          <cell r="BJ2521">
            <v>18.380449728342072</v>
          </cell>
          <cell r="BU2521">
            <v>10.850371625667105</v>
          </cell>
          <cell r="BV2521">
            <v>11.522967903511651</v>
          </cell>
          <cell r="BW2521">
            <v>10.055977276238897</v>
          </cell>
          <cell r="BX2521">
            <v>8.6149332270911767</v>
          </cell>
          <cell r="BY2521">
            <v>11.497021325386617</v>
          </cell>
        </row>
        <row r="2522">
          <cell r="A2522">
            <v>42968</v>
          </cell>
          <cell r="BF2522">
            <v>15.75360095760465</v>
          </cell>
          <cell r="BG2522">
            <v>17.429620749261797</v>
          </cell>
          <cell r="BH2522">
            <v>16.109902701379674</v>
          </cell>
          <cell r="BI2522">
            <v>13.839355674417275</v>
          </cell>
          <cell r="BJ2522">
            <v>18.380449728342072</v>
          </cell>
          <cell r="BU2522">
            <v>10.799564153913623</v>
          </cell>
          <cell r="BV2522">
            <v>11.522967903511651</v>
          </cell>
          <cell r="BW2522">
            <v>10.055977276238897</v>
          </cell>
          <cell r="BX2522">
            <v>8.6149332270911767</v>
          </cell>
          <cell r="BY2522">
            <v>11.497021325386617</v>
          </cell>
        </row>
        <row r="2523">
          <cell r="A2523">
            <v>42969</v>
          </cell>
          <cell r="BF2523">
            <v>15.455656708447208</v>
          </cell>
          <cell r="BG2523">
            <v>17.429620749261797</v>
          </cell>
          <cell r="BH2523">
            <v>16.109902701379674</v>
          </cell>
          <cell r="BI2523">
            <v>13.839355674417275</v>
          </cell>
          <cell r="BJ2523">
            <v>18.380449728342072</v>
          </cell>
          <cell r="BU2523">
            <v>10.802671998869156</v>
          </cell>
          <cell r="BV2523">
            <v>11.522967903511651</v>
          </cell>
          <cell r="BW2523">
            <v>10.055977276238897</v>
          </cell>
          <cell r="BX2523">
            <v>8.6149332270911767</v>
          </cell>
          <cell r="BY2523">
            <v>11.497021325386617</v>
          </cell>
        </row>
        <row r="2524">
          <cell r="A2524">
            <v>42970</v>
          </cell>
          <cell r="BF2524">
            <v>15.476600592676363</v>
          </cell>
          <cell r="BG2524">
            <v>17.429620749261797</v>
          </cell>
          <cell r="BH2524">
            <v>16.109902701379674</v>
          </cell>
          <cell r="BI2524">
            <v>13.839355674417275</v>
          </cell>
          <cell r="BJ2524">
            <v>18.380449728342072</v>
          </cell>
          <cell r="BU2524">
            <v>10.81389095495557</v>
          </cell>
          <cell r="BV2524">
            <v>11.522967903511651</v>
          </cell>
          <cell r="BW2524">
            <v>10.055977276238897</v>
          </cell>
          <cell r="BX2524">
            <v>8.6149332270911767</v>
          </cell>
          <cell r="BY2524">
            <v>11.497021325386617</v>
          </cell>
        </row>
        <row r="2525">
          <cell r="A2525">
            <v>42971</v>
          </cell>
          <cell r="BF2525">
            <v>15.561126854754441</v>
          </cell>
          <cell r="BG2525">
            <v>17.429620749261797</v>
          </cell>
          <cell r="BH2525">
            <v>16.109902701379674</v>
          </cell>
          <cell r="BI2525">
            <v>13.839355674417275</v>
          </cell>
          <cell r="BJ2525">
            <v>18.380449728342072</v>
          </cell>
          <cell r="BU2525">
            <v>10.975169415876969</v>
          </cell>
          <cell r="BV2525">
            <v>11.522967903511651</v>
          </cell>
          <cell r="BW2525">
            <v>10.055977276238897</v>
          </cell>
          <cell r="BX2525">
            <v>8.6149332270911767</v>
          </cell>
          <cell r="BY2525">
            <v>11.497021325386617</v>
          </cell>
        </row>
        <row r="2526">
          <cell r="A2526">
            <v>42972</v>
          </cell>
          <cell r="BF2526">
            <v>15.636397986202686</v>
          </cell>
          <cell r="BG2526">
            <v>17.429620749261797</v>
          </cell>
          <cell r="BH2526">
            <v>16.109902701379674</v>
          </cell>
          <cell r="BI2526">
            <v>13.839355674417275</v>
          </cell>
          <cell r="BJ2526">
            <v>18.380449728342072</v>
          </cell>
          <cell r="BU2526">
            <v>11.01592261933285</v>
          </cell>
          <cell r="BV2526">
            <v>11.522967903511651</v>
          </cell>
          <cell r="BW2526">
            <v>10.055977276238897</v>
          </cell>
          <cell r="BX2526">
            <v>8.6149332270911767</v>
          </cell>
          <cell r="BY2526">
            <v>11.497021325386617</v>
          </cell>
        </row>
        <row r="2527">
          <cell r="A2527">
            <v>42975</v>
          </cell>
          <cell r="BF2527">
            <v>15.791046167285613</v>
          </cell>
          <cell r="BG2527">
            <v>17.429620749261797</v>
          </cell>
          <cell r="BH2527">
            <v>16.109902701379674</v>
          </cell>
          <cell r="BI2527">
            <v>13.839355674417275</v>
          </cell>
          <cell r="BJ2527">
            <v>18.380449728342072</v>
          </cell>
          <cell r="BU2527">
            <v>11.099688238153446</v>
          </cell>
          <cell r="BV2527">
            <v>11.522967903511651</v>
          </cell>
          <cell r="BW2527">
            <v>10.055977276238897</v>
          </cell>
          <cell r="BX2527">
            <v>8.6149332270911767</v>
          </cell>
          <cell r="BY2527">
            <v>11.497021325386617</v>
          </cell>
        </row>
        <row r="2528">
          <cell r="A2528">
            <v>42976</v>
          </cell>
          <cell r="BF2528">
            <v>15.837023692839482</v>
          </cell>
          <cell r="BG2528">
            <v>17.429620749261797</v>
          </cell>
          <cell r="BH2528">
            <v>16.109902701379674</v>
          </cell>
          <cell r="BI2528">
            <v>13.839355674417275</v>
          </cell>
          <cell r="BJ2528">
            <v>18.380449728342072</v>
          </cell>
          <cell r="BU2528">
            <v>11.124592093167392</v>
          </cell>
          <cell r="BV2528">
            <v>11.522967903511651</v>
          </cell>
          <cell r="BW2528">
            <v>10.055977276238897</v>
          </cell>
          <cell r="BX2528">
            <v>8.6149332270911767</v>
          </cell>
          <cell r="BY2528">
            <v>11.497021325386617</v>
          </cell>
        </row>
        <row r="2529">
          <cell r="A2529">
            <v>42977</v>
          </cell>
          <cell r="BF2529">
            <v>15.937339471973814</v>
          </cell>
          <cell r="BG2529">
            <v>17.429620749261797</v>
          </cell>
          <cell r="BH2529">
            <v>16.109902701379674</v>
          </cell>
          <cell r="BI2529">
            <v>13.839355674417275</v>
          </cell>
          <cell r="BJ2529">
            <v>18.380449728342072</v>
          </cell>
          <cell r="BU2529">
            <v>11.178928414861032</v>
          </cell>
          <cell r="BV2529">
            <v>11.522967903511651</v>
          </cell>
          <cell r="BW2529">
            <v>10.055977276238897</v>
          </cell>
          <cell r="BX2529">
            <v>8.6149332270911767</v>
          </cell>
          <cell r="BY2529">
            <v>11.497021325386617</v>
          </cell>
        </row>
        <row r="2530">
          <cell r="A2530">
            <v>42978</v>
          </cell>
          <cell r="BF2530">
            <v>16.244506594096716</v>
          </cell>
          <cell r="BG2530">
            <v>17.429620749261797</v>
          </cell>
          <cell r="BH2530">
            <v>16.109902701379674</v>
          </cell>
          <cell r="BI2530">
            <v>13.839355674417275</v>
          </cell>
          <cell r="BJ2530">
            <v>18.380449728342072</v>
          </cell>
          <cell r="BU2530">
            <v>11.281438504926285</v>
          </cell>
          <cell r="BV2530">
            <v>11.522967903511651</v>
          </cell>
          <cell r="BW2530">
            <v>10.055977276238897</v>
          </cell>
          <cell r="BX2530">
            <v>8.6149332270911767</v>
          </cell>
          <cell r="BY2530">
            <v>11.497021325386617</v>
          </cell>
        </row>
        <row r="2531">
          <cell r="A2531">
            <v>42979</v>
          </cell>
          <cell r="BF2531">
            <v>16.479938383358487</v>
          </cell>
          <cell r="BG2531">
            <v>17.429620749261797</v>
          </cell>
          <cell r="BH2531">
            <v>16.109902701379674</v>
          </cell>
          <cell r="BI2531">
            <v>13.839355674417275</v>
          </cell>
          <cell r="BJ2531">
            <v>18.380449728342072</v>
          </cell>
          <cell r="BU2531">
            <v>11.424362695447151</v>
          </cell>
          <cell r="BV2531">
            <v>11.522967903511651</v>
          </cell>
          <cell r="BW2531">
            <v>10.055977276238897</v>
          </cell>
          <cell r="BX2531">
            <v>8.6149332270911767</v>
          </cell>
          <cell r="BY2531">
            <v>11.497021325386617</v>
          </cell>
        </row>
        <row r="2532">
          <cell r="A2532">
            <v>42982</v>
          </cell>
          <cell r="BF2532">
            <v>16.412968377519135</v>
          </cell>
          <cell r="BG2532">
            <v>17.429620749261797</v>
          </cell>
          <cell r="BH2532">
            <v>16.109902701379674</v>
          </cell>
          <cell r="BI2532">
            <v>13.839355674417275</v>
          </cell>
          <cell r="BJ2532">
            <v>18.380449728342072</v>
          </cell>
          <cell r="BU2532">
            <v>11.388253285792764</v>
          </cell>
          <cell r="BV2532">
            <v>11.522967903511651</v>
          </cell>
          <cell r="BW2532">
            <v>10.055977276238897</v>
          </cell>
          <cell r="BX2532">
            <v>8.6149332270911767</v>
          </cell>
          <cell r="BY2532">
            <v>11.497021325386617</v>
          </cell>
        </row>
        <row r="2533">
          <cell r="A2533">
            <v>42983</v>
          </cell>
          <cell r="BF2533">
            <v>16.69008037282607</v>
          </cell>
          <cell r="BG2533">
            <v>17.429620749261797</v>
          </cell>
          <cell r="BH2533">
            <v>16.109902701379674</v>
          </cell>
          <cell r="BI2533">
            <v>13.839355674417275</v>
          </cell>
          <cell r="BJ2533">
            <v>18.380449728342072</v>
          </cell>
          <cell r="BU2533">
            <v>11.539650960414811</v>
          </cell>
          <cell r="BV2533">
            <v>11.522967903511651</v>
          </cell>
          <cell r="BW2533">
            <v>10.055977276238897</v>
          </cell>
          <cell r="BX2533">
            <v>8.6149332270911767</v>
          </cell>
          <cell r="BY2533">
            <v>11.497021325386617</v>
          </cell>
        </row>
        <row r="2534">
          <cell r="A2534">
            <v>42984</v>
          </cell>
          <cell r="BF2534">
            <v>16.642244086246603</v>
          </cell>
          <cell r="BG2534">
            <v>17.429620749261797</v>
          </cell>
          <cell r="BH2534">
            <v>16.109902701379674</v>
          </cell>
          <cell r="BI2534">
            <v>13.839355674417275</v>
          </cell>
          <cell r="BJ2534">
            <v>18.380449728342072</v>
          </cell>
          <cell r="BU2534">
            <v>11.514813704638245</v>
          </cell>
          <cell r="BV2534">
            <v>11.522967903511651</v>
          </cell>
          <cell r="BW2534">
            <v>10.055977276238897</v>
          </cell>
          <cell r="BX2534">
            <v>8.6149332270911767</v>
          </cell>
          <cell r="BY2534">
            <v>11.497021325386617</v>
          </cell>
        </row>
        <row r="2535">
          <cell r="A2535">
            <v>42985</v>
          </cell>
          <cell r="BF2535">
            <v>16.537575884446309</v>
          </cell>
          <cell r="BG2535">
            <v>17.429620749261797</v>
          </cell>
          <cell r="BH2535">
            <v>16.109902701379674</v>
          </cell>
          <cell r="BI2535">
            <v>13.839355674417275</v>
          </cell>
          <cell r="BJ2535">
            <v>18.380449728342072</v>
          </cell>
          <cell r="BU2535">
            <v>11.458365909216917</v>
          </cell>
          <cell r="BV2535">
            <v>11.522967903511651</v>
          </cell>
          <cell r="BW2535">
            <v>10.055977276238897</v>
          </cell>
          <cell r="BX2535">
            <v>8.6149332270911767</v>
          </cell>
          <cell r="BY2535">
            <v>11.497021325386617</v>
          </cell>
        </row>
        <row r="2536">
          <cell r="A2536">
            <v>42986</v>
          </cell>
          <cell r="BF2536">
            <v>15.37430999832524</v>
          </cell>
          <cell r="BG2536">
            <v>17.429620749261797</v>
          </cell>
          <cell r="BH2536">
            <v>16.109902701379674</v>
          </cell>
          <cell r="BI2536">
            <v>13.839355674417275</v>
          </cell>
          <cell r="BJ2536">
            <v>18.380449728342072</v>
          </cell>
          <cell r="BU2536">
            <v>10.830666875714117</v>
          </cell>
          <cell r="BV2536">
            <v>11.522967903511651</v>
          </cell>
          <cell r="BW2536">
            <v>10.055977276238897</v>
          </cell>
          <cell r="BX2536">
            <v>8.6149332270911767</v>
          </cell>
          <cell r="BY2536">
            <v>11.497021325386617</v>
          </cell>
        </row>
        <row r="2537">
          <cell r="A2537">
            <v>42989</v>
          </cell>
          <cell r="BF2537">
            <v>15.225133821989527</v>
          </cell>
          <cell r="BG2537">
            <v>17.429620749261797</v>
          </cell>
          <cell r="BH2537">
            <v>16.109902701379674</v>
          </cell>
          <cell r="BI2537">
            <v>13.839355674417275</v>
          </cell>
          <cell r="BJ2537">
            <v>18.380449728342072</v>
          </cell>
          <cell r="BU2537">
            <v>10.618173492371678</v>
          </cell>
          <cell r="BV2537">
            <v>11.522967903511651</v>
          </cell>
          <cell r="BW2537">
            <v>10.055977276238897</v>
          </cell>
          <cell r="BX2537">
            <v>8.6149332270911767</v>
          </cell>
          <cell r="BY2537">
            <v>11.497021325386617</v>
          </cell>
        </row>
        <row r="2538">
          <cell r="A2538">
            <v>42990</v>
          </cell>
          <cell r="BF2538">
            <v>15.497382198952879</v>
          </cell>
          <cell r="BG2538">
            <v>17.429620749261797</v>
          </cell>
          <cell r="BH2538">
            <v>16.109902701379674</v>
          </cell>
          <cell r="BI2538">
            <v>13.839355674417275</v>
          </cell>
          <cell r="BJ2538">
            <v>18.380449728342072</v>
          </cell>
          <cell r="BU2538">
            <v>10.763175215149507</v>
          </cell>
          <cell r="BV2538">
            <v>11.522967903511651</v>
          </cell>
          <cell r="BW2538">
            <v>10.055977276238897</v>
          </cell>
          <cell r="BX2538">
            <v>8.6149332270911767</v>
          </cell>
          <cell r="BY2538">
            <v>11.497021325386617</v>
          </cell>
        </row>
        <row r="2539">
          <cell r="A2539">
            <v>42991</v>
          </cell>
          <cell r="BF2539">
            <v>15.026519396777346</v>
          </cell>
          <cell r="BG2539">
            <v>17.429620749261797</v>
          </cell>
          <cell r="BH2539">
            <v>16.109902701379674</v>
          </cell>
          <cell r="BI2539">
            <v>13.839355674417275</v>
          </cell>
          <cell r="BJ2539">
            <v>18.380449728342072</v>
          </cell>
          <cell r="BU2539">
            <v>10.515514758730594</v>
          </cell>
          <cell r="BV2539">
            <v>11.522967903511651</v>
          </cell>
          <cell r="BW2539">
            <v>10.055977276238897</v>
          </cell>
          <cell r="BX2539">
            <v>8.6149332270911767</v>
          </cell>
          <cell r="BY2539">
            <v>11.497021325386617</v>
          </cell>
        </row>
        <row r="2540">
          <cell r="A2540">
            <v>42992</v>
          </cell>
          <cell r="BF2540">
            <v>14.964119396777338</v>
          </cell>
          <cell r="BG2540">
            <v>17.429620749261797</v>
          </cell>
          <cell r="BH2540">
            <v>16.109902701379674</v>
          </cell>
          <cell r="BI2540">
            <v>13.839355674417275</v>
          </cell>
          <cell r="BJ2540">
            <v>18.380449728342072</v>
          </cell>
          <cell r="BU2540">
            <v>10.482216397260565</v>
          </cell>
          <cell r="BV2540">
            <v>11.522967903511651</v>
          </cell>
          <cell r="BW2540">
            <v>10.055977276238897</v>
          </cell>
          <cell r="BX2540">
            <v>8.6149332270911767</v>
          </cell>
          <cell r="BY2540">
            <v>11.497021325386617</v>
          </cell>
        </row>
        <row r="2541">
          <cell r="A2541">
            <v>42993</v>
          </cell>
          <cell r="BF2541">
            <v>15.038999063964033</v>
          </cell>
          <cell r="BG2541">
            <v>17.429620749261797</v>
          </cell>
          <cell r="BH2541">
            <v>16.109902701379674</v>
          </cell>
          <cell r="BI2541">
            <v>13.839355674417275</v>
          </cell>
          <cell r="BJ2541">
            <v>18.380449728342072</v>
          </cell>
          <cell r="BU2541">
            <v>10.522174253426234</v>
          </cell>
          <cell r="BV2541">
            <v>11.522967903511651</v>
          </cell>
          <cell r="BW2541">
            <v>10.055977276238897</v>
          </cell>
          <cell r="BX2541">
            <v>8.6149332270911767</v>
          </cell>
          <cell r="BY2541">
            <v>11.497021325386617</v>
          </cell>
        </row>
        <row r="2542">
          <cell r="A2542">
            <v>42996</v>
          </cell>
          <cell r="BF2542">
            <v>14.556424752991548</v>
          </cell>
          <cell r="BG2542">
            <v>17.429620749261797</v>
          </cell>
          <cell r="BH2542">
            <v>16.109902701379674</v>
          </cell>
          <cell r="BI2542">
            <v>13.839355674417275</v>
          </cell>
          <cell r="BJ2542">
            <v>18.380449728342072</v>
          </cell>
          <cell r="BU2542">
            <v>10.522174253426234</v>
          </cell>
          <cell r="BV2542">
            <v>11.522967903511651</v>
          </cell>
          <cell r="BW2542">
            <v>10.055977276238897</v>
          </cell>
          <cell r="BX2542">
            <v>8.6149332270911767</v>
          </cell>
          <cell r="BY2542">
            <v>11.497021325386617</v>
          </cell>
        </row>
        <row r="2543">
          <cell r="A2543">
            <v>42997</v>
          </cell>
          <cell r="BF2543">
            <v>14.527300676028466</v>
          </cell>
          <cell r="BG2543">
            <v>17.429620749261797</v>
          </cell>
          <cell r="BH2543">
            <v>16.109902701379674</v>
          </cell>
          <cell r="BI2543">
            <v>13.839355674417275</v>
          </cell>
          <cell r="BJ2543">
            <v>18.380449728342072</v>
          </cell>
          <cell r="BU2543">
            <v>10.249117877062318</v>
          </cell>
          <cell r="BV2543">
            <v>11.522967903511651</v>
          </cell>
          <cell r="BW2543">
            <v>10.055977276238897</v>
          </cell>
          <cell r="BX2543">
            <v>8.6149332270911767</v>
          </cell>
          <cell r="BY2543">
            <v>11.497021325386617</v>
          </cell>
        </row>
        <row r="2544">
          <cell r="A2544">
            <v>42998</v>
          </cell>
          <cell r="BF2544">
            <v>14.173690275612415</v>
          </cell>
          <cell r="BG2544">
            <v>17.429620749261797</v>
          </cell>
          <cell r="BH2544">
            <v>16.109902701379674</v>
          </cell>
          <cell r="BI2544">
            <v>13.839355674417275</v>
          </cell>
          <cell r="BJ2544">
            <v>18.380449728342072</v>
          </cell>
          <cell r="BU2544">
            <v>10.060421612116574</v>
          </cell>
          <cell r="BV2544">
            <v>11.522967903511651</v>
          </cell>
          <cell r="BW2544">
            <v>10.055977276238897</v>
          </cell>
          <cell r="BX2544">
            <v>8.6149332270911767</v>
          </cell>
          <cell r="BY2544">
            <v>11.497021325386617</v>
          </cell>
        </row>
        <row r="2545">
          <cell r="A2545">
            <v>42999</v>
          </cell>
          <cell r="BF2545">
            <v>14.15704586583602</v>
          </cell>
          <cell r="BG2545">
            <v>17.429620749261797</v>
          </cell>
          <cell r="BH2545">
            <v>16.109902701379674</v>
          </cell>
          <cell r="BI2545">
            <v>13.839355674417275</v>
          </cell>
          <cell r="BJ2545">
            <v>18.380449728342072</v>
          </cell>
          <cell r="BU2545">
            <v>10.060421612116574</v>
          </cell>
          <cell r="BV2545">
            <v>11.522967903511651</v>
          </cell>
          <cell r="BW2545">
            <v>10.055977276238897</v>
          </cell>
          <cell r="BX2545">
            <v>8.6149332270911767</v>
          </cell>
          <cell r="BY2545">
            <v>11.497021325386617</v>
          </cell>
        </row>
        <row r="2546">
          <cell r="A2546">
            <v>43000</v>
          </cell>
          <cell r="BF2546">
            <v>13.885506294340354</v>
          </cell>
          <cell r="BG2546">
            <v>17.429620749261797</v>
          </cell>
          <cell r="BH2546">
            <v>16.109902701379674</v>
          </cell>
          <cell r="BI2546">
            <v>13.839355674417275</v>
          </cell>
          <cell r="BJ2546">
            <v>18.380449728342072</v>
          </cell>
          <cell r="BU2546">
            <v>9.9072423562169725</v>
          </cell>
          <cell r="BV2546">
            <v>11.522967903511651</v>
          </cell>
          <cell r="BW2546">
            <v>10.055977276238897</v>
          </cell>
          <cell r="BX2546">
            <v>8.6149332270911767</v>
          </cell>
          <cell r="BY2546">
            <v>11.497021325386617</v>
          </cell>
        </row>
        <row r="2547">
          <cell r="A2547">
            <v>43003</v>
          </cell>
          <cell r="BF2547">
            <v>13.964544264899184</v>
          </cell>
          <cell r="BG2547">
            <v>17.429620749261797</v>
          </cell>
          <cell r="BH2547">
            <v>16.109902701379674</v>
          </cell>
          <cell r="BI2547">
            <v>13.839355674417275</v>
          </cell>
          <cell r="BJ2547">
            <v>18.380449728342072</v>
          </cell>
          <cell r="BU2547">
            <v>9.9494226339240139</v>
          </cell>
          <cell r="BV2547">
            <v>11.522967903511651</v>
          </cell>
          <cell r="BW2547">
            <v>10.055977276238897</v>
          </cell>
          <cell r="BX2547">
            <v>8.6149332270911767</v>
          </cell>
          <cell r="BY2547">
            <v>11.497021325386617</v>
          </cell>
        </row>
        <row r="2548">
          <cell r="A2548">
            <v>43004</v>
          </cell>
          <cell r="BF2548">
            <v>13.947901211031148</v>
          </cell>
          <cell r="BG2548">
            <v>17.429620749261797</v>
          </cell>
          <cell r="BH2548">
            <v>16.109902701379674</v>
          </cell>
          <cell r="BI2548">
            <v>13.839355674417275</v>
          </cell>
          <cell r="BJ2548">
            <v>18.380449728342072</v>
          </cell>
          <cell r="BU2548">
            <v>9.940540717687</v>
          </cell>
          <cell r="BV2548">
            <v>11.522967903511651</v>
          </cell>
          <cell r="BW2548">
            <v>10.055977276238897</v>
          </cell>
          <cell r="BX2548">
            <v>8.6149332270911767</v>
          </cell>
          <cell r="BY2548">
            <v>11.497021325386617</v>
          </cell>
        </row>
        <row r="2549">
          <cell r="A2549">
            <v>43005</v>
          </cell>
          <cell r="BF2549">
            <v>14.330604509601073</v>
          </cell>
          <cell r="BG2549">
            <v>17.429620749261797</v>
          </cell>
          <cell r="BH2549">
            <v>16.109902701379674</v>
          </cell>
          <cell r="BI2549">
            <v>13.839355674417275</v>
          </cell>
          <cell r="BJ2549">
            <v>18.380449728342072</v>
          </cell>
          <cell r="BU2549">
            <v>10.144778393565399</v>
          </cell>
          <cell r="BV2549">
            <v>11.522967903511651</v>
          </cell>
          <cell r="BW2549">
            <v>10.055977276238897</v>
          </cell>
          <cell r="BX2549">
            <v>8.6149332270911767</v>
          </cell>
          <cell r="BY2549">
            <v>11.497021325386617</v>
          </cell>
        </row>
        <row r="2550">
          <cell r="A2550">
            <v>43006</v>
          </cell>
          <cell r="BF2550">
            <v>15.005723556943749</v>
          </cell>
          <cell r="BG2550">
            <v>17.429620749261797</v>
          </cell>
          <cell r="BH2550">
            <v>16.109902701379674</v>
          </cell>
          <cell r="BI2550">
            <v>13.839355674417275</v>
          </cell>
          <cell r="BJ2550">
            <v>18.380449728342072</v>
          </cell>
          <cell r="BU2550">
            <v>10.144778393565399</v>
          </cell>
          <cell r="BV2550">
            <v>11.522967903511651</v>
          </cell>
          <cell r="BW2550">
            <v>10.055977276238897</v>
          </cell>
          <cell r="BX2550">
            <v>8.6149332270911767</v>
          </cell>
          <cell r="BY2550">
            <v>11.497021325386617</v>
          </cell>
        </row>
        <row r="2551">
          <cell r="A2551">
            <v>43007</v>
          </cell>
          <cell r="BF2551">
            <v>14.994885137317651</v>
          </cell>
          <cell r="BG2551">
            <v>17.429620749261797</v>
          </cell>
          <cell r="BH2551">
            <v>16.109902701379674</v>
          </cell>
          <cell r="BI2551">
            <v>13.839355674417275</v>
          </cell>
          <cell r="BJ2551">
            <v>18.380449728342072</v>
          </cell>
          <cell r="BU2551">
            <v>10.529545519851712</v>
          </cell>
          <cell r="BV2551">
            <v>11.522967903511651</v>
          </cell>
          <cell r="BW2551">
            <v>10.055977276238897</v>
          </cell>
          <cell r="BX2551">
            <v>8.6149332270911767</v>
          </cell>
          <cell r="BY2551">
            <v>11.497021325386617</v>
          </cell>
        </row>
        <row r="2552">
          <cell r="A2552">
            <v>43010</v>
          </cell>
          <cell r="BF2552">
            <v>14.487294876921505</v>
          </cell>
          <cell r="BG2552">
            <v>17.429620749261797</v>
          </cell>
          <cell r="BH2552">
            <v>16.109902701379674</v>
          </cell>
          <cell r="BI2552">
            <v>13.839355674417275</v>
          </cell>
          <cell r="BJ2552">
            <v>18.380449728342072</v>
          </cell>
          <cell r="BU2552">
            <v>10.257890935376887</v>
          </cell>
          <cell r="BV2552">
            <v>11.522967903511651</v>
          </cell>
          <cell r="BW2552">
            <v>10.055977276238897</v>
          </cell>
          <cell r="BX2552">
            <v>8.6149332270911767</v>
          </cell>
          <cell r="BY2552">
            <v>11.497021325386617</v>
          </cell>
        </row>
        <row r="2553">
          <cell r="A2553">
            <v>43011</v>
          </cell>
          <cell r="BF2553">
            <v>15.013181399189552</v>
          </cell>
          <cell r="BG2553">
            <v>17.429620749261797</v>
          </cell>
          <cell r="BH2553">
            <v>16.109902701379674</v>
          </cell>
          <cell r="BI2553">
            <v>13.839355674417275</v>
          </cell>
          <cell r="BJ2553">
            <v>18.380449728342072</v>
          </cell>
          <cell r="BU2553">
            <v>10.191446482158774</v>
          </cell>
          <cell r="BV2553">
            <v>11.522967903511651</v>
          </cell>
          <cell r="BW2553">
            <v>10.055977276238897</v>
          </cell>
          <cell r="BX2553">
            <v>8.6149332270911767</v>
          </cell>
          <cell r="BY2553">
            <v>11.497021325386617</v>
          </cell>
        </row>
        <row r="2554">
          <cell r="A2554">
            <v>43012</v>
          </cell>
          <cell r="BF2554">
            <v>16.133797927462723</v>
          </cell>
          <cell r="BG2554">
            <v>17.429620749261797</v>
          </cell>
          <cell r="BH2554">
            <v>16.109902701379674</v>
          </cell>
          <cell r="BI2554">
            <v>13.839355674417275</v>
          </cell>
          <cell r="BJ2554">
            <v>18.380449728342072</v>
          </cell>
          <cell r="BU2554">
            <v>10.67913069002898</v>
          </cell>
          <cell r="BV2554">
            <v>11.522967903511651</v>
          </cell>
          <cell r="BW2554">
            <v>10.055977276238897</v>
          </cell>
          <cell r="BX2554">
            <v>8.6149332270911767</v>
          </cell>
          <cell r="BY2554">
            <v>11.497021325386617</v>
          </cell>
        </row>
        <row r="2555">
          <cell r="A2555">
            <v>43013</v>
          </cell>
          <cell r="BF2555">
            <v>16.133797927462723</v>
          </cell>
          <cell r="BG2555">
            <v>17.429620749261797</v>
          </cell>
          <cell r="BH2555">
            <v>16.109902701379674</v>
          </cell>
          <cell r="BI2555">
            <v>13.839355674417275</v>
          </cell>
          <cell r="BJ2555">
            <v>18.380449728342072</v>
          </cell>
          <cell r="BU2555">
            <v>10.67913069002898</v>
          </cell>
          <cell r="BV2555">
            <v>11.522967903511651</v>
          </cell>
          <cell r="BW2555">
            <v>10.055977276238897</v>
          </cell>
          <cell r="BX2555">
            <v>8.6149332270911767</v>
          </cell>
          <cell r="BY2555">
            <v>11.497021325386617</v>
          </cell>
        </row>
        <row r="2556">
          <cell r="A2556">
            <v>43014</v>
          </cell>
          <cell r="BF2556">
            <v>16.128253973094488</v>
          </cell>
          <cell r="BG2556">
            <v>17.429620749261797</v>
          </cell>
          <cell r="BH2556">
            <v>16.109902701379674</v>
          </cell>
          <cell r="BI2556">
            <v>13.839355674417275</v>
          </cell>
          <cell r="BJ2556">
            <v>18.380449728342072</v>
          </cell>
          <cell r="BU2556">
            <v>10.790143712316624</v>
          </cell>
          <cell r="BV2556">
            <v>11.522967903511651</v>
          </cell>
          <cell r="BW2556">
            <v>10.055977276238897</v>
          </cell>
          <cell r="BX2556">
            <v>8.6149332270911767</v>
          </cell>
          <cell r="BY2556">
            <v>11.497021325386617</v>
          </cell>
        </row>
        <row r="2557">
          <cell r="A2557">
            <v>43017</v>
          </cell>
          <cell r="BF2557">
            <v>16.526248138163378</v>
          </cell>
          <cell r="BG2557">
            <v>17.429620749261797</v>
          </cell>
          <cell r="BH2557">
            <v>16.109902701379674</v>
          </cell>
          <cell r="BI2557">
            <v>13.839355674417275</v>
          </cell>
          <cell r="BJ2557">
            <v>18.380449728342072</v>
          </cell>
          <cell r="BU2557">
            <v>10.976738018533176</v>
          </cell>
          <cell r="BV2557">
            <v>11.522967903511651</v>
          </cell>
          <cell r="BW2557">
            <v>10.055977276238897</v>
          </cell>
          <cell r="BX2557">
            <v>8.6149332270911767</v>
          </cell>
          <cell r="BY2557">
            <v>11.497021325386617</v>
          </cell>
        </row>
        <row r="2558">
          <cell r="A2558">
            <v>43018</v>
          </cell>
          <cell r="BF2558">
            <v>16.703769190982303</v>
          </cell>
          <cell r="BG2558">
            <v>17.429620749261797</v>
          </cell>
          <cell r="BH2558">
            <v>16.109902701379674</v>
          </cell>
          <cell r="BI2558">
            <v>13.839355674417275</v>
          </cell>
          <cell r="BJ2558">
            <v>18.380449728342072</v>
          </cell>
          <cell r="BU2558">
            <v>11.012235345839207</v>
          </cell>
          <cell r="BV2558">
            <v>11.522967903511651</v>
          </cell>
          <cell r="BW2558">
            <v>10.055977276238897</v>
          </cell>
          <cell r="BX2558">
            <v>8.6149332270911767</v>
          </cell>
          <cell r="BY2558">
            <v>11.497021325386617</v>
          </cell>
        </row>
        <row r="2559">
          <cell r="A2559">
            <v>43019</v>
          </cell>
          <cell r="BF2559">
            <v>16.988829824327798</v>
          </cell>
          <cell r="BG2559">
            <v>17.429620749261797</v>
          </cell>
          <cell r="BH2559">
            <v>16.109902701379674</v>
          </cell>
          <cell r="BI2559">
            <v>13.839355674417275</v>
          </cell>
          <cell r="BJ2559">
            <v>18.380449728342072</v>
          </cell>
          <cell r="BU2559">
            <v>11.158301498806631</v>
          </cell>
          <cell r="BV2559">
            <v>11.522967903511651</v>
          </cell>
          <cell r="BW2559">
            <v>10.055977276238897</v>
          </cell>
          <cell r="BX2559">
            <v>8.6149332270911767</v>
          </cell>
          <cell r="BY2559">
            <v>11.497021325386617</v>
          </cell>
        </row>
        <row r="2560">
          <cell r="A2560">
            <v>43020</v>
          </cell>
          <cell r="BF2560">
            <v>16.80492147359309</v>
          </cell>
          <cell r="BG2560">
            <v>17.429620749261797</v>
          </cell>
          <cell r="BH2560">
            <v>16.109902701379674</v>
          </cell>
          <cell r="BI2560">
            <v>13.839355674417275</v>
          </cell>
          <cell r="BJ2560">
            <v>18.380449728342072</v>
          </cell>
          <cell r="BU2560">
            <v>11.158301498806631</v>
          </cell>
          <cell r="BV2560">
            <v>11.522967903511651</v>
          </cell>
          <cell r="BW2560">
            <v>10.055977276238897</v>
          </cell>
          <cell r="BX2560">
            <v>8.6149332270911767</v>
          </cell>
          <cell r="BY2560">
            <v>11.497021325386617</v>
          </cell>
        </row>
        <row r="2561">
          <cell r="A2561">
            <v>43021</v>
          </cell>
          <cell r="BF2561">
            <v>16.165506893509846</v>
          </cell>
          <cell r="BG2561">
            <v>17.429620749261797</v>
          </cell>
          <cell r="BH2561">
            <v>16.109902701379674</v>
          </cell>
          <cell r="BI2561">
            <v>13.839355674417275</v>
          </cell>
          <cell r="BJ2561">
            <v>18.380449728342072</v>
          </cell>
          <cell r="BU2561">
            <v>10.850861653872766</v>
          </cell>
          <cell r="BV2561">
            <v>11.522967903511651</v>
          </cell>
          <cell r="BW2561">
            <v>10.055977276238897</v>
          </cell>
          <cell r="BX2561">
            <v>8.6149332270911767</v>
          </cell>
          <cell r="BY2561">
            <v>11.497021325386617</v>
          </cell>
        </row>
        <row r="2562">
          <cell r="A2562">
            <v>43024</v>
          </cell>
          <cell r="BF2562">
            <v>17.028336731900534</v>
          </cell>
          <cell r="BG2562">
            <v>17.429620749261797</v>
          </cell>
          <cell r="BH2562">
            <v>16.109902701379674</v>
          </cell>
          <cell r="BI2562">
            <v>13.839355674417275</v>
          </cell>
          <cell r="BJ2562">
            <v>18.380449728342072</v>
          </cell>
          <cell r="BU2562">
            <v>11.298415243876526</v>
          </cell>
          <cell r="BV2562">
            <v>11.522967903511651</v>
          </cell>
          <cell r="BW2562">
            <v>10.055977276238897</v>
          </cell>
          <cell r="BX2562">
            <v>8.6149332270911767</v>
          </cell>
          <cell r="BY2562">
            <v>11.497021325386617</v>
          </cell>
        </row>
        <row r="2563">
          <cell r="A2563">
            <v>43025</v>
          </cell>
          <cell r="BF2563">
            <v>16.580945308459519</v>
          </cell>
          <cell r="BG2563">
            <v>17.429620749261797</v>
          </cell>
          <cell r="BH2563">
            <v>16.109902701379674</v>
          </cell>
          <cell r="BI2563">
            <v>13.839355674417275</v>
          </cell>
          <cell r="BJ2563">
            <v>18.380449728342072</v>
          </cell>
          <cell r="BU2563">
            <v>11.066351366633496</v>
          </cell>
          <cell r="BV2563">
            <v>11.522967903511651</v>
          </cell>
          <cell r="BW2563">
            <v>10.055977276238897</v>
          </cell>
          <cell r="BX2563">
            <v>8.6149332270911767</v>
          </cell>
          <cell r="BY2563">
            <v>11.497021325386617</v>
          </cell>
        </row>
        <row r="2564">
          <cell r="A2564">
            <v>43026</v>
          </cell>
          <cell r="BF2564">
            <v>15.880473540147573</v>
          </cell>
          <cell r="BG2564">
            <v>17.429620749261797</v>
          </cell>
          <cell r="BH2564">
            <v>16.109902701379674</v>
          </cell>
          <cell r="BI2564">
            <v>13.839355674417275</v>
          </cell>
          <cell r="BJ2564">
            <v>18.380449728342072</v>
          </cell>
          <cell r="BU2564">
            <v>11.096865573257473</v>
          </cell>
          <cell r="BV2564">
            <v>11.522967903511651</v>
          </cell>
          <cell r="BW2564">
            <v>10.055977276238897</v>
          </cell>
          <cell r="BX2564">
            <v>8.6149332270911767</v>
          </cell>
          <cell r="BY2564">
            <v>11.497021325386617</v>
          </cell>
        </row>
        <row r="2565">
          <cell r="A2565">
            <v>43027</v>
          </cell>
          <cell r="BF2565">
            <v>16.062959397811824</v>
          </cell>
          <cell r="BG2565">
            <v>17.429620749261797</v>
          </cell>
          <cell r="BH2565">
            <v>16.109902701379674</v>
          </cell>
          <cell r="BI2565">
            <v>13.839355674417275</v>
          </cell>
          <cell r="BJ2565">
            <v>18.380449728342072</v>
          </cell>
          <cell r="BU2565">
            <v>10.73830797176031</v>
          </cell>
          <cell r="BV2565">
            <v>11.522967903511651</v>
          </cell>
          <cell r="BW2565">
            <v>10.055977276238897</v>
          </cell>
          <cell r="BX2565">
            <v>8.6149332270911767</v>
          </cell>
          <cell r="BY2565">
            <v>11.497021325386617</v>
          </cell>
        </row>
        <row r="2566">
          <cell r="A2566">
            <v>43028</v>
          </cell>
          <cell r="BF2566">
            <v>16.206214742615085</v>
          </cell>
          <cell r="BG2566">
            <v>17.429620749261797</v>
          </cell>
          <cell r="BH2566">
            <v>16.109902701379674</v>
          </cell>
          <cell r="BI2566">
            <v>13.839355674417275</v>
          </cell>
          <cell r="BJ2566">
            <v>18.380449728342072</v>
          </cell>
          <cell r="BU2566">
            <v>10.933404700930621</v>
          </cell>
          <cell r="BV2566">
            <v>11.522967903511651</v>
          </cell>
          <cell r="BW2566">
            <v>10.055977276238897</v>
          </cell>
          <cell r="BX2566">
            <v>8.6149332270911767</v>
          </cell>
          <cell r="BY2566">
            <v>11.497021325386617</v>
          </cell>
        </row>
        <row r="2567">
          <cell r="A2567">
            <v>43031</v>
          </cell>
          <cell r="BF2567">
            <v>16.224487511424105</v>
          </cell>
          <cell r="BG2567">
            <v>17.429620749261797</v>
          </cell>
          <cell r="BH2567">
            <v>16.109902701379674</v>
          </cell>
          <cell r="BI2567">
            <v>13.839355674417275</v>
          </cell>
          <cell r="BJ2567">
            <v>18.380449728342072</v>
          </cell>
          <cell r="BU2567">
            <v>10.942934640572126</v>
          </cell>
          <cell r="BV2567">
            <v>11.522967903511651</v>
          </cell>
          <cell r="BW2567">
            <v>10.055977276238897</v>
          </cell>
          <cell r="BX2567">
            <v>8.6149332270911767</v>
          </cell>
          <cell r="BY2567">
            <v>11.497021325386617</v>
          </cell>
        </row>
        <row r="2568">
          <cell r="A2568">
            <v>43032</v>
          </cell>
          <cell r="BF2568">
            <v>16.352418824247753</v>
          </cell>
          <cell r="BG2568">
            <v>17.429620749261797</v>
          </cell>
          <cell r="BH2568">
            <v>16.109902701379674</v>
          </cell>
          <cell r="BI2568">
            <v>13.839355674417275</v>
          </cell>
          <cell r="BJ2568">
            <v>18.380449728342072</v>
          </cell>
          <cell r="BU2568">
            <v>11.00965565599188</v>
          </cell>
          <cell r="BV2568">
            <v>11.522967903511651</v>
          </cell>
          <cell r="BW2568">
            <v>10.055977276238897</v>
          </cell>
          <cell r="BX2568">
            <v>8.6149332270911767</v>
          </cell>
          <cell r="BY2568">
            <v>11.497021325386617</v>
          </cell>
        </row>
        <row r="2569">
          <cell r="A2569">
            <v>43033</v>
          </cell>
          <cell r="BF2569">
            <v>16.443804142554189</v>
          </cell>
          <cell r="BG2569">
            <v>17.429620749261797</v>
          </cell>
          <cell r="BH2569">
            <v>16.109902701379674</v>
          </cell>
          <cell r="BI2569">
            <v>13.839355674417275</v>
          </cell>
          <cell r="BJ2569">
            <v>18.380449728342072</v>
          </cell>
          <cell r="BU2569">
            <v>11.057316553838428</v>
          </cell>
          <cell r="BV2569">
            <v>11.522967903511651</v>
          </cell>
          <cell r="BW2569">
            <v>10.055977276238897</v>
          </cell>
          <cell r="BX2569">
            <v>8.6149332270911767</v>
          </cell>
          <cell r="BY2569">
            <v>11.497021325386617</v>
          </cell>
        </row>
        <row r="2570">
          <cell r="A2570">
            <v>43034</v>
          </cell>
          <cell r="BF2570">
            <v>16.046297289066484</v>
          </cell>
          <cell r="BG2570">
            <v>17.429620749261797</v>
          </cell>
          <cell r="BH2570">
            <v>16.109902701379674</v>
          </cell>
          <cell r="BI2570">
            <v>13.839355674417275</v>
          </cell>
          <cell r="BJ2570">
            <v>18.380449728342072</v>
          </cell>
          <cell r="BU2570">
            <v>11.057316553838428</v>
          </cell>
          <cell r="BV2570">
            <v>11.522967903511651</v>
          </cell>
          <cell r="BW2570">
            <v>10.055977276238897</v>
          </cell>
          <cell r="BX2570">
            <v>8.6149332270911767</v>
          </cell>
          <cell r="BY2570">
            <v>11.497021325386617</v>
          </cell>
        </row>
        <row r="2571">
          <cell r="A2571">
            <v>43035</v>
          </cell>
          <cell r="BF2571">
            <v>16.6768199817257</v>
          </cell>
          <cell r="BG2571">
            <v>17.429620749261797</v>
          </cell>
          <cell r="BH2571">
            <v>16.109902701379674</v>
          </cell>
          <cell r="BI2571">
            <v>13.839355674417275</v>
          </cell>
          <cell r="BJ2571">
            <v>18.380449728342072</v>
          </cell>
          <cell r="BU2571">
            <v>11.178843121926102</v>
          </cell>
          <cell r="BV2571">
            <v>11.522967903511651</v>
          </cell>
          <cell r="BW2571">
            <v>10.055977276238897</v>
          </cell>
          <cell r="BX2571">
            <v>8.6149332270911767</v>
          </cell>
          <cell r="BY2571">
            <v>11.497021325386617</v>
          </cell>
        </row>
        <row r="2572">
          <cell r="A2572">
            <v>43038</v>
          </cell>
          <cell r="BF2572">
            <v>16.772772007312064</v>
          </cell>
          <cell r="BG2572">
            <v>17.429620749261797</v>
          </cell>
          <cell r="BH2572">
            <v>16.109902701379674</v>
          </cell>
          <cell r="BI2572">
            <v>13.839355674417275</v>
          </cell>
          <cell r="BJ2572">
            <v>18.380449728342072</v>
          </cell>
          <cell r="BU2572">
            <v>11.228885730239902</v>
          </cell>
          <cell r="BV2572">
            <v>11.522967903511651</v>
          </cell>
          <cell r="BW2572">
            <v>10.055977276238897</v>
          </cell>
          <cell r="BX2572">
            <v>8.6149332270911767</v>
          </cell>
          <cell r="BY2572">
            <v>11.497021325386617</v>
          </cell>
        </row>
        <row r="2573">
          <cell r="A2573">
            <v>43039</v>
          </cell>
          <cell r="BF2573">
            <v>17.101733018582276</v>
          </cell>
          <cell r="BG2573">
            <v>17.429620749261797</v>
          </cell>
          <cell r="BH2573">
            <v>16.109902701379674</v>
          </cell>
          <cell r="BI2573">
            <v>13.839355674417275</v>
          </cell>
          <cell r="BJ2573">
            <v>18.380449728342072</v>
          </cell>
          <cell r="BU2573">
            <v>11.400451332288505</v>
          </cell>
          <cell r="BV2573">
            <v>11.522967903511651</v>
          </cell>
          <cell r="BW2573">
            <v>10.055977276238897</v>
          </cell>
          <cell r="BX2573">
            <v>8.6149332270911767</v>
          </cell>
          <cell r="BY2573">
            <v>11.497021325386617</v>
          </cell>
        </row>
        <row r="2574">
          <cell r="A2574">
            <v>43040</v>
          </cell>
          <cell r="BF2574">
            <v>16.681386689005631</v>
          </cell>
          <cell r="BG2574">
            <v>17.429620749261797</v>
          </cell>
          <cell r="BH2574">
            <v>16.109902701379674</v>
          </cell>
          <cell r="BI2574">
            <v>13.839355674417275</v>
          </cell>
          <cell r="BJ2574">
            <v>18.380449728342072</v>
          </cell>
          <cell r="BU2574">
            <v>11.181224832393355</v>
          </cell>
          <cell r="BV2574">
            <v>11.522967903511651</v>
          </cell>
          <cell r="BW2574">
            <v>10.055977276238897</v>
          </cell>
          <cell r="BX2574">
            <v>8.6149332270911767</v>
          </cell>
          <cell r="BY2574">
            <v>11.497021325386617</v>
          </cell>
        </row>
        <row r="2575">
          <cell r="A2575">
            <v>43041</v>
          </cell>
          <cell r="BF2575">
            <v>16.590008224186857</v>
          </cell>
          <cell r="BG2575">
            <v>17.429620749261797</v>
          </cell>
          <cell r="BH2575">
            <v>16.109902701379674</v>
          </cell>
          <cell r="BI2575">
            <v>13.839355674417275</v>
          </cell>
          <cell r="BJ2575">
            <v>18.380449728342072</v>
          </cell>
          <cell r="BU2575">
            <v>11.181224832393355</v>
          </cell>
          <cell r="BV2575">
            <v>11.522967903511651</v>
          </cell>
          <cell r="BW2575">
            <v>10.055977276238897</v>
          </cell>
          <cell r="BX2575">
            <v>8.6149332270911767</v>
          </cell>
          <cell r="BY2575">
            <v>11.497021325386617</v>
          </cell>
        </row>
        <row r="2576">
          <cell r="A2576">
            <v>43042</v>
          </cell>
          <cell r="BF2576">
            <v>16.561207940244248</v>
          </cell>
          <cell r="BG2576">
            <v>17.429620749261797</v>
          </cell>
          <cell r="BH2576">
            <v>16.109902701379674</v>
          </cell>
          <cell r="BI2576">
            <v>13.839355674417275</v>
          </cell>
          <cell r="BJ2576">
            <v>18.380449728342072</v>
          </cell>
          <cell r="BU2576">
            <v>11.119270573970795</v>
          </cell>
          <cell r="BV2576">
            <v>11.522967903511651</v>
          </cell>
          <cell r="BW2576">
            <v>10.055977276238897</v>
          </cell>
          <cell r="BX2576">
            <v>8.6149332270911767</v>
          </cell>
          <cell r="BY2576">
            <v>11.497021325386617</v>
          </cell>
        </row>
        <row r="2577">
          <cell r="A2577">
            <v>43045</v>
          </cell>
          <cell r="BF2577">
            <v>16.561207940244248</v>
          </cell>
          <cell r="BG2577">
            <v>17.429620749261797</v>
          </cell>
          <cell r="BH2577">
            <v>16.109902701379674</v>
          </cell>
          <cell r="BI2577">
            <v>13.839355674417275</v>
          </cell>
          <cell r="BJ2577">
            <v>18.380449728342072</v>
          </cell>
          <cell r="BU2577">
            <v>11.119270573970795</v>
          </cell>
          <cell r="BV2577">
            <v>11.522967903511651</v>
          </cell>
          <cell r="BW2577">
            <v>10.055977276238897</v>
          </cell>
          <cell r="BX2577">
            <v>8.6149332270911767</v>
          </cell>
          <cell r="BY2577">
            <v>11.497021325386617</v>
          </cell>
        </row>
        <row r="2578">
          <cell r="A2578">
            <v>43046</v>
          </cell>
          <cell r="BF2578">
            <v>16.556642072322738</v>
          </cell>
          <cell r="BG2578">
            <v>17.429620749261797</v>
          </cell>
          <cell r="BH2578">
            <v>16.109902701379674</v>
          </cell>
          <cell r="BI2578">
            <v>13.839355674417275</v>
          </cell>
          <cell r="BJ2578">
            <v>18.380449728342072</v>
          </cell>
          <cell r="BU2578">
            <v>11.116889101793735</v>
          </cell>
          <cell r="BV2578">
            <v>11.522967903511651</v>
          </cell>
          <cell r="BW2578">
            <v>10.055977276238897</v>
          </cell>
          <cell r="BX2578">
            <v>8.6149332270911767</v>
          </cell>
          <cell r="BY2578">
            <v>11.497021325386617</v>
          </cell>
        </row>
        <row r="2579">
          <cell r="A2579">
            <v>43047</v>
          </cell>
          <cell r="BF2579">
            <v>16.620602142679324</v>
          </cell>
          <cell r="BG2579">
            <v>17.429620749261797</v>
          </cell>
          <cell r="BH2579">
            <v>16.109902701379674</v>
          </cell>
          <cell r="BI2579">
            <v>13.839355674417275</v>
          </cell>
          <cell r="BJ2579">
            <v>18.380449728342072</v>
          </cell>
          <cell r="BU2579">
            <v>11.150249490358513</v>
          </cell>
          <cell r="BV2579">
            <v>11.522967903511651</v>
          </cell>
          <cell r="BW2579">
            <v>10.055977276238897</v>
          </cell>
          <cell r="BX2579">
            <v>8.6149332270911767</v>
          </cell>
          <cell r="BY2579">
            <v>11.497021325386617</v>
          </cell>
        </row>
        <row r="2580">
          <cell r="A2580">
            <v>43048</v>
          </cell>
          <cell r="BF2580">
            <v>16.638873837861727</v>
          </cell>
          <cell r="BG2580">
            <v>17.429620749261797</v>
          </cell>
          <cell r="BH2580">
            <v>16.109902701379674</v>
          </cell>
          <cell r="BI2580">
            <v>13.839355674417275</v>
          </cell>
          <cell r="BJ2580">
            <v>18.380449728342072</v>
          </cell>
          <cell r="BU2580">
            <v>11.159779668290211</v>
          </cell>
          <cell r="BV2580">
            <v>11.522967903511651</v>
          </cell>
          <cell r="BW2580">
            <v>10.055977276238897</v>
          </cell>
          <cell r="BX2580">
            <v>8.6149332270911767</v>
          </cell>
          <cell r="BY2580">
            <v>11.497021325386617</v>
          </cell>
        </row>
        <row r="2581">
          <cell r="A2581">
            <v>43049</v>
          </cell>
          <cell r="BF2581">
            <v>16.506386915505225</v>
          </cell>
          <cell r="BG2581">
            <v>17.429620749261797</v>
          </cell>
          <cell r="BH2581">
            <v>16.109902701379674</v>
          </cell>
          <cell r="BI2581">
            <v>13.839355674417275</v>
          </cell>
          <cell r="BJ2581">
            <v>18.380449728342072</v>
          </cell>
          <cell r="BU2581">
            <v>11.159779668290211</v>
          </cell>
          <cell r="BV2581">
            <v>11.522967903511651</v>
          </cell>
          <cell r="BW2581">
            <v>10.055977276238897</v>
          </cell>
          <cell r="BX2581">
            <v>8.6149332270911767</v>
          </cell>
          <cell r="BY2581">
            <v>11.497021325386617</v>
          </cell>
        </row>
        <row r="2582">
          <cell r="A2582">
            <v>43052</v>
          </cell>
          <cell r="BF2582">
            <v>16.382369344614627</v>
          </cell>
          <cell r="BG2582">
            <v>17.429620749261797</v>
          </cell>
          <cell r="BH2582">
            <v>16.109902701379674</v>
          </cell>
          <cell r="BI2582">
            <v>13.839355674417275</v>
          </cell>
          <cell r="BJ2582">
            <v>18.380449728342072</v>
          </cell>
          <cell r="BU2582">
            <v>11.042916980856601</v>
          </cell>
          <cell r="BV2582">
            <v>11.522967903511651</v>
          </cell>
          <cell r="BW2582">
            <v>10.055977276238897</v>
          </cell>
          <cell r="BX2582">
            <v>8.6149332270911767</v>
          </cell>
          <cell r="BY2582">
            <v>11.497021325386617</v>
          </cell>
        </row>
        <row r="2583">
          <cell r="A2583">
            <v>43053</v>
          </cell>
          <cell r="BF2583">
            <v>17.035689269608408</v>
          </cell>
          <cell r="BG2583">
            <v>17.429620749261797</v>
          </cell>
          <cell r="BH2583">
            <v>16.109902701379674</v>
          </cell>
          <cell r="BI2583">
            <v>13.839355674417275</v>
          </cell>
          <cell r="BJ2583">
            <v>18.380449728342072</v>
          </cell>
          <cell r="BU2583">
            <v>11.458129048954412</v>
          </cell>
          <cell r="BV2583">
            <v>11.522967903511651</v>
          </cell>
          <cell r="BW2583">
            <v>10.055977276238897</v>
          </cell>
          <cell r="BX2583">
            <v>8.6149332270911767</v>
          </cell>
          <cell r="BY2583">
            <v>11.497021325386617</v>
          </cell>
        </row>
        <row r="2584">
          <cell r="A2584">
            <v>43054</v>
          </cell>
          <cell r="BF2584">
            <v>16.743362187115974</v>
          </cell>
          <cell r="BG2584">
            <v>17.429620749261797</v>
          </cell>
          <cell r="BH2584">
            <v>16.109902701379674</v>
          </cell>
          <cell r="BI2584">
            <v>13.839355674417275</v>
          </cell>
          <cell r="BJ2584">
            <v>18.380449728342072</v>
          </cell>
          <cell r="BU2584">
            <v>11.303905288284589</v>
          </cell>
          <cell r="BV2584">
            <v>11.522967903511651</v>
          </cell>
          <cell r="BW2584">
            <v>10.055977276238897</v>
          </cell>
          <cell r="BX2584">
            <v>8.6149332270911767</v>
          </cell>
          <cell r="BY2584">
            <v>11.497021325386617</v>
          </cell>
        </row>
        <row r="2585">
          <cell r="A2585">
            <v>43055</v>
          </cell>
          <cell r="BF2585">
            <v>16.79892490472988</v>
          </cell>
          <cell r="BG2585">
            <v>17.429620749261797</v>
          </cell>
          <cell r="BH2585">
            <v>16.109902701379674</v>
          </cell>
          <cell r="BI2585">
            <v>13.839355674417275</v>
          </cell>
          <cell r="BJ2585">
            <v>18.380449728342072</v>
          </cell>
          <cell r="BU2585">
            <v>11.339975181402018</v>
          </cell>
          <cell r="BV2585">
            <v>11.522967903511651</v>
          </cell>
          <cell r="BW2585">
            <v>10.055977276238897</v>
          </cell>
          <cell r="BX2585">
            <v>8.6149332270911767</v>
          </cell>
          <cell r="BY2585">
            <v>11.497021325386617</v>
          </cell>
        </row>
        <row r="2586">
          <cell r="A2586">
            <v>43056</v>
          </cell>
          <cell r="BF2586">
            <v>16.782092417325465</v>
          </cell>
          <cell r="BG2586">
            <v>17.429620749261797</v>
          </cell>
          <cell r="BH2586">
            <v>16.109902701379674</v>
          </cell>
          <cell r="BI2586">
            <v>13.839355674417275</v>
          </cell>
          <cell r="BJ2586">
            <v>18.380449728342072</v>
          </cell>
          <cell r="BU2586">
            <v>11.447083975941435</v>
          </cell>
          <cell r="BV2586">
            <v>11.522967903511651</v>
          </cell>
          <cell r="BW2586">
            <v>10.055977276238897</v>
          </cell>
          <cell r="BX2586">
            <v>8.6149332270911767</v>
          </cell>
          <cell r="BY2586">
            <v>11.497021325386617</v>
          </cell>
        </row>
        <row r="2587">
          <cell r="A2587">
            <v>43059</v>
          </cell>
          <cell r="BF2587">
            <v>16.826633559737221</v>
          </cell>
          <cell r="BG2587">
            <v>17.429620749261797</v>
          </cell>
          <cell r="BH2587">
            <v>16.109902701379674</v>
          </cell>
          <cell r="BI2587">
            <v>13.839355674417275</v>
          </cell>
          <cell r="BJ2587">
            <v>18.380449728342072</v>
          </cell>
          <cell r="BU2587">
            <v>11.470887517091061</v>
          </cell>
          <cell r="BV2587">
            <v>11.522967903511651</v>
          </cell>
          <cell r="BW2587">
            <v>10.055977276238897</v>
          </cell>
          <cell r="BX2587">
            <v>8.6149332270911767</v>
          </cell>
          <cell r="BY2587">
            <v>11.497021325386617</v>
          </cell>
        </row>
        <row r="2588">
          <cell r="A2588">
            <v>43060</v>
          </cell>
          <cell r="BF2588">
            <v>16.635121701369556</v>
          </cell>
          <cell r="BG2588">
            <v>17.429620749261797</v>
          </cell>
          <cell r="BH2588">
            <v>16.109902701379674</v>
          </cell>
          <cell r="BI2588">
            <v>13.839355674417275</v>
          </cell>
          <cell r="BJ2588">
            <v>18.380449728342072</v>
          </cell>
          <cell r="BU2588">
            <v>11.470887517091061</v>
          </cell>
          <cell r="BV2588">
            <v>11.522967903511651</v>
          </cell>
          <cell r="BW2588">
            <v>10.055977276238897</v>
          </cell>
          <cell r="BX2588">
            <v>8.6149332270911767</v>
          </cell>
          <cell r="BY2588">
            <v>11.497021325386617</v>
          </cell>
        </row>
        <row r="2589">
          <cell r="A2589">
            <v>43061</v>
          </cell>
          <cell r="BF2589">
            <v>16.292844488638327</v>
          </cell>
          <cell r="BG2589">
            <v>17.429620749261797</v>
          </cell>
          <cell r="BH2589">
            <v>16.109902701379674</v>
          </cell>
          <cell r="BI2589">
            <v>13.839355674417275</v>
          </cell>
          <cell r="BJ2589">
            <v>18.380449728342072</v>
          </cell>
          <cell r="BU2589">
            <v>11.185262874880296</v>
          </cell>
          <cell r="BV2589">
            <v>11.522967903511651</v>
          </cell>
          <cell r="BW2589">
            <v>10.055977276238897</v>
          </cell>
          <cell r="BX2589">
            <v>8.6149332270911767</v>
          </cell>
          <cell r="BY2589">
            <v>11.497021325386617</v>
          </cell>
        </row>
        <row r="2590">
          <cell r="A2590">
            <v>43062</v>
          </cell>
          <cell r="BF2590">
            <v>16.207734364640881</v>
          </cell>
          <cell r="BG2590">
            <v>17.429620749261797</v>
          </cell>
          <cell r="BH2590">
            <v>16.109902701379674</v>
          </cell>
          <cell r="BI2590">
            <v>13.839355674417275</v>
          </cell>
          <cell r="BJ2590">
            <v>18.380449728342072</v>
          </cell>
          <cell r="BU2590">
            <v>11.206684062537468</v>
          </cell>
          <cell r="BV2590">
            <v>11.522967903511651</v>
          </cell>
          <cell r="BW2590">
            <v>10.055977276238897</v>
          </cell>
          <cell r="BX2590">
            <v>8.6149332270911767</v>
          </cell>
          <cell r="BY2590">
            <v>11.497021325386617</v>
          </cell>
        </row>
        <row r="2591">
          <cell r="A2591">
            <v>43063</v>
          </cell>
          <cell r="BF2591">
            <v>16.579003314917127</v>
          </cell>
          <cell r="BG2591">
            <v>17.429620749261797</v>
          </cell>
          <cell r="BH2591">
            <v>16.109902701379674</v>
          </cell>
          <cell r="BI2591">
            <v>13.839355674417275</v>
          </cell>
          <cell r="BJ2591">
            <v>18.380449728342072</v>
          </cell>
          <cell r="BU2591">
            <v>11.418079320655654</v>
          </cell>
          <cell r="BV2591">
            <v>11.522967903511651</v>
          </cell>
          <cell r="BW2591">
            <v>10.055977276238897</v>
          </cell>
          <cell r="BX2591">
            <v>8.6149332270911767</v>
          </cell>
          <cell r="BY2591">
            <v>11.497021325386617</v>
          </cell>
        </row>
        <row r="2592">
          <cell r="A2592">
            <v>43066</v>
          </cell>
          <cell r="BF2592">
            <v>16.579003314917127</v>
          </cell>
          <cell r="BG2592">
            <v>17.429620749261797</v>
          </cell>
          <cell r="BH2592">
            <v>16.109902701379674</v>
          </cell>
          <cell r="BI2592">
            <v>13.839355674417275</v>
          </cell>
          <cell r="BJ2592">
            <v>18.380449728342072</v>
          </cell>
          <cell r="BU2592">
            <v>11.418079320655654</v>
          </cell>
          <cell r="BV2592">
            <v>11.522967903511651</v>
          </cell>
          <cell r="BW2592">
            <v>10.055977276238897</v>
          </cell>
          <cell r="BX2592">
            <v>8.6149332270911767</v>
          </cell>
          <cell r="BY2592">
            <v>11.497021325386617</v>
          </cell>
        </row>
        <row r="2593">
          <cell r="A2593">
            <v>43067</v>
          </cell>
          <cell r="BF2593">
            <v>16.853040883977897</v>
          </cell>
          <cell r="BG2593">
            <v>17.429620749261797</v>
          </cell>
          <cell r="BH2593">
            <v>16.109902701379674</v>
          </cell>
          <cell r="BI2593">
            <v>13.839355674417275</v>
          </cell>
          <cell r="BJ2593">
            <v>18.380449728342072</v>
          </cell>
          <cell r="BU2593">
            <v>11.460534780870168</v>
          </cell>
          <cell r="BV2593">
            <v>11.522967903511651</v>
          </cell>
          <cell r="BW2593">
            <v>10.055977276238897</v>
          </cell>
          <cell r="BX2593">
            <v>8.6149332270911767</v>
          </cell>
          <cell r="BY2593">
            <v>11.497021325386617</v>
          </cell>
        </row>
        <row r="2594">
          <cell r="A2594">
            <v>43068</v>
          </cell>
          <cell r="BF2594">
            <v>16.287295911602207</v>
          </cell>
          <cell r="BG2594">
            <v>17.429620749261797</v>
          </cell>
          <cell r="BH2594">
            <v>16.109902701379674</v>
          </cell>
          <cell r="BI2594">
            <v>13.839355674417275</v>
          </cell>
          <cell r="BJ2594">
            <v>18.380449728342072</v>
          </cell>
          <cell r="BU2594">
            <v>11.302701192872371</v>
          </cell>
          <cell r="BV2594">
            <v>11.522967903511651</v>
          </cell>
          <cell r="BW2594">
            <v>10.055977276238897</v>
          </cell>
          <cell r="BX2594">
            <v>8.6149332270911767</v>
          </cell>
          <cell r="BY2594">
            <v>11.497021325386617</v>
          </cell>
        </row>
        <row r="2595">
          <cell r="A2595">
            <v>43069</v>
          </cell>
          <cell r="BF2595">
            <v>16.061877127071821</v>
          </cell>
          <cell r="BG2595">
            <v>17.429620749261797</v>
          </cell>
          <cell r="BH2595">
            <v>16.109902701379674</v>
          </cell>
          <cell r="BI2595">
            <v>13.839355674417275</v>
          </cell>
          <cell r="BJ2595">
            <v>18.380449728342072</v>
          </cell>
          <cell r="BU2595">
            <v>11.302701192872371</v>
          </cell>
          <cell r="BV2595">
            <v>11.522967903511651</v>
          </cell>
          <cell r="BW2595">
            <v>10.055977276238897</v>
          </cell>
          <cell r="BX2595">
            <v>8.6149332270911767</v>
          </cell>
          <cell r="BY2595">
            <v>11.497021325386617</v>
          </cell>
        </row>
        <row r="2596">
          <cell r="A2596">
            <v>43070</v>
          </cell>
          <cell r="BF2596">
            <v>16.176208823324671</v>
          </cell>
          <cell r="BG2596">
            <v>17.429620749261797</v>
          </cell>
          <cell r="BH2596">
            <v>16.109902701379674</v>
          </cell>
          <cell r="BI2596">
            <v>13.839355674417275</v>
          </cell>
          <cell r="BJ2596">
            <v>18.380449728342072</v>
          </cell>
          <cell r="BU2596">
            <v>11.24291465584526</v>
          </cell>
          <cell r="BV2596">
            <v>11.522967903511651</v>
          </cell>
          <cell r="BW2596">
            <v>10.055977276238897</v>
          </cell>
          <cell r="BX2596">
            <v>8.6149332270911767</v>
          </cell>
          <cell r="BY2596">
            <v>11.497021325386617</v>
          </cell>
        </row>
        <row r="2597">
          <cell r="A2597">
            <v>43073</v>
          </cell>
          <cell r="BF2597">
            <v>16.361836529717699</v>
          </cell>
          <cell r="BG2597">
            <v>17.429620749261797</v>
          </cell>
          <cell r="BH2597">
            <v>16.109902701379674</v>
          </cell>
          <cell r="BI2597">
            <v>13.839355674417275</v>
          </cell>
          <cell r="BJ2597">
            <v>18.380449728342072</v>
          </cell>
          <cell r="BU2597">
            <v>11.343355559758511</v>
          </cell>
          <cell r="BV2597">
            <v>11.522967903511651</v>
          </cell>
          <cell r="BW2597">
            <v>10.055977276238897</v>
          </cell>
          <cell r="BX2597">
            <v>8.6149332270911767</v>
          </cell>
          <cell r="BY2597">
            <v>11.497021325386617</v>
          </cell>
        </row>
        <row r="2598">
          <cell r="A2598">
            <v>43074</v>
          </cell>
          <cell r="BF2598">
            <v>16.299960332938134</v>
          </cell>
          <cell r="BG2598">
            <v>17.429620749261797</v>
          </cell>
          <cell r="BH2598">
            <v>16.109902701379674</v>
          </cell>
          <cell r="BI2598">
            <v>13.839355674417275</v>
          </cell>
          <cell r="BJ2598">
            <v>18.380449728342072</v>
          </cell>
          <cell r="BU2598">
            <v>11.228869057102873</v>
          </cell>
          <cell r="BV2598">
            <v>11.522967903511651</v>
          </cell>
          <cell r="BW2598">
            <v>10.055977276238897</v>
          </cell>
          <cell r="BX2598">
            <v>8.6149332270911767</v>
          </cell>
          <cell r="BY2598">
            <v>11.497021325386617</v>
          </cell>
        </row>
        <row r="2599">
          <cell r="A2599">
            <v>43075</v>
          </cell>
          <cell r="BF2599">
            <v>16.445812252149921</v>
          </cell>
          <cell r="BG2599">
            <v>17.429620749261797</v>
          </cell>
          <cell r="BH2599">
            <v>16.109902701379674</v>
          </cell>
          <cell r="BI2599">
            <v>13.839355674417275</v>
          </cell>
          <cell r="BJ2599">
            <v>18.380449728342072</v>
          </cell>
          <cell r="BU2599">
            <v>11.307062922833277</v>
          </cell>
          <cell r="BV2599">
            <v>11.522967903511651</v>
          </cell>
          <cell r="BW2599">
            <v>10.055977276238897</v>
          </cell>
          <cell r="BX2599">
            <v>8.6149332270911767</v>
          </cell>
          <cell r="BY2599">
            <v>11.497021325386617</v>
          </cell>
        </row>
        <row r="2600">
          <cell r="A2600">
            <v>43076</v>
          </cell>
          <cell r="BF2600">
            <v>16.516523043911103</v>
          </cell>
          <cell r="BG2600">
            <v>17.429620749261797</v>
          </cell>
          <cell r="BH2600">
            <v>16.109902701379674</v>
          </cell>
          <cell r="BI2600">
            <v>13.839355674417275</v>
          </cell>
          <cell r="BJ2600">
            <v>18.380449728342072</v>
          </cell>
          <cell r="BU2600">
            <v>11.307062922833277</v>
          </cell>
          <cell r="BV2600">
            <v>11.522967903511651</v>
          </cell>
          <cell r="BW2600">
            <v>10.055977276238897</v>
          </cell>
          <cell r="BX2600">
            <v>8.6149332270911767</v>
          </cell>
          <cell r="BY2600">
            <v>11.497021325386617</v>
          </cell>
        </row>
        <row r="2601">
          <cell r="A2601">
            <v>43077</v>
          </cell>
          <cell r="BF2601">
            <v>16.45957471044057</v>
          </cell>
          <cell r="BG2601">
            <v>17.429620749261797</v>
          </cell>
          <cell r="BH2601">
            <v>16.109902701379674</v>
          </cell>
          <cell r="BI2601">
            <v>13.839355674417275</v>
          </cell>
          <cell r="BJ2601">
            <v>18.380449728342072</v>
          </cell>
          <cell r="BU2601">
            <v>11.396643911126755</v>
          </cell>
          <cell r="BV2601">
            <v>11.522967903511651</v>
          </cell>
          <cell r="BW2601">
            <v>10.055977276238897</v>
          </cell>
          <cell r="BX2601">
            <v>8.6149332270911767</v>
          </cell>
          <cell r="BY2601">
            <v>11.497021325386617</v>
          </cell>
        </row>
        <row r="2602">
          <cell r="A2602">
            <v>43080</v>
          </cell>
          <cell r="BF2602">
            <v>16.542808794939898</v>
          </cell>
          <cell r="BG2602">
            <v>17.429620749261797</v>
          </cell>
          <cell r="BH2602">
            <v>16.109902701379674</v>
          </cell>
          <cell r="BI2602">
            <v>13.839355674417275</v>
          </cell>
          <cell r="BJ2602">
            <v>18.380449728342072</v>
          </cell>
          <cell r="BU2602">
            <v>11.441678176614495</v>
          </cell>
          <cell r="BV2602">
            <v>11.522967903511651</v>
          </cell>
          <cell r="BW2602">
            <v>10.055977276238897</v>
          </cell>
          <cell r="BX2602">
            <v>8.6149332270911767</v>
          </cell>
          <cell r="BY2602">
            <v>11.497021325386617</v>
          </cell>
        </row>
        <row r="2603">
          <cell r="A2603">
            <v>43081</v>
          </cell>
          <cell r="BF2603">
            <v>16.095947427507461</v>
          </cell>
          <cell r="BG2603">
            <v>17.429620749261797</v>
          </cell>
          <cell r="BH2603">
            <v>16.109902701379674</v>
          </cell>
          <cell r="BI2603">
            <v>13.839355674417275</v>
          </cell>
          <cell r="BJ2603">
            <v>18.380449728342072</v>
          </cell>
          <cell r="BU2603">
            <v>11.199901342301755</v>
          </cell>
          <cell r="BV2603">
            <v>11.522967903511651</v>
          </cell>
          <cell r="BW2603">
            <v>10.055977276238897</v>
          </cell>
          <cell r="BX2603">
            <v>8.6149332270911767</v>
          </cell>
          <cell r="BY2603">
            <v>11.497021325386617</v>
          </cell>
        </row>
        <row r="2604">
          <cell r="A2604">
            <v>43082</v>
          </cell>
          <cell r="BF2604">
            <v>15.636640888792069</v>
          </cell>
          <cell r="BG2604">
            <v>17.429620749261797</v>
          </cell>
          <cell r="BH2604">
            <v>16.109902701379674</v>
          </cell>
          <cell r="BI2604">
            <v>13.839355674417275</v>
          </cell>
          <cell r="BJ2604">
            <v>18.380449728342072</v>
          </cell>
          <cell r="BU2604">
            <v>11.199901342301755</v>
          </cell>
          <cell r="BV2604">
            <v>11.522967903511651</v>
          </cell>
          <cell r="BW2604">
            <v>10.055977276238897</v>
          </cell>
          <cell r="BX2604">
            <v>8.6149332270911767</v>
          </cell>
          <cell r="BY2604">
            <v>11.497021325386617</v>
          </cell>
        </row>
        <row r="2605">
          <cell r="A2605">
            <v>43083</v>
          </cell>
          <cell r="BF2605">
            <v>15.391700165457177</v>
          </cell>
          <cell r="BG2605">
            <v>17.429620749261797</v>
          </cell>
          <cell r="BH2605">
            <v>16.109902701379674</v>
          </cell>
          <cell r="BI2605">
            <v>13.839355674417275</v>
          </cell>
          <cell r="BJ2605">
            <v>18.380449728342072</v>
          </cell>
          <cell r="BU2605">
            <v>10.901715561237685</v>
          </cell>
          <cell r="BV2605">
            <v>11.522967903511651</v>
          </cell>
          <cell r="BW2605">
            <v>10.055977276238897</v>
          </cell>
          <cell r="BX2605">
            <v>8.6149332270911767</v>
          </cell>
          <cell r="BY2605">
            <v>11.497021325386617</v>
          </cell>
        </row>
        <row r="2606">
          <cell r="A2606">
            <v>43084</v>
          </cell>
          <cell r="BF2606">
            <v>15.201784907562045</v>
          </cell>
          <cell r="BG2606">
            <v>17.429620749261797</v>
          </cell>
          <cell r="BH2606">
            <v>16.109902701379674</v>
          </cell>
          <cell r="BI2606">
            <v>13.839355674417275</v>
          </cell>
          <cell r="BJ2606">
            <v>18.380449728342072</v>
          </cell>
          <cell r="BU2606">
            <v>10.797820090471388</v>
          </cell>
          <cell r="BV2606">
            <v>11.522967903511651</v>
          </cell>
          <cell r="BW2606">
            <v>10.055977276238897</v>
          </cell>
          <cell r="BX2606">
            <v>8.6149332270911767</v>
          </cell>
          <cell r="BY2606">
            <v>11.497021325386617</v>
          </cell>
        </row>
        <row r="2607">
          <cell r="A2607">
            <v>43087</v>
          </cell>
          <cell r="BF2607">
            <v>14.541401194160066</v>
          </cell>
          <cell r="BG2607">
            <v>17.429620749261797</v>
          </cell>
          <cell r="BH2607">
            <v>16.109902701379674</v>
          </cell>
          <cell r="BI2607">
            <v>13.839355674417275</v>
          </cell>
          <cell r="BJ2607">
            <v>18.380449728342072</v>
          </cell>
          <cell r="BU2607">
            <v>10.797820090471388</v>
          </cell>
          <cell r="BV2607">
            <v>11.522967903511651</v>
          </cell>
          <cell r="BW2607">
            <v>10.055977276238897</v>
          </cell>
          <cell r="BX2607">
            <v>8.6149332270911767</v>
          </cell>
          <cell r="BY2607">
            <v>11.497021325386617</v>
          </cell>
        </row>
        <row r="2608">
          <cell r="A2608">
            <v>43088</v>
          </cell>
          <cell r="BF2608">
            <v>14.817639882024277</v>
          </cell>
          <cell r="BG2608">
            <v>17.429620749261797</v>
          </cell>
          <cell r="BH2608">
            <v>16.109902701379674</v>
          </cell>
          <cell r="BI2608">
            <v>13.839355674417275</v>
          </cell>
          <cell r="BJ2608">
            <v>18.380449728342072</v>
          </cell>
          <cell r="BU2608">
            <v>10.587668843472503</v>
          </cell>
          <cell r="BV2608">
            <v>11.522967903511651</v>
          </cell>
          <cell r="BW2608">
            <v>10.055977276238897</v>
          </cell>
          <cell r="BX2608">
            <v>8.6149332270911767</v>
          </cell>
          <cell r="BY2608">
            <v>11.497021325386617</v>
          </cell>
        </row>
        <row r="2609">
          <cell r="A2609">
            <v>43089</v>
          </cell>
          <cell r="BF2609">
            <v>14.610462700526522</v>
          </cell>
          <cell r="BG2609">
            <v>17.429620749261797</v>
          </cell>
          <cell r="BH2609">
            <v>16.109902701379674</v>
          </cell>
          <cell r="BI2609">
            <v>13.839355674417275</v>
          </cell>
          <cell r="BJ2609">
            <v>18.380449728342072</v>
          </cell>
          <cell r="BU2609">
            <v>10.474330025716062</v>
          </cell>
          <cell r="BV2609">
            <v>11.522967903511651</v>
          </cell>
          <cell r="BW2609">
            <v>10.055977276238897</v>
          </cell>
          <cell r="BX2609">
            <v>8.6149332270911767</v>
          </cell>
          <cell r="BY2609">
            <v>11.497021325386617</v>
          </cell>
        </row>
        <row r="2610">
          <cell r="A2610">
            <v>43090</v>
          </cell>
          <cell r="BF2610">
            <v>14.191786921805527</v>
          </cell>
          <cell r="BG2610">
            <v>17.429620749261797</v>
          </cell>
          <cell r="BH2610">
            <v>16.109902701379674</v>
          </cell>
          <cell r="BI2610">
            <v>13.839355674417275</v>
          </cell>
          <cell r="BJ2610">
            <v>18.380449728342072</v>
          </cell>
          <cell r="BU2610">
            <v>10.474330025716062</v>
          </cell>
          <cell r="BV2610">
            <v>11.522967903511651</v>
          </cell>
          <cell r="BW2610">
            <v>10.055977276238897</v>
          </cell>
          <cell r="BX2610">
            <v>8.6149332270911767</v>
          </cell>
          <cell r="BY2610">
            <v>11.497021325386617</v>
          </cell>
        </row>
        <row r="2611">
          <cell r="A2611">
            <v>43091</v>
          </cell>
          <cell r="BF2611">
            <v>14.308320552479591</v>
          </cell>
          <cell r="BG2611">
            <v>17.429620749261797</v>
          </cell>
          <cell r="BH2611">
            <v>16.109902701379674</v>
          </cell>
          <cell r="BI2611">
            <v>13.839355674417275</v>
          </cell>
          <cell r="BJ2611">
            <v>18.380449728342072</v>
          </cell>
          <cell r="BU2611">
            <v>10.309039458451535</v>
          </cell>
          <cell r="BV2611">
            <v>11.522967903511651</v>
          </cell>
          <cell r="BW2611">
            <v>10.055977276238897</v>
          </cell>
          <cell r="BX2611">
            <v>8.6149332270911767</v>
          </cell>
          <cell r="BY2611">
            <v>11.497021325386617</v>
          </cell>
        </row>
        <row r="2612">
          <cell r="A2612">
            <v>43094</v>
          </cell>
          <cell r="BF2612">
            <v>14.209049277031772</v>
          </cell>
          <cell r="BG2612">
            <v>17.429620749261797</v>
          </cell>
          <cell r="BH2612">
            <v>16.109902701379674</v>
          </cell>
          <cell r="BI2612">
            <v>13.839355674417275</v>
          </cell>
          <cell r="BJ2612">
            <v>18.380449728342072</v>
          </cell>
          <cell r="BU2612">
            <v>10.254731889852087</v>
          </cell>
          <cell r="BV2612">
            <v>11.522967903511651</v>
          </cell>
          <cell r="BW2612">
            <v>10.055977276238897</v>
          </cell>
          <cell r="BX2612">
            <v>8.6149332270911767</v>
          </cell>
          <cell r="BY2612">
            <v>11.497021325386617</v>
          </cell>
        </row>
        <row r="2613">
          <cell r="A2613">
            <v>43095</v>
          </cell>
          <cell r="BF2613">
            <v>13.470976332639212</v>
          </cell>
          <cell r="BG2613">
            <v>17.429620749261797</v>
          </cell>
          <cell r="BH2613">
            <v>16.109902701379674</v>
          </cell>
          <cell r="BI2613">
            <v>13.839355674417275</v>
          </cell>
          <cell r="BJ2613">
            <v>18.380449728342072</v>
          </cell>
          <cell r="BU2613">
            <v>9.8509600346182484</v>
          </cell>
          <cell r="BV2613">
            <v>11.522967903511651</v>
          </cell>
          <cell r="BW2613">
            <v>10.055977276238897</v>
          </cell>
          <cell r="BX2613">
            <v>8.6149332270911767</v>
          </cell>
          <cell r="BY2613">
            <v>11.497021325386617</v>
          </cell>
        </row>
        <row r="2614">
          <cell r="A2614">
            <v>43096</v>
          </cell>
          <cell r="BF2614">
            <v>13.665205668658222</v>
          </cell>
          <cell r="BG2614">
            <v>17.429620749261797</v>
          </cell>
          <cell r="BH2614">
            <v>16.109902701379674</v>
          </cell>
          <cell r="BI2614">
            <v>13.839355674417275</v>
          </cell>
          <cell r="BJ2614">
            <v>18.380449728342072</v>
          </cell>
          <cell r="BU2614">
            <v>9.95721557472584</v>
          </cell>
          <cell r="BV2614">
            <v>11.522967903511651</v>
          </cell>
          <cell r="BW2614">
            <v>10.055977276238897</v>
          </cell>
          <cell r="BX2614">
            <v>8.6149332270911767</v>
          </cell>
          <cell r="BY2614">
            <v>11.497021325386617</v>
          </cell>
        </row>
        <row r="2615">
          <cell r="A2615">
            <v>43097</v>
          </cell>
          <cell r="BF2615">
            <v>13.380332350191898</v>
          </cell>
          <cell r="BG2615">
            <v>17.429620749261797</v>
          </cell>
          <cell r="BH2615">
            <v>16.109902701379674</v>
          </cell>
          <cell r="BI2615">
            <v>13.839355674417275</v>
          </cell>
          <cell r="BJ2615">
            <v>18.380449728342072</v>
          </cell>
          <cell r="BU2615">
            <v>9.95721557472584</v>
          </cell>
          <cell r="BV2615">
            <v>11.522967903511651</v>
          </cell>
          <cell r="BW2615">
            <v>10.055977276238897</v>
          </cell>
          <cell r="BX2615">
            <v>8.6149332270911767</v>
          </cell>
          <cell r="BY2615">
            <v>11.497021325386617</v>
          </cell>
        </row>
        <row r="2616">
          <cell r="A2616">
            <v>43098</v>
          </cell>
          <cell r="BF2616">
            <v>13.615895933101136</v>
          </cell>
          <cell r="BG2616">
            <v>17.429620749261797</v>
          </cell>
          <cell r="BH2616">
            <v>16.109902701379674</v>
          </cell>
          <cell r="BI2616">
            <v>13.839355674417275</v>
          </cell>
          <cell r="BJ2616">
            <v>18.380449728342072</v>
          </cell>
          <cell r="BU2616">
            <v>9.9784658799223696</v>
          </cell>
          <cell r="BV2616">
            <v>11.522967903511651</v>
          </cell>
          <cell r="BW2616">
            <v>10.055977276238897</v>
          </cell>
          <cell r="BX2616">
            <v>8.6149332270911767</v>
          </cell>
          <cell r="BY2616">
            <v>11.497021325386617</v>
          </cell>
        </row>
        <row r="2617">
          <cell r="A2617">
            <v>43101</v>
          </cell>
          <cell r="BF2617">
            <v>13.615895933101136</v>
          </cell>
          <cell r="BG2617">
            <v>17.429620749261797</v>
          </cell>
          <cell r="BH2617">
            <v>16.109902701379674</v>
          </cell>
          <cell r="BI2617">
            <v>13.839355674417275</v>
          </cell>
          <cell r="BJ2617">
            <v>18.380449728342072</v>
          </cell>
          <cell r="BU2617">
            <v>9.9784658799223696</v>
          </cell>
          <cell r="BV2617">
            <v>11.522967903511651</v>
          </cell>
          <cell r="BW2617">
            <v>10.055977276238897</v>
          </cell>
          <cell r="BX2617">
            <v>8.6149332270911767</v>
          </cell>
          <cell r="BY2617">
            <v>11.497021325386617</v>
          </cell>
        </row>
        <row r="2618">
          <cell r="A2618">
            <v>43102</v>
          </cell>
          <cell r="BF2618">
            <v>13.55157186763047</v>
          </cell>
          <cell r="BG2618">
            <v>17.429620749261797</v>
          </cell>
          <cell r="BH2618">
            <v>16.109902701379674</v>
          </cell>
          <cell r="BI2618">
            <v>13.839355674417275</v>
          </cell>
          <cell r="BJ2618">
            <v>18.380449728342072</v>
          </cell>
          <cell r="BU2618">
            <v>9.9784658799223696</v>
          </cell>
          <cell r="BV2618">
            <v>11.522967903511651</v>
          </cell>
          <cell r="BW2618">
            <v>10.055977276238897</v>
          </cell>
          <cell r="BX2618">
            <v>8.6149332270911767</v>
          </cell>
          <cell r="BY2618">
            <v>11.497021325386617</v>
          </cell>
        </row>
        <row r="2619">
          <cell r="A2619">
            <v>43103</v>
          </cell>
          <cell r="BF2619">
            <v>13.739031535315487</v>
          </cell>
          <cell r="BG2619">
            <v>17.429620749261797</v>
          </cell>
          <cell r="BH2619">
            <v>16.109902701379674</v>
          </cell>
          <cell r="BI2619">
            <v>13.839355674417275</v>
          </cell>
          <cell r="BJ2619">
            <v>18.380449728342072</v>
          </cell>
          <cell r="BU2619">
            <v>10.046940712194498</v>
          </cell>
          <cell r="BV2619">
            <v>11.522967903511651</v>
          </cell>
          <cell r="BW2619">
            <v>10.055977276238897</v>
          </cell>
          <cell r="BX2619">
            <v>8.6149332270911767</v>
          </cell>
          <cell r="BY2619">
            <v>11.497021325386617</v>
          </cell>
        </row>
        <row r="2620">
          <cell r="A2620">
            <v>43104</v>
          </cell>
          <cell r="BF2620">
            <v>13.661848952099772</v>
          </cell>
          <cell r="BG2620">
            <v>17.429620749261797</v>
          </cell>
          <cell r="BH2620">
            <v>16.109902701379674</v>
          </cell>
          <cell r="BI2620">
            <v>13.839355674417275</v>
          </cell>
          <cell r="BJ2620">
            <v>18.380449728342072</v>
          </cell>
          <cell r="BU2620">
            <v>10.004439865676442</v>
          </cell>
          <cell r="BV2620">
            <v>11.522967903511651</v>
          </cell>
          <cell r="BW2620">
            <v>10.055977276238897</v>
          </cell>
          <cell r="BX2620">
            <v>8.6149332270911767</v>
          </cell>
          <cell r="BY2620">
            <v>11.497021325386617</v>
          </cell>
        </row>
        <row r="2621">
          <cell r="A2621">
            <v>43105</v>
          </cell>
          <cell r="BF2621">
            <v>13.83336990119661</v>
          </cell>
          <cell r="BG2621">
            <v>17.429620749261797</v>
          </cell>
          <cell r="BH2621">
            <v>16.109902701379674</v>
          </cell>
          <cell r="BI2621">
            <v>13.839355674417275</v>
          </cell>
          <cell r="BJ2621">
            <v>18.380449728342072</v>
          </cell>
          <cell r="BU2621">
            <v>10.098888447577648</v>
          </cell>
          <cell r="BV2621">
            <v>11.522967903511651</v>
          </cell>
          <cell r="BW2621">
            <v>10.055977276238897</v>
          </cell>
          <cell r="BX2621">
            <v>8.6149332270911767</v>
          </cell>
          <cell r="BY2621">
            <v>11.497021325386617</v>
          </cell>
        </row>
        <row r="2622">
          <cell r="A2622">
            <v>43108</v>
          </cell>
          <cell r="BF2622">
            <v>13.935959362436694</v>
          </cell>
          <cell r="BG2622">
            <v>17.429620749261797</v>
          </cell>
          <cell r="BH2622">
            <v>16.109902701379674</v>
          </cell>
          <cell r="BI2622">
            <v>13.839355674417275</v>
          </cell>
          <cell r="BJ2622">
            <v>18.380449728342072</v>
          </cell>
          <cell r="BU2622">
            <v>10.118609729409846</v>
          </cell>
          <cell r="BV2622">
            <v>11.522967903511651</v>
          </cell>
          <cell r="BW2622">
            <v>10.055977276238897</v>
          </cell>
          <cell r="BX2622">
            <v>8.6149332270911767</v>
          </cell>
          <cell r="BY2622">
            <v>11.497021325386617</v>
          </cell>
        </row>
        <row r="2623">
          <cell r="A2623">
            <v>43109</v>
          </cell>
          <cell r="BF2623">
            <v>13.716253733487795</v>
          </cell>
          <cell r="BG2623">
            <v>17.429620749261797</v>
          </cell>
          <cell r="BH2623">
            <v>16.109902701379674</v>
          </cell>
          <cell r="BI2623">
            <v>13.839355674417275</v>
          </cell>
          <cell r="BJ2623">
            <v>18.380449728342072</v>
          </cell>
          <cell r="BU2623">
            <v>10.118609729409846</v>
          </cell>
          <cell r="BV2623">
            <v>11.522967903511651</v>
          </cell>
          <cell r="BW2623">
            <v>10.055977276238897</v>
          </cell>
          <cell r="BX2623">
            <v>8.6149332270911767</v>
          </cell>
          <cell r="BY2623">
            <v>11.497021325386617</v>
          </cell>
        </row>
      </sheetData>
      <sheetData sheetId="7"/>
      <sheetData sheetId="8">
        <row r="8">
          <cell r="Z8">
            <v>1.133952236175263</v>
          </cell>
        </row>
      </sheetData>
      <sheetData sheetId="9"/>
      <sheetData sheetId="10"/>
      <sheetData sheetId="1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GN"/>
      <sheetName val="Fitbit_Tmall_Data"/>
      <sheetName val="XRAY"/>
      <sheetName val="HSIC"/>
      <sheetName val="PDCO"/>
    </sheetNames>
    <sheetDataSet>
      <sheetData sheetId="0" refreshError="1"/>
      <sheetData sheetId="1" refreshError="1"/>
      <sheetData sheetId="2" refreshError="1"/>
      <sheetData sheetId="3">
        <row r="7">
          <cell r="C7" t="str">
            <v>Implied Organic Dental Sales ($mln)</v>
          </cell>
        </row>
      </sheetData>
      <sheetData sheetId="4">
        <row r="7">
          <cell r="C7" t="str">
            <v>Implied Organic Dental Sales ($mln)</v>
          </cell>
          <cell r="D7" t="str">
            <v>AlphaWise</v>
          </cell>
          <cell r="J7" t="str">
            <v>Implied Organic Dental Sales ($mln)</v>
          </cell>
          <cell r="K7" t="str">
            <v>AlphaWise</v>
          </cell>
          <cell r="Q7" t="str">
            <v>Implied Organic Dental Sales ($mln)</v>
          </cell>
          <cell r="R7" t="str">
            <v>AlphaWise</v>
          </cell>
        </row>
        <row r="30">
          <cell r="B30" t="str">
            <v>3Q2012</v>
          </cell>
          <cell r="C30">
            <v>549.149</v>
          </cell>
          <cell r="D30">
            <v>557.98588025543995</v>
          </cell>
          <cell r="J30">
            <v>549.149</v>
          </cell>
          <cell r="K30">
            <v>557.31601336387178</v>
          </cell>
        </row>
        <row r="31">
          <cell r="B31" t="str">
            <v>4Q2012</v>
          </cell>
          <cell r="C31">
            <v>624.67887700000006</v>
          </cell>
          <cell r="D31">
            <v>626.83905971329284</v>
          </cell>
          <cell r="J31">
            <v>624.67887700000006</v>
          </cell>
          <cell r="K31">
            <v>625.29716911023354</v>
          </cell>
        </row>
        <row r="32">
          <cell r="B32" t="str">
            <v>1Q2013</v>
          </cell>
          <cell r="C32">
            <v>635.10341400000004</v>
          </cell>
          <cell r="D32">
            <v>619.67330678814074</v>
          </cell>
          <cell r="J32">
            <v>635.10341400000004</v>
          </cell>
          <cell r="K32">
            <v>620.00082174262241</v>
          </cell>
        </row>
        <row r="33">
          <cell r="B33" t="str">
            <v>2Q2013</v>
          </cell>
          <cell r="C33">
            <v>554.80039199999999</v>
          </cell>
          <cell r="D33">
            <v>553.52629425227553</v>
          </cell>
          <cell r="J33">
            <v>554.80039199999999</v>
          </cell>
          <cell r="K33">
            <v>551.12071144099855</v>
          </cell>
        </row>
        <row r="34">
          <cell r="B34" t="str">
            <v>3Q2013</v>
          </cell>
          <cell r="C34">
            <v>565.62347</v>
          </cell>
          <cell r="D34">
            <v>564.46386101347844</v>
          </cell>
          <cell r="J34">
            <v>565.62347</v>
          </cell>
          <cell r="K34">
            <v>562.60020791055217</v>
          </cell>
        </row>
        <row r="35">
          <cell r="B35" t="str">
            <v>4Q2013</v>
          </cell>
          <cell r="C35">
            <v>646.54180800000006</v>
          </cell>
          <cell r="D35">
            <v>646.2919583290967</v>
          </cell>
          <cell r="J35">
            <v>646.54180800000006</v>
          </cell>
          <cell r="K35">
            <v>645.72326812245035</v>
          </cell>
        </row>
        <row r="36">
          <cell r="B36" t="str">
            <v>1Q2014</v>
          </cell>
          <cell r="C36">
            <v>627.34649999999999</v>
          </cell>
          <cell r="D36">
            <v>668.55373157037729</v>
          </cell>
          <cell r="J36">
            <v>627.34649999999999</v>
          </cell>
          <cell r="K36">
            <v>667.10724048875898</v>
          </cell>
        </row>
        <row r="37">
          <cell r="B37" t="str">
            <v>2Q2014</v>
          </cell>
          <cell r="C37">
            <v>542.87400000000002</v>
          </cell>
          <cell r="D37">
            <v>536.62535391339622</v>
          </cell>
          <cell r="J37">
            <v>542.87400000000002</v>
          </cell>
          <cell r="K37">
            <v>539.87450409372195</v>
          </cell>
        </row>
        <row r="38">
          <cell r="B38" t="str">
            <v>3Q2014</v>
          </cell>
          <cell r="C38">
            <v>548.45939999999996</v>
          </cell>
          <cell r="D38">
            <v>557.62289632001637</v>
          </cell>
          <cell r="J38">
            <v>548.45939999999996</v>
          </cell>
          <cell r="K38">
            <v>557.24775693720017</v>
          </cell>
        </row>
        <row r="39">
          <cell r="B39" t="str">
            <v>4Q2014</v>
          </cell>
          <cell r="C39">
            <v>625.01093000000003</v>
          </cell>
          <cell r="D39">
            <v>602.48586687619343</v>
          </cell>
          <cell r="J39">
            <v>625.01093000000003</v>
          </cell>
          <cell r="K39">
            <v>600.15353715338267</v>
          </cell>
        </row>
        <row r="40">
          <cell r="B40" t="str">
            <v>1Q2015</v>
          </cell>
          <cell r="C40">
            <v>687.0013439999999</v>
          </cell>
          <cell r="D40">
            <v>667.89349329787524</v>
          </cell>
          <cell r="J40">
            <v>687.0013439999999</v>
          </cell>
          <cell r="K40">
            <v>666.49080186214451</v>
          </cell>
        </row>
        <row r="41">
          <cell r="B41" t="str">
            <v>2Q2015</v>
          </cell>
          <cell r="C41">
            <v>583.04667600000005</v>
          </cell>
          <cell r="D41">
            <v>594.04665604554077</v>
          </cell>
          <cell r="J41">
            <v>583.04667600000005</v>
          </cell>
          <cell r="K41">
            <v>588.93829312468847</v>
          </cell>
        </row>
        <row r="42">
          <cell r="B42" t="str">
            <v>3Q2015</v>
          </cell>
          <cell r="C42">
            <v>611.00771599999996</v>
          </cell>
          <cell r="D42">
            <v>602.7419214449435</v>
          </cell>
          <cell r="J42">
            <v>611.00771599999996</v>
          </cell>
          <cell r="K42">
            <v>605.6976343362586</v>
          </cell>
          <cell r="Q42">
            <v>611.00771599999996</v>
          </cell>
          <cell r="R42">
            <v>606.09880641731809</v>
          </cell>
        </row>
        <row r="43">
          <cell r="B43" t="str">
            <v>4Q2015</v>
          </cell>
          <cell r="C43">
            <v>646.81082499999991</v>
          </cell>
          <cell r="D43">
            <v>639.03157934090052</v>
          </cell>
          <cell r="J43">
            <v>646.81082499999991</v>
          </cell>
          <cell r="K43">
            <v>644.60119431114629</v>
          </cell>
          <cell r="Q43">
            <v>646.81082499999991</v>
          </cell>
          <cell r="R43">
            <v>639.13666972182511</v>
          </cell>
        </row>
        <row r="44">
          <cell r="B44" t="str">
            <v>1Q2016</v>
          </cell>
          <cell r="C44">
            <v>672.18218999999988</v>
          </cell>
          <cell r="D44">
            <v>670.50644801577437</v>
          </cell>
          <cell r="J44">
            <v>672.18218999999988</v>
          </cell>
          <cell r="K44">
            <v>656.33132332471382</v>
          </cell>
          <cell r="Q44">
            <v>672.18218999999988</v>
          </cell>
          <cell r="R44">
            <v>652.19412064425285</v>
          </cell>
        </row>
        <row r="45">
          <cell r="B45" t="str">
            <v>2Q2016</v>
          </cell>
          <cell r="C45">
            <v>587.19445699999994</v>
          </cell>
          <cell r="D45">
            <v>572.36428238989868</v>
          </cell>
          <cell r="J45">
            <v>587.19445699999994</v>
          </cell>
          <cell r="K45">
            <v>587.19445699999994</v>
          </cell>
          <cell r="Q45">
            <v>587.19445699999994</v>
          </cell>
          <cell r="R45">
            <v>587.19445699999994</v>
          </cell>
        </row>
        <row r="46">
          <cell r="B46" t="str">
            <v>3Q2016</v>
          </cell>
          <cell r="C46">
            <v>601.322</v>
          </cell>
          <cell r="D46">
            <v>608.05958653040182</v>
          </cell>
          <cell r="J46">
            <v>601.322</v>
          </cell>
          <cell r="K46">
            <v>602.5118729136675</v>
          </cell>
          <cell r="Q46">
            <v>601.322</v>
          </cell>
          <cell r="R46">
            <v>601.322</v>
          </cell>
        </row>
        <row r="47">
          <cell r="B47" t="str">
            <v>4Q2016</v>
          </cell>
          <cell r="C47">
            <v>624.89797999999996</v>
          </cell>
          <cell r="D47">
            <v>664.90595181863318</v>
          </cell>
          <cell r="J47">
            <v>624.89797999999996</v>
          </cell>
          <cell r="K47">
            <v>656.50042986610845</v>
          </cell>
          <cell r="Q47">
            <v>624.89797999999996</v>
          </cell>
          <cell r="R47">
            <v>624.89797999999996</v>
          </cell>
        </row>
        <row r="48">
          <cell r="B48" t="str">
            <v>1Q2017</v>
          </cell>
          <cell r="C48">
            <v>607.84819200000004</v>
          </cell>
          <cell r="D48">
            <v>659.46568064087353</v>
          </cell>
          <cell r="J48">
            <v>607.84819200000004</v>
          </cell>
          <cell r="K48">
            <v>658.98276035763649</v>
          </cell>
          <cell r="Q48">
            <v>607.84819200000004</v>
          </cell>
          <cell r="R48">
            <v>646.47000747288189</v>
          </cell>
        </row>
        <row r="49">
          <cell r="B49" t="str">
            <v>2Q2017</v>
          </cell>
          <cell r="D49">
            <v>524.96850202360133</v>
          </cell>
          <cell r="K49">
            <v>521.08430255322855</v>
          </cell>
          <cell r="R49">
            <v>531.26808005443343</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1"/>
  <sheetViews>
    <sheetView showGridLines="0" tabSelected="1" workbookViewId="0">
      <selection activeCell="Z1" sqref="Z1"/>
    </sheetView>
  </sheetViews>
  <sheetFormatPr defaultRowHeight="12.75" x14ac:dyDescent="0.2"/>
  <cols>
    <col min="1" max="1" width="25.7109375" style="1415" customWidth="1"/>
    <col min="2" max="5" width="9.140625" style="1415"/>
    <col min="6" max="6" width="18.7109375" style="1415" customWidth="1"/>
    <col min="7" max="256" width="9.140625" style="1415"/>
    <col min="257" max="257" width="100.7109375" style="1415" customWidth="1"/>
    <col min="258" max="512" width="9.140625" style="1415"/>
    <col min="513" max="513" width="100.7109375" style="1415" customWidth="1"/>
    <col min="514" max="768" width="9.140625" style="1415"/>
    <col min="769" max="769" width="100.7109375" style="1415" customWidth="1"/>
    <col min="770" max="1024" width="9.140625" style="1415"/>
    <col min="1025" max="1025" width="100.7109375" style="1415" customWidth="1"/>
    <col min="1026" max="1280" width="9.140625" style="1415"/>
    <col min="1281" max="1281" width="100.7109375" style="1415" customWidth="1"/>
    <col min="1282" max="1536" width="9.140625" style="1415"/>
    <col min="1537" max="1537" width="100.7109375" style="1415" customWidth="1"/>
    <col min="1538" max="1792" width="9.140625" style="1415"/>
    <col min="1793" max="1793" width="100.7109375" style="1415" customWidth="1"/>
    <col min="1794" max="2048" width="9.140625" style="1415"/>
    <col min="2049" max="2049" width="100.7109375" style="1415" customWidth="1"/>
    <col min="2050" max="2304" width="9.140625" style="1415"/>
    <col min="2305" max="2305" width="100.7109375" style="1415" customWidth="1"/>
    <col min="2306" max="2560" width="9.140625" style="1415"/>
    <col min="2561" max="2561" width="100.7109375" style="1415" customWidth="1"/>
    <col min="2562" max="2816" width="9.140625" style="1415"/>
    <col min="2817" max="2817" width="100.7109375" style="1415" customWidth="1"/>
    <col min="2818" max="3072" width="9.140625" style="1415"/>
    <col min="3073" max="3073" width="100.7109375" style="1415" customWidth="1"/>
    <col min="3074" max="3328" width="9.140625" style="1415"/>
    <col min="3329" max="3329" width="100.7109375" style="1415" customWidth="1"/>
    <col min="3330" max="3584" width="9.140625" style="1415"/>
    <col min="3585" max="3585" width="100.7109375" style="1415" customWidth="1"/>
    <col min="3586" max="3840" width="9.140625" style="1415"/>
    <col min="3841" max="3841" width="100.7109375" style="1415" customWidth="1"/>
    <col min="3842" max="4096" width="9.140625" style="1415"/>
    <col min="4097" max="4097" width="100.7109375" style="1415" customWidth="1"/>
    <col min="4098" max="4352" width="9.140625" style="1415"/>
    <col min="4353" max="4353" width="100.7109375" style="1415" customWidth="1"/>
    <col min="4354" max="4608" width="9.140625" style="1415"/>
    <col min="4609" max="4609" width="100.7109375" style="1415" customWidth="1"/>
    <col min="4610" max="4864" width="9.140625" style="1415"/>
    <col min="4865" max="4865" width="100.7109375" style="1415" customWidth="1"/>
    <col min="4866" max="5120" width="9.140625" style="1415"/>
    <col min="5121" max="5121" width="100.7109375" style="1415" customWidth="1"/>
    <col min="5122" max="5376" width="9.140625" style="1415"/>
    <col min="5377" max="5377" width="100.7109375" style="1415" customWidth="1"/>
    <col min="5378" max="5632" width="9.140625" style="1415"/>
    <col min="5633" max="5633" width="100.7109375" style="1415" customWidth="1"/>
    <col min="5634" max="5888" width="9.140625" style="1415"/>
    <col min="5889" max="5889" width="100.7109375" style="1415" customWidth="1"/>
    <col min="5890" max="6144" width="9.140625" style="1415"/>
    <col min="6145" max="6145" width="100.7109375" style="1415" customWidth="1"/>
    <col min="6146" max="6400" width="9.140625" style="1415"/>
    <col min="6401" max="6401" width="100.7109375" style="1415" customWidth="1"/>
    <col min="6402" max="6656" width="9.140625" style="1415"/>
    <col min="6657" max="6657" width="100.7109375" style="1415" customWidth="1"/>
    <col min="6658" max="6912" width="9.140625" style="1415"/>
    <col min="6913" max="6913" width="100.7109375" style="1415" customWidth="1"/>
    <col min="6914" max="7168" width="9.140625" style="1415"/>
    <col min="7169" max="7169" width="100.7109375" style="1415" customWidth="1"/>
    <col min="7170" max="7424" width="9.140625" style="1415"/>
    <col min="7425" max="7425" width="100.7109375" style="1415" customWidth="1"/>
    <col min="7426" max="7680" width="9.140625" style="1415"/>
    <col min="7681" max="7681" width="100.7109375" style="1415" customWidth="1"/>
    <col min="7682" max="7936" width="9.140625" style="1415"/>
    <col min="7937" max="7937" width="100.7109375" style="1415" customWidth="1"/>
    <col min="7938" max="8192" width="9.140625" style="1415"/>
    <col min="8193" max="8193" width="100.7109375" style="1415" customWidth="1"/>
    <col min="8194" max="8448" width="9.140625" style="1415"/>
    <col min="8449" max="8449" width="100.7109375" style="1415" customWidth="1"/>
    <col min="8450" max="8704" width="9.140625" style="1415"/>
    <col min="8705" max="8705" width="100.7109375" style="1415" customWidth="1"/>
    <col min="8706" max="8960" width="9.140625" style="1415"/>
    <col min="8961" max="8961" width="100.7109375" style="1415" customWidth="1"/>
    <col min="8962" max="9216" width="9.140625" style="1415"/>
    <col min="9217" max="9217" width="100.7109375" style="1415" customWidth="1"/>
    <col min="9218" max="9472" width="9.140625" style="1415"/>
    <col min="9473" max="9473" width="100.7109375" style="1415" customWidth="1"/>
    <col min="9474" max="9728" width="9.140625" style="1415"/>
    <col min="9729" max="9729" width="100.7109375" style="1415" customWidth="1"/>
    <col min="9730" max="9984" width="9.140625" style="1415"/>
    <col min="9985" max="9985" width="100.7109375" style="1415" customWidth="1"/>
    <col min="9986" max="10240" width="9.140625" style="1415"/>
    <col min="10241" max="10241" width="100.7109375" style="1415" customWidth="1"/>
    <col min="10242" max="10496" width="9.140625" style="1415"/>
    <col min="10497" max="10497" width="100.7109375" style="1415" customWidth="1"/>
    <col min="10498" max="10752" width="9.140625" style="1415"/>
    <col min="10753" max="10753" width="100.7109375" style="1415" customWidth="1"/>
    <col min="10754" max="11008" width="9.140625" style="1415"/>
    <col min="11009" max="11009" width="100.7109375" style="1415" customWidth="1"/>
    <col min="11010" max="11264" width="9.140625" style="1415"/>
    <col min="11265" max="11265" width="100.7109375" style="1415" customWidth="1"/>
    <col min="11266" max="11520" width="9.140625" style="1415"/>
    <col min="11521" max="11521" width="100.7109375" style="1415" customWidth="1"/>
    <col min="11522" max="11776" width="9.140625" style="1415"/>
    <col min="11777" max="11777" width="100.7109375" style="1415" customWidth="1"/>
    <col min="11778" max="12032" width="9.140625" style="1415"/>
    <col min="12033" max="12033" width="100.7109375" style="1415" customWidth="1"/>
    <col min="12034" max="12288" width="9.140625" style="1415"/>
    <col min="12289" max="12289" width="100.7109375" style="1415" customWidth="1"/>
    <col min="12290" max="12544" width="9.140625" style="1415"/>
    <col min="12545" max="12545" width="100.7109375" style="1415" customWidth="1"/>
    <col min="12546" max="12800" width="9.140625" style="1415"/>
    <col min="12801" max="12801" width="100.7109375" style="1415" customWidth="1"/>
    <col min="12802" max="13056" width="9.140625" style="1415"/>
    <col min="13057" max="13057" width="100.7109375" style="1415" customWidth="1"/>
    <col min="13058" max="13312" width="9.140625" style="1415"/>
    <col min="13313" max="13313" width="100.7109375" style="1415" customWidth="1"/>
    <col min="13314" max="13568" width="9.140625" style="1415"/>
    <col min="13569" max="13569" width="100.7109375" style="1415" customWidth="1"/>
    <col min="13570" max="13824" width="9.140625" style="1415"/>
    <col min="13825" max="13825" width="100.7109375" style="1415" customWidth="1"/>
    <col min="13826" max="14080" width="9.140625" style="1415"/>
    <col min="14081" max="14081" width="100.7109375" style="1415" customWidth="1"/>
    <col min="14082" max="14336" width="9.140625" style="1415"/>
    <col min="14337" max="14337" width="100.7109375" style="1415" customWidth="1"/>
    <col min="14338" max="14592" width="9.140625" style="1415"/>
    <col min="14593" max="14593" width="100.7109375" style="1415" customWidth="1"/>
    <col min="14594" max="14848" width="9.140625" style="1415"/>
    <col min="14849" max="14849" width="100.7109375" style="1415" customWidth="1"/>
    <col min="14850" max="15104" width="9.140625" style="1415"/>
    <col min="15105" max="15105" width="100.7109375" style="1415" customWidth="1"/>
    <col min="15106" max="15360" width="9.140625" style="1415"/>
    <col min="15361" max="15361" width="100.7109375" style="1415" customWidth="1"/>
    <col min="15362" max="15616" width="9.140625" style="1415"/>
    <col min="15617" max="15617" width="100.7109375" style="1415" customWidth="1"/>
    <col min="15618" max="15872" width="9.140625" style="1415"/>
    <col min="15873" max="15873" width="100.7109375" style="1415" customWidth="1"/>
    <col min="15874" max="16128" width="9.140625" style="1415"/>
    <col min="16129" max="16129" width="100.7109375" style="1415" customWidth="1"/>
    <col min="16130" max="16384" width="9.140625" style="1415"/>
  </cols>
  <sheetData>
    <row r="1" spans="1:8" ht="30" customHeight="1" x14ac:dyDescent="0.2">
      <c r="A1" s="1413"/>
      <c r="B1" s="1414"/>
      <c r="C1" s="1414"/>
      <c r="D1" s="1414"/>
      <c r="E1" s="1414"/>
      <c r="F1" s="1414"/>
      <c r="G1" s="1414"/>
      <c r="H1" s="1414"/>
    </row>
    <row r="2" spans="1:8" ht="14.25" x14ac:dyDescent="0.2">
      <c r="A2" s="1416" t="s">
        <v>606</v>
      </c>
      <c r="B2" s="1414"/>
      <c r="C2" s="1414"/>
      <c r="D2" s="1414"/>
      <c r="E2" s="1414"/>
      <c r="F2" s="1414"/>
      <c r="G2" s="1414"/>
      <c r="H2" s="1414"/>
    </row>
    <row r="3" spans="1:8" ht="14.25" x14ac:dyDescent="0.2">
      <c r="A3" s="1416" t="s">
        <v>607</v>
      </c>
      <c r="B3" s="1414"/>
      <c r="C3" s="1414"/>
      <c r="D3" s="1414"/>
      <c r="E3" s="1414"/>
      <c r="F3" s="1414"/>
      <c r="G3" s="1414"/>
      <c r="H3" s="1414"/>
    </row>
    <row r="4" spans="1:8" ht="14.25" x14ac:dyDescent="0.2">
      <c r="A4" s="1416" t="s">
        <v>478</v>
      </c>
      <c r="B4" s="1414"/>
      <c r="C4" s="1414"/>
      <c r="D4" s="1414"/>
      <c r="E4" s="1414"/>
      <c r="F4" s="1414"/>
      <c r="G4" s="1414"/>
      <c r="H4" s="1414"/>
    </row>
    <row r="5" spans="1:8" ht="14.25" x14ac:dyDescent="0.2">
      <c r="A5" s="1416" t="s">
        <v>608</v>
      </c>
      <c r="B5" s="1414"/>
      <c r="C5" s="1414"/>
      <c r="D5" s="1414"/>
      <c r="E5" s="1414"/>
      <c r="F5" s="1414"/>
      <c r="G5" s="1414"/>
      <c r="H5" s="1414"/>
    </row>
    <row r="6" spans="1:8" ht="14.25" x14ac:dyDescent="0.2">
      <c r="A6" s="1416"/>
      <c r="B6" s="1414"/>
      <c r="C6" s="1414"/>
      <c r="D6" s="1414"/>
      <c r="E6" s="1414"/>
      <c r="F6" s="1414"/>
      <c r="G6" s="1414"/>
      <c r="H6" s="1414"/>
    </row>
    <row r="7" spans="1:8" x14ac:dyDescent="0.2">
      <c r="A7" s="1413" t="s">
        <v>609</v>
      </c>
      <c r="B7" s="1414"/>
      <c r="C7" s="1414"/>
      <c r="D7" s="1414"/>
      <c r="E7" s="1414"/>
      <c r="F7" s="1414"/>
      <c r="G7" s="1414"/>
      <c r="H7" s="1414"/>
    </row>
    <row r="8" spans="1:8" x14ac:dyDescent="0.2">
      <c r="A8" s="1413" t="s">
        <v>610</v>
      </c>
      <c r="B8" s="1414"/>
      <c r="C8" s="1414"/>
      <c r="D8" s="1414"/>
      <c r="E8" s="1414"/>
      <c r="F8" s="1414"/>
      <c r="G8" s="1414"/>
      <c r="H8" s="1414"/>
    </row>
    <row r="9" spans="1:8" x14ac:dyDescent="0.2">
      <c r="A9" s="1413"/>
      <c r="B9" s="1414"/>
      <c r="C9" s="1414"/>
      <c r="D9" s="1414"/>
      <c r="E9" s="1414"/>
      <c r="F9" s="1414"/>
      <c r="G9" s="1414"/>
      <c r="H9" s="1414"/>
    </row>
    <row r="10" spans="1:8" x14ac:dyDescent="0.2">
      <c r="A10" s="1417" t="s">
        <v>611</v>
      </c>
      <c r="B10" s="1414"/>
      <c r="C10" s="1414"/>
      <c r="D10" s="1414"/>
      <c r="E10" s="1414"/>
      <c r="F10" s="1414"/>
      <c r="G10" s="1414"/>
      <c r="H10" s="1414"/>
    </row>
    <row r="11" spans="1:8" x14ac:dyDescent="0.2">
      <c r="A11" s="1417" t="s">
        <v>612</v>
      </c>
      <c r="B11" s="1414"/>
      <c r="C11" s="1414"/>
      <c r="D11" s="1414"/>
      <c r="E11" s="1414"/>
      <c r="F11" s="1414"/>
      <c r="G11" s="1414"/>
      <c r="H11" s="1414"/>
    </row>
    <row r="12" spans="1:8" x14ac:dyDescent="0.2">
      <c r="A12" s="1417" t="s">
        <v>613</v>
      </c>
      <c r="B12" s="1414"/>
      <c r="C12" s="1414"/>
      <c r="D12" s="1414"/>
      <c r="E12" s="1414"/>
      <c r="F12" s="1414"/>
      <c r="G12" s="1414"/>
      <c r="H12" s="1414"/>
    </row>
    <row r="13" spans="1:8" x14ac:dyDescent="0.2">
      <c r="A13" s="1417" t="s">
        <v>614</v>
      </c>
      <c r="B13" s="1414"/>
      <c r="C13" s="1414"/>
      <c r="D13" s="1414"/>
      <c r="E13" s="1414"/>
      <c r="F13" s="1414"/>
      <c r="G13" s="1414"/>
      <c r="H13" s="1414"/>
    </row>
    <row r="14" spans="1:8" x14ac:dyDescent="0.2">
      <c r="A14" s="1417" t="s">
        <v>615</v>
      </c>
      <c r="B14" s="1414"/>
      <c r="C14" s="1414"/>
      <c r="D14" s="1414"/>
      <c r="E14" s="1414"/>
      <c r="F14" s="1414"/>
      <c r="G14" s="1414"/>
      <c r="H14" s="1414"/>
    </row>
    <row r="15" spans="1:8" x14ac:dyDescent="0.2">
      <c r="A15" s="1417" t="s">
        <v>616</v>
      </c>
      <c r="B15" s="1414"/>
      <c r="C15" s="1414"/>
      <c r="D15" s="1414"/>
      <c r="E15" s="1414"/>
      <c r="F15" s="1414"/>
      <c r="G15" s="1414"/>
      <c r="H15" s="1414"/>
    </row>
    <row r="16" spans="1:8" x14ac:dyDescent="0.2">
      <c r="A16" s="1417"/>
      <c r="B16" s="1414"/>
      <c r="C16" s="1414"/>
      <c r="D16" s="1414"/>
      <c r="E16" s="1414"/>
      <c r="F16" s="1414"/>
      <c r="G16" s="1414"/>
      <c r="H16" s="1414"/>
    </row>
    <row r="17" spans="1:8" x14ac:dyDescent="0.2">
      <c r="A17" s="1417" t="s">
        <v>603</v>
      </c>
      <c r="B17" s="1414"/>
      <c r="C17" s="1414"/>
      <c r="D17" s="1414"/>
      <c r="E17" s="1414"/>
      <c r="F17" s="1414"/>
      <c r="G17" s="1414"/>
      <c r="H17" s="1414"/>
    </row>
    <row r="18" spans="1:8" x14ac:dyDescent="0.2">
      <c r="A18" s="1417"/>
      <c r="B18" s="1414"/>
      <c r="C18" s="1414"/>
      <c r="D18" s="1414"/>
      <c r="E18" s="1414"/>
      <c r="F18" s="1414"/>
      <c r="G18" s="1414"/>
      <c r="H18" s="1414"/>
    </row>
    <row r="19" spans="1:8" x14ac:dyDescent="0.2">
      <c r="A19" s="1417" t="s">
        <v>604</v>
      </c>
      <c r="B19" s="1414"/>
      <c r="C19" s="1414"/>
      <c r="D19" s="1414"/>
      <c r="E19" s="1414"/>
      <c r="F19" s="1414"/>
      <c r="G19" s="1414"/>
      <c r="H19" s="1414"/>
    </row>
    <row r="20" spans="1:8" x14ac:dyDescent="0.2">
      <c r="A20" s="1413"/>
      <c r="B20" s="1414"/>
      <c r="C20" s="1414"/>
      <c r="D20" s="1414"/>
      <c r="E20" s="1414"/>
      <c r="F20" s="1414"/>
      <c r="G20" s="1414"/>
      <c r="H20" s="1414"/>
    </row>
    <row r="21" spans="1:8" x14ac:dyDescent="0.2">
      <c r="A21" s="1418" t="s">
        <v>605</v>
      </c>
      <c r="B21" s="1414"/>
      <c r="C21" s="1414"/>
      <c r="D21" s="1414"/>
      <c r="E21" s="1414"/>
      <c r="F21" s="1414"/>
      <c r="G21" s="1414"/>
      <c r="H21" s="1414"/>
    </row>
    <row r="22" spans="1:8" x14ac:dyDescent="0.2">
      <c r="A22" s="1419"/>
      <c r="B22" s="1419"/>
      <c r="C22" s="1419"/>
      <c r="D22" s="1419"/>
      <c r="E22" s="1419"/>
      <c r="F22" s="1419"/>
      <c r="G22" s="1419"/>
      <c r="H22" s="1419"/>
    </row>
    <row r="23" spans="1:8" x14ac:dyDescent="0.2">
      <c r="A23" s="1420" t="s">
        <v>888</v>
      </c>
      <c r="B23" s="1419"/>
      <c r="C23" s="1419"/>
      <c r="D23" s="1419"/>
      <c r="E23" s="1419"/>
      <c r="F23" s="1419"/>
      <c r="G23" s="1419"/>
      <c r="H23" s="1419"/>
    </row>
    <row r="24" spans="1:8" x14ac:dyDescent="0.2">
      <c r="A24" s="1420" t="s">
        <v>889</v>
      </c>
      <c r="B24" s="1419"/>
      <c r="C24" s="1419"/>
      <c r="D24" s="1419"/>
      <c r="E24" s="1419"/>
      <c r="F24" s="1419"/>
      <c r="G24" s="1419"/>
      <c r="H24" s="1419"/>
    </row>
    <row r="25" spans="1:8" x14ac:dyDescent="0.2">
      <c r="A25" s="1420" t="s">
        <v>890</v>
      </c>
      <c r="B25" s="1419"/>
      <c r="C25" s="1419"/>
      <c r="D25" s="1419"/>
      <c r="E25" s="1419"/>
      <c r="F25" s="1419"/>
      <c r="G25" s="1419"/>
      <c r="H25" s="1419"/>
    </row>
    <row r="26" spans="1:8" x14ac:dyDescent="0.2">
      <c r="A26" s="1420" t="s">
        <v>891</v>
      </c>
      <c r="B26" s="1419"/>
      <c r="C26" s="1419"/>
      <c r="D26" s="1419"/>
      <c r="E26" s="1419"/>
      <c r="F26" s="1419"/>
      <c r="G26" s="1419"/>
      <c r="H26" s="1419"/>
    </row>
    <row r="27" spans="1:8" x14ac:dyDescent="0.2">
      <c r="A27" s="1419"/>
      <c r="B27" s="1419"/>
      <c r="C27" s="1419"/>
      <c r="D27" s="1419"/>
      <c r="E27" s="1419"/>
      <c r="F27" s="1419"/>
      <c r="G27" s="1419"/>
      <c r="H27" s="1419"/>
    </row>
    <row r="28" spans="1:8" x14ac:dyDescent="0.2">
      <c r="A28" s="1419"/>
      <c r="B28" s="1419"/>
      <c r="C28" s="1419"/>
      <c r="D28" s="1419"/>
      <c r="E28" s="1419"/>
      <c r="F28" s="1419"/>
      <c r="G28" s="1419"/>
      <c r="H28" s="1419"/>
    </row>
    <row r="29" spans="1:8" x14ac:dyDescent="0.2">
      <c r="A29" s="1420" t="s">
        <v>883</v>
      </c>
      <c r="B29" s="1419"/>
      <c r="C29" s="1419"/>
      <c r="D29" s="1419"/>
      <c r="E29" s="1419"/>
      <c r="F29" s="1419"/>
      <c r="G29" s="1419"/>
      <c r="H29" s="1419"/>
    </row>
    <row r="30" spans="1:8" x14ac:dyDescent="0.2">
      <c r="A30" s="1420" t="s">
        <v>884</v>
      </c>
      <c r="B30" s="1419"/>
      <c r="C30" s="1419"/>
      <c r="D30" s="1419"/>
      <c r="E30" s="1419"/>
      <c r="F30" s="1419"/>
      <c r="G30" s="1419"/>
      <c r="H30" s="1419"/>
    </row>
    <row r="31" spans="1:8" x14ac:dyDescent="0.2">
      <c r="A31" s="1420" t="s">
        <v>885</v>
      </c>
      <c r="B31" s="1419"/>
      <c r="C31" s="1419"/>
      <c r="D31" s="1419"/>
      <c r="E31" s="1419"/>
      <c r="F31" s="1419"/>
      <c r="G31" s="1419"/>
      <c r="H31" s="1419"/>
    </row>
    <row r="32" spans="1:8" x14ac:dyDescent="0.2">
      <c r="A32" s="1420" t="s">
        <v>886</v>
      </c>
      <c r="B32" s="1419"/>
      <c r="C32" s="1419"/>
      <c r="D32" s="1419"/>
      <c r="E32" s="1419"/>
      <c r="F32" s="1419"/>
      <c r="G32" s="1419"/>
      <c r="H32" s="1419"/>
    </row>
    <row r="33" spans="1:8" x14ac:dyDescent="0.2">
      <c r="A33" s="1420" t="s">
        <v>887</v>
      </c>
      <c r="B33" s="1419"/>
      <c r="C33" s="1419"/>
      <c r="D33" s="1419"/>
      <c r="E33" s="1419"/>
      <c r="F33" s="1419"/>
      <c r="G33" s="1419"/>
      <c r="H33" s="1419"/>
    </row>
    <row r="34" spans="1:8" x14ac:dyDescent="0.2">
      <c r="A34" s="1419"/>
      <c r="B34" s="1419"/>
      <c r="C34" s="1419"/>
      <c r="D34" s="1419"/>
      <c r="E34" s="1419"/>
      <c r="F34" s="1419"/>
      <c r="G34" s="1419"/>
      <c r="H34" s="1419"/>
    </row>
    <row r="35" spans="1:8" x14ac:dyDescent="0.2">
      <c r="A35" s="1420" t="s">
        <v>879</v>
      </c>
      <c r="B35" s="1419"/>
      <c r="C35" s="1419"/>
      <c r="D35" s="1419"/>
      <c r="E35" s="1419"/>
      <c r="F35" s="1419"/>
      <c r="G35" s="1419"/>
      <c r="H35" s="1419"/>
    </row>
    <row r="36" spans="1:8" x14ac:dyDescent="0.2">
      <c r="A36" s="1420" t="s">
        <v>880</v>
      </c>
      <c r="B36" s="1419"/>
      <c r="C36" s="1419"/>
      <c r="D36" s="1419"/>
      <c r="E36" s="1419"/>
      <c r="F36" s="1419"/>
      <c r="G36" s="1419"/>
      <c r="H36" s="1419"/>
    </row>
    <row r="37" spans="1:8" x14ac:dyDescent="0.2">
      <c r="A37" s="1420" t="s">
        <v>881</v>
      </c>
      <c r="B37" s="1419"/>
      <c r="C37" s="1419"/>
      <c r="D37" s="1419"/>
      <c r="E37" s="1419"/>
      <c r="F37" s="1419"/>
      <c r="G37" s="1419"/>
      <c r="H37" s="1419"/>
    </row>
    <row r="38" spans="1:8" x14ac:dyDescent="0.2">
      <c r="A38" s="1420" t="s">
        <v>882</v>
      </c>
      <c r="B38" s="1419"/>
      <c r="C38" s="1419"/>
      <c r="D38" s="1419"/>
      <c r="E38" s="1419"/>
      <c r="F38" s="1419"/>
      <c r="G38" s="1419"/>
      <c r="H38" s="1419"/>
    </row>
    <row r="39" spans="1:8" x14ac:dyDescent="0.2">
      <c r="A39" s="1419"/>
      <c r="B39" s="1419"/>
      <c r="C39" s="1419"/>
      <c r="D39" s="1419"/>
      <c r="E39" s="1419"/>
      <c r="F39" s="1419"/>
      <c r="G39" s="1419"/>
      <c r="H39" s="1419"/>
    </row>
    <row r="40" spans="1:8" x14ac:dyDescent="0.2">
      <c r="A40" s="1420" t="s">
        <v>873</v>
      </c>
      <c r="B40" s="1419"/>
      <c r="C40" s="1419"/>
      <c r="D40" s="1419"/>
      <c r="E40" s="1419"/>
      <c r="F40" s="1419"/>
      <c r="G40" s="1419"/>
      <c r="H40" s="1419"/>
    </row>
    <row r="41" spans="1:8" x14ac:dyDescent="0.2">
      <c r="A41" s="1420" t="s">
        <v>874</v>
      </c>
      <c r="B41" s="1419"/>
      <c r="C41" s="1419"/>
      <c r="D41" s="1419"/>
      <c r="E41" s="1419"/>
      <c r="F41" s="1419"/>
      <c r="G41" s="1419"/>
      <c r="H41" s="1419"/>
    </row>
    <row r="42" spans="1:8" x14ac:dyDescent="0.2">
      <c r="A42" s="1420" t="s">
        <v>875</v>
      </c>
      <c r="B42" s="1419"/>
      <c r="C42" s="1419"/>
      <c r="D42" s="1419"/>
      <c r="E42" s="1419"/>
      <c r="F42" s="1419"/>
      <c r="G42" s="1419"/>
      <c r="H42" s="1419"/>
    </row>
    <row r="43" spans="1:8" x14ac:dyDescent="0.2">
      <c r="A43" s="1420" t="s">
        <v>876</v>
      </c>
      <c r="B43" s="1419"/>
      <c r="C43" s="1419"/>
      <c r="D43" s="1419"/>
      <c r="E43" s="1419"/>
      <c r="F43" s="1419"/>
      <c r="G43" s="1419"/>
      <c r="H43" s="1419"/>
    </row>
    <row r="44" spans="1:8" x14ac:dyDescent="0.2">
      <c r="A44" s="1420" t="s">
        <v>877</v>
      </c>
      <c r="B44" s="1419"/>
      <c r="C44" s="1419"/>
      <c r="D44" s="1419"/>
      <c r="E44" s="1419"/>
      <c r="F44" s="1419"/>
      <c r="G44" s="1419"/>
      <c r="H44" s="1419"/>
    </row>
    <row r="45" spans="1:8" x14ac:dyDescent="0.2">
      <c r="A45" s="1420" t="s">
        <v>878</v>
      </c>
      <c r="B45" s="1419"/>
      <c r="C45" s="1419"/>
      <c r="D45" s="1419"/>
      <c r="E45" s="1419"/>
      <c r="F45" s="1419"/>
      <c r="G45" s="1419"/>
      <c r="H45" s="1419"/>
    </row>
    <row r="46" spans="1:8" x14ac:dyDescent="0.2">
      <c r="A46" s="1419"/>
      <c r="B46" s="1419"/>
      <c r="C46" s="1419"/>
      <c r="D46" s="1419"/>
      <c r="E46" s="1419"/>
      <c r="F46" s="1419"/>
      <c r="G46" s="1419"/>
      <c r="H46" s="1419"/>
    </row>
    <row r="47" spans="1:8" ht="15.75" x14ac:dyDescent="0.2">
      <c r="A47" s="1421" t="s">
        <v>617</v>
      </c>
      <c r="B47" s="1419"/>
      <c r="C47" s="1419"/>
      <c r="D47" s="1419"/>
      <c r="E47" s="1419"/>
      <c r="F47" s="1419"/>
      <c r="G47" s="1419"/>
      <c r="H47" s="1419"/>
    </row>
    <row r="48" spans="1:8" x14ac:dyDescent="0.2">
      <c r="A48" s="1419"/>
      <c r="B48" s="1419"/>
      <c r="C48" s="1419"/>
      <c r="D48" s="1419"/>
      <c r="E48" s="1419"/>
      <c r="F48" s="1419"/>
      <c r="G48" s="1419"/>
      <c r="H48" s="1419"/>
    </row>
    <row r="49" spans="1:8" x14ac:dyDescent="0.2">
      <c r="A49" s="1420" t="s">
        <v>869</v>
      </c>
      <c r="B49" s="1419"/>
      <c r="C49" s="1419"/>
      <c r="D49" s="1419"/>
      <c r="E49" s="1419"/>
      <c r="F49" s="1419"/>
      <c r="G49" s="1419"/>
      <c r="H49" s="1419"/>
    </row>
    <row r="50" spans="1:8" x14ac:dyDescent="0.2">
      <c r="A50" s="1420" t="s">
        <v>870</v>
      </c>
      <c r="B50" s="1419"/>
      <c r="C50" s="1419"/>
      <c r="D50" s="1419"/>
      <c r="E50" s="1419"/>
      <c r="F50" s="1419"/>
      <c r="G50" s="1419"/>
      <c r="H50" s="1419"/>
    </row>
    <row r="51" spans="1:8" x14ac:dyDescent="0.2">
      <c r="A51" s="1420" t="s">
        <v>871</v>
      </c>
      <c r="B51" s="1419"/>
      <c r="C51" s="1419"/>
      <c r="D51" s="1419"/>
      <c r="E51" s="1419"/>
      <c r="F51" s="1419"/>
      <c r="G51" s="1419"/>
      <c r="H51" s="1419"/>
    </row>
    <row r="52" spans="1:8" x14ac:dyDescent="0.2">
      <c r="A52" s="1420" t="s">
        <v>872</v>
      </c>
      <c r="B52" s="1419"/>
      <c r="C52" s="1419"/>
      <c r="D52" s="1419"/>
      <c r="E52" s="1419"/>
      <c r="F52" s="1419"/>
      <c r="G52" s="1419"/>
      <c r="H52" s="1419"/>
    </row>
    <row r="53" spans="1:8" x14ac:dyDescent="0.2">
      <c r="A53" s="1419"/>
      <c r="B53" s="1419"/>
      <c r="C53" s="1419"/>
      <c r="D53" s="1419"/>
      <c r="E53" s="1419"/>
      <c r="F53" s="1419"/>
      <c r="G53" s="1419"/>
      <c r="H53" s="1419"/>
    </row>
    <row r="54" spans="1:8" x14ac:dyDescent="0.2">
      <c r="A54" s="1420" t="s">
        <v>618</v>
      </c>
      <c r="B54" s="1419"/>
      <c r="C54" s="1419"/>
      <c r="D54" s="1419"/>
      <c r="E54" s="1419"/>
      <c r="F54" s="1419"/>
      <c r="G54" s="1419"/>
      <c r="H54" s="1419"/>
    </row>
    <row r="55" spans="1:8" x14ac:dyDescent="0.2">
      <c r="A55" s="1419"/>
      <c r="B55" s="1419"/>
      <c r="C55" s="1419"/>
      <c r="D55" s="1419"/>
      <c r="E55" s="1419"/>
      <c r="F55" s="1419"/>
      <c r="G55" s="1419"/>
      <c r="H55" s="1419"/>
    </row>
    <row r="56" spans="1:8" ht="15.75" x14ac:dyDescent="0.2">
      <c r="A56" s="1421" t="s">
        <v>619</v>
      </c>
      <c r="B56" s="1419"/>
      <c r="C56" s="1419"/>
      <c r="D56" s="1419"/>
      <c r="E56" s="1419"/>
      <c r="F56" s="1419"/>
      <c r="G56" s="1419"/>
      <c r="H56" s="1419"/>
    </row>
    <row r="57" spans="1:8" x14ac:dyDescent="0.2">
      <c r="A57" s="1419"/>
      <c r="B57" s="1419"/>
      <c r="C57" s="1419"/>
      <c r="D57" s="1419"/>
      <c r="E57" s="1419"/>
      <c r="F57" s="1419"/>
      <c r="G57" s="1419"/>
      <c r="H57" s="1419"/>
    </row>
    <row r="58" spans="1:8" x14ac:dyDescent="0.2">
      <c r="A58" s="1420" t="s">
        <v>867</v>
      </c>
      <c r="B58" s="1419"/>
      <c r="C58" s="1419"/>
      <c r="D58" s="1419"/>
      <c r="E58" s="1419"/>
      <c r="F58" s="1419"/>
      <c r="G58" s="1419"/>
      <c r="H58" s="1419"/>
    </row>
    <row r="59" spans="1:8" x14ac:dyDescent="0.2">
      <c r="A59" s="1420" t="s">
        <v>868</v>
      </c>
      <c r="B59" s="1419"/>
      <c r="C59" s="1419"/>
      <c r="D59" s="1419"/>
      <c r="E59" s="1419"/>
      <c r="F59" s="1419"/>
      <c r="G59" s="1419"/>
      <c r="H59" s="1419"/>
    </row>
    <row r="60" spans="1:8" x14ac:dyDescent="0.2">
      <c r="A60" s="1419"/>
      <c r="B60" s="1419"/>
      <c r="C60" s="1419"/>
      <c r="D60" s="1419"/>
      <c r="E60" s="1419"/>
      <c r="F60" s="1419"/>
      <c r="G60" s="1419"/>
      <c r="H60" s="1419"/>
    </row>
    <row r="61" spans="1:8" ht="15.75" x14ac:dyDescent="0.2">
      <c r="A61" s="1421" t="s">
        <v>620</v>
      </c>
      <c r="B61" s="1419"/>
      <c r="C61" s="1419"/>
      <c r="D61" s="1419"/>
      <c r="E61" s="1419"/>
      <c r="F61" s="1419"/>
      <c r="G61" s="1419"/>
      <c r="H61" s="1419"/>
    </row>
    <row r="62" spans="1:8" x14ac:dyDescent="0.2">
      <c r="A62" s="1419"/>
      <c r="B62" s="1419"/>
      <c r="C62" s="1419"/>
      <c r="D62" s="1419"/>
      <c r="E62" s="1419"/>
      <c r="F62" s="1419"/>
      <c r="G62" s="1419"/>
      <c r="H62" s="1419"/>
    </row>
    <row r="63" spans="1:8" x14ac:dyDescent="0.2">
      <c r="A63" s="1420" t="s">
        <v>865</v>
      </c>
      <c r="B63" s="1419"/>
      <c r="C63" s="1419"/>
      <c r="D63" s="1419"/>
      <c r="E63" s="1419"/>
      <c r="F63" s="1419"/>
      <c r="G63" s="1419"/>
      <c r="H63" s="1419"/>
    </row>
    <row r="64" spans="1:8" x14ac:dyDescent="0.2">
      <c r="A64" s="1420" t="s">
        <v>866</v>
      </c>
      <c r="B64" s="1419"/>
      <c r="C64" s="1419"/>
      <c r="D64" s="1419"/>
      <c r="E64" s="1419"/>
      <c r="F64" s="1419"/>
      <c r="G64" s="1419"/>
      <c r="H64" s="1419"/>
    </row>
    <row r="65" spans="1:8" x14ac:dyDescent="0.2">
      <c r="A65" s="1419"/>
      <c r="B65" s="1419"/>
      <c r="C65" s="1419"/>
      <c r="D65" s="1419"/>
      <c r="E65" s="1419"/>
      <c r="F65" s="1419"/>
      <c r="G65" s="1419"/>
      <c r="H65" s="1419"/>
    </row>
    <row r="66" spans="1:8" x14ac:dyDescent="0.2">
      <c r="A66" s="1420" t="s">
        <v>863</v>
      </c>
      <c r="B66" s="1419"/>
      <c r="C66" s="1419"/>
      <c r="D66" s="1419"/>
      <c r="E66" s="1419"/>
      <c r="F66" s="1419"/>
      <c r="G66" s="1419"/>
      <c r="H66" s="1419"/>
    </row>
    <row r="67" spans="1:8" x14ac:dyDescent="0.2">
      <c r="A67" s="1420" t="s">
        <v>864</v>
      </c>
      <c r="B67" s="1419"/>
      <c r="C67" s="1419"/>
      <c r="D67" s="1419"/>
      <c r="E67" s="1419"/>
      <c r="F67" s="1419"/>
      <c r="G67" s="1419"/>
      <c r="H67" s="1419"/>
    </row>
    <row r="68" spans="1:8" x14ac:dyDescent="0.2">
      <c r="A68" s="1419"/>
      <c r="B68" s="1419"/>
      <c r="C68" s="1419"/>
      <c r="D68" s="1419"/>
      <c r="E68" s="1419"/>
      <c r="F68" s="1419"/>
      <c r="G68" s="1419"/>
      <c r="H68" s="1419"/>
    </row>
    <row r="69" spans="1:8" x14ac:dyDescent="0.2">
      <c r="A69" s="1420" t="s">
        <v>621</v>
      </c>
      <c r="B69" s="1419"/>
      <c r="C69" s="1419"/>
      <c r="D69" s="1419"/>
      <c r="E69" s="1419"/>
      <c r="F69" s="1419"/>
      <c r="G69" s="1419"/>
      <c r="H69" s="1419"/>
    </row>
    <row r="70" spans="1:8" x14ac:dyDescent="0.2">
      <c r="A70" s="1419"/>
      <c r="B70" s="1419"/>
      <c r="C70" s="1419"/>
      <c r="D70" s="1419"/>
      <c r="E70" s="1419"/>
      <c r="F70" s="1419"/>
      <c r="G70" s="1419"/>
      <c r="H70" s="1419"/>
    </row>
    <row r="71" spans="1:8" x14ac:dyDescent="0.2">
      <c r="A71" s="1420" t="s">
        <v>858</v>
      </c>
      <c r="B71" s="1419"/>
      <c r="C71" s="1419"/>
      <c r="D71" s="1419"/>
      <c r="E71" s="1419"/>
      <c r="F71" s="1419"/>
      <c r="G71" s="1419"/>
      <c r="H71" s="1419"/>
    </row>
    <row r="72" spans="1:8" x14ac:dyDescent="0.2">
      <c r="A72" s="1420" t="s">
        <v>859</v>
      </c>
      <c r="B72" s="1419"/>
      <c r="C72" s="1419"/>
      <c r="D72" s="1419"/>
      <c r="E72" s="1419"/>
      <c r="F72" s="1419"/>
      <c r="G72" s="1419"/>
      <c r="H72" s="1419"/>
    </row>
    <row r="73" spans="1:8" x14ac:dyDescent="0.2">
      <c r="A73" s="1420" t="s">
        <v>860</v>
      </c>
      <c r="B73" s="1419"/>
      <c r="C73" s="1419"/>
      <c r="D73" s="1419"/>
      <c r="E73" s="1419"/>
      <c r="F73" s="1419"/>
      <c r="G73" s="1419"/>
      <c r="H73" s="1419"/>
    </row>
    <row r="74" spans="1:8" x14ac:dyDescent="0.2">
      <c r="A74" s="1420" t="s">
        <v>861</v>
      </c>
      <c r="B74" s="1419"/>
      <c r="C74" s="1419"/>
      <c r="D74" s="1419"/>
      <c r="E74" s="1419"/>
      <c r="F74" s="1419"/>
      <c r="G74" s="1419"/>
      <c r="H74" s="1419"/>
    </row>
    <row r="75" spans="1:8" x14ac:dyDescent="0.2">
      <c r="A75" s="1420" t="s">
        <v>862</v>
      </c>
      <c r="B75" s="1419"/>
      <c r="C75" s="1419"/>
      <c r="D75" s="1419"/>
      <c r="E75" s="1419"/>
      <c r="F75" s="1419"/>
      <c r="G75" s="1419"/>
      <c r="H75" s="1419"/>
    </row>
    <row r="76" spans="1:8" x14ac:dyDescent="0.2">
      <c r="A76" s="1420" t="s">
        <v>747</v>
      </c>
      <c r="B76" s="1419"/>
      <c r="C76" s="1419"/>
      <c r="D76" s="1419"/>
      <c r="E76" s="1419"/>
      <c r="F76" s="1419"/>
      <c r="G76" s="1419"/>
      <c r="H76" s="1419"/>
    </row>
    <row r="77" spans="1:8" x14ac:dyDescent="0.2">
      <c r="A77" s="1419"/>
      <c r="B77" s="1419"/>
      <c r="C77" s="1419"/>
      <c r="D77" s="1419"/>
      <c r="E77" s="1419"/>
      <c r="F77" s="1419"/>
      <c r="G77" s="1419"/>
      <c r="H77" s="1419"/>
    </row>
    <row r="78" spans="1:8" x14ac:dyDescent="0.2">
      <c r="A78" s="1420" t="s">
        <v>851</v>
      </c>
      <c r="B78" s="1419"/>
      <c r="C78" s="1419"/>
      <c r="D78" s="1419"/>
      <c r="E78" s="1419"/>
      <c r="F78" s="1419"/>
      <c r="G78" s="1419"/>
      <c r="H78" s="1419"/>
    </row>
    <row r="79" spans="1:8" x14ac:dyDescent="0.2">
      <c r="A79" s="1420" t="s">
        <v>852</v>
      </c>
      <c r="B79" s="1419"/>
      <c r="C79" s="1419"/>
      <c r="D79" s="1419"/>
      <c r="E79" s="1419"/>
      <c r="F79" s="1419"/>
      <c r="G79" s="1419"/>
      <c r="H79" s="1419"/>
    </row>
    <row r="80" spans="1:8" x14ac:dyDescent="0.2">
      <c r="A80" s="1420" t="s">
        <v>853</v>
      </c>
      <c r="B80" s="1419"/>
      <c r="C80" s="1419"/>
      <c r="D80" s="1419"/>
      <c r="E80" s="1419"/>
      <c r="F80" s="1419"/>
      <c r="G80" s="1419"/>
      <c r="H80" s="1419"/>
    </row>
    <row r="81" spans="1:8" x14ac:dyDescent="0.2">
      <c r="A81" s="1420" t="s">
        <v>854</v>
      </c>
      <c r="B81" s="1419"/>
      <c r="C81" s="1419"/>
      <c r="D81" s="1419"/>
      <c r="E81" s="1419"/>
      <c r="F81" s="1419"/>
      <c r="G81" s="1419"/>
      <c r="H81" s="1419"/>
    </row>
    <row r="82" spans="1:8" x14ac:dyDescent="0.2">
      <c r="A82" s="1420" t="s">
        <v>855</v>
      </c>
      <c r="B82" s="1419"/>
      <c r="C82" s="1419"/>
      <c r="D82" s="1419"/>
      <c r="E82" s="1419"/>
      <c r="F82" s="1419"/>
      <c r="G82" s="1419"/>
      <c r="H82" s="1419"/>
    </row>
    <row r="83" spans="1:8" x14ac:dyDescent="0.2">
      <c r="A83" s="1420" t="s">
        <v>856</v>
      </c>
      <c r="B83" s="1419"/>
      <c r="C83" s="1419"/>
      <c r="D83" s="1419"/>
      <c r="E83" s="1419"/>
      <c r="F83" s="1419"/>
      <c r="G83" s="1419"/>
      <c r="H83" s="1419"/>
    </row>
    <row r="84" spans="1:8" x14ac:dyDescent="0.2">
      <c r="A84" s="1420" t="s">
        <v>857</v>
      </c>
      <c r="B84" s="1419"/>
      <c r="C84" s="1419"/>
      <c r="D84" s="1419"/>
      <c r="E84" s="1419"/>
      <c r="F84" s="1419"/>
      <c r="G84" s="1419"/>
      <c r="H84" s="1419"/>
    </row>
    <row r="85" spans="1:8" x14ac:dyDescent="0.2">
      <c r="A85" s="1419"/>
      <c r="B85" s="1419"/>
      <c r="C85" s="1419"/>
      <c r="D85" s="1419"/>
      <c r="E85" s="1419"/>
      <c r="F85" s="1419"/>
      <c r="G85" s="1419"/>
      <c r="H85" s="1419"/>
    </row>
    <row r="86" spans="1:8" x14ac:dyDescent="0.2">
      <c r="A86" s="1420" t="s">
        <v>849</v>
      </c>
      <c r="B86" s="1419"/>
      <c r="C86" s="1419"/>
      <c r="D86" s="1419"/>
      <c r="E86" s="1419"/>
      <c r="F86" s="1419"/>
      <c r="G86" s="1419"/>
      <c r="H86" s="1419"/>
    </row>
    <row r="87" spans="1:8" x14ac:dyDescent="0.2">
      <c r="A87" s="1420" t="s">
        <v>850</v>
      </c>
      <c r="B87" s="1419"/>
      <c r="C87" s="1419"/>
      <c r="D87" s="1419"/>
      <c r="E87" s="1419"/>
      <c r="F87" s="1419"/>
      <c r="G87" s="1419"/>
      <c r="H87" s="1419"/>
    </row>
    <row r="88" spans="1:8" x14ac:dyDescent="0.2">
      <c r="A88" s="1419"/>
      <c r="B88" s="1419"/>
      <c r="C88" s="1419"/>
      <c r="D88" s="1419"/>
      <c r="E88" s="1419"/>
      <c r="F88" s="1419"/>
      <c r="G88" s="1419"/>
      <c r="H88" s="1419"/>
    </row>
    <row r="89" spans="1:8" ht="15.75" x14ac:dyDescent="0.2">
      <c r="A89" s="1421" t="s">
        <v>622</v>
      </c>
      <c r="B89" s="1419"/>
      <c r="C89" s="1419"/>
      <c r="D89" s="1419"/>
      <c r="E89" s="1419"/>
      <c r="F89" s="1419"/>
      <c r="G89" s="1419"/>
      <c r="H89" s="1419"/>
    </row>
    <row r="90" spans="1:8" x14ac:dyDescent="0.2">
      <c r="A90" s="1419"/>
      <c r="B90" s="1419"/>
      <c r="C90" s="1419"/>
      <c r="D90" s="1419"/>
      <c r="E90" s="1419"/>
      <c r="F90" s="1419"/>
      <c r="G90" s="1419"/>
      <c r="H90" s="1419"/>
    </row>
    <row r="91" spans="1:8" x14ac:dyDescent="0.2">
      <c r="A91" s="1420" t="s">
        <v>840</v>
      </c>
      <c r="B91" s="1419"/>
      <c r="C91" s="1419"/>
      <c r="D91" s="1419"/>
      <c r="E91" s="1419"/>
      <c r="F91" s="1419"/>
      <c r="G91" s="1419"/>
      <c r="H91" s="1419"/>
    </row>
    <row r="92" spans="1:8" x14ac:dyDescent="0.2">
      <c r="A92" s="1420" t="s">
        <v>841</v>
      </c>
      <c r="B92" s="1419"/>
      <c r="C92" s="1419"/>
      <c r="D92" s="1419"/>
      <c r="E92" s="1419"/>
      <c r="F92" s="1419"/>
      <c r="G92" s="1419"/>
      <c r="H92" s="1419"/>
    </row>
    <row r="93" spans="1:8" x14ac:dyDescent="0.2">
      <c r="A93" s="1420" t="s">
        <v>842</v>
      </c>
      <c r="B93" s="1419"/>
      <c r="C93" s="1419"/>
      <c r="D93" s="1419"/>
      <c r="E93" s="1419"/>
      <c r="F93" s="1419"/>
      <c r="G93" s="1419"/>
      <c r="H93" s="1419"/>
    </row>
    <row r="94" spans="1:8" x14ac:dyDescent="0.2">
      <c r="A94" s="1420" t="s">
        <v>843</v>
      </c>
      <c r="B94" s="1419"/>
      <c r="C94" s="1419"/>
      <c r="D94" s="1419"/>
      <c r="E94" s="1419"/>
      <c r="F94" s="1419"/>
      <c r="G94" s="1419"/>
      <c r="H94" s="1419"/>
    </row>
    <row r="95" spans="1:8" x14ac:dyDescent="0.2">
      <c r="A95" s="1420" t="s">
        <v>844</v>
      </c>
      <c r="B95" s="1419"/>
      <c r="C95" s="1419"/>
      <c r="D95" s="1419"/>
      <c r="E95" s="1419"/>
      <c r="F95" s="1419"/>
      <c r="G95" s="1419"/>
      <c r="H95" s="1419"/>
    </row>
    <row r="96" spans="1:8" x14ac:dyDescent="0.2">
      <c r="A96" s="1420" t="s">
        <v>845</v>
      </c>
      <c r="B96" s="1419"/>
      <c r="C96" s="1419"/>
      <c r="D96" s="1419"/>
      <c r="E96" s="1419"/>
      <c r="F96" s="1419"/>
      <c r="G96" s="1419"/>
      <c r="H96" s="1419"/>
    </row>
    <row r="97" spans="1:8" x14ac:dyDescent="0.2">
      <c r="A97" s="1420" t="s">
        <v>846</v>
      </c>
      <c r="B97" s="1419"/>
      <c r="C97" s="1419"/>
      <c r="D97" s="1419"/>
      <c r="E97" s="1419"/>
      <c r="F97" s="1419"/>
      <c r="G97" s="1419"/>
      <c r="H97" s="1419"/>
    </row>
    <row r="98" spans="1:8" x14ac:dyDescent="0.2">
      <c r="A98" s="1420" t="s">
        <v>847</v>
      </c>
      <c r="B98" s="1419"/>
      <c r="C98" s="1419"/>
      <c r="D98" s="1419"/>
      <c r="E98" s="1419"/>
      <c r="F98" s="1419"/>
      <c r="G98" s="1419"/>
      <c r="H98" s="1419"/>
    </row>
    <row r="99" spans="1:8" x14ac:dyDescent="0.2">
      <c r="A99" s="1420" t="s">
        <v>848</v>
      </c>
      <c r="B99" s="1419"/>
      <c r="C99" s="1419"/>
      <c r="D99" s="1419"/>
      <c r="E99" s="1419"/>
      <c r="F99" s="1419"/>
      <c r="G99" s="1419"/>
      <c r="H99" s="1419"/>
    </row>
    <row r="100" spans="1:8" x14ac:dyDescent="0.2">
      <c r="A100" s="1419"/>
      <c r="B100" s="1419"/>
      <c r="C100" s="1419"/>
      <c r="D100" s="1419"/>
      <c r="E100" s="1419"/>
      <c r="F100" s="1419"/>
      <c r="G100" s="1419"/>
      <c r="H100" s="1419"/>
    </row>
    <row r="101" spans="1:8" ht="15.75" x14ac:dyDescent="0.2">
      <c r="A101" s="1422" t="s">
        <v>623</v>
      </c>
      <c r="B101" s="1422"/>
      <c r="C101" s="1422"/>
      <c r="D101" s="1422"/>
      <c r="E101" s="1422"/>
      <c r="F101" s="1422"/>
      <c r="G101" s="1422"/>
      <c r="H101" s="1422"/>
    </row>
    <row r="102" spans="1:8" x14ac:dyDescent="0.2">
      <c r="A102" s="1423" t="s">
        <v>624</v>
      </c>
      <c r="B102" s="1423"/>
      <c r="C102" s="1423"/>
      <c r="D102" s="1423"/>
      <c r="E102" s="1423"/>
      <c r="F102" s="1423"/>
      <c r="G102" s="1423"/>
      <c r="H102" s="1423"/>
    </row>
    <row r="103" spans="1:8" x14ac:dyDescent="0.2">
      <c r="A103" s="1424"/>
      <c r="B103" s="1424"/>
      <c r="C103" s="1424"/>
      <c r="D103" s="1424"/>
      <c r="E103" s="1424"/>
      <c r="F103" s="1424"/>
      <c r="G103" s="1424"/>
      <c r="H103" s="1424"/>
    </row>
    <row r="104" spans="1:8" x14ac:dyDescent="0.2">
      <c r="A104" s="1423" t="s">
        <v>838</v>
      </c>
      <c r="B104" s="1423"/>
      <c r="C104" s="1423"/>
      <c r="D104" s="1423"/>
      <c r="E104" s="1423"/>
      <c r="F104" s="1423"/>
      <c r="G104" s="1423"/>
      <c r="H104" s="1423"/>
    </row>
    <row r="105" spans="1:8" x14ac:dyDescent="0.2">
      <c r="A105" s="1420" t="s">
        <v>839</v>
      </c>
      <c r="B105" s="1420"/>
      <c r="C105" s="1420"/>
      <c r="D105" s="1420"/>
      <c r="E105" s="1420"/>
      <c r="F105" s="1420"/>
      <c r="G105" s="1420"/>
      <c r="H105" s="1420"/>
    </row>
    <row r="106" spans="1:8" x14ac:dyDescent="0.2">
      <c r="A106" s="1424"/>
      <c r="B106" s="1424"/>
      <c r="C106" s="1424"/>
      <c r="D106" s="1424"/>
      <c r="E106" s="1424"/>
      <c r="F106" s="1424"/>
      <c r="G106" s="1424"/>
      <c r="H106" s="1424"/>
    </row>
    <row r="107" spans="1:8" x14ac:dyDescent="0.2">
      <c r="A107" s="1423" t="s">
        <v>831</v>
      </c>
      <c r="B107" s="1423"/>
      <c r="C107" s="1423"/>
      <c r="D107" s="1423"/>
      <c r="E107" s="1423"/>
      <c r="F107" s="1423"/>
      <c r="G107" s="1423"/>
      <c r="H107" s="1423"/>
    </row>
    <row r="108" spans="1:8" x14ac:dyDescent="0.2">
      <c r="A108" s="1420" t="s">
        <v>832</v>
      </c>
      <c r="B108" s="1420"/>
      <c r="C108" s="1420"/>
      <c r="D108" s="1420"/>
      <c r="E108" s="1420"/>
      <c r="F108" s="1420"/>
      <c r="G108" s="1420"/>
      <c r="H108" s="1420"/>
    </row>
    <row r="109" spans="1:8" x14ac:dyDescent="0.2">
      <c r="A109" s="1420" t="s">
        <v>833</v>
      </c>
      <c r="B109" s="1420"/>
      <c r="C109" s="1420"/>
      <c r="D109" s="1420"/>
      <c r="E109" s="1420"/>
      <c r="F109" s="1420"/>
      <c r="G109" s="1420"/>
      <c r="H109" s="1420"/>
    </row>
    <row r="110" spans="1:8" x14ac:dyDescent="0.2">
      <c r="A110" s="1420" t="s">
        <v>834</v>
      </c>
      <c r="B110" s="1420"/>
      <c r="C110" s="1420"/>
      <c r="D110" s="1420"/>
      <c r="E110" s="1420"/>
      <c r="F110" s="1420"/>
      <c r="G110" s="1420"/>
      <c r="H110" s="1420"/>
    </row>
    <row r="111" spans="1:8" x14ac:dyDescent="0.2">
      <c r="A111" s="1420" t="s">
        <v>835</v>
      </c>
      <c r="B111" s="1420"/>
      <c r="C111" s="1420"/>
      <c r="D111" s="1420"/>
      <c r="E111" s="1420"/>
      <c r="F111" s="1420"/>
      <c r="G111" s="1420"/>
      <c r="H111" s="1420"/>
    </row>
    <row r="112" spans="1:8" x14ac:dyDescent="0.2">
      <c r="A112" s="1420" t="s">
        <v>836</v>
      </c>
      <c r="B112" s="1420"/>
      <c r="C112" s="1420"/>
      <c r="D112" s="1420"/>
      <c r="E112" s="1420"/>
      <c r="F112" s="1420"/>
      <c r="G112" s="1420"/>
      <c r="H112" s="1420"/>
    </row>
    <row r="113" spans="1:8" x14ac:dyDescent="0.2">
      <c r="A113" s="1420" t="s">
        <v>837</v>
      </c>
      <c r="B113" s="1420"/>
      <c r="C113" s="1420"/>
      <c r="D113" s="1420"/>
      <c r="E113" s="1420"/>
      <c r="F113" s="1420"/>
      <c r="G113" s="1420"/>
      <c r="H113" s="1420"/>
    </row>
    <row r="114" spans="1:8" x14ac:dyDescent="0.2">
      <c r="A114" s="1425"/>
      <c r="B114" s="1425"/>
      <c r="C114" s="1425"/>
      <c r="D114" s="1425"/>
      <c r="E114" s="1425"/>
      <c r="F114" s="1425"/>
      <c r="G114" s="1425"/>
      <c r="H114" s="1425"/>
    </row>
    <row r="115" spans="1:8" x14ac:dyDescent="0.2">
      <c r="A115" s="1426"/>
      <c r="B115" s="1427" t="s">
        <v>625</v>
      </c>
      <c r="C115" s="1428"/>
      <c r="D115" s="1427" t="s">
        <v>626</v>
      </c>
      <c r="E115" s="1429"/>
      <c r="F115" s="1428"/>
      <c r="G115" s="1427" t="s">
        <v>627</v>
      </c>
      <c r="H115" s="1428"/>
    </row>
    <row r="116" spans="1:8" x14ac:dyDescent="0.2">
      <c r="A116" s="1426" t="s">
        <v>628</v>
      </c>
      <c r="B116" s="1426" t="s">
        <v>362</v>
      </c>
      <c r="C116" s="1426" t="s">
        <v>629</v>
      </c>
      <c r="D116" s="1426" t="s">
        <v>362</v>
      </c>
      <c r="E116" s="1426" t="s">
        <v>630</v>
      </c>
      <c r="F116" s="1426" t="s">
        <v>631</v>
      </c>
      <c r="G116" s="1426" t="s">
        <v>362</v>
      </c>
      <c r="H116" s="1426" t="s">
        <v>632</v>
      </c>
    </row>
    <row r="117" spans="1:8" x14ac:dyDescent="0.2">
      <c r="A117" s="1426" t="s">
        <v>633</v>
      </c>
      <c r="B117" s="1426">
        <v>1175</v>
      </c>
      <c r="C117" s="1430">
        <v>0.37</v>
      </c>
      <c r="D117" s="1426">
        <v>315</v>
      </c>
      <c r="E117" s="1430">
        <v>0.41</v>
      </c>
      <c r="F117" s="1430">
        <v>0.27</v>
      </c>
      <c r="G117" s="1426">
        <v>555</v>
      </c>
      <c r="H117" s="1430">
        <v>0.39</v>
      </c>
    </row>
    <row r="118" spans="1:8" x14ac:dyDescent="0.2">
      <c r="A118" s="1426" t="s">
        <v>634</v>
      </c>
      <c r="B118" s="1426">
        <v>1369</v>
      </c>
      <c r="C118" s="1430">
        <v>0.43</v>
      </c>
      <c r="D118" s="1426">
        <v>357</v>
      </c>
      <c r="E118" s="1430">
        <v>0.47</v>
      </c>
      <c r="F118" s="1430">
        <v>0.26</v>
      </c>
      <c r="G118" s="1426">
        <v>643</v>
      </c>
      <c r="H118" s="1430">
        <v>0.45</v>
      </c>
    </row>
    <row r="119" spans="1:8" x14ac:dyDescent="0.2">
      <c r="A119" s="1426" t="s">
        <v>635</v>
      </c>
      <c r="B119" s="1426">
        <v>53</v>
      </c>
      <c r="C119" s="1430">
        <v>0.02</v>
      </c>
      <c r="D119" s="1426">
        <v>5</v>
      </c>
      <c r="E119" s="1430">
        <v>0.01</v>
      </c>
      <c r="F119" s="1430">
        <v>0.09</v>
      </c>
      <c r="G119" s="1426">
        <v>7</v>
      </c>
      <c r="H119" s="1430">
        <v>0</v>
      </c>
    </row>
    <row r="120" spans="1:8" x14ac:dyDescent="0.2">
      <c r="A120" s="1426" t="s">
        <v>636</v>
      </c>
      <c r="B120" s="1426">
        <v>552</v>
      </c>
      <c r="C120" s="1430">
        <v>0.18</v>
      </c>
      <c r="D120" s="1426">
        <v>87</v>
      </c>
      <c r="E120" s="1430">
        <v>0.11</v>
      </c>
      <c r="F120" s="1430">
        <v>0.16</v>
      </c>
      <c r="G120" s="1426">
        <v>222</v>
      </c>
      <c r="H120" s="1430">
        <v>0.16</v>
      </c>
    </row>
    <row r="121" spans="1:8" x14ac:dyDescent="0.2">
      <c r="A121" s="1426" t="s">
        <v>369</v>
      </c>
      <c r="B121" s="1431">
        <v>3149</v>
      </c>
      <c r="C121" s="1426"/>
      <c r="D121" s="1426">
        <v>764</v>
      </c>
      <c r="E121" s="1426"/>
      <c r="F121" s="1426"/>
      <c r="G121" s="1426">
        <v>1427</v>
      </c>
      <c r="H121" s="1426"/>
    </row>
    <row r="122" spans="1:8" x14ac:dyDescent="0.2">
      <c r="A122" s="1432"/>
      <c r="B122" s="1432"/>
      <c r="C122" s="1432"/>
      <c r="D122" s="1432"/>
      <c r="E122" s="1432"/>
      <c r="F122" s="1432"/>
      <c r="G122" s="1432"/>
      <c r="H122" s="1432"/>
    </row>
    <row r="123" spans="1:8" x14ac:dyDescent="0.2">
      <c r="A123" s="1423" t="s">
        <v>827</v>
      </c>
      <c r="B123" s="1423"/>
      <c r="C123" s="1423"/>
      <c r="D123" s="1423"/>
      <c r="E123" s="1423"/>
      <c r="F123" s="1423"/>
      <c r="G123" s="1423"/>
      <c r="H123" s="1423"/>
    </row>
    <row r="124" spans="1:8" x14ac:dyDescent="0.2">
      <c r="A124" s="1420" t="s">
        <v>828</v>
      </c>
      <c r="B124" s="1420"/>
      <c r="C124" s="1420"/>
      <c r="D124" s="1420"/>
      <c r="E124" s="1420"/>
      <c r="F124" s="1420"/>
      <c r="G124" s="1420"/>
      <c r="H124" s="1420"/>
    </row>
    <row r="125" spans="1:8" x14ac:dyDescent="0.2">
      <c r="A125" s="1420" t="s">
        <v>829</v>
      </c>
      <c r="B125" s="1420"/>
      <c r="C125" s="1420"/>
      <c r="D125" s="1420"/>
      <c r="E125" s="1420"/>
      <c r="F125" s="1420"/>
      <c r="G125" s="1420"/>
      <c r="H125" s="1420"/>
    </row>
    <row r="126" spans="1:8" x14ac:dyDescent="0.2">
      <c r="A126" s="1420" t="s">
        <v>830</v>
      </c>
      <c r="B126" s="1420"/>
      <c r="C126" s="1420"/>
      <c r="D126" s="1420"/>
      <c r="E126" s="1420"/>
      <c r="F126" s="1420"/>
      <c r="G126" s="1420"/>
      <c r="H126" s="1420"/>
    </row>
    <row r="127" spans="1:8" x14ac:dyDescent="0.2">
      <c r="A127" s="1419"/>
      <c r="B127" s="1419"/>
      <c r="C127" s="1419"/>
      <c r="D127" s="1419"/>
      <c r="E127" s="1419"/>
      <c r="F127" s="1419"/>
      <c r="G127" s="1419"/>
      <c r="H127" s="1419"/>
    </row>
    <row r="128" spans="1:8" ht="15.75" x14ac:dyDescent="0.2">
      <c r="A128" s="1421" t="s">
        <v>637</v>
      </c>
      <c r="B128" s="1419"/>
      <c r="C128" s="1419"/>
      <c r="D128" s="1419"/>
      <c r="E128" s="1419"/>
      <c r="F128" s="1419"/>
      <c r="G128" s="1419"/>
      <c r="H128" s="1419"/>
    </row>
    <row r="129" spans="1:8" x14ac:dyDescent="0.2">
      <c r="A129" s="1419"/>
      <c r="B129" s="1419"/>
      <c r="C129" s="1419"/>
      <c r="D129" s="1419"/>
      <c r="E129" s="1419"/>
      <c r="F129" s="1419"/>
      <c r="G129" s="1419"/>
      <c r="H129" s="1419"/>
    </row>
    <row r="130" spans="1:8" x14ac:dyDescent="0.2">
      <c r="A130" s="1420" t="s">
        <v>825</v>
      </c>
      <c r="B130" s="1419"/>
      <c r="C130" s="1419"/>
      <c r="D130" s="1419"/>
      <c r="E130" s="1419"/>
      <c r="F130" s="1419"/>
      <c r="G130" s="1419"/>
      <c r="H130" s="1419"/>
    </row>
    <row r="131" spans="1:8" x14ac:dyDescent="0.2">
      <c r="A131" s="1420" t="s">
        <v>826</v>
      </c>
      <c r="B131" s="1419"/>
      <c r="C131" s="1419"/>
      <c r="D131" s="1419"/>
      <c r="E131" s="1419"/>
      <c r="F131" s="1419"/>
      <c r="G131" s="1419"/>
      <c r="H131" s="1419"/>
    </row>
    <row r="132" spans="1:8" x14ac:dyDescent="0.2">
      <c r="A132" s="1419"/>
      <c r="B132" s="1419"/>
      <c r="C132" s="1419"/>
      <c r="D132" s="1419"/>
      <c r="E132" s="1419"/>
      <c r="F132" s="1419"/>
      <c r="G132" s="1419"/>
      <c r="H132" s="1419"/>
    </row>
    <row r="133" spans="1:8" x14ac:dyDescent="0.2">
      <c r="A133" s="1420" t="s">
        <v>822</v>
      </c>
      <c r="B133" s="1419"/>
      <c r="C133" s="1419"/>
      <c r="D133" s="1419"/>
      <c r="E133" s="1419"/>
      <c r="F133" s="1419"/>
      <c r="G133" s="1419"/>
      <c r="H133" s="1419"/>
    </row>
    <row r="134" spans="1:8" x14ac:dyDescent="0.2">
      <c r="A134" s="1420" t="s">
        <v>823</v>
      </c>
      <c r="B134" s="1419"/>
      <c r="C134" s="1419"/>
      <c r="D134" s="1419"/>
      <c r="E134" s="1419"/>
      <c r="F134" s="1419"/>
      <c r="G134" s="1419"/>
      <c r="H134" s="1419"/>
    </row>
    <row r="135" spans="1:8" x14ac:dyDescent="0.2">
      <c r="A135" s="1420" t="s">
        <v>824</v>
      </c>
      <c r="B135" s="1419"/>
      <c r="C135" s="1419"/>
      <c r="D135" s="1419"/>
      <c r="E135" s="1419"/>
      <c r="F135" s="1419"/>
      <c r="G135" s="1419"/>
      <c r="H135" s="1419"/>
    </row>
    <row r="136" spans="1:8" x14ac:dyDescent="0.2">
      <c r="A136" s="1419"/>
      <c r="B136" s="1419"/>
      <c r="C136" s="1419"/>
      <c r="D136" s="1419"/>
      <c r="E136" s="1419"/>
      <c r="F136" s="1419"/>
      <c r="G136" s="1419"/>
      <c r="H136" s="1419"/>
    </row>
    <row r="137" spans="1:8" x14ac:dyDescent="0.2">
      <c r="A137" s="1420" t="s">
        <v>819</v>
      </c>
      <c r="B137" s="1419"/>
      <c r="C137" s="1419"/>
      <c r="D137" s="1419"/>
      <c r="E137" s="1419"/>
      <c r="F137" s="1419"/>
      <c r="G137" s="1419"/>
      <c r="H137" s="1419"/>
    </row>
    <row r="138" spans="1:8" x14ac:dyDescent="0.2">
      <c r="A138" s="1420" t="s">
        <v>820</v>
      </c>
      <c r="B138" s="1419"/>
      <c r="C138" s="1419"/>
      <c r="D138" s="1419"/>
      <c r="E138" s="1419"/>
      <c r="F138" s="1419"/>
      <c r="G138" s="1419"/>
      <c r="H138" s="1419"/>
    </row>
    <row r="139" spans="1:8" x14ac:dyDescent="0.2">
      <c r="A139" s="1420" t="s">
        <v>821</v>
      </c>
      <c r="B139" s="1419"/>
      <c r="C139" s="1419"/>
      <c r="D139" s="1419"/>
      <c r="E139" s="1419"/>
      <c r="F139" s="1419"/>
      <c r="G139" s="1419"/>
      <c r="H139" s="1419"/>
    </row>
    <row r="140" spans="1:8" x14ac:dyDescent="0.2">
      <c r="A140" s="1419"/>
      <c r="B140" s="1419"/>
      <c r="C140" s="1419"/>
      <c r="D140" s="1419"/>
      <c r="E140" s="1419"/>
      <c r="F140" s="1419"/>
      <c r="G140" s="1419"/>
      <c r="H140" s="1419"/>
    </row>
    <row r="141" spans="1:8" x14ac:dyDescent="0.2">
      <c r="A141" s="1420" t="s">
        <v>816</v>
      </c>
      <c r="B141" s="1419"/>
      <c r="C141" s="1419"/>
      <c r="D141" s="1419"/>
      <c r="E141" s="1419"/>
      <c r="F141" s="1419"/>
      <c r="G141" s="1419"/>
      <c r="H141" s="1419"/>
    </row>
    <row r="142" spans="1:8" x14ac:dyDescent="0.2">
      <c r="A142" s="1420" t="s">
        <v>817</v>
      </c>
      <c r="B142" s="1419"/>
      <c r="C142" s="1419"/>
      <c r="D142" s="1419"/>
      <c r="E142" s="1419"/>
      <c r="F142" s="1419"/>
      <c r="G142" s="1419"/>
      <c r="H142" s="1419"/>
    </row>
    <row r="143" spans="1:8" x14ac:dyDescent="0.2">
      <c r="A143" s="1420" t="s">
        <v>818</v>
      </c>
      <c r="B143" s="1419"/>
      <c r="C143" s="1419"/>
      <c r="D143" s="1419"/>
      <c r="E143" s="1419"/>
      <c r="F143" s="1419"/>
      <c r="G143" s="1419"/>
      <c r="H143" s="1419"/>
    </row>
    <row r="144" spans="1:8" x14ac:dyDescent="0.2">
      <c r="A144" s="1419"/>
      <c r="B144" s="1419"/>
      <c r="C144" s="1419"/>
      <c r="D144" s="1419"/>
      <c r="E144" s="1419"/>
      <c r="F144" s="1419"/>
      <c r="G144" s="1419"/>
      <c r="H144" s="1419"/>
    </row>
    <row r="145" spans="1:8" x14ac:dyDescent="0.2">
      <c r="A145" s="1420" t="s">
        <v>814</v>
      </c>
      <c r="B145" s="1419"/>
      <c r="C145" s="1419"/>
      <c r="D145" s="1419"/>
      <c r="E145" s="1419"/>
      <c r="F145" s="1419"/>
      <c r="G145" s="1419"/>
      <c r="H145" s="1419"/>
    </row>
    <row r="146" spans="1:8" x14ac:dyDescent="0.2">
      <c r="A146" s="1420" t="s">
        <v>815</v>
      </c>
      <c r="B146" s="1419"/>
      <c r="C146" s="1419"/>
      <c r="D146" s="1419"/>
      <c r="E146" s="1419"/>
      <c r="F146" s="1419"/>
      <c r="G146" s="1419"/>
      <c r="H146" s="1419"/>
    </row>
    <row r="147" spans="1:8" x14ac:dyDescent="0.2">
      <c r="A147" s="1419"/>
      <c r="B147" s="1419"/>
      <c r="C147" s="1419"/>
      <c r="D147" s="1419"/>
      <c r="E147" s="1419"/>
      <c r="F147" s="1419"/>
      <c r="G147" s="1419"/>
      <c r="H147" s="1419"/>
    </row>
    <row r="148" spans="1:8" ht="15.75" x14ac:dyDescent="0.2">
      <c r="A148" s="1421" t="s">
        <v>638</v>
      </c>
      <c r="B148" s="1419"/>
      <c r="C148" s="1419"/>
      <c r="D148" s="1419"/>
      <c r="E148" s="1419"/>
      <c r="F148" s="1419"/>
      <c r="G148" s="1419"/>
      <c r="H148" s="1419"/>
    </row>
    <row r="149" spans="1:8" x14ac:dyDescent="0.2">
      <c r="A149" s="1419"/>
      <c r="B149" s="1419"/>
      <c r="C149" s="1419"/>
      <c r="D149" s="1419"/>
      <c r="E149" s="1419"/>
      <c r="F149" s="1419"/>
      <c r="G149" s="1419"/>
      <c r="H149" s="1419"/>
    </row>
    <row r="150" spans="1:8" x14ac:dyDescent="0.2">
      <c r="A150" s="1420" t="s">
        <v>812</v>
      </c>
      <c r="B150" s="1419"/>
      <c r="C150" s="1419"/>
      <c r="D150" s="1419"/>
      <c r="E150" s="1419"/>
      <c r="F150" s="1419"/>
      <c r="G150" s="1419"/>
      <c r="H150" s="1419"/>
    </row>
    <row r="151" spans="1:8" x14ac:dyDescent="0.2">
      <c r="A151" s="1420" t="s">
        <v>813</v>
      </c>
      <c r="B151" s="1419"/>
      <c r="C151" s="1419"/>
      <c r="D151" s="1419"/>
      <c r="E151" s="1419"/>
      <c r="F151" s="1419"/>
      <c r="G151" s="1419"/>
      <c r="H151" s="1419"/>
    </row>
    <row r="152" spans="1:8" x14ac:dyDescent="0.2">
      <c r="A152" s="1419"/>
      <c r="B152" s="1419"/>
      <c r="C152" s="1419"/>
      <c r="D152" s="1419"/>
      <c r="E152" s="1419"/>
      <c r="F152" s="1419"/>
      <c r="G152" s="1419"/>
      <c r="H152" s="1419"/>
    </row>
    <row r="153" spans="1:8" x14ac:dyDescent="0.2">
      <c r="A153" s="1420" t="s">
        <v>810</v>
      </c>
      <c r="B153" s="1419"/>
      <c r="C153" s="1419"/>
      <c r="D153" s="1419"/>
      <c r="E153" s="1419"/>
      <c r="F153" s="1419"/>
      <c r="G153" s="1419"/>
      <c r="H153" s="1419"/>
    </row>
    <row r="154" spans="1:8" x14ac:dyDescent="0.2">
      <c r="A154" s="1420" t="s">
        <v>811</v>
      </c>
      <c r="B154" s="1419"/>
      <c r="C154" s="1419"/>
      <c r="D154" s="1419"/>
      <c r="E154" s="1419"/>
      <c r="F154" s="1419"/>
      <c r="G154" s="1419"/>
      <c r="H154" s="1419"/>
    </row>
    <row r="155" spans="1:8" x14ac:dyDescent="0.2">
      <c r="A155" s="1419"/>
      <c r="B155" s="1419"/>
      <c r="C155" s="1419"/>
      <c r="D155" s="1419"/>
      <c r="E155" s="1419"/>
      <c r="F155" s="1419"/>
      <c r="G155" s="1419"/>
      <c r="H155" s="1419"/>
    </row>
    <row r="156" spans="1:8" x14ac:dyDescent="0.2">
      <c r="A156" s="1420" t="s">
        <v>808</v>
      </c>
      <c r="B156" s="1419"/>
      <c r="C156" s="1419"/>
      <c r="D156" s="1419"/>
      <c r="E156" s="1419"/>
      <c r="F156" s="1419"/>
      <c r="G156" s="1419"/>
      <c r="H156" s="1419"/>
    </row>
    <row r="157" spans="1:8" x14ac:dyDescent="0.2">
      <c r="A157" s="1420" t="s">
        <v>809</v>
      </c>
      <c r="B157" s="1419"/>
      <c r="C157" s="1419"/>
      <c r="D157" s="1419"/>
      <c r="E157" s="1419"/>
      <c r="F157" s="1419"/>
      <c r="G157" s="1419"/>
      <c r="H157" s="1419"/>
    </row>
    <row r="158" spans="1:8" x14ac:dyDescent="0.2">
      <c r="A158" s="1419"/>
      <c r="B158" s="1419"/>
      <c r="C158" s="1419"/>
      <c r="D158" s="1419"/>
      <c r="E158" s="1419"/>
      <c r="F158" s="1419"/>
      <c r="G158" s="1419"/>
      <c r="H158" s="1419"/>
    </row>
    <row r="159" spans="1:8" x14ac:dyDescent="0.2">
      <c r="A159" s="1420" t="s">
        <v>805</v>
      </c>
      <c r="B159" s="1419"/>
      <c r="C159" s="1419"/>
      <c r="D159" s="1419"/>
      <c r="E159" s="1419"/>
      <c r="F159" s="1419"/>
      <c r="G159" s="1419"/>
      <c r="H159" s="1419"/>
    </row>
    <row r="160" spans="1:8" x14ac:dyDescent="0.2">
      <c r="A160" s="1420" t="s">
        <v>806</v>
      </c>
      <c r="B160" s="1419"/>
      <c r="C160" s="1419"/>
      <c r="D160" s="1419"/>
      <c r="E160" s="1419"/>
      <c r="F160" s="1419"/>
      <c r="G160" s="1419"/>
      <c r="H160" s="1419"/>
    </row>
    <row r="161" spans="1:8" x14ac:dyDescent="0.2">
      <c r="A161" s="1420" t="s">
        <v>807</v>
      </c>
      <c r="B161" s="1419"/>
      <c r="C161" s="1419"/>
      <c r="D161" s="1419"/>
      <c r="E161" s="1419"/>
      <c r="F161" s="1419"/>
      <c r="G161" s="1419"/>
      <c r="H161" s="1419"/>
    </row>
    <row r="162" spans="1:8" x14ac:dyDescent="0.2">
      <c r="A162" s="1419"/>
      <c r="B162" s="1419"/>
      <c r="C162" s="1419"/>
      <c r="D162" s="1419"/>
      <c r="E162" s="1419"/>
      <c r="F162" s="1419"/>
      <c r="G162" s="1419"/>
      <c r="H162" s="1419"/>
    </row>
    <row r="163" spans="1:8" x14ac:dyDescent="0.2">
      <c r="A163" s="1419"/>
      <c r="B163" s="1419"/>
      <c r="C163" s="1419"/>
      <c r="D163" s="1419"/>
      <c r="E163" s="1419"/>
      <c r="F163" s="1419"/>
      <c r="G163" s="1419"/>
      <c r="H163" s="1419"/>
    </row>
    <row r="164" spans="1:8" x14ac:dyDescent="0.2">
      <c r="A164" s="1420" t="s">
        <v>639</v>
      </c>
      <c r="B164" s="1419"/>
      <c r="C164" s="1419"/>
      <c r="D164" s="1419"/>
      <c r="E164" s="1419"/>
      <c r="F164" s="1419"/>
      <c r="G164" s="1419"/>
      <c r="H164" s="1419"/>
    </row>
    <row r="165" spans="1:8" x14ac:dyDescent="0.2">
      <c r="A165" s="1419"/>
      <c r="B165" s="1419"/>
      <c r="C165" s="1419"/>
      <c r="D165" s="1419"/>
      <c r="E165" s="1419"/>
      <c r="F165" s="1419"/>
      <c r="G165" s="1419"/>
      <c r="H165" s="1419"/>
    </row>
    <row r="166" spans="1:8" ht="15.75" x14ac:dyDescent="0.2">
      <c r="A166" s="1421" t="s">
        <v>640</v>
      </c>
      <c r="B166" s="1419"/>
      <c r="C166" s="1419"/>
      <c r="D166" s="1419"/>
      <c r="E166" s="1419"/>
      <c r="F166" s="1419"/>
      <c r="G166" s="1419"/>
      <c r="H166" s="1419"/>
    </row>
    <row r="167" spans="1:8" x14ac:dyDescent="0.2">
      <c r="A167" s="1419"/>
      <c r="B167" s="1419"/>
      <c r="C167" s="1419"/>
      <c r="D167" s="1419"/>
      <c r="E167" s="1419"/>
      <c r="F167" s="1419"/>
      <c r="G167" s="1419"/>
      <c r="H167" s="1419"/>
    </row>
    <row r="168" spans="1:8" x14ac:dyDescent="0.2">
      <c r="A168" s="1419"/>
      <c r="B168" s="1419"/>
      <c r="C168" s="1419"/>
      <c r="D168" s="1419"/>
      <c r="E168" s="1419"/>
      <c r="F168" s="1419"/>
      <c r="G168" s="1419"/>
      <c r="H168" s="1419"/>
    </row>
    <row r="169" spans="1:8" x14ac:dyDescent="0.2">
      <c r="A169" s="1419"/>
      <c r="B169" s="1419"/>
      <c r="C169" s="1419"/>
      <c r="D169" s="1419"/>
      <c r="E169" s="1419"/>
      <c r="F169" s="1419"/>
      <c r="G169" s="1419"/>
      <c r="H169" s="1419"/>
    </row>
    <row r="170" spans="1:8" x14ac:dyDescent="0.2">
      <c r="A170" s="1419"/>
      <c r="B170" s="1419"/>
      <c r="C170" s="1419"/>
      <c r="D170" s="1419"/>
      <c r="E170" s="1419"/>
      <c r="F170" s="1419"/>
      <c r="G170" s="1419"/>
      <c r="H170" s="1419"/>
    </row>
    <row r="171" spans="1:8" x14ac:dyDescent="0.2">
      <c r="A171" s="1419"/>
      <c r="B171" s="1419"/>
      <c r="C171" s="1419"/>
      <c r="D171" s="1419"/>
      <c r="E171" s="1419"/>
      <c r="F171" s="1419"/>
      <c r="G171" s="1419"/>
      <c r="H171" s="1419"/>
    </row>
    <row r="172" spans="1:8" x14ac:dyDescent="0.2">
      <c r="A172" s="1419"/>
      <c r="B172" s="1419"/>
      <c r="C172" s="1419"/>
      <c r="D172" s="1419"/>
      <c r="E172" s="1419"/>
      <c r="F172" s="1419"/>
      <c r="G172" s="1419"/>
      <c r="H172" s="1419"/>
    </row>
    <row r="173" spans="1:8" x14ac:dyDescent="0.2">
      <c r="A173" s="1419"/>
      <c r="B173" s="1419"/>
      <c r="C173" s="1419"/>
      <c r="D173" s="1419"/>
      <c r="E173" s="1419"/>
      <c r="F173" s="1419"/>
      <c r="G173" s="1419"/>
      <c r="H173" s="1419"/>
    </row>
    <row r="174" spans="1:8" x14ac:dyDescent="0.2">
      <c r="A174" s="1419"/>
      <c r="B174" s="1419"/>
      <c r="C174" s="1419"/>
      <c r="D174" s="1419"/>
      <c r="E174" s="1419"/>
      <c r="F174" s="1419"/>
      <c r="G174" s="1419"/>
      <c r="H174" s="1419"/>
    </row>
    <row r="175" spans="1:8" x14ac:dyDescent="0.2">
      <c r="A175" s="1419"/>
      <c r="B175" s="1419"/>
      <c r="C175" s="1419"/>
      <c r="D175" s="1419"/>
      <c r="E175" s="1419"/>
      <c r="F175" s="1419"/>
      <c r="G175" s="1419"/>
      <c r="H175" s="1419"/>
    </row>
    <row r="176" spans="1:8" x14ac:dyDescent="0.2">
      <c r="A176" s="1419"/>
      <c r="B176" s="1419"/>
      <c r="C176" s="1419"/>
      <c r="D176" s="1419"/>
      <c r="E176" s="1419"/>
      <c r="F176" s="1419"/>
      <c r="G176" s="1419"/>
      <c r="H176" s="1419"/>
    </row>
    <row r="177" spans="1:8" x14ac:dyDescent="0.2">
      <c r="A177" s="1419"/>
      <c r="B177" s="1419"/>
      <c r="C177" s="1419"/>
      <c r="D177" s="1419"/>
      <c r="E177" s="1419"/>
      <c r="F177" s="1419"/>
      <c r="G177" s="1419"/>
      <c r="H177" s="1419"/>
    </row>
    <row r="178" spans="1:8" x14ac:dyDescent="0.2">
      <c r="A178" s="1419"/>
      <c r="B178" s="1419"/>
      <c r="C178" s="1419"/>
      <c r="D178" s="1419"/>
      <c r="E178" s="1419"/>
      <c r="F178" s="1419"/>
      <c r="G178" s="1419"/>
      <c r="H178" s="1419"/>
    </row>
    <row r="179" spans="1:8" x14ac:dyDescent="0.2">
      <c r="A179" s="1419"/>
      <c r="B179" s="1419"/>
      <c r="C179" s="1419"/>
      <c r="D179" s="1419"/>
      <c r="E179" s="1419"/>
      <c r="F179" s="1419"/>
      <c r="G179" s="1419"/>
      <c r="H179" s="1419"/>
    </row>
    <row r="180" spans="1:8" x14ac:dyDescent="0.2">
      <c r="A180" s="1419"/>
      <c r="B180" s="1419"/>
      <c r="C180" s="1419"/>
      <c r="D180" s="1419"/>
      <c r="E180" s="1419"/>
      <c r="F180" s="1419"/>
      <c r="G180" s="1419"/>
      <c r="H180" s="1419"/>
    </row>
    <row r="181" spans="1:8" x14ac:dyDescent="0.2">
      <c r="A181" s="1419"/>
      <c r="B181" s="1419"/>
      <c r="C181" s="1419"/>
      <c r="D181" s="1419"/>
      <c r="E181" s="1419"/>
      <c r="F181" s="1419"/>
      <c r="G181" s="1419"/>
      <c r="H181" s="1419"/>
    </row>
    <row r="182" spans="1:8" x14ac:dyDescent="0.2">
      <c r="A182" s="1419"/>
      <c r="B182" s="1419"/>
      <c r="C182" s="1419"/>
      <c r="D182" s="1419"/>
      <c r="E182" s="1419"/>
      <c r="F182" s="1419"/>
      <c r="G182" s="1419"/>
      <c r="H182" s="1419"/>
    </row>
    <row r="183" spans="1:8" x14ac:dyDescent="0.2">
      <c r="A183" s="1419"/>
      <c r="B183" s="1419"/>
      <c r="C183" s="1419"/>
      <c r="D183" s="1419"/>
      <c r="E183" s="1419"/>
      <c r="F183" s="1419"/>
      <c r="G183" s="1419"/>
      <c r="H183" s="1419"/>
    </row>
    <row r="184" spans="1:8" x14ac:dyDescent="0.2">
      <c r="A184" s="1419"/>
      <c r="B184" s="1419"/>
      <c r="C184" s="1419"/>
      <c r="D184" s="1419"/>
      <c r="E184" s="1419"/>
      <c r="F184" s="1419"/>
      <c r="G184" s="1419"/>
      <c r="H184" s="1419"/>
    </row>
    <row r="185" spans="1:8" x14ac:dyDescent="0.2">
      <c r="A185" s="1419"/>
      <c r="B185" s="1419"/>
      <c r="C185" s="1419"/>
      <c r="D185" s="1419"/>
      <c r="E185" s="1419"/>
      <c r="F185" s="1419"/>
      <c r="G185" s="1419"/>
      <c r="H185" s="1419"/>
    </row>
    <row r="186" spans="1:8" x14ac:dyDescent="0.2">
      <c r="A186" s="1419"/>
      <c r="B186" s="1419"/>
      <c r="C186" s="1419"/>
      <c r="D186" s="1419"/>
      <c r="E186" s="1419"/>
      <c r="F186" s="1419"/>
      <c r="G186" s="1419"/>
      <c r="H186" s="1419"/>
    </row>
    <row r="187" spans="1:8" x14ac:dyDescent="0.2">
      <c r="A187" s="1419"/>
      <c r="B187" s="1419"/>
      <c r="C187" s="1419"/>
      <c r="D187" s="1419"/>
      <c r="E187" s="1419"/>
      <c r="F187" s="1419"/>
      <c r="G187" s="1419"/>
      <c r="H187" s="1419"/>
    </row>
    <row r="188" spans="1:8" x14ac:dyDescent="0.2">
      <c r="A188" s="1419"/>
      <c r="B188" s="1419"/>
      <c r="C188" s="1419"/>
      <c r="D188" s="1419"/>
      <c r="E188" s="1419"/>
      <c r="F188" s="1419"/>
      <c r="G188" s="1419"/>
      <c r="H188" s="1419"/>
    </row>
    <row r="189" spans="1:8" x14ac:dyDescent="0.2">
      <c r="A189" s="1419"/>
      <c r="B189" s="1419"/>
      <c r="C189" s="1419"/>
      <c r="D189" s="1419"/>
      <c r="E189" s="1419"/>
      <c r="F189" s="1419"/>
      <c r="G189" s="1419"/>
      <c r="H189" s="1419"/>
    </row>
    <row r="190" spans="1:8" x14ac:dyDescent="0.2">
      <c r="A190" s="1419"/>
      <c r="B190" s="1419"/>
      <c r="C190" s="1419"/>
      <c r="D190" s="1419"/>
      <c r="E190" s="1419"/>
      <c r="F190" s="1419"/>
      <c r="G190" s="1419"/>
      <c r="H190" s="1419"/>
    </row>
    <row r="191" spans="1:8" x14ac:dyDescent="0.2">
      <c r="A191" s="1419"/>
      <c r="B191" s="1419"/>
      <c r="C191" s="1419"/>
      <c r="D191" s="1419"/>
      <c r="E191" s="1419"/>
      <c r="F191" s="1419"/>
      <c r="G191" s="1419"/>
      <c r="H191" s="1419"/>
    </row>
    <row r="192" spans="1:8" x14ac:dyDescent="0.2">
      <c r="A192" s="1419"/>
      <c r="B192" s="1419"/>
      <c r="C192" s="1419"/>
      <c r="D192" s="1419"/>
      <c r="E192" s="1419"/>
      <c r="F192" s="1419"/>
      <c r="G192" s="1419"/>
      <c r="H192" s="1419"/>
    </row>
    <row r="193" spans="1:8" ht="15.75" x14ac:dyDescent="0.2">
      <c r="A193" s="1421" t="s">
        <v>641</v>
      </c>
      <c r="B193" s="1419"/>
      <c r="C193" s="1419"/>
      <c r="D193" s="1419"/>
      <c r="E193" s="1419"/>
      <c r="F193" s="1419"/>
      <c r="G193" s="1419"/>
      <c r="H193" s="1419"/>
    </row>
    <row r="194" spans="1:8" x14ac:dyDescent="0.2">
      <c r="A194" s="1419"/>
      <c r="B194" s="1419"/>
      <c r="C194" s="1419"/>
      <c r="D194" s="1419"/>
      <c r="E194" s="1419"/>
      <c r="F194" s="1419"/>
      <c r="G194" s="1419"/>
      <c r="H194" s="1419"/>
    </row>
    <row r="195" spans="1:8" x14ac:dyDescent="0.2">
      <c r="A195" s="1420" t="s">
        <v>800</v>
      </c>
      <c r="B195" s="1419"/>
      <c r="C195" s="1419"/>
      <c r="D195" s="1419"/>
      <c r="E195" s="1419"/>
      <c r="F195" s="1419"/>
      <c r="G195" s="1419"/>
      <c r="H195" s="1419"/>
    </row>
    <row r="196" spans="1:8" x14ac:dyDescent="0.2">
      <c r="A196" s="1420" t="s">
        <v>801</v>
      </c>
      <c r="B196" s="1419"/>
      <c r="C196" s="1419"/>
      <c r="D196" s="1419"/>
      <c r="E196" s="1419"/>
      <c r="F196" s="1419"/>
      <c r="G196" s="1419"/>
      <c r="H196" s="1419"/>
    </row>
    <row r="197" spans="1:8" x14ac:dyDescent="0.2">
      <c r="A197" s="1420" t="s">
        <v>802</v>
      </c>
      <c r="B197" s="1419"/>
      <c r="C197" s="1419"/>
      <c r="D197" s="1419"/>
      <c r="E197" s="1419"/>
      <c r="F197" s="1419"/>
      <c r="G197" s="1419"/>
      <c r="H197" s="1419"/>
    </row>
    <row r="198" spans="1:8" x14ac:dyDescent="0.2">
      <c r="A198" s="1420" t="s">
        <v>803</v>
      </c>
      <c r="B198" s="1419"/>
      <c r="C198" s="1419"/>
      <c r="D198" s="1419"/>
      <c r="E198" s="1419"/>
      <c r="F198" s="1419"/>
      <c r="G198" s="1419"/>
      <c r="H198" s="1419"/>
    </row>
    <row r="199" spans="1:8" x14ac:dyDescent="0.2">
      <c r="A199" s="1420" t="s">
        <v>804</v>
      </c>
      <c r="B199" s="1419"/>
      <c r="C199" s="1419"/>
      <c r="D199" s="1419"/>
      <c r="E199" s="1419"/>
      <c r="F199" s="1419"/>
      <c r="G199" s="1419"/>
      <c r="H199" s="1419"/>
    </row>
    <row r="200" spans="1:8" x14ac:dyDescent="0.2">
      <c r="A200" s="1419"/>
      <c r="B200" s="1419"/>
      <c r="C200" s="1419"/>
      <c r="D200" s="1419"/>
      <c r="E200" s="1419"/>
      <c r="F200" s="1419"/>
      <c r="G200" s="1419"/>
      <c r="H200" s="1419"/>
    </row>
    <row r="201" spans="1:8" x14ac:dyDescent="0.2">
      <c r="A201" s="1420" t="s">
        <v>797</v>
      </c>
      <c r="B201" s="1419"/>
      <c r="C201" s="1419"/>
      <c r="D201" s="1419"/>
      <c r="E201" s="1419"/>
      <c r="F201" s="1419"/>
      <c r="G201" s="1419"/>
      <c r="H201" s="1419"/>
    </row>
    <row r="202" spans="1:8" x14ac:dyDescent="0.2">
      <c r="A202" s="1420" t="s">
        <v>798</v>
      </c>
      <c r="B202" s="1419"/>
      <c r="C202" s="1419"/>
      <c r="D202" s="1419"/>
      <c r="E202" s="1419"/>
      <c r="F202" s="1419"/>
      <c r="G202" s="1419"/>
      <c r="H202" s="1419"/>
    </row>
    <row r="203" spans="1:8" x14ac:dyDescent="0.2">
      <c r="A203" s="1420" t="s">
        <v>799</v>
      </c>
      <c r="B203" s="1419"/>
      <c r="C203" s="1419"/>
      <c r="D203" s="1419"/>
      <c r="E203" s="1419"/>
      <c r="F203" s="1419"/>
      <c r="G203" s="1419"/>
      <c r="H203" s="1419"/>
    </row>
    <row r="204" spans="1:8" ht="15.75" x14ac:dyDescent="0.2">
      <c r="A204" s="1421" t="s">
        <v>642</v>
      </c>
      <c r="B204" s="1419"/>
      <c r="C204" s="1419"/>
      <c r="D204" s="1419"/>
      <c r="E204" s="1419"/>
      <c r="F204" s="1419"/>
      <c r="G204" s="1419"/>
      <c r="H204" s="1419"/>
    </row>
    <row r="205" spans="1:8" x14ac:dyDescent="0.2">
      <c r="A205" s="1419"/>
      <c r="B205" s="1419"/>
      <c r="C205" s="1419"/>
      <c r="D205" s="1419"/>
      <c r="E205" s="1419"/>
      <c r="F205" s="1419"/>
      <c r="G205" s="1419"/>
      <c r="H205" s="1419"/>
    </row>
    <row r="206" spans="1:8" x14ac:dyDescent="0.2">
      <c r="A206" s="1420" t="s">
        <v>790</v>
      </c>
      <c r="B206" s="1419"/>
      <c r="C206" s="1419"/>
      <c r="D206" s="1419"/>
      <c r="E206" s="1419"/>
      <c r="F206" s="1419"/>
      <c r="G206" s="1419"/>
      <c r="H206" s="1419"/>
    </row>
    <row r="207" spans="1:8" x14ac:dyDescent="0.2">
      <c r="A207" s="1420" t="s">
        <v>791</v>
      </c>
      <c r="B207" s="1419"/>
      <c r="C207" s="1419"/>
      <c r="D207" s="1419"/>
      <c r="E207" s="1419"/>
      <c r="F207" s="1419"/>
      <c r="G207" s="1419"/>
      <c r="H207" s="1419"/>
    </row>
    <row r="208" spans="1:8" x14ac:dyDescent="0.2">
      <c r="A208" s="1420" t="s">
        <v>792</v>
      </c>
      <c r="B208" s="1419"/>
      <c r="C208" s="1419"/>
      <c r="D208" s="1419"/>
      <c r="E208" s="1419"/>
      <c r="F208" s="1419"/>
      <c r="G208" s="1419"/>
      <c r="H208" s="1419"/>
    </row>
    <row r="209" spans="1:8" x14ac:dyDescent="0.2">
      <c r="A209" s="1420" t="s">
        <v>793</v>
      </c>
      <c r="B209" s="1419"/>
      <c r="C209" s="1419"/>
      <c r="D209" s="1419"/>
      <c r="E209" s="1419"/>
      <c r="F209" s="1419"/>
      <c r="G209" s="1419"/>
      <c r="H209" s="1419"/>
    </row>
    <row r="210" spans="1:8" x14ac:dyDescent="0.2">
      <c r="A210" s="1420" t="s">
        <v>794</v>
      </c>
      <c r="B210" s="1419"/>
      <c r="C210" s="1419"/>
      <c r="D210" s="1419"/>
      <c r="E210" s="1419"/>
      <c r="F210" s="1419"/>
      <c r="G210" s="1419"/>
      <c r="H210" s="1419"/>
    </row>
    <row r="211" spans="1:8" x14ac:dyDescent="0.2">
      <c r="A211" s="1420" t="s">
        <v>795</v>
      </c>
      <c r="B211" s="1419"/>
      <c r="C211" s="1419"/>
      <c r="D211" s="1419"/>
      <c r="E211" s="1419"/>
      <c r="F211" s="1419"/>
      <c r="G211" s="1419"/>
      <c r="H211" s="1419"/>
    </row>
    <row r="212" spans="1:8" x14ac:dyDescent="0.2">
      <c r="A212" s="1420" t="s">
        <v>796</v>
      </c>
      <c r="B212" s="1419"/>
      <c r="C212" s="1419"/>
      <c r="D212" s="1419"/>
      <c r="E212" s="1419"/>
      <c r="F212" s="1419"/>
      <c r="G212" s="1419"/>
      <c r="H212" s="1419"/>
    </row>
    <row r="213" spans="1:8" x14ac:dyDescent="0.2">
      <c r="A213" s="1419"/>
      <c r="B213" s="1419"/>
      <c r="C213" s="1419"/>
      <c r="D213" s="1419"/>
      <c r="E213" s="1419"/>
      <c r="F213" s="1419"/>
      <c r="G213" s="1419"/>
      <c r="H213" s="1419"/>
    </row>
    <row r="214" spans="1:8" x14ac:dyDescent="0.2">
      <c r="A214" s="1420" t="s">
        <v>787</v>
      </c>
      <c r="B214" s="1419"/>
      <c r="C214" s="1419"/>
      <c r="D214" s="1419"/>
      <c r="E214" s="1419"/>
      <c r="F214" s="1419"/>
      <c r="G214" s="1419"/>
      <c r="H214" s="1419"/>
    </row>
    <row r="215" spans="1:8" x14ac:dyDescent="0.2">
      <c r="A215" s="1420" t="s">
        <v>788</v>
      </c>
      <c r="B215" s="1419"/>
      <c r="C215" s="1419"/>
      <c r="D215" s="1419"/>
      <c r="E215" s="1419"/>
      <c r="F215" s="1419"/>
      <c r="G215" s="1419"/>
      <c r="H215" s="1419"/>
    </row>
    <row r="216" spans="1:8" x14ac:dyDescent="0.2">
      <c r="A216" s="1420" t="s">
        <v>789</v>
      </c>
      <c r="B216" s="1419"/>
      <c r="C216" s="1419"/>
      <c r="D216" s="1419"/>
      <c r="E216" s="1419"/>
      <c r="F216" s="1419"/>
      <c r="G216" s="1419"/>
      <c r="H216" s="1419"/>
    </row>
    <row r="217" spans="1:8" x14ac:dyDescent="0.2">
      <c r="A217" s="1419"/>
      <c r="B217" s="1419"/>
      <c r="C217" s="1419"/>
      <c r="D217" s="1419"/>
      <c r="E217" s="1419"/>
      <c r="F217" s="1419"/>
      <c r="G217" s="1419"/>
      <c r="H217" s="1419"/>
    </row>
    <row r="218" spans="1:8" x14ac:dyDescent="0.2">
      <c r="A218" s="1420" t="s">
        <v>782</v>
      </c>
      <c r="B218" s="1419"/>
      <c r="C218" s="1419"/>
      <c r="D218" s="1419"/>
      <c r="E218" s="1419"/>
      <c r="F218" s="1419"/>
      <c r="G218" s="1419"/>
      <c r="H218" s="1419"/>
    </row>
    <row r="219" spans="1:8" x14ac:dyDescent="0.2">
      <c r="A219" s="1420" t="s">
        <v>783</v>
      </c>
      <c r="B219" s="1419"/>
      <c r="C219" s="1419"/>
      <c r="D219" s="1419"/>
      <c r="E219" s="1419"/>
      <c r="F219" s="1419"/>
      <c r="G219" s="1419"/>
      <c r="H219" s="1419"/>
    </row>
    <row r="220" spans="1:8" x14ac:dyDescent="0.2">
      <c r="A220" s="1420" t="s">
        <v>784</v>
      </c>
      <c r="B220" s="1419"/>
      <c r="C220" s="1419"/>
      <c r="D220" s="1419"/>
      <c r="E220" s="1419"/>
      <c r="F220" s="1419"/>
      <c r="G220" s="1419"/>
      <c r="H220" s="1419"/>
    </row>
    <row r="221" spans="1:8" x14ac:dyDescent="0.2">
      <c r="A221" s="1420" t="s">
        <v>785</v>
      </c>
      <c r="B221" s="1419"/>
      <c r="C221" s="1419"/>
      <c r="D221" s="1419"/>
      <c r="E221" s="1419"/>
      <c r="F221" s="1419"/>
      <c r="G221" s="1419"/>
      <c r="H221" s="1419"/>
    </row>
    <row r="222" spans="1:8" x14ac:dyDescent="0.2">
      <c r="A222" s="1420" t="s">
        <v>786</v>
      </c>
      <c r="B222" s="1419"/>
      <c r="C222" s="1419"/>
      <c r="D222" s="1419"/>
      <c r="E222" s="1419"/>
      <c r="F222" s="1419"/>
      <c r="G222" s="1419"/>
      <c r="H222" s="1419"/>
    </row>
    <row r="223" spans="1:8" x14ac:dyDescent="0.2">
      <c r="A223" s="1419"/>
      <c r="B223" s="1419"/>
      <c r="C223" s="1419"/>
      <c r="D223" s="1419"/>
      <c r="E223" s="1419"/>
      <c r="F223" s="1419"/>
      <c r="G223" s="1419"/>
      <c r="H223" s="1419"/>
    </row>
    <row r="224" spans="1:8" x14ac:dyDescent="0.2">
      <c r="A224" s="1420" t="s">
        <v>776</v>
      </c>
      <c r="B224" s="1419"/>
      <c r="C224" s="1419"/>
      <c r="D224" s="1419"/>
      <c r="E224" s="1419"/>
      <c r="F224" s="1419"/>
      <c r="G224" s="1419"/>
      <c r="H224" s="1419"/>
    </row>
    <row r="225" spans="1:8" x14ac:dyDescent="0.2">
      <c r="A225" s="1420" t="s">
        <v>777</v>
      </c>
      <c r="B225" s="1419"/>
      <c r="C225" s="1419"/>
      <c r="D225" s="1419"/>
      <c r="E225" s="1419"/>
      <c r="F225" s="1419"/>
      <c r="G225" s="1419"/>
      <c r="H225" s="1419"/>
    </row>
    <row r="226" spans="1:8" x14ac:dyDescent="0.2">
      <c r="A226" s="1420" t="s">
        <v>778</v>
      </c>
      <c r="B226" s="1419"/>
      <c r="C226" s="1419"/>
      <c r="D226" s="1419"/>
      <c r="E226" s="1419"/>
      <c r="F226" s="1419"/>
      <c r="G226" s="1419"/>
      <c r="H226" s="1419"/>
    </row>
    <row r="227" spans="1:8" x14ac:dyDescent="0.2">
      <c r="A227" s="1420" t="s">
        <v>779</v>
      </c>
      <c r="B227" s="1419"/>
      <c r="C227" s="1419"/>
      <c r="D227" s="1419"/>
      <c r="E227" s="1419"/>
      <c r="F227" s="1419"/>
      <c r="G227" s="1419"/>
      <c r="H227" s="1419"/>
    </row>
    <row r="228" spans="1:8" x14ac:dyDescent="0.2">
      <c r="A228" s="1420" t="s">
        <v>780</v>
      </c>
      <c r="B228" s="1419"/>
      <c r="C228" s="1419"/>
      <c r="D228" s="1419"/>
      <c r="E228" s="1419"/>
      <c r="F228" s="1419"/>
      <c r="G228" s="1419"/>
      <c r="H228" s="1419"/>
    </row>
    <row r="229" spans="1:8" x14ac:dyDescent="0.2">
      <c r="A229" s="1420" t="s">
        <v>781</v>
      </c>
      <c r="B229" s="1419"/>
      <c r="C229" s="1419"/>
      <c r="D229" s="1419"/>
      <c r="E229" s="1419"/>
      <c r="F229" s="1419"/>
      <c r="G229" s="1419"/>
      <c r="H229" s="1419"/>
    </row>
    <row r="230" spans="1:8" x14ac:dyDescent="0.2">
      <c r="A230" s="1419"/>
      <c r="B230" s="1419"/>
      <c r="C230" s="1419"/>
      <c r="D230" s="1419"/>
      <c r="E230" s="1419"/>
      <c r="F230" s="1419"/>
      <c r="G230" s="1419"/>
      <c r="H230" s="1419"/>
    </row>
    <row r="231" spans="1:8" x14ac:dyDescent="0.2">
      <c r="A231" s="1420" t="s">
        <v>766</v>
      </c>
      <c r="B231" s="1419"/>
      <c r="C231" s="1419"/>
      <c r="D231" s="1419"/>
      <c r="E231" s="1419"/>
      <c r="F231" s="1419"/>
      <c r="G231" s="1419"/>
      <c r="H231" s="1419"/>
    </row>
    <row r="232" spans="1:8" x14ac:dyDescent="0.2">
      <c r="A232" s="1420" t="s">
        <v>767</v>
      </c>
      <c r="B232" s="1419"/>
      <c r="C232" s="1419"/>
      <c r="D232" s="1419"/>
      <c r="E232" s="1419"/>
      <c r="F232" s="1419"/>
      <c r="G232" s="1419"/>
      <c r="H232" s="1419"/>
    </row>
    <row r="233" spans="1:8" x14ac:dyDescent="0.2">
      <c r="A233" s="1420" t="s">
        <v>768</v>
      </c>
      <c r="B233" s="1419"/>
      <c r="C233" s="1419"/>
      <c r="D233" s="1419"/>
      <c r="E233" s="1419"/>
      <c r="F233" s="1419"/>
      <c r="G233" s="1419"/>
      <c r="H233" s="1419"/>
    </row>
    <row r="234" spans="1:8" x14ac:dyDescent="0.2">
      <c r="A234" s="1420" t="s">
        <v>769</v>
      </c>
      <c r="B234" s="1419"/>
      <c r="C234" s="1419"/>
      <c r="D234" s="1419"/>
      <c r="E234" s="1419"/>
      <c r="F234" s="1419"/>
      <c r="G234" s="1419"/>
      <c r="H234" s="1419"/>
    </row>
    <row r="235" spans="1:8" x14ac:dyDescent="0.2">
      <c r="A235" s="1420" t="s">
        <v>770</v>
      </c>
      <c r="B235" s="1419"/>
      <c r="C235" s="1419"/>
      <c r="D235" s="1419"/>
      <c r="E235" s="1419"/>
      <c r="F235" s="1419"/>
      <c r="G235" s="1419"/>
      <c r="H235" s="1419"/>
    </row>
    <row r="236" spans="1:8" x14ac:dyDescent="0.2">
      <c r="A236" s="1420" t="s">
        <v>771</v>
      </c>
      <c r="B236" s="1419"/>
      <c r="C236" s="1419"/>
      <c r="D236" s="1419"/>
      <c r="E236" s="1419"/>
      <c r="F236" s="1419"/>
      <c r="G236" s="1419"/>
      <c r="H236" s="1419"/>
    </row>
    <row r="237" spans="1:8" x14ac:dyDescent="0.2">
      <c r="A237" s="1420" t="s">
        <v>772</v>
      </c>
      <c r="B237" s="1419"/>
      <c r="C237" s="1419"/>
      <c r="D237" s="1419"/>
      <c r="E237" s="1419"/>
      <c r="F237" s="1419"/>
      <c r="G237" s="1419"/>
      <c r="H237" s="1419"/>
    </row>
    <row r="238" spans="1:8" x14ac:dyDescent="0.2">
      <c r="A238" s="1420" t="s">
        <v>773</v>
      </c>
      <c r="B238" s="1419"/>
      <c r="C238" s="1419"/>
      <c r="D238" s="1419"/>
      <c r="E238" s="1419"/>
      <c r="F238" s="1419"/>
      <c r="G238" s="1419"/>
      <c r="H238" s="1419"/>
    </row>
    <row r="239" spans="1:8" x14ac:dyDescent="0.2">
      <c r="A239" s="1420" t="s">
        <v>774</v>
      </c>
      <c r="B239" s="1419"/>
      <c r="C239" s="1419"/>
      <c r="D239" s="1419"/>
      <c r="E239" s="1419"/>
      <c r="F239" s="1419"/>
      <c r="G239" s="1419"/>
      <c r="H239" s="1419"/>
    </row>
    <row r="240" spans="1:8" x14ac:dyDescent="0.2">
      <c r="A240" s="1420" t="s">
        <v>775</v>
      </c>
      <c r="B240" s="1419"/>
      <c r="C240" s="1419"/>
      <c r="D240" s="1419"/>
      <c r="E240" s="1419"/>
      <c r="F240" s="1419"/>
      <c r="G240" s="1419"/>
      <c r="H240" s="1419"/>
    </row>
    <row r="241" spans="1:8" x14ac:dyDescent="0.2">
      <c r="A241" s="1419"/>
      <c r="B241" s="1419"/>
      <c r="C241" s="1419"/>
      <c r="D241" s="1419"/>
      <c r="E241" s="1419"/>
      <c r="F241" s="1419"/>
      <c r="G241" s="1419"/>
      <c r="H241" s="1419"/>
    </row>
    <row r="242" spans="1:8" x14ac:dyDescent="0.2">
      <c r="A242" s="1420" t="s">
        <v>764</v>
      </c>
      <c r="B242" s="1419"/>
      <c r="C242" s="1419"/>
      <c r="D242" s="1419"/>
      <c r="E242" s="1419"/>
      <c r="F242" s="1419"/>
      <c r="G242" s="1419"/>
      <c r="H242" s="1419"/>
    </row>
    <row r="243" spans="1:8" x14ac:dyDescent="0.2">
      <c r="A243" s="1420" t="s">
        <v>765</v>
      </c>
      <c r="B243" s="1419"/>
      <c r="C243" s="1419"/>
      <c r="D243" s="1419"/>
      <c r="E243" s="1419"/>
      <c r="F243" s="1419"/>
      <c r="G243" s="1419"/>
      <c r="H243" s="1419"/>
    </row>
    <row r="244" spans="1:8" x14ac:dyDescent="0.2">
      <c r="A244" s="1419"/>
      <c r="B244" s="1419"/>
      <c r="C244" s="1419"/>
      <c r="D244" s="1419"/>
      <c r="E244" s="1419"/>
      <c r="F244" s="1419"/>
      <c r="G244" s="1419"/>
      <c r="H244" s="1419"/>
    </row>
    <row r="245" spans="1:8" x14ac:dyDescent="0.2">
      <c r="A245" s="1420" t="s">
        <v>748</v>
      </c>
      <c r="B245" s="1419"/>
      <c r="C245" s="1419"/>
      <c r="D245" s="1419"/>
      <c r="E245" s="1419"/>
      <c r="F245" s="1419"/>
      <c r="G245" s="1419"/>
      <c r="H245" s="1419"/>
    </row>
    <row r="246" spans="1:8" x14ac:dyDescent="0.2">
      <c r="A246" s="1420" t="s">
        <v>749</v>
      </c>
      <c r="B246" s="1419"/>
      <c r="C246" s="1419"/>
      <c r="D246" s="1419"/>
      <c r="E246" s="1419"/>
      <c r="F246" s="1419"/>
      <c r="G246" s="1419"/>
      <c r="H246" s="1419"/>
    </row>
    <row r="247" spans="1:8" x14ac:dyDescent="0.2">
      <c r="A247" s="1420" t="s">
        <v>750</v>
      </c>
      <c r="B247" s="1419"/>
      <c r="C247" s="1419"/>
      <c r="D247" s="1419"/>
      <c r="E247" s="1419"/>
      <c r="F247" s="1419"/>
      <c r="G247" s="1419"/>
      <c r="H247" s="1419"/>
    </row>
    <row r="248" spans="1:8" x14ac:dyDescent="0.2">
      <c r="A248" s="1420" t="s">
        <v>751</v>
      </c>
      <c r="B248" s="1419"/>
      <c r="C248" s="1419"/>
      <c r="D248" s="1419"/>
      <c r="E248" s="1419"/>
      <c r="F248" s="1419"/>
      <c r="G248" s="1419"/>
      <c r="H248" s="1419"/>
    </row>
    <row r="249" spans="1:8" x14ac:dyDescent="0.2">
      <c r="A249" s="1420" t="s">
        <v>752</v>
      </c>
      <c r="B249" s="1419"/>
      <c r="C249" s="1419"/>
      <c r="D249" s="1419"/>
      <c r="E249" s="1419"/>
      <c r="F249" s="1419"/>
      <c r="G249" s="1419"/>
      <c r="H249" s="1419"/>
    </row>
    <row r="250" spans="1:8" x14ac:dyDescent="0.2">
      <c r="A250" s="1420" t="s">
        <v>753</v>
      </c>
      <c r="B250" s="1419"/>
      <c r="C250" s="1419"/>
      <c r="D250" s="1419"/>
      <c r="E250" s="1419"/>
      <c r="F250" s="1419"/>
      <c r="G250" s="1419"/>
      <c r="H250" s="1419"/>
    </row>
    <row r="251" spans="1:8" x14ac:dyDescent="0.2">
      <c r="A251" s="1420" t="s">
        <v>754</v>
      </c>
      <c r="B251" s="1419"/>
      <c r="C251" s="1419"/>
      <c r="D251" s="1419"/>
      <c r="E251" s="1419"/>
      <c r="F251" s="1419"/>
      <c r="G251" s="1419"/>
      <c r="H251" s="1419"/>
    </row>
    <row r="252" spans="1:8" x14ac:dyDescent="0.2">
      <c r="A252" s="1420" t="s">
        <v>755</v>
      </c>
      <c r="B252" s="1419"/>
      <c r="C252" s="1419"/>
      <c r="D252" s="1419"/>
      <c r="E252" s="1419"/>
      <c r="F252" s="1419"/>
      <c r="G252" s="1419"/>
      <c r="H252" s="1419"/>
    </row>
    <row r="253" spans="1:8" x14ac:dyDescent="0.2">
      <c r="A253" s="1420" t="s">
        <v>756</v>
      </c>
      <c r="B253" s="1419"/>
      <c r="C253" s="1419"/>
      <c r="D253" s="1419"/>
      <c r="E253" s="1419"/>
      <c r="F253" s="1419"/>
      <c r="G253" s="1419"/>
      <c r="H253" s="1419"/>
    </row>
    <row r="254" spans="1:8" x14ac:dyDescent="0.2">
      <c r="A254" s="1420" t="s">
        <v>757</v>
      </c>
      <c r="B254" s="1419"/>
      <c r="C254" s="1419"/>
      <c r="D254" s="1419"/>
      <c r="E254" s="1419"/>
      <c r="F254" s="1419"/>
      <c r="G254" s="1419"/>
      <c r="H254" s="1419"/>
    </row>
    <row r="255" spans="1:8" x14ac:dyDescent="0.2">
      <c r="A255" s="1420" t="s">
        <v>758</v>
      </c>
      <c r="B255" s="1419"/>
      <c r="C255" s="1419"/>
      <c r="D255" s="1419"/>
      <c r="E255" s="1419"/>
      <c r="F255" s="1419"/>
      <c r="G255" s="1419"/>
      <c r="H255" s="1419"/>
    </row>
    <row r="256" spans="1:8" x14ac:dyDescent="0.2">
      <c r="A256" s="1420" t="s">
        <v>759</v>
      </c>
      <c r="B256" s="1419"/>
      <c r="C256" s="1419"/>
      <c r="D256" s="1419"/>
      <c r="E256" s="1419"/>
      <c r="F256" s="1419"/>
      <c r="G256" s="1419"/>
      <c r="H256" s="1419"/>
    </row>
    <row r="257" spans="1:8" x14ac:dyDescent="0.2">
      <c r="A257" s="1420" t="s">
        <v>760</v>
      </c>
      <c r="B257" s="1419"/>
      <c r="C257" s="1419"/>
      <c r="D257" s="1419"/>
      <c r="E257" s="1419"/>
      <c r="F257" s="1419"/>
      <c r="G257" s="1419"/>
      <c r="H257" s="1419"/>
    </row>
    <row r="258" spans="1:8" x14ac:dyDescent="0.2">
      <c r="A258" s="1420" t="s">
        <v>761</v>
      </c>
      <c r="B258" s="1419"/>
      <c r="C258" s="1419"/>
      <c r="D258" s="1419"/>
      <c r="E258" s="1419"/>
      <c r="F258" s="1419"/>
      <c r="G258" s="1419"/>
      <c r="H258" s="1419"/>
    </row>
    <row r="259" spans="1:8" x14ac:dyDescent="0.2">
      <c r="A259" s="1420" t="s">
        <v>762</v>
      </c>
      <c r="B259" s="1419"/>
      <c r="C259" s="1419"/>
      <c r="D259" s="1419"/>
      <c r="E259" s="1419"/>
      <c r="F259" s="1419"/>
      <c r="G259" s="1419"/>
      <c r="H259" s="1419"/>
    </row>
    <row r="260" spans="1:8" x14ac:dyDescent="0.2">
      <c r="A260" s="1420" t="s">
        <v>763</v>
      </c>
      <c r="B260" s="1419"/>
      <c r="C260" s="1419"/>
      <c r="D260" s="1419"/>
      <c r="E260" s="1419"/>
      <c r="F260" s="1419"/>
      <c r="G260" s="1419"/>
      <c r="H260" s="1419"/>
    </row>
    <row r="261" spans="1:8" x14ac:dyDescent="0.2">
      <c r="A261" s="1419"/>
      <c r="B261" s="1419"/>
      <c r="C261" s="1419"/>
      <c r="D261" s="1419"/>
      <c r="E261" s="1419"/>
      <c r="F261" s="1419"/>
      <c r="G261" s="1419"/>
      <c r="H261" s="1419"/>
    </row>
    <row r="262" spans="1:8" x14ac:dyDescent="0.2">
      <c r="A262" s="1420" t="s">
        <v>741</v>
      </c>
      <c r="B262" s="1419"/>
      <c r="C262" s="1419"/>
      <c r="D262" s="1419"/>
      <c r="E262" s="1419"/>
      <c r="F262" s="1419"/>
      <c r="G262" s="1419"/>
      <c r="H262" s="1419"/>
    </row>
    <row r="263" spans="1:8" x14ac:dyDescent="0.2">
      <c r="A263" s="1420" t="s">
        <v>742</v>
      </c>
      <c r="B263" s="1419"/>
      <c r="C263" s="1419"/>
      <c r="D263" s="1419"/>
      <c r="E263" s="1419"/>
      <c r="F263" s="1419"/>
      <c r="G263" s="1419"/>
      <c r="H263" s="1419"/>
    </row>
    <row r="264" spans="1:8" x14ac:dyDescent="0.2">
      <c r="A264" s="1420" t="s">
        <v>743</v>
      </c>
      <c r="B264" s="1419"/>
      <c r="C264" s="1419"/>
      <c r="D264" s="1419"/>
      <c r="E264" s="1419"/>
      <c r="F264" s="1419"/>
      <c r="G264" s="1419"/>
      <c r="H264" s="1419"/>
    </row>
    <row r="265" spans="1:8" x14ac:dyDescent="0.2">
      <c r="A265" s="1420" t="s">
        <v>744</v>
      </c>
      <c r="B265" s="1419"/>
      <c r="C265" s="1419"/>
      <c r="D265" s="1419"/>
      <c r="E265" s="1419"/>
      <c r="F265" s="1419"/>
      <c r="G265" s="1419"/>
      <c r="H265" s="1419"/>
    </row>
    <row r="266" spans="1:8" x14ac:dyDescent="0.2">
      <c r="A266" s="1420" t="s">
        <v>745</v>
      </c>
      <c r="B266" s="1419"/>
      <c r="C266" s="1419"/>
      <c r="D266" s="1419"/>
      <c r="E266" s="1419"/>
      <c r="F266" s="1419"/>
      <c r="G266" s="1419"/>
      <c r="H266" s="1419"/>
    </row>
    <row r="267" spans="1:8" x14ac:dyDescent="0.2">
      <c r="A267" s="1420" t="s">
        <v>746</v>
      </c>
      <c r="B267" s="1419"/>
      <c r="C267" s="1419"/>
      <c r="D267" s="1419"/>
      <c r="E267" s="1419"/>
      <c r="F267" s="1419"/>
      <c r="G267" s="1419"/>
      <c r="H267" s="1419"/>
    </row>
    <row r="268" spans="1:8" x14ac:dyDescent="0.2">
      <c r="A268" s="1420" t="s">
        <v>747</v>
      </c>
      <c r="B268" s="1419"/>
      <c r="C268" s="1419"/>
      <c r="D268" s="1419"/>
      <c r="E268" s="1419"/>
      <c r="F268" s="1419"/>
      <c r="G268" s="1419"/>
      <c r="H268" s="1419"/>
    </row>
    <row r="269" spans="1:8" x14ac:dyDescent="0.2">
      <c r="A269" s="1419"/>
      <c r="B269" s="1419"/>
      <c r="C269" s="1419"/>
      <c r="D269" s="1419"/>
      <c r="E269" s="1419"/>
      <c r="F269" s="1419"/>
      <c r="G269" s="1419"/>
      <c r="H269" s="1419"/>
    </row>
    <row r="270" spans="1:8" x14ac:dyDescent="0.2">
      <c r="A270" s="1420" t="s">
        <v>732</v>
      </c>
      <c r="B270" s="1419"/>
      <c r="C270" s="1419"/>
      <c r="D270" s="1419"/>
      <c r="E270" s="1419"/>
      <c r="F270" s="1419"/>
      <c r="G270" s="1419"/>
      <c r="H270" s="1419"/>
    </row>
    <row r="271" spans="1:8" x14ac:dyDescent="0.2">
      <c r="A271" s="1420" t="s">
        <v>733</v>
      </c>
      <c r="B271" s="1419"/>
      <c r="C271" s="1419"/>
      <c r="D271" s="1419"/>
      <c r="E271" s="1419"/>
      <c r="F271" s="1419"/>
      <c r="G271" s="1419"/>
      <c r="H271" s="1419"/>
    </row>
    <row r="272" spans="1:8" x14ac:dyDescent="0.2">
      <c r="A272" s="1420" t="s">
        <v>734</v>
      </c>
      <c r="B272" s="1419"/>
      <c r="C272" s="1419"/>
      <c r="D272" s="1419"/>
      <c r="E272" s="1419"/>
      <c r="F272" s="1419"/>
      <c r="G272" s="1419"/>
      <c r="H272" s="1419"/>
    </row>
    <row r="273" spans="1:8" x14ac:dyDescent="0.2">
      <c r="A273" s="1420" t="s">
        <v>735</v>
      </c>
      <c r="B273" s="1419"/>
      <c r="C273" s="1419"/>
      <c r="D273" s="1419"/>
      <c r="E273" s="1419"/>
      <c r="F273" s="1419"/>
      <c r="G273" s="1419"/>
      <c r="H273" s="1419"/>
    </row>
    <row r="274" spans="1:8" x14ac:dyDescent="0.2">
      <c r="A274" s="1420" t="s">
        <v>736</v>
      </c>
      <c r="B274" s="1419"/>
      <c r="C274" s="1419"/>
      <c r="D274" s="1419"/>
      <c r="E274" s="1419"/>
      <c r="F274" s="1419"/>
      <c r="G274" s="1419"/>
      <c r="H274" s="1419"/>
    </row>
    <row r="275" spans="1:8" x14ac:dyDescent="0.2">
      <c r="A275" s="1420" t="s">
        <v>737</v>
      </c>
      <c r="B275" s="1419"/>
      <c r="C275" s="1419"/>
      <c r="D275" s="1419"/>
      <c r="E275" s="1419"/>
      <c r="F275" s="1419"/>
      <c r="G275" s="1419"/>
      <c r="H275" s="1419"/>
    </row>
    <row r="276" spans="1:8" x14ac:dyDescent="0.2">
      <c r="A276" s="1420" t="s">
        <v>738</v>
      </c>
      <c r="B276" s="1419"/>
      <c r="C276" s="1419"/>
      <c r="D276" s="1419"/>
      <c r="E276" s="1419"/>
      <c r="F276" s="1419"/>
      <c r="G276" s="1419"/>
      <c r="H276" s="1419"/>
    </row>
    <row r="277" spans="1:8" x14ac:dyDescent="0.2">
      <c r="A277" s="1420" t="s">
        <v>739</v>
      </c>
      <c r="B277" s="1419"/>
      <c r="C277" s="1419"/>
      <c r="D277" s="1419"/>
      <c r="E277" s="1419"/>
      <c r="F277" s="1419"/>
      <c r="G277" s="1419"/>
      <c r="H277" s="1419"/>
    </row>
    <row r="278" spans="1:8" x14ac:dyDescent="0.2">
      <c r="A278" s="1420" t="s">
        <v>740</v>
      </c>
      <c r="B278" s="1419"/>
      <c r="C278" s="1419"/>
      <c r="D278" s="1419"/>
      <c r="E278" s="1419"/>
      <c r="F278" s="1419"/>
      <c r="G278" s="1419"/>
      <c r="H278" s="1419"/>
    </row>
    <row r="279" spans="1:8" x14ac:dyDescent="0.2">
      <c r="A279" s="1419"/>
      <c r="B279" s="1419"/>
      <c r="C279" s="1419"/>
      <c r="D279" s="1419"/>
      <c r="E279" s="1419"/>
      <c r="F279" s="1419"/>
      <c r="G279" s="1419"/>
      <c r="H279" s="1419"/>
    </row>
    <row r="280" spans="1:8" x14ac:dyDescent="0.2">
      <c r="A280" s="1420" t="s">
        <v>725</v>
      </c>
      <c r="B280" s="1419"/>
      <c r="C280" s="1419"/>
      <c r="D280" s="1419"/>
      <c r="E280" s="1419"/>
      <c r="F280" s="1419"/>
      <c r="G280" s="1419"/>
      <c r="H280" s="1419"/>
    </row>
    <row r="281" spans="1:8" x14ac:dyDescent="0.2">
      <c r="A281" s="1420" t="s">
        <v>726</v>
      </c>
      <c r="B281" s="1419"/>
      <c r="C281" s="1419"/>
      <c r="D281" s="1419"/>
      <c r="E281" s="1419"/>
      <c r="F281" s="1419"/>
      <c r="G281" s="1419"/>
      <c r="H281" s="1419"/>
    </row>
    <row r="282" spans="1:8" x14ac:dyDescent="0.2">
      <c r="A282" s="1420" t="s">
        <v>727</v>
      </c>
      <c r="B282" s="1419"/>
      <c r="C282" s="1419"/>
      <c r="D282" s="1419"/>
      <c r="E282" s="1419"/>
      <c r="F282" s="1419"/>
      <c r="G282" s="1419"/>
      <c r="H282" s="1419"/>
    </row>
    <row r="283" spans="1:8" x14ac:dyDescent="0.2">
      <c r="A283" s="1420" t="s">
        <v>728</v>
      </c>
      <c r="B283" s="1419"/>
      <c r="C283" s="1419"/>
      <c r="D283" s="1419"/>
      <c r="E283" s="1419"/>
      <c r="F283" s="1419"/>
      <c r="G283" s="1419"/>
      <c r="H283" s="1419"/>
    </row>
    <row r="284" spans="1:8" x14ac:dyDescent="0.2">
      <c r="A284" s="1420" t="s">
        <v>729</v>
      </c>
      <c r="B284" s="1419"/>
      <c r="C284" s="1419"/>
      <c r="D284" s="1419"/>
      <c r="E284" s="1419"/>
      <c r="F284" s="1419"/>
      <c r="G284" s="1419"/>
      <c r="H284" s="1419"/>
    </row>
    <row r="285" spans="1:8" x14ac:dyDescent="0.2">
      <c r="A285" s="1420" t="s">
        <v>730</v>
      </c>
      <c r="B285" s="1419"/>
      <c r="C285" s="1419"/>
      <c r="D285" s="1419"/>
      <c r="E285" s="1419"/>
      <c r="F285" s="1419"/>
      <c r="G285" s="1419"/>
      <c r="H285" s="1419"/>
    </row>
    <row r="286" spans="1:8" x14ac:dyDescent="0.2">
      <c r="A286" s="1420" t="s">
        <v>731</v>
      </c>
      <c r="B286" s="1419"/>
      <c r="C286" s="1419"/>
      <c r="D286" s="1419"/>
      <c r="E286" s="1419"/>
      <c r="F286" s="1419"/>
      <c r="G286" s="1419"/>
      <c r="H286" s="1419"/>
    </row>
    <row r="287" spans="1:8" x14ac:dyDescent="0.2">
      <c r="A287" s="1419"/>
      <c r="B287" s="1419"/>
      <c r="C287" s="1419"/>
      <c r="D287" s="1419"/>
      <c r="E287" s="1419"/>
      <c r="F287" s="1419"/>
      <c r="G287" s="1419"/>
      <c r="H287" s="1419"/>
    </row>
    <row r="288" spans="1:8" x14ac:dyDescent="0.2">
      <c r="A288" s="1420" t="s">
        <v>722</v>
      </c>
      <c r="B288" s="1419"/>
      <c r="C288" s="1419"/>
      <c r="D288" s="1419"/>
      <c r="E288" s="1419"/>
      <c r="F288" s="1419"/>
      <c r="G288" s="1419"/>
      <c r="H288" s="1419"/>
    </row>
    <row r="289" spans="1:8" x14ac:dyDescent="0.2">
      <c r="A289" s="1420" t="s">
        <v>723</v>
      </c>
      <c r="B289" s="1419"/>
      <c r="C289" s="1419"/>
      <c r="D289" s="1419"/>
      <c r="E289" s="1419"/>
      <c r="F289" s="1419"/>
      <c r="G289" s="1419"/>
      <c r="H289" s="1419"/>
    </row>
    <row r="290" spans="1:8" x14ac:dyDescent="0.2">
      <c r="A290" s="1420" t="s">
        <v>724</v>
      </c>
      <c r="B290" s="1419"/>
      <c r="C290" s="1419"/>
      <c r="D290" s="1419"/>
      <c r="E290" s="1419"/>
      <c r="F290" s="1419"/>
      <c r="G290" s="1419"/>
      <c r="H290" s="1419"/>
    </row>
    <row r="291" spans="1:8" x14ac:dyDescent="0.2">
      <c r="A291" s="1419"/>
      <c r="B291" s="1419"/>
      <c r="C291" s="1419"/>
      <c r="D291" s="1419"/>
      <c r="E291" s="1419"/>
      <c r="F291" s="1419"/>
      <c r="G291" s="1419"/>
      <c r="H291" s="1419"/>
    </row>
    <row r="292" spans="1:8" x14ac:dyDescent="0.2">
      <c r="A292" s="1420" t="s">
        <v>720</v>
      </c>
      <c r="B292" s="1419"/>
      <c r="C292" s="1419"/>
      <c r="D292" s="1419"/>
      <c r="E292" s="1419"/>
      <c r="F292" s="1419"/>
      <c r="G292" s="1419"/>
      <c r="H292" s="1419"/>
    </row>
    <row r="293" spans="1:8" x14ac:dyDescent="0.2">
      <c r="A293" s="1420" t="s">
        <v>721</v>
      </c>
      <c r="B293" s="1419"/>
      <c r="C293" s="1419"/>
      <c r="D293" s="1419"/>
      <c r="E293" s="1419"/>
      <c r="F293" s="1419"/>
      <c r="G293" s="1419"/>
      <c r="H293" s="1419"/>
    </row>
    <row r="294" spans="1:8" x14ac:dyDescent="0.2">
      <c r="A294" s="1419"/>
      <c r="B294" s="1419"/>
      <c r="C294" s="1419"/>
      <c r="D294" s="1419"/>
      <c r="E294" s="1419"/>
      <c r="F294" s="1419"/>
      <c r="G294" s="1419"/>
      <c r="H294" s="1419"/>
    </row>
    <row r="295" spans="1:8" x14ac:dyDescent="0.2">
      <c r="A295" s="1420" t="s">
        <v>707</v>
      </c>
      <c r="B295" s="1419"/>
      <c r="C295" s="1419"/>
      <c r="D295" s="1419"/>
      <c r="E295" s="1419"/>
      <c r="F295" s="1419"/>
      <c r="G295" s="1419"/>
      <c r="H295" s="1419"/>
    </row>
    <row r="296" spans="1:8" x14ac:dyDescent="0.2">
      <c r="A296" s="1420" t="s">
        <v>708</v>
      </c>
      <c r="B296" s="1419"/>
      <c r="C296" s="1419"/>
      <c r="D296" s="1419"/>
      <c r="E296" s="1419"/>
      <c r="F296" s="1419"/>
      <c r="G296" s="1419"/>
      <c r="H296" s="1419"/>
    </row>
    <row r="297" spans="1:8" x14ac:dyDescent="0.2">
      <c r="A297" s="1420" t="s">
        <v>709</v>
      </c>
      <c r="B297" s="1419"/>
      <c r="C297" s="1419"/>
      <c r="D297" s="1419"/>
      <c r="E297" s="1419"/>
      <c r="F297" s="1419"/>
      <c r="G297" s="1419"/>
      <c r="H297" s="1419"/>
    </row>
    <row r="298" spans="1:8" x14ac:dyDescent="0.2">
      <c r="A298" s="1420" t="s">
        <v>710</v>
      </c>
      <c r="B298" s="1419"/>
      <c r="C298" s="1419"/>
      <c r="D298" s="1419"/>
      <c r="E298" s="1419"/>
      <c r="F298" s="1419"/>
      <c r="G298" s="1419"/>
      <c r="H298" s="1419"/>
    </row>
    <row r="299" spans="1:8" x14ac:dyDescent="0.2">
      <c r="A299" s="1420" t="s">
        <v>711</v>
      </c>
      <c r="B299" s="1419"/>
      <c r="C299" s="1419"/>
      <c r="D299" s="1419"/>
      <c r="E299" s="1419"/>
      <c r="F299" s="1419"/>
      <c r="G299" s="1419"/>
      <c r="H299" s="1419"/>
    </row>
    <row r="300" spans="1:8" x14ac:dyDescent="0.2">
      <c r="A300" s="1420" t="s">
        <v>712</v>
      </c>
      <c r="B300" s="1419"/>
      <c r="C300" s="1419"/>
      <c r="D300" s="1419"/>
      <c r="E300" s="1419"/>
      <c r="F300" s="1419"/>
      <c r="G300" s="1419"/>
      <c r="H300" s="1419"/>
    </row>
    <row r="301" spans="1:8" x14ac:dyDescent="0.2">
      <c r="A301" s="1420" t="s">
        <v>713</v>
      </c>
      <c r="B301" s="1419"/>
      <c r="C301" s="1419"/>
      <c r="D301" s="1419"/>
      <c r="E301" s="1419"/>
      <c r="F301" s="1419"/>
      <c r="G301" s="1419"/>
      <c r="H301" s="1419"/>
    </row>
    <row r="302" spans="1:8" x14ac:dyDescent="0.2">
      <c r="A302" s="1420" t="s">
        <v>714</v>
      </c>
      <c r="B302" s="1419"/>
      <c r="C302" s="1419"/>
      <c r="D302" s="1419"/>
      <c r="E302" s="1419"/>
      <c r="F302" s="1419"/>
      <c r="G302" s="1419"/>
      <c r="H302" s="1419"/>
    </row>
    <row r="303" spans="1:8" x14ac:dyDescent="0.2">
      <c r="A303" s="1420" t="s">
        <v>715</v>
      </c>
      <c r="B303" s="1419"/>
      <c r="C303" s="1419"/>
      <c r="D303" s="1419"/>
      <c r="E303" s="1419"/>
      <c r="F303" s="1419"/>
      <c r="G303" s="1419"/>
      <c r="H303" s="1419"/>
    </row>
    <row r="304" spans="1:8" x14ac:dyDescent="0.2">
      <c r="A304" s="1420" t="s">
        <v>716</v>
      </c>
      <c r="B304" s="1419"/>
      <c r="C304" s="1419"/>
      <c r="D304" s="1419"/>
      <c r="E304" s="1419"/>
      <c r="F304" s="1419"/>
      <c r="G304" s="1419"/>
      <c r="H304" s="1419"/>
    </row>
    <row r="305" spans="1:8" x14ac:dyDescent="0.2">
      <c r="A305" s="1420" t="s">
        <v>717</v>
      </c>
      <c r="B305" s="1419"/>
      <c r="C305" s="1419"/>
      <c r="D305" s="1419"/>
      <c r="E305" s="1419"/>
      <c r="F305" s="1419"/>
      <c r="G305" s="1419"/>
      <c r="H305" s="1419"/>
    </row>
    <row r="306" spans="1:8" x14ac:dyDescent="0.2">
      <c r="A306" s="1420" t="s">
        <v>718</v>
      </c>
      <c r="B306" s="1419"/>
      <c r="C306" s="1419"/>
      <c r="D306" s="1419"/>
      <c r="E306" s="1419"/>
      <c r="F306" s="1419"/>
      <c r="G306" s="1419"/>
      <c r="H306" s="1419"/>
    </row>
    <row r="307" spans="1:8" x14ac:dyDescent="0.2">
      <c r="A307" s="1420" t="s">
        <v>719</v>
      </c>
      <c r="B307" s="1419"/>
      <c r="C307" s="1419"/>
      <c r="D307" s="1419"/>
      <c r="E307" s="1419"/>
      <c r="F307" s="1419"/>
      <c r="G307" s="1419"/>
      <c r="H307" s="1419"/>
    </row>
    <row r="308" spans="1:8" x14ac:dyDescent="0.2">
      <c r="A308" s="1419"/>
      <c r="B308" s="1419"/>
      <c r="C308" s="1419"/>
      <c r="D308" s="1419"/>
      <c r="E308" s="1419"/>
      <c r="F308" s="1419"/>
      <c r="G308" s="1419"/>
      <c r="H308" s="1419"/>
    </row>
    <row r="309" spans="1:8" x14ac:dyDescent="0.2">
      <c r="A309" s="1420" t="s">
        <v>699</v>
      </c>
      <c r="B309" s="1419"/>
      <c r="C309" s="1419"/>
      <c r="D309" s="1419"/>
      <c r="E309" s="1419"/>
      <c r="F309" s="1419"/>
      <c r="G309" s="1419"/>
      <c r="H309" s="1419"/>
    </row>
    <row r="310" spans="1:8" x14ac:dyDescent="0.2">
      <c r="A310" s="1420" t="s">
        <v>700</v>
      </c>
      <c r="B310" s="1419"/>
      <c r="C310" s="1419"/>
      <c r="D310" s="1419"/>
      <c r="E310" s="1419"/>
      <c r="F310" s="1419"/>
      <c r="G310" s="1419"/>
      <c r="H310" s="1419"/>
    </row>
    <row r="311" spans="1:8" x14ac:dyDescent="0.2">
      <c r="A311" s="1420" t="s">
        <v>701</v>
      </c>
      <c r="B311" s="1419"/>
      <c r="C311" s="1419"/>
      <c r="D311" s="1419"/>
      <c r="E311" s="1419"/>
      <c r="F311" s="1419"/>
      <c r="G311" s="1419"/>
      <c r="H311" s="1419"/>
    </row>
    <row r="312" spans="1:8" x14ac:dyDescent="0.2">
      <c r="A312" s="1420" t="s">
        <v>702</v>
      </c>
      <c r="B312" s="1419"/>
      <c r="C312" s="1419"/>
      <c r="D312" s="1419"/>
      <c r="E312" s="1419"/>
      <c r="F312" s="1419"/>
      <c r="G312" s="1419"/>
      <c r="H312" s="1419"/>
    </row>
    <row r="313" spans="1:8" x14ac:dyDescent="0.2">
      <c r="A313" s="1420" t="s">
        <v>703</v>
      </c>
      <c r="B313" s="1419"/>
      <c r="C313" s="1419"/>
      <c r="D313" s="1419"/>
      <c r="E313" s="1419"/>
      <c r="F313" s="1419"/>
      <c r="G313" s="1419"/>
      <c r="H313" s="1419"/>
    </row>
    <row r="314" spans="1:8" x14ac:dyDescent="0.2">
      <c r="A314" s="1420" t="s">
        <v>704</v>
      </c>
      <c r="B314" s="1419"/>
      <c r="C314" s="1419"/>
      <c r="D314" s="1419"/>
      <c r="E314" s="1419"/>
      <c r="F314" s="1419"/>
      <c r="G314" s="1419"/>
      <c r="H314" s="1419"/>
    </row>
    <row r="315" spans="1:8" x14ac:dyDescent="0.2">
      <c r="A315" s="1420" t="s">
        <v>705</v>
      </c>
      <c r="B315" s="1419"/>
      <c r="C315" s="1419"/>
      <c r="D315" s="1419"/>
      <c r="E315" s="1419"/>
      <c r="F315" s="1419"/>
      <c r="G315" s="1419"/>
      <c r="H315" s="1419"/>
    </row>
    <row r="316" spans="1:8" x14ac:dyDescent="0.2">
      <c r="A316" s="1420" t="s">
        <v>706</v>
      </c>
      <c r="B316" s="1419"/>
      <c r="C316" s="1419"/>
      <c r="D316" s="1419"/>
      <c r="E316" s="1419"/>
      <c r="F316" s="1419"/>
      <c r="G316" s="1419"/>
      <c r="H316" s="1419"/>
    </row>
    <row r="317" spans="1:8" x14ac:dyDescent="0.2">
      <c r="A317" s="1419"/>
      <c r="B317" s="1419"/>
      <c r="C317" s="1419"/>
      <c r="D317" s="1419"/>
      <c r="E317" s="1419"/>
      <c r="F317" s="1419"/>
      <c r="G317" s="1419"/>
      <c r="H317" s="1419"/>
    </row>
    <row r="318" spans="1:8" x14ac:dyDescent="0.2">
      <c r="A318" s="1420" t="s">
        <v>664</v>
      </c>
      <c r="B318" s="1419"/>
      <c r="C318" s="1419"/>
      <c r="D318" s="1419"/>
      <c r="E318" s="1419"/>
      <c r="F318" s="1419"/>
      <c r="G318" s="1419"/>
      <c r="H318" s="1419"/>
    </row>
    <row r="319" spans="1:8" x14ac:dyDescent="0.2">
      <c r="A319" s="1420" t="s">
        <v>665</v>
      </c>
      <c r="B319" s="1419"/>
      <c r="C319" s="1419"/>
      <c r="D319" s="1419"/>
      <c r="E319" s="1419"/>
      <c r="F319" s="1419"/>
      <c r="G319" s="1419"/>
      <c r="H319" s="1419"/>
    </row>
    <row r="320" spans="1:8" x14ac:dyDescent="0.2">
      <c r="A320" s="1420" t="s">
        <v>666</v>
      </c>
      <c r="B320" s="1419"/>
      <c r="C320" s="1419"/>
      <c r="D320" s="1419"/>
      <c r="E320" s="1419"/>
      <c r="F320" s="1419"/>
      <c r="G320" s="1419"/>
      <c r="H320" s="1419"/>
    </row>
    <row r="321" spans="1:8" x14ac:dyDescent="0.2">
      <c r="A321" s="1420" t="s">
        <v>667</v>
      </c>
      <c r="B321" s="1419"/>
      <c r="C321" s="1419"/>
      <c r="D321" s="1419"/>
      <c r="E321" s="1419"/>
      <c r="F321" s="1419"/>
      <c r="G321" s="1419"/>
      <c r="H321" s="1419"/>
    </row>
    <row r="322" spans="1:8" x14ac:dyDescent="0.2">
      <c r="A322" s="1420" t="s">
        <v>668</v>
      </c>
      <c r="B322" s="1419"/>
      <c r="C322" s="1419"/>
      <c r="D322" s="1419"/>
      <c r="E322" s="1419"/>
      <c r="F322" s="1419"/>
      <c r="G322" s="1419"/>
      <c r="H322" s="1419"/>
    </row>
    <row r="323" spans="1:8" x14ac:dyDescent="0.2">
      <c r="A323" s="1420" t="s">
        <v>669</v>
      </c>
      <c r="B323" s="1419"/>
      <c r="C323" s="1419"/>
      <c r="D323" s="1419"/>
      <c r="E323" s="1419"/>
      <c r="F323" s="1419"/>
      <c r="G323" s="1419"/>
      <c r="H323" s="1419"/>
    </row>
    <row r="324" spans="1:8" x14ac:dyDescent="0.2">
      <c r="A324" s="1420" t="s">
        <v>670</v>
      </c>
      <c r="B324" s="1419"/>
      <c r="C324" s="1419"/>
      <c r="D324" s="1419"/>
      <c r="E324" s="1419"/>
      <c r="F324" s="1419"/>
      <c r="G324" s="1419"/>
      <c r="H324" s="1419"/>
    </row>
    <row r="325" spans="1:8" x14ac:dyDescent="0.2">
      <c r="A325" s="1420" t="s">
        <v>671</v>
      </c>
      <c r="B325" s="1419"/>
      <c r="C325" s="1419"/>
      <c r="D325" s="1419"/>
      <c r="E325" s="1419"/>
      <c r="F325" s="1419"/>
      <c r="G325" s="1419"/>
      <c r="H325" s="1419"/>
    </row>
    <row r="326" spans="1:8" x14ac:dyDescent="0.2">
      <c r="A326" s="1420" t="s">
        <v>672</v>
      </c>
      <c r="B326" s="1419"/>
      <c r="C326" s="1419"/>
      <c r="D326" s="1419"/>
      <c r="E326" s="1419"/>
      <c r="F326" s="1419"/>
      <c r="G326" s="1419"/>
      <c r="H326" s="1419"/>
    </row>
    <row r="327" spans="1:8" x14ac:dyDescent="0.2">
      <c r="A327" s="1420" t="s">
        <v>673</v>
      </c>
      <c r="B327" s="1419"/>
      <c r="C327" s="1419"/>
      <c r="D327" s="1419"/>
      <c r="E327" s="1419"/>
      <c r="F327" s="1419"/>
      <c r="G327" s="1419"/>
      <c r="H327" s="1419"/>
    </row>
    <row r="328" spans="1:8" x14ac:dyDescent="0.2">
      <c r="A328" s="1420" t="s">
        <v>674</v>
      </c>
      <c r="B328" s="1419"/>
      <c r="C328" s="1419"/>
      <c r="D328" s="1419"/>
      <c r="E328" s="1419"/>
      <c r="F328" s="1419"/>
      <c r="G328" s="1419"/>
      <c r="H328" s="1419"/>
    </row>
    <row r="329" spans="1:8" x14ac:dyDescent="0.2">
      <c r="A329" s="1420" t="s">
        <v>675</v>
      </c>
      <c r="B329" s="1419"/>
      <c r="C329" s="1419"/>
      <c r="D329" s="1419"/>
      <c r="E329" s="1419"/>
      <c r="F329" s="1419"/>
      <c r="G329" s="1419"/>
      <c r="H329" s="1419"/>
    </row>
    <row r="330" spans="1:8" x14ac:dyDescent="0.2">
      <c r="A330" s="1420" t="s">
        <v>676</v>
      </c>
      <c r="B330" s="1419"/>
      <c r="C330" s="1419"/>
      <c r="D330" s="1419"/>
      <c r="E330" s="1419"/>
      <c r="F330" s="1419"/>
      <c r="G330" s="1419"/>
      <c r="H330" s="1419"/>
    </row>
    <row r="331" spans="1:8" x14ac:dyDescent="0.2">
      <c r="A331" s="1420" t="s">
        <v>677</v>
      </c>
      <c r="B331" s="1419"/>
      <c r="C331" s="1419"/>
      <c r="D331" s="1419"/>
      <c r="E331" s="1419"/>
      <c r="F331" s="1419"/>
      <c r="G331" s="1419"/>
      <c r="H331" s="1419"/>
    </row>
    <row r="332" spans="1:8" x14ac:dyDescent="0.2">
      <c r="A332" s="1420" t="s">
        <v>678</v>
      </c>
      <c r="B332" s="1419"/>
      <c r="C332" s="1419"/>
      <c r="D332" s="1419"/>
      <c r="E332" s="1419"/>
      <c r="F332" s="1419"/>
      <c r="G332" s="1419"/>
      <c r="H332" s="1419"/>
    </row>
    <row r="333" spans="1:8" x14ac:dyDescent="0.2">
      <c r="A333" s="1420" t="s">
        <v>679</v>
      </c>
      <c r="B333" s="1419"/>
      <c r="C333" s="1419"/>
      <c r="D333" s="1419"/>
      <c r="E333" s="1419"/>
      <c r="F333" s="1419"/>
      <c r="G333" s="1419"/>
      <c r="H333" s="1419"/>
    </row>
    <row r="334" spans="1:8" x14ac:dyDescent="0.2">
      <c r="A334" s="1420" t="s">
        <v>680</v>
      </c>
      <c r="B334" s="1419"/>
      <c r="C334" s="1419"/>
      <c r="D334" s="1419"/>
      <c r="E334" s="1419"/>
      <c r="F334" s="1419"/>
      <c r="G334" s="1419"/>
      <c r="H334" s="1419"/>
    </row>
    <row r="335" spans="1:8" x14ac:dyDescent="0.2">
      <c r="A335" s="1420" t="s">
        <v>681</v>
      </c>
      <c r="B335" s="1419"/>
      <c r="C335" s="1419"/>
      <c r="D335" s="1419"/>
      <c r="E335" s="1419"/>
      <c r="F335" s="1419"/>
      <c r="G335" s="1419"/>
      <c r="H335" s="1419"/>
    </row>
    <row r="336" spans="1:8" x14ac:dyDescent="0.2">
      <c r="A336" s="1420" t="s">
        <v>682</v>
      </c>
      <c r="B336" s="1419"/>
      <c r="C336" s="1419"/>
      <c r="D336" s="1419"/>
      <c r="E336" s="1419"/>
      <c r="F336" s="1419"/>
      <c r="G336" s="1419"/>
      <c r="H336" s="1419"/>
    </row>
    <row r="337" spans="1:8" x14ac:dyDescent="0.2">
      <c r="A337" s="1420" t="s">
        <v>683</v>
      </c>
      <c r="B337" s="1419"/>
      <c r="C337" s="1419"/>
      <c r="D337" s="1419"/>
      <c r="E337" s="1419"/>
      <c r="F337" s="1419"/>
      <c r="G337" s="1419"/>
      <c r="H337" s="1419"/>
    </row>
    <row r="338" spans="1:8" x14ac:dyDescent="0.2">
      <c r="A338" s="1420" t="s">
        <v>684</v>
      </c>
      <c r="B338" s="1419"/>
      <c r="C338" s="1419"/>
      <c r="D338" s="1419"/>
      <c r="E338" s="1419"/>
      <c r="F338" s="1419"/>
      <c r="G338" s="1419"/>
      <c r="H338" s="1419"/>
    </row>
    <row r="339" spans="1:8" x14ac:dyDescent="0.2">
      <c r="A339" s="1420" t="s">
        <v>685</v>
      </c>
      <c r="B339" s="1419"/>
      <c r="C339" s="1419"/>
      <c r="D339" s="1419"/>
      <c r="E339" s="1419"/>
      <c r="F339" s="1419"/>
      <c r="G339" s="1419"/>
      <c r="H339" s="1419"/>
    </row>
    <row r="340" spans="1:8" x14ac:dyDescent="0.2">
      <c r="A340" s="1420" t="s">
        <v>686</v>
      </c>
      <c r="B340" s="1419"/>
      <c r="C340" s="1419"/>
      <c r="D340" s="1419"/>
      <c r="E340" s="1419"/>
      <c r="F340" s="1419"/>
      <c r="G340" s="1419"/>
      <c r="H340" s="1419"/>
    </row>
    <row r="341" spans="1:8" x14ac:dyDescent="0.2">
      <c r="A341" s="1420" t="s">
        <v>687</v>
      </c>
      <c r="B341" s="1419"/>
      <c r="C341" s="1419"/>
      <c r="D341" s="1419"/>
      <c r="E341" s="1419"/>
      <c r="F341" s="1419"/>
      <c r="G341" s="1419"/>
      <c r="H341" s="1419"/>
    </row>
    <row r="342" spans="1:8" x14ac:dyDescent="0.2">
      <c r="A342" s="1420" t="s">
        <v>688</v>
      </c>
      <c r="B342" s="1419"/>
      <c r="C342" s="1419"/>
      <c r="D342" s="1419"/>
      <c r="E342" s="1419"/>
      <c r="F342" s="1419"/>
      <c r="G342" s="1419"/>
      <c r="H342" s="1419"/>
    </row>
    <row r="343" spans="1:8" x14ac:dyDescent="0.2">
      <c r="A343" s="1420" t="s">
        <v>689</v>
      </c>
      <c r="B343" s="1419"/>
      <c r="C343" s="1419"/>
      <c r="D343" s="1419"/>
      <c r="E343" s="1419"/>
      <c r="F343" s="1419"/>
      <c r="G343" s="1419"/>
      <c r="H343" s="1419"/>
    </row>
    <row r="344" spans="1:8" x14ac:dyDescent="0.2">
      <c r="A344" s="1420" t="s">
        <v>690</v>
      </c>
      <c r="B344" s="1419"/>
      <c r="C344" s="1419"/>
      <c r="D344" s="1419"/>
      <c r="E344" s="1419"/>
      <c r="F344" s="1419"/>
      <c r="G344" s="1419"/>
      <c r="H344" s="1419"/>
    </row>
    <row r="345" spans="1:8" x14ac:dyDescent="0.2">
      <c r="A345" s="1420" t="s">
        <v>691</v>
      </c>
      <c r="B345" s="1419"/>
      <c r="C345" s="1419"/>
      <c r="D345" s="1419"/>
      <c r="E345" s="1419"/>
      <c r="F345" s="1419"/>
      <c r="G345" s="1419"/>
      <c r="H345" s="1419"/>
    </row>
    <row r="346" spans="1:8" x14ac:dyDescent="0.2">
      <c r="A346" s="1420" t="s">
        <v>692</v>
      </c>
      <c r="B346" s="1419"/>
      <c r="C346" s="1419"/>
      <c r="D346" s="1419"/>
      <c r="E346" s="1419"/>
      <c r="F346" s="1419"/>
      <c r="G346" s="1419"/>
      <c r="H346" s="1419"/>
    </row>
    <row r="347" spans="1:8" x14ac:dyDescent="0.2">
      <c r="A347" s="1420" t="s">
        <v>693</v>
      </c>
      <c r="B347" s="1419"/>
      <c r="C347" s="1419"/>
      <c r="D347" s="1419"/>
      <c r="E347" s="1419"/>
      <c r="F347" s="1419"/>
      <c r="G347" s="1419"/>
      <c r="H347" s="1419"/>
    </row>
    <row r="348" spans="1:8" x14ac:dyDescent="0.2">
      <c r="A348" s="1420" t="s">
        <v>694</v>
      </c>
      <c r="B348" s="1419"/>
      <c r="C348" s="1419"/>
      <c r="D348" s="1419"/>
      <c r="E348" s="1419"/>
      <c r="F348" s="1419"/>
      <c r="G348" s="1419"/>
      <c r="H348" s="1419"/>
    </row>
    <row r="349" spans="1:8" x14ac:dyDescent="0.2">
      <c r="A349" s="1420" t="s">
        <v>695</v>
      </c>
      <c r="B349" s="1419"/>
      <c r="C349" s="1419"/>
      <c r="D349" s="1419"/>
      <c r="E349" s="1419"/>
      <c r="F349" s="1419"/>
      <c r="G349" s="1419"/>
      <c r="H349" s="1419"/>
    </row>
    <row r="350" spans="1:8" x14ac:dyDescent="0.2">
      <c r="A350" s="1420" t="s">
        <v>696</v>
      </c>
      <c r="B350" s="1419"/>
      <c r="C350" s="1419"/>
      <c r="D350" s="1419"/>
      <c r="E350" s="1419"/>
      <c r="F350" s="1419"/>
      <c r="G350" s="1419"/>
      <c r="H350" s="1419"/>
    </row>
    <row r="351" spans="1:8" x14ac:dyDescent="0.2">
      <c r="A351" s="1420" t="s">
        <v>697</v>
      </c>
      <c r="B351" s="1419"/>
      <c r="C351" s="1419"/>
      <c r="D351" s="1419"/>
      <c r="E351" s="1419"/>
      <c r="F351" s="1419"/>
      <c r="G351" s="1419"/>
      <c r="H351" s="1419"/>
    </row>
    <row r="352" spans="1:8" x14ac:dyDescent="0.2">
      <c r="A352" s="1420" t="s">
        <v>698</v>
      </c>
      <c r="B352" s="1419"/>
      <c r="C352" s="1419"/>
      <c r="D352" s="1419"/>
      <c r="E352" s="1419"/>
      <c r="F352" s="1419"/>
      <c r="G352" s="1419"/>
      <c r="H352" s="1419"/>
    </row>
    <row r="353" spans="1:8" x14ac:dyDescent="0.2">
      <c r="A353" s="1419"/>
      <c r="B353" s="1419"/>
      <c r="C353" s="1419"/>
      <c r="D353" s="1419"/>
      <c r="E353" s="1419"/>
      <c r="F353" s="1419"/>
      <c r="G353" s="1419"/>
      <c r="H353" s="1419"/>
    </row>
    <row r="354" spans="1:8" x14ac:dyDescent="0.2">
      <c r="A354" s="1420" t="s">
        <v>656</v>
      </c>
      <c r="B354" s="1419"/>
      <c r="C354" s="1419"/>
      <c r="D354" s="1419"/>
      <c r="E354" s="1419"/>
      <c r="F354" s="1419"/>
      <c r="G354" s="1419"/>
      <c r="H354" s="1419"/>
    </row>
    <row r="355" spans="1:8" x14ac:dyDescent="0.2">
      <c r="A355" s="1420" t="s">
        <v>660</v>
      </c>
      <c r="B355" s="1419"/>
      <c r="C355" s="1419"/>
      <c r="D355" s="1419"/>
      <c r="E355" s="1419"/>
      <c r="F355" s="1419"/>
      <c r="G355" s="1419"/>
      <c r="H355" s="1419"/>
    </row>
    <row r="356" spans="1:8" x14ac:dyDescent="0.2">
      <c r="A356" s="1420" t="s">
        <v>661</v>
      </c>
      <c r="B356" s="1419"/>
      <c r="C356" s="1419"/>
      <c r="D356" s="1419"/>
      <c r="E356" s="1419"/>
      <c r="F356" s="1419"/>
      <c r="G356" s="1419"/>
      <c r="H356" s="1419"/>
    </row>
    <row r="357" spans="1:8" x14ac:dyDescent="0.2">
      <c r="A357" s="1420" t="s">
        <v>662</v>
      </c>
      <c r="B357" s="1419"/>
      <c r="C357" s="1419"/>
      <c r="D357" s="1419"/>
      <c r="E357" s="1419"/>
      <c r="F357" s="1419"/>
      <c r="G357" s="1419"/>
      <c r="H357" s="1419"/>
    </row>
    <row r="358" spans="1:8" x14ac:dyDescent="0.2">
      <c r="A358" s="1420" t="s">
        <v>663</v>
      </c>
      <c r="B358" s="1419"/>
      <c r="C358" s="1419"/>
      <c r="D358" s="1419"/>
      <c r="E358" s="1419"/>
      <c r="F358" s="1419"/>
      <c r="G358" s="1419"/>
      <c r="H358" s="1419"/>
    </row>
    <row r="359" spans="1:8" x14ac:dyDescent="0.2">
      <c r="A359" s="1419"/>
      <c r="B359" s="1419"/>
      <c r="C359" s="1419"/>
      <c r="D359" s="1419"/>
      <c r="E359" s="1419"/>
      <c r="F359" s="1419"/>
      <c r="G359" s="1419"/>
      <c r="H359" s="1419"/>
    </row>
    <row r="360" spans="1:8" x14ac:dyDescent="0.2">
      <c r="A360" s="1420" t="s">
        <v>656</v>
      </c>
      <c r="B360" s="1419"/>
      <c r="C360" s="1419"/>
      <c r="D360" s="1419"/>
      <c r="E360" s="1419"/>
      <c r="F360" s="1419"/>
      <c r="G360" s="1419"/>
      <c r="H360" s="1419"/>
    </row>
    <row r="361" spans="1:8" x14ac:dyDescent="0.2">
      <c r="A361" s="1420" t="s">
        <v>657</v>
      </c>
      <c r="B361" s="1419"/>
      <c r="C361" s="1419"/>
      <c r="D361" s="1419"/>
      <c r="E361" s="1419"/>
      <c r="F361" s="1419"/>
      <c r="G361" s="1419"/>
      <c r="H361" s="1419"/>
    </row>
    <row r="362" spans="1:8" x14ac:dyDescent="0.2">
      <c r="A362" s="1420" t="s">
        <v>658</v>
      </c>
      <c r="B362" s="1419"/>
      <c r="C362" s="1419"/>
      <c r="D362" s="1419"/>
      <c r="E362" s="1419"/>
      <c r="F362" s="1419"/>
      <c r="G362" s="1419"/>
      <c r="H362" s="1419"/>
    </row>
    <row r="363" spans="1:8" x14ac:dyDescent="0.2">
      <c r="A363" s="1420" t="s">
        <v>659</v>
      </c>
      <c r="B363" s="1419"/>
      <c r="C363" s="1419"/>
      <c r="D363" s="1419"/>
      <c r="E363" s="1419"/>
      <c r="F363" s="1419"/>
      <c r="G363" s="1419"/>
      <c r="H363" s="1419"/>
    </row>
    <row r="364" spans="1:8" x14ac:dyDescent="0.2">
      <c r="A364" s="1419"/>
      <c r="B364" s="1419"/>
      <c r="C364" s="1419"/>
      <c r="D364" s="1419"/>
      <c r="E364" s="1419"/>
      <c r="F364" s="1419"/>
      <c r="G364" s="1419"/>
      <c r="H364" s="1419"/>
    </row>
    <row r="365" spans="1:8" x14ac:dyDescent="0.2">
      <c r="A365" s="1420" t="s">
        <v>650</v>
      </c>
      <c r="B365" s="1419"/>
      <c r="C365" s="1419"/>
      <c r="D365" s="1419"/>
      <c r="E365" s="1419"/>
      <c r="F365" s="1419"/>
      <c r="G365" s="1419"/>
      <c r="H365" s="1419"/>
    </row>
    <row r="366" spans="1:8" x14ac:dyDescent="0.2">
      <c r="A366" s="1420" t="s">
        <v>651</v>
      </c>
      <c r="B366" s="1419"/>
      <c r="C366" s="1419"/>
      <c r="D366" s="1419"/>
      <c r="E366" s="1419"/>
      <c r="F366" s="1419"/>
      <c r="G366" s="1419"/>
      <c r="H366" s="1419"/>
    </row>
    <row r="367" spans="1:8" x14ac:dyDescent="0.2">
      <c r="A367" s="1420" t="s">
        <v>652</v>
      </c>
      <c r="B367" s="1419"/>
      <c r="C367" s="1419"/>
      <c r="D367" s="1419"/>
      <c r="E367" s="1419"/>
      <c r="F367" s="1419"/>
      <c r="G367" s="1419"/>
      <c r="H367" s="1419"/>
    </row>
    <row r="368" spans="1:8" x14ac:dyDescent="0.2">
      <c r="A368" s="1420" t="s">
        <v>653</v>
      </c>
      <c r="B368" s="1419"/>
      <c r="C368" s="1419"/>
      <c r="D368" s="1419"/>
      <c r="E368" s="1419"/>
      <c r="F368" s="1419"/>
      <c r="G368" s="1419"/>
      <c r="H368" s="1419"/>
    </row>
    <row r="369" spans="1:8" x14ac:dyDescent="0.2">
      <c r="A369" s="1420" t="s">
        <v>654</v>
      </c>
      <c r="B369" s="1419"/>
      <c r="C369" s="1419"/>
      <c r="D369" s="1419"/>
      <c r="E369" s="1419"/>
      <c r="F369" s="1419"/>
      <c r="G369" s="1419"/>
      <c r="H369" s="1419"/>
    </row>
    <row r="370" spans="1:8" x14ac:dyDescent="0.2">
      <c r="A370" s="1420" t="s">
        <v>655</v>
      </c>
      <c r="B370" s="1419"/>
      <c r="C370" s="1419"/>
      <c r="D370" s="1419"/>
      <c r="E370" s="1419"/>
      <c r="F370" s="1419"/>
      <c r="G370" s="1419"/>
      <c r="H370" s="1419"/>
    </row>
    <row r="371" spans="1:8" x14ac:dyDescent="0.2">
      <c r="A371" s="1419"/>
      <c r="B371" s="1419"/>
      <c r="C371" s="1419"/>
      <c r="D371" s="1419"/>
      <c r="E371" s="1419"/>
      <c r="F371" s="1419"/>
      <c r="G371" s="1419"/>
      <c r="H371" s="1419"/>
    </row>
    <row r="372" spans="1:8" x14ac:dyDescent="0.2">
      <c r="A372" s="1420" t="s">
        <v>645</v>
      </c>
      <c r="B372" s="1419"/>
      <c r="C372" s="1419"/>
      <c r="D372" s="1419"/>
      <c r="E372" s="1419"/>
      <c r="F372" s="1419"/>
      <c r="G372" s="1419"/>
      <c r="H372" s="1419"/>
    </row>
    <row r="373" spans="1:8" x14ac:dyDescent="0.2">
      <c r="A373" s="1420" t="s">
        <v>646</v>
      </c>
      <c r="B373" s="1419"/>
      <c r="C373" s="1419"/>
      <c r="D373" s="1419"/>
      <c r="E373" s="1419"/>
      <c r="F373" s="1419"/>
      <c r="G373" s="1419"/>
      <c r="H373" s="1419"/>
    </row>
    <row r="374" spans="1:8" x14ac:dyDescent="0.2">
      <c r="A374" s="1420" t="s">
        <v>647</v>
      </c>
      <c r="B374" s="1419"/>
      <c r="C374" s="1419"/>
      <c r="D374" s="1419"/>
      <c r="E374" s="1419"/>
      <c r="F374" s="1419"/>
      <c r="G374" s="1419"/>
      <c r="H374" s="1419"/>
    </row>
    <row r="375" spans="1:8" x14ac:dyDescent="0.2">
      <c r="A375" s="1420" t="s">
        <v>648</v>
      </c>
      <c r="B375" s="1419"/>
      <c r="C375" s="1419"/>
      <c r="D375" s="1419"/>
      <c r="E375" s="1419"/>
      <c r="F375" s="1419"/>
      <c r="G375" s="1419"/>
      <c r="H375" s="1419"/>
    </row>
    <row r="376" spans="1:8" x14ac:dyDescent="0.2">
      <c r="A376" s="1420" t="s">
        <v>649</v>
      </c>
      <c r="B376" s="1419"/>
      <c r="C376" s="1419"/>
      <c r="D376" s="1419"/>
      <c r="E376" s="1419"/>
      <c r="F376" s="1419"/>
      <c r="G376" s="1419"/>
      <c r="H376" s="1419"/>
    </row>
    <row r="377" spans="1:8" x14ac:dyDescent="0.2">
      <c r="A377" s="1419"/>
      <c r="B377" s="1419"/>
      <c r="C377" s="1419"/>
      <c r="D377" s="1419"/>
      <c r="E377" s="1419"/>
      <c r="F377" s="1419"/>
      <c r="G377" s="1419"/>
      <c r="H377" s="1419"/>
    </row>
    <row r="378" spans="1:8" x14ac:dyDescent="0.2">
      <c r="A378" s="1420" t="s">
        <v>643</v>
      </c>
      <c r="B378" s="1419"/>
      <c r="C378" s="1419"/>
      <c r="D378" s="1419"/>
      <c r="E378" s="1419"/>
      <c r="F378" s="1419"/>
      <c r="G378" s="1419"/>
      <c r="H378" s="1419"/>
    </row>
    <row r="379" spans="1:8" x14ac:dyDescent="0.2">
      <c r="A379" s="1420" t="s">
        <v>644</v>
      </c>
      <c r="B379" s="1419"/>
      <c r="C379" s="1419"/>
      <c r="D379" s="1419"/>
      <c r="E379" s="1419"/>
      <c r="F379" s="1419"/>
      <c r="G379" s="1419"/>
      <c r="H379" s="1419"/>
    </row>
    <row r="381" spans="1:8" x14ac:dyDescent="0.2">
      <c r="A381" s="1415" t="s">
        <v>892</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EB199"/>
  <sheetViews>
    <sheetView showGridLines="0" zoomScaleNormal="100" zoomScaleSheetLayoutView="130" workbookViewId="0">
      <pane xSplit="2" ySplit="6" topLeftCell="C7" activePane="bottomRight" state="frozen"/>
      <selection pane="topRight" activeCell="C1" sqref="C1"/>
      <selection pane="bottomLeft" activeCell="A7" sqref="A7"/>
      <selection pane="bottomRight" activeCell="BS18" sqref="BS18"/>
    </sheetView>
  </sheetViews>
  <sheetFormatPr defaultRowHeight="12.75" outlineLevelRow="1" outlineLevelCol="1" x14ac:dyDescent="0.2"/>
  <cols>
    <col min="1" max="1" width="1.7109375" style="9" customWidth="1"/>
    <col min="2" max="2" width="25.28515625" style="9" customWidth="1"/>
    <col min="3" max="6" width="7.28515625" style="9" hidden="1" customWidth="1" outlineLevel="1"/>
    <col min="7" max="7" width="7.28515625" style="9" hidden="1" customWidth="1" outlineLevel="1" collapsed="1"/>
    <col min="8" max="8" width="0.85546875" style="6" hidden="1" customWidth="1" outlineLevel="1"/>
    <col min="9" max="9" width="7.28515625" style="6" hidden="1" customWidth="1" outlineLevel="1"/>
    <col min="10" max="12" width="7.28515625" style="9" hidden="1" customWidth="1" outlineLevel="1"/>
    <col min="13" max="13" width="7.28515625" style="9" hidden="1" customWidth="1" outlineLevel="1" collapsed="1"/>
    <col min="14" max="14" width="0.85546875" style="6" hidden="1" customWidth="1" outlineLevel="1"/>
    <col min="15" max="19" width="7.28515625" style="9" hidden="1" customWidth="1" outlineLevel="1"/>
    <col min="20" max="20" width="0.85546875" style="6" hidden="1" customWidth="1" outlineLevel="1"/>
    <col min="21" max="25" width="7.28515625" style="9" hidden="1" customWidth="1" outlineLevel="1"/>
    <col min="26" max="26" width="0.85546875" style="6" hidden="1" customWidth="1" outlineLevel="1"/>
    <col min="27" max="30" width="7.28515625" style="9" hidden="1" customWidth="1" outlineLevel="1"/>
    <col min="31" max="31" width="7.28515625" style="9" hidden="1" customWidth="1" outlineLevel="1" collapsed="1"/>
    <col min="32" max="32" width="0.85546875" style="6" hidden="1" customWidth="1" outlineLevel="1"/>
    <col min="33" max="36" width="7.28515625" style="9" hidden="1" customWidth="1" outlineLevel="1"/>
    <col min="37" max="37" width="7.28515625" style="9" customWidth="1" collapsed="1"/>
    <col min="38" max="38" width="0.85546875" style="6" customWidth="1"/>
    <col min="39" max="42" width="7.28515625" style="9" hidden="1" customWidth="1" outlineLevel="1"/>
    <col min="43" max="43" width="7.28515625" style="9" customWidth="1" collapsed="1"/>
    <col min="44" max="44" width="0.85546875" style="6" customWidth="1"/>
    <col min="45" max="48" width="7.28515625" style="9" hidden="1" customWidth="1" outlineLevel="1"/>
    <col min="49" max="49" width="7.28515625" style="9" customWidth="1" collapsed="1"/>
    <col min="50" max="50" width="0.85546875" style="6" customWidth="1"/>
    <col min="51" max="54" width="7.28515625" style="9" hidden="1" customWidth="1" outlineLevel="1"/>
    <col min="55" max="55" width="7.28515625" style="9" customWidth="1" collapsed="1"/>
    <col min="56" max="56" width="0.85546875" style="6" customWidth="1"/>
    <col min="57" max="60" width="7.28515625" style="9" hidden="1" customWidth="1" outlineLevel="1"/>
    <col min="61" max="61" width="7.28515625" style="9" customWidth="1" collapsed="1"/>
    <col min="62" max="62" width="0.85546875" style="6" customWidth="1"/>
    <col min="63" max="66" width="7.28515625" style="9" hidden="1" customWidth="1" outlineLevel="1"/>
    <col min="67" max="67" width="7.28515625" style="9" customWidth="1" collapsed="1"/>
    <col min="68" max="68" width="0.85546875" style="6" customWidth="1"/>
    <col min="69" max="72" width="7.28515625" style="9" customWidth="1" outlineLevel="1"/>
    <col min="73" max="73" width="7.28515625" style="9" customWidth="1"/>
    <col min="74" max="74" width="0.85546875" style="6" customWidth="1"/>
    <col min="75" max="78" width="7.28515625" style="9" customWidth="1" outlineLevel="1"/>
    <col min="79" max="79" width="7.28515625" style="9" customWidth="1"/>
    <col min="80" max="80" width="0.85546875" style="6" customWidth="1"/>
    <col min="81" max="84" width="7.28515625" style="9" hidden="1" customWidth="1" outlineLevel="1"/>
    <col min="85" max="85" width="7.28515625" style="9" customWidth="1" collapsed="1"/>
    <col min="86" max="86" width="0.85546875" style="6" customWidth="1"/>
    <col min="87" max="90" width="7.28515625" style="9" hidden="1" customWidth="1" outlineLevel="1"/>
    <col min="91" max="91" width="7.28515625" style="9" customWidth="1" collapsed="1"/>
    <col min="92" max="94" width="7.28515625" style="6" customWidth="1"/>
    <col min="95" max="100" width="7.28515625" hidden="1" customWidth="1" outlineLevel="1"/>
    <col min="101" max="101" width="7.28515625" style="6" customWidth="1" collapsed="1"/>
    <col min="102" max="16384" width="9.140625" style="6"/>
  </cols>
  <sheetData>
    <row r="1" spans="1:100" s="16" customFormat="1" ht="11.25" customHeight="1" x14ac:dyDescent="0.2">
      <c r="A1"/>
      <c r="B1" s="411" t="s">
        <v>359</v>
      </c>
      <c r="C1" s="50"/>
      <c r="D1" s="50"/>
      <c r="E1" s="50"/>
      <c r="F1" s="50"/>
      <c r="G1" s="50"/>
      <c r="H1" s="26"/>
      <c r="I1" s="412"/>
      <c r="J1" s="50"/>
      <c r="K1" s="50"/>
      <c r="L1" s="50"/>
      <c r="M1" s="50"/>
      <c r="N1" s="26"/>
      <c r="O1" s="50"/>
      <c r="P1" s="50"/>
      <c r="Q1" s="50"/>
      <c r="R1" s="50"/>
      <c r="S1" s="50"/>
      <c r="T1" s="26"/>
      <c r="U1" s="50"/>
      <c r="V1" s="50"/>
      <c r="W1" s="50"/>
      <c r="X1" s="50"/>
      <c r="Y1" s="51"/>
      <c r="Z1" s="26"/>
      <c r="AA1" s="50"/>
      <c r="AB1" s="50"/>
      <c r="AC1" s="50"/>
      <c r="AD1" s="50"/>
      <c r="AE1" s="50"/>
      <c r="AF1" s="26"/>
      <c r="AG1" s="50"/>
      <c r="AH1" s="50"/>
      <c r="AI1" s="50"/>
      <c r="AJ1" s="50"/>
      <c r="AK1" s="50"/>
      <c r="AL1" s="26"/>
      <c r="AM1" s="50"/>
      <c r="AN1" s="50"/>
      <c r="AO1" s="95"/>
      <c r="AP1" s="50"/>
      <c r="AQ1" s="50"/>
      <c r="AR1" s="26"/>
      <c r="AS1" s="50"/>
      <c r="AT1" s="14"/>
      <c r="AU1" s="14"/>
      <c r="AV1" s="14"/>
      <c r="AW1" s="14"/>
      <c r="AX1" s="26"/>
      <c r="AY1" s="14"/>
      <c r="AZ1" s="14"/>
      <c r="BA1" s="14"/>
      <c r="BB1" s="14"/>
      <c r="BC1" s="14"/>
      <c r="BD1" s="26"/>
      <c r="BE1" s="50"/>
      <c r="BF1" s="50"/>
      <c r="BG1" s="50"/>
      <c r="BH1" s="14"/>
      <c r="BI1" s="14"/>
      <c r="BJ1" s="26"/>
      <c r="BK1" s="50"/>
      <c r="BL1" s="50"/>
      <c r="BM1" s="50"/>
      <c r="BN1" s="50"/>
      <c r="BO1" s="413"/>
      <c r="BP1" s="26"/>
      <c r="BQ1" s="26"/>
      <c r="BR1" s="50"/>
      <c r="BS1" s="50"/>
      <c r="BT1" s="50"/>
      <c r="BU1" s="50"/>
      <c r="BV1" s="26"/>
      <c r="BW1" s="50"/>
      <c r="BX1" s="50"/>
      <c r="BY1" s="50"/>
      <c r="BZ1" s="50"/>
      <c r="CA1" s="50"/>
      <c r="CB1" s="26"/>
      <c r="CC1" s="50"/>
      <c r="CD1" s="50"/>
      <c r="CE1" s="50"/>
      <c r="CF1" s="50"/>
      <c r="CG1" s="50"/>
      <c r="CH1" s="26"/>
      <c r="CI1" s="50"/>
      <c r="CJ1" s="50"/>
      <c r="CK1" s="50"/>
      <c r="CL1" s="50"/>
      <c r="CM1" s="50"/>
      <c r="CN1" s="26"/>
      <c r="CO1" s="17"/>
      <c r="CP1" s="17"/>
      <c r="CQ1"/>
      <c r="CR1"/>
      <c r="CS1"/>
      <c r="CT1"/>
      <c r="CU1"/>
      <c r="CV1"/>
    </row>
    <row r="2" spans="1:100" s="16" customFormat="1" ht="11.25" customHeight="1" x14ac:dyDescent="0.2">
      <c r="A2"/>
      <c r="B2" s="414" t="s">
        <v>146</v>
      </c>
      <c r="C2" s="50"/>
      <c r="D2" s="50"/>
      <c r="E2" s="50"/>
      <c r="F2" s="50"/>
      <c r="G2" s="50"/>
      <c r="H2" s="26"/>
      <c r="I2" s="412"/>
      <c r="J2" s="50"/>
      <c r="K2" s="50"/>
      <c r="L2" s="50"/>
      <c r="M2" s="50"/>
      <c r="N2" s="26"/>
      <c r="O2" s="50"/>
      <c r="P2" s="50"/>
      <c r="Q2" s="50"/>
      <c r="R2" s="50"/>
      <c r="S2" s="50"/>
      <c r="T2" s="26"/>
      <c r="U2" s="50"/>
      <c r="V2" s="50"/>
      <c r="W2" s="50"/>
      <c r="X2" s="50"/>
      <c r="Y2" s="415"/>
      <c r="Z2" s="26"/>
      <c r="AA2" s="50"/>
      <c r="AB2" s="50"/>
      <c r="AC2" s="50"/>
      <c r="AD2" s="95"/>
      <c r="AE2" s="50"/>
      <c r="AF2" s="26"/>
      <c r="AG2" s="50"/>
      <c r="AH2" s="50"/>
      <c r="AI2" s="50"/>
      <c r="AJ2" s="50"/>
      <c r="AK2" s="50"/>
      <c r="AL2" s="26"/>
      <c r="AM2" s="50"/>
      <c r="AN2" s="50"/>
      <c r="AO2" s="50"/>
      <c r="AP2" s="50"/>
      <c r="AQ2" s="50"/>
      <c r="AR2" s="26"/>
      <c r="AS2" s="80"/>
      <c r="AT2" s="80"/>
      <c r="AU2" s="80"/>
      <c r="AV2" s="80"/>
      <c r="AW2" s="14"/>
      <c r="AX2" s="26"/>
      <c r="AY2" s="14"/>
      <c r="AZ2" s="14"/>
      <c r="BA2" s="14"/>
      <c r="BB2" s="14"/>
      <c r="BC2" s="14"/>
      <c r="BD2" s="26"/>
      <c r="BE2" s="50"/>
      <c r="BF2" s="50"/>
      <c r="BG2" s="50"/>
      <c r="BH2" s="14"/>
      <c r="BI2" s="14"/>
      <c r="BJ2" s="26"/>
      <c r="BK2" s="50"/>
      <c r="BL2" s="50"/>
      <c r="BM2" s="50"/>
      <c r="BN2" s="50"/>
      <c r="BO2" s="416"/>
      <c r="BP2" s="26"/>
      <c r="BQ2" s="26"/>
      <c r="BR2" s="50"/>
      <c r="BS2" s="50"/>
      <c r="BT2" s="50"/>
      <c r="BU2" s="1286"/>
      <c r="BV2" s="26"/>
      <c r="BW2" s="50"/>
      <c r="BX2" s="50"/>
      <c r="BY2" s="50"/>
      <c r="BZ2" s="50"/>
      <c r="CA2" s="417"/>
      <c r="CB2" s="26"/>
      <c r="CC2" s="50"/>
      <c r="CD2" s="50"/>
      <c r="CE2" s="50"/>
      <c r="CF2" s="50"/>
      <c r="CG2" s="417"/>
      <c r="CH2" s="26"/>
      <c r="CI2" s="50"/>
      <c r="CJ2" s="50"/>
      <c r="CK2" s="50"/>
      <c r="CL2" s="50"/>
      <c r="CM2" s="417"/>
      <c r="CN2" s="26"/>
      <c r="CO2" s="17"/>
      <c r="CP2" s="17"/>
      <c r="CQ2"/>
      <c r="CR2"/>
      <c r="CS2"/>
      <c r="CT2"/>
      <c r="CU2"/>
      <c r="CV2"/>
    </row>
    <row r="3" spans="1:100" s="16" customFormat="1" ht="11.25" customHeight="1" x14ac:dyDescent="0.2">
      <c r="A3"/>
      <c r="B3" s="4" t="s">
        <v>221</v>
      </c>
      <c r="C3" s="50"/>
      <c r="D3" s="50"/>
      <c r="E3" s="50"/>
      <c r="F3" s="50"/>
      <c r="G3" s="50"/>
      <c r="H3" s="26"/>
      <c r="I3" s="412"/>
      <c r="J3" s="50"/>
      <c r="K3" s="50"/>
      <c r="L3" s="50"/>
      <c r="M3" s="50"/>
      <c r="N3" s="26"/>
      <c r="O3" s="50"/>
      <c r="P3" s="50"/>
      <c r="Q3" s="418"/>
      <c r="R3" s="418"/>
      <c r="S3" s="50"/>
      <c r="T3" s="26"/>
      <c r="U3" s="50"/>
      <c r="V3" s="50"/>
      <c r="W3" s="50"/>
      <c r="X3" s="50"/>
      <c r="Y3" s="415"/>
      <c r="Z3" s="26"/>
      <c r="AA3" s="50"/>
      <c r="AB3" s="50"/>
      <c r="AC3" s="50"/>
      <c r="AD3" s="95"/>
      <c r="AE3" s="50"/>
      <c r="AF3" s="26"/>
      <c r="AG3" s="50"/>
      <c r="AH3" s="50"/>
      <c r="AI3" s="50"/>
      <c r="AJ3" s="50"/>
      <c r="AK3" s="50"/>
      <c r="AL3" s="26"/>
      <c r="AM3" s="419"/>
      <c r="AN3" s="419"/>
      <c r="AO3" s="419"/>
      <c r="AP3" s="419"/>
      <c r="AQ3" s="50"/>
      <c r="AR3" s="26"/>
      <c r="AS3" s="419"/>
      <c r="AT3" s="14"/>
      <c r="AU3" s="14"/>
      <c r="AV3" s="14"/>
      <c r="AW3" s="14"/>
      <c r="AX3" s="26"/>
      <c r="AY3" s="14"/>
      <c r="AZ3" s="14"/>
      <c r="BA3" s="14"/>
      <c r="BB3" s="14"/>
      <c r="BC3" s="14"/>
      <c r="BD3" s="26"/>
      <c r="BE3" s="417"/>
      <c r="BF3" s="417"/>
      <c r="BG3" s="417"/>
      <c r="BH3" s="14"/>
      <c r="BI3" s="14"/>
      <c r="BJ3" s="26"/>
      <c r="BK3" s="417"/>
      <c r="BL3" s="417"/>
      <c r="BM3" s="417"/>
      <c r="BN3" s="417"/>
      <c r="BO3" s="212"/>
      <c r="BP3" s="26"/>
      <c r="BQ3" s="416"/>
      <c r="BR3" s="417"/>
      <c r="BS3" s="417"/>
      <c r="BT3" s="417"/>
      <c r="BU3" s="417"/>
      <c r="BV3" s="26"/>
      <c r="BW3" s="417"/>
      <c r="BX3" s="417"/>
      <c r="BY3" s="417"/>
      <c r="BZ3" s="417"/>
      <c r="CA3" s="417"/>
      <c r="CB3" s="26"/>
      <c r="CC3" s="417"/>
      <c r="CD3" s="417"/>
      <c r="CE3" s="417"/>
      <c r="CF3" s="417"/>
      <c r="CG3" s="417"/>
      <c r="CH3" s="26"/>
      <c r="CI3" s="417"/>
      <c r="CJ3" s="417"/>
      <c r="CK3" s="417"/>
      <c r="CL3" s="417"/>
      <c r="CM3" s="417"/>
      <c r="CN3" s="26"/>
      <c r="CO3" s="17"/>
      <c r="CP3" s="17"/>
      <c r="CQ3"/>
      <c r="CR3"/>
      <c r="CS3"/>
      <c r="CT3"/>
      <c r="CU3"/>
      <c r="CV3"/>
    </row>
    <row r="4" spans="1:100" s="16" customFormat="1" ht="11.25" customHeight="1" x14ac:dyDescent="0.2">
      <c r="A4"/>
      <c r="B4" s="5" t="s">
        <v>304</v>
      </c>
      <c r="C4" s="412"/>
      <c r="D4" s="412"/>
      <c r="E4" s="412"/>
      <c r="F4" s="412"/>
      <c r="G4" s="412"/>
      <c r="H4" s="26"/>
      <c r="I4" s="412"/>
      <c r="J4" s="412"/>
      <c r="K4" s="412"/>
      <c r="L4" s="412"/>
      <c r="M4" s="412"/>
      <c r="N4" s="26"/>
      <c r="O4" s="412"/>
      <c r="P4" s="412"/>
      <c r="Q4" s="412"/>
      <c r="R4" s="412"/>
      <c r="S4" s="412"/>
      <c r="T4" s="26"/>
      <c r="U4" s="412"/>
      <c r="V4" s="412"/>
      <c r="W4" s="412"/>
      <c r="X4" s="412"/>
      <c r="Y4" s="42"/>
      <c r="Z4" s="26"/>
      <c r="AA4" s="412"/>
      <c r="AB4" s="420"/>
      <c r="AC4" s="412"/>
      <c r="AD4" s="421"/>
      <c r="AE4" s="412"/>
      <c r="AF4" s="26"/>
      <c r="AG4" s="412"/>
      <c r="AH4" s="412"/>
      <c r="AI4" s="412"/>
      <c r="AJ4" s="412"/>
      <c r="AK4" s="412"/>
      <c r="AL4" s="26"/>
      <c r="AM4" s="412"/>
      <c r="AN4" s="412"/>
      <c r="AO4" s="412"/>
      <c r="AP4" s="412"/>
      <c r="AQ4" s="412"/>
      <c r="AR4" s="26"/>
      <c r="AS4" s="412"/>
      <c r="AT4" s="14"/>
      <c r="AU4" s="14"/>
      <c r="AV4" s="14"/>
      <c r="AW4" s="14"/>
      <c r="AX4" s="26"/>
      <c r="AY4" s="14"/>
      <c r="AZ4" s="422"/>
      <c r="BA4" s="14"/>
      <c r="BB4" s="14"/>
      <c r="BC4" s="423"/>
      <c r="BD4" s="26"/>
      <c r="BE4" s="412"/>
      <c r="BF4" s="412"/>
      <c r="BG4" s="412"/>
      <c r="BH4" s="14"/>
      <c r="BI4" s="14"/>
      <c r="BJ4" s="26"/>
      <c r="BK4" s="412"/>
      <c r="BL4" s="412"/>
      <c r="BM4" s="412"/>
      <c r="BN4" s="412"/>
      <c r="BO4" s="14"/>
      <c r="BP4" s="26"/>
      <c r="BQ4" s="412"/>
      <c r="BR4" s="412"/>
      <c r="BS4" s="412"/>
      <c r="BT4" s="412"/>
      <c r="BU4" s="424"/>
      <c r="BV4" s="26"/>
      <c r="BW4" s="412"/>
      <c r="BX4" s="412"/>
      <c r="BY4" s="412"/>
      <c r="BZ4" s="412"/>
      <c r="CA4" s="424"/>
      <c r="CB4" s="26"/>
      <c r="CC4" s="412"/>
      <c r="CD4" s="412"/>
      <c r="CE4" s="412"/>
      <c r="CF4" s="412"/>
      <c r="CG4" s="424"/>
      <c r="CH4" s="26"/>
      <c r="CI4" s="412"/>
      <c r="CJ4" s="412"/>
      <c r="CK4" s="412"/>
      <c r="CL4" s="412"/>
      <c r="CM4" s="424"/>
      <c r="CN4" s="26"/>
      <c r="CO4" s="17"/>
      <c r="CP4" s="17"/>
      <c r="CQ4"/>
      <c r="CR4"/>
      <c r="CS4"/>
      <c r="CT4"/>
      <c r="CU4"/>
      <c r="CV4"/>
    </row>
    <row r="5" spans="1:100" s="38" customFormat="1" ht="11.25" customHeight="1" x14ac:dyDescent="0.2">
      <c r="A5" s="108"/>
      <c r="B5" s="138"/>
      <c r="C5" s="1401" t="s">
        <v>31</v>
      </c>
      <c r="D5" s="1402"/>
      <c r="E5" s="1402"/>
      <c r="F5" s="1403"/>
      <c r="G5" s="510" t="str">
        <f>C5</f>
        <v>2007A</v>
      </c>
      <c r="H5" s="107"/>
      <c r="I5" s="1404" t="s">
        <v>32</v>
      </c>
      <c r="J5" s="1405"/>
      <c r="K5" s="1405"/>
      <c r="L5" s="1406"/>
      <c r="M5" s="510" t="str">
        <f>I5</f>
        <v>2008A</v>
      </c>
      <c r="N5" s="107"/>
      <c r="O5" s="1401" t="s">
        <v>33</v>
      </c>
      <c r="P5" s="1402"/>
      <c r="Q5" s="1402"/>
      <c r="R5" s="1403"/>
      <c r="S5" s="510" t="str">
        <f>O5</f>
        <v>2009A</v>
      </c>
      <c r="T5" s="107"/>
      <c r="U5" s="1404" t="s">
        <v>103</v>
      </c>
      <c r="V5" s="1405"/>
      <c r="W5" s="1405"/>
      <c r="X5" s="1405"/>
      <c r="Y5" s="510" t="str">
        <f>U5</f>
        <v>2010A</v>
      </c>
      <c r="Z5" s="107"/>
      <c r="AA5" s="1404" t="s">
        <v>139</v>
      </c>
      <c r="AB5" s="1405"/>
      <c r="AC5" s="1405"/>
      <c r="AD5" s="1406"/>
      <c r="AE5" s="510" t="str">
        <f>AA5</f>
        <v>2011A</v>
      </c>
      <c r="AF5" s="107"/>
      <c r="AG5" s="1404" t="s">
        <v>140</v>
      </c>
      <c r="AH5" s="1405"/>
      <c r="AI5" s="1405"/>
      <c r="AJ5" s="1406"/>
      <c r="AK5" s="510" t="str">
        <f>AG5</f>
        <v>2012A</v>
      </c>
      <c r="AL5" s="107"/>
      <c r="AM5" s="1404" t="s">
        <v>141</v>
      </c>
      <c r="AN5" s="1407"/>
      <c r="AO5" s="1407"/>
      <c r="AP5" s="1406"/>
      <c r="AQ5" s="510" t="str">
        <f>AM5</f>
        <v>2013A</v>
      </c>
      <c r="AR5" s="107"/>
      <c r="AS5" s="1404" t="s">
        <v>245</v>
      </c>
      <c r="AT5" s="1407"/>
      <c r="AU5" s="1407"/>
      <c r="AV5" s="1406"/>
      <c r="AW5" s="510" t="str">
        <f>AS5</f>
        <v>2014A</v>
      </c>
      <c r="AX5" s="107"/>
      <c r="AY5" s="1404" t="s">
        <v>259</v>
      </c>
      <c r="AZ5" s="1407"/>
      <c r="BA5" s="1407"/>
      <c r="BB5" s="1406"/>
      <c r="BC5" s="510" t="str">
        <f>AY5</f>
        <v>2015A</v>
      </c>
      <c r="BD5" s="107"/>
      <c r="BE5" s="1404" t="s">
        <v>270</v>
      </c>
      <c r="BF5" s="1405"/>
      <c r="BG5" s="1405"/>
      <c r="BH5" s="1406"/>
      <c r="BI5" s="510" t="str">
        <f>BE5</f>
        <v>2016A</v>
      </c>
      <c r="BJ5" s="107"/>
      <c r="BK5" s="1401" t="s">
        <v>455</v>
      </c>
      <c r="BL5" s="1402"/>
      <c r="BM5" s="1402"/>
      <c r="BN5" s="1402"/>
      <c r="BO5" s="510" t="str">
        <f>BK5</f>
        <v>2017A</v>
      </c>
      <c r="BP5" s="107"/>
      <c r="BQ5" s="1401" t="s">
        <v>251</v>
      </c>
      <c r="BR5" s="1402"/>
      <c r="BS5" s="1402"/>
      <c r="BT5" s="1403"/>
      <c r="BU5" s="510" t="str">
        <f>BQ5</f>
        <v>2018E</v>
      </c>
      <c r="BV5" s="107"/>
      <c r="BW5" s="1401" t="s">
        <v>252</v>
      </c>
      <c r="BX5" s="1402"/>
      <c r="BY5" s="1402"/>
      <c r="BZ5" s="1403"/>
      <c r="CA5" s="510" t="str">
        <f>BW5</f>
        <v>2019E</v>
      </c>
      <c r="CB5" s="107"/>
      <c r="CC5" s="1401" t="s">
        <v>253</v>
      </c>
      <c r="CD5" s="1402"/>
      <c r="CE5" s="1402"/>
      <c r="CF5" s="1403"/>
      <c r="CG5" s="510" t="str">
        <f>CC5</f>
        <v>2020E</v>
      </c>
      <c r="CH5" s="107"/>
      <c r="CI5" s="1401" t="s">
        <v>565</v>
      </c>
      <c r="CJ5" s="1402"/>
      <c r="CK5" s="1402"/>
      <c r="CL5" s="1403"/>
      <c r="CM5" s="510" t="str">
        <f>CI5</f>
        <v>2021E</v>
      </c>
      <c r="CN5" s="13"/>
      <c r="CO5" s="13"/>
      <c r="CP5" s="13"/>
      <c r="CQ5"/>
      <c r="CR5"/>
      <c r="CS5"/>
      <c r="CT5"/>
      <c r="CU5"/>
      <c r="CV5"/>
    </row>
    <row r="6" spans="1:100" s="16" customFormat="1" ht="11.25" customHeight="1" x14ac:dyDescent="0.2">
      <c r="A6"/>
      <c r="B6" s="14"/>
      <c r="C6" s="509">
        <v>38929</v>
      </c>
      <c r="D6" s="256">
        <v>39021</v>
      </c>
      <c r="E6" s="256">
        <v>39113</v>
      </c>
      <c r="F6" s="256">
        <v>39202</v>
      </c>
      <c r="G6" s="513" t="str">
        <f>+C5</f>
        <v>2007A</v>
      </c>
      <c r="H6" s="99"/>
      <c r="I6" s="512">
        <f>O6-365</f>
        <v>39294</v>
      </c>
      <c r="J6" s="94">
        <f>P6-365</f>
        <v>39386</v>
      </c>
      <c r="K6" s="94">
        <f>Q6-365</f>
        <v>39478</v>
      </c>
      <c r="L6" s="94">
        <f>R6-365</f>
        <v>39568</v>
      </c>
      <c r="M6" s="511" t="str">
        <f>+I5</f>
        <v>2008A</v>
      </c>
      <c r="N6" s="99"/>
      <c r="O6" s="497">
        <f>U6-365</f>
        <v>39659</v>
      </c>
      <c r="P6" s="498">
        <f>V6-365</f>
        <v>39751</v>
      </c>
      <c r="Q6" s="498">
        <f>W6-365</f>
        <v>39843</v>
      </c>
      <c r="R6" s="498">
        <f>X6-365</f>
        <v>39933</v>
      </c>
      <c r="S6" s="511" t="str">
        <f>+O5</f>
        <v>2009A</v>
      </c>
      <c r="T6" s="99"/>
      <c r="U6" s="512">
        <f>AA6-365</f>
        <v>40024</v>
      </c>
      <c r="V6" s="94">
        <f>AB6-365</f>
        <v>40116</v>
      </c>
      <c r="W6" s="94">
        <f>AC6-365</f>
        <v>40208</v>
      </c>
      <c r="X6" s="94">
        <f>AD6-365</f>
        <v>40298</v>
      </c>
      <c r="Y6" s="511" t="str">
        <f>+U5</f>
        <v>2010A</v>
      </c>
      <c r="Z6" s="99"/>
      <c r="AA6" s="512">
        <v>40389</v>
      </c>
      <c r="AB6" s="94">
        <v>40481</v>
      </c>
      <c r="AC6" s="94">
        <v>40573</v>
      </c>
      <c r="AD6" s="94">
        <v>40663</v>
      </c>
      <c r="AE6" s="511" t="str">
        <f>+AA5</f>
        <v>2011A</v>
      </c>
      <c r="AF6" s="99"/>
      <c r="AG6" s="512">
        <v>40754</v>
      </c>
      <c r="AH6" s="94">
        <v>40846</v>
      </c>
      <c r="AI6" s="94">
        <v>40938</v>
      </c>
      <c r="AJ6" s="94">
        <v>41029</v>
      </c>
      <c r="AK6" s="511" t="str">
        <f>+AG5</f>
        <v>2012A</v>
      </c>
      <c r="AL6" s="99"/>
      <c r="AM6" s="512">
        <v>41120</v>
      </c>
      <c r="AN6" s="94">
        <v>41212</v>
      </c>
      <c r="AO6" s="94">
        <v>41304</v>
      </c>
      <c r="AP6" s="94">
        <v>41394</v>
      </c>
      <c r="AQ6" s="511" t="str">
        <f>+AM5</f>
        <v>2013A</v>
      </c>
      <c r="AR6" s="99"/>
      <c r="AS6" s="512">
        <v>41485</v>
      </c>
      <c r="AT6" s="94">
        <v>41577</v>
      </c>
      <c r="AU6" s="94">
        <v>41669</v>
      </c>
      <c r="AV6" s="94">
        <v>41759</v>
      </c>
      <c r="AW6" s="511" t="str">
        <f>+AS5</f>
        <v>2014A</v>
      </c>
      <c r="AX6" s="99"/>
      <c r="AY6" s="512">
        <v>41850</v>
      </c>
      <c r="AZ6" s="94">
        <v>41942</v>
      </c>
      <c r="BA6" s="94">
        <v>42034</v>
      </c>
      <c r="BB6" s="94">
        <v>42124</v>
      </c>
      <c r="BC6" s="511" t="str">
        <f>+AY5</f>
        <v>2015A</v>
      </c>
      <c r="BD6" s="99"/>
      <c r="BE6" s="512">
        <v>42215</v>
      </c>
      <c r="BF6" s="94">
        <v>42307</v>
      </c>
      <c r="BG6" s="94">
        <v>42399</v>
      </c>
      <c r="BH6" s="94">
        <v>42490</v>
      </c>
      <c r="BI6" s="511" t="str">
        <f>+BE5</f>
        <v>2016A</v>
      </c>
      <c r="BJ6" s="99"/>
      <c r="BK6" s="512">
        <v>42581</v>
      </c>
      <c r="BL6" s="94">
        <v>42673</v>
      </c>
      <c r="BM6" s="94">
        <v>42765</v>
      </c>
      <c r="BN6" s="94">
        <v>42855</v>
      </c>
      <c r="BO6" s="516" t="str">
        <f>+BK5</f>
        <v>2017A</v>
      </c>
      <c r="BP6" s="99"/>
      <c r="BQ6" s="1284">
        <v>42946</v>
      </c>
      <c r="BR6" s="1284">
        <v>43038</v>
      </c>
      <c r="BS6" s="1284">
        <v>43130</v>
      </c>
      <c r="BT6" s="92">
        <v>43220</v>
      </c>
      <c r="BU6" s="516" t="str">
        <f>+BQ5</f>
        <v>2018E</v>
      </c>
      <c r="BV6" s="99"/>
      <c r="BW6" s="515">
        <v>43311</v>
      </c>
      <c r="BX6" s="92">
        <v>43403</v>
      </c>
      <c r="BY6" s="92">
        <v>43495</v>
      </c>
      <c r="BZ6" s="92">
        <v>43585</v>
      </c>
      <c r="CA6" s="516" t="str">
        <f>+BW5</f>
        <v>2019E</v>
      </c>
      <c r="CB6" s="99"/>
      <c r="CC6" s="515">
        <f>+BW6+365.25</f>
        <v>43676.25</v>
      </c>
      <c r="CD6" s="92">
        <f>+BX6+365.25</f>
        <v>43768.25</v>
      </c>
      <c r="CE6" s="92">
        <f>+BY6+365.25</f>
        <v>43860.25</v>
      </c>
      <c r="CF6" s="92">
        <f>+BZ6+365.25</f>
        <v>43950.25</v>
      </c>
      <c r="CG6" s="516" t="str">
        <f>+CC5</f>
        <v>2020E</v>
      </c>
      <c r="CH6" s="99"/>
      <c r="CI6" s="515">
        <f>+CC6+365.25</f>
        <v>44041.5</v>
      </c>
      <c r="CJ6" s="92">
        <f>+CD6+365.25</f>
        <v>44133.5</v>
      </c>
      <c r="CK6" s="92">
        <f>+CE6+365.25</f>
        <v>44225.5</v>
      </c>
      <c r="CL6" s="92">
        <f>+CF6+365.25</f>
        <v>44315.5</v>
      </c>
      <c r="CM6" s="516" t="str">
        <f>+CI5</f>
        <v>2021E</v>
      </c>
      <c r="CN6" s="99"/>
      <c r="CO6" s="482"/>
      <c r="CP6" s="482"/>
      <c r="CQ6"/>
      <c r="CR6"/>
      <c r="CS6"/>
      <c r="CT6"/>
      <c r="CU6"/>
      <c r="CV6"/>
    </row>
    <row r="7" spans="1:100" s="16" customFormat="1" ht="11.25" hidden="1" customHeight="1" outlineLevel="1" x14ac:dyDescent="0.2">
      <c r="A7"/>
      <c r="B7" s="499" t="s">
        <v>104</v>
      </c>
      <c r="C7" s="144">
        <v>92</v>
      </c>
      <c r="D7" s="145">
        <f>+D6-C6</f>
        <v>92</v>
      </c>
      <c r="E7" s="145">
        <f>+E6-D6</f>
        <v>92</v>
      </c>
      <c r="F7" s="145">
        <f>+F6-E6</f>
        <v>89</v>
      </c>
      <c r="G7" s="491">
        <f>+SUM(C7:F7)</f>
        <v>365</v>
      </c>
      <c r="H7" s="99"/>
      <c r="I7" s="144">
        <f>+I6-F6</f>
        <v>92</v>
      </c>
      <c r="J7" s="145">
        <f>+J6-I6</f>
        <v>92</v>
      </c>
      <c r="K7" s="145">
        <f>+K6-J6</f>
        <v>92</v>
      </c>
      <c r="L7" s="145">
        <f>+L6-K6</f>
        <v>90</v>
      </c>
      <c r="M7" s="491">
        <f>+SUM(I7:L7)</f>
        <v>366</v>
      </c>
      <c r="N7" s="99"/>
      <c r="O7" s="144">
        <f>+O6-L6</f>
        <v>91</v>
      </c>
      <c r="P7" s="145">
        <f>+P6-O6</f>
        <v>92</v>
      </c>
      <c r="Q7" s="145">
        <f>+Q6-P6</f>
        <v>92</v>
      </c>
      <c r="R7" s="145">
        <f>+R6-Q6</f>
        <v>90</v>
      </c>
      <c r="S7" s="491">
        <f>+SUM(O7:R7)</f>
        <v>365</v>
      </c>
      <c r="T7" s="99"/>
      <c r="U7" s="144">
        <f>+U6-R6</f>
        <v>91</v>
      </c>
      <c r="V7" s="145">
        <f>+V6-U6</f>
        <v>92</v>
      </c>
      <c r="W7" s="145">
        <f>+W6-V6</f>
        <v>92</v>
      </c>
      <c r="X7" s="145">
        <f>+X6-W6</f>
        <v>90</v>
      </c>
      <c r="Y7" s="491">
        <f>+SUM(U7:X7)</f>
        <v>365</v>
      </c>
      <c r="Z7" s="99"/>
      <c r="AA7" s="144">
        <f>+AA6-X6</f>
        <v>91</v>
      </c>
      <c r="AB7" s="145">
        <f>+AB6-AA6</f>
        <v>92</v>
      </c>
      <c r="AC7" s="145">
        <f>+AC6-AB6</f>
        <v>92</v>
      </c>
      <c r="AD7" s="145">
        <f>+AD6-AC6</f>
        <v>90</v>
      </c>
      <c r="AE7" s="491">
        <f>+SUM(AA7:AD7)</f>
        <v>365</v>
      </c>
      <c r="AF7" s="99"/>
      <c r="AG7" s="144">
        <f>+AG6-AD6</f>
        <v>91</v>
      </c>
      <c r="AH7" s="145">
        <f>+AH6-AG6</f>
        <v>92</v>
      </c>
      <c r="AI7" s="145">
        <f>+AI6-AH6</f>
        <v>92</v>
      </c>
      <c r="AJ7" s="145">
        <f>+AJ6-AI6</f>
        <v>91</v>
      </c>
      <c r="AK7" s="491">
        <f>+SUM(AG7:AJ7)</f>
        <v>366</v>
      </c>
      <c r="AL7" s="99"/>
      <c r="AM7" s="144">
        <f>+AM6-AJ6</f>
        <v>91</v>
      </c>
      <c r="AN7" s="145">
        <f>+AN6-AM6</f>
        <v>92</v>
      </c>
      <c r="AO7" s="145">
        <f>+AO6-AN6</f>
        <v>92</v>
      </c>
      <c r="AP7" s="145">
        <f>+AP6-AO6</f>
        <v>90</v>
      </c>
      <c r="AQ7" s="491">
        <f>+SUM(AM7:AP7)</f>
        <v>365</v>
      </c>
      <c r="AR7" s="99"/>
      <c r="AS7" s="144">
        <f>+AS6-AP6</f>
        <v>91</v>
      </c>
      <c r="AT7" s="145">
        <f>+AT6-AS6</f>
        <v>92</v>
      </c>
      <c r="AU7" s="145">
        <f>+AU6-AT6</f>
        <v>92</v>
      </c>
      <c r="AV7" s="145">
        <f>+AV6-AU6</f>
        <v>90</v>
      </c>
      <c r="AW7" s="491">
        <f>+SUM(AS7:AV7)</f>
        <v>365</v>
      </c>
      <c r="AX7" s="99"/>
      <c r="AY7" s="144">
        <f>+AY6-AV6</f>
        <v>91</v>
      </c>
      <c r="AZ7" s="145">
        <f>+AZ6-AY6</f>
        <v>92</v>
      </c>
      <c r="BA7" s="145">
        <f>+BA6-AZ6</f>
        <v>92</v>
      </c>
      <c r="BB7" s="145">
        <f>+BB6-BA6</f>
        <v>90</v>
      </c>
      <c r="BC7" s="491">
        <f>+SUM(AY7:BB7)</f>
        <v>365</v>
      </c>
      <c r="BD7" s="99"/>
      <c r="BE7" s="144">
        <f>+BE6-BB6</f>
        <v>91</v>
      </c>
      <c r="BF7" s="145">
        <f>+BF6-BE6</f>
        <v>92</v>
      </c>
      <c r="BG7" s="145">
        <f>+BG6-BF6</f>
        <v>92</v>
      </c>
      <c r="BH7" s="145">
        <f>+BH6-BG6</f>
        <v>91</v>
      </c>
      <c r="BI7" s="491">
        <f>+SUM(BE7:BH7)</f>
        <v>366</v>
      </c>
      <c r="BJ7" s="99"/>
      <c r="BK7" s="144">
        <f>+BK6-BH6</f>
        <v>91</v>
      </c>
      <c r="BL7" s="145">
        <f>+BL6-BK6</f>
        <v>92</v>
      </c>
      <c r="BM7" s="145">
        <f>+BM6-BL6</f>
        <v>92</v>
      </c>
      <c r="BN7" s="145">
        <f>+BN6-BM6</f>
        <v>90</v>
      </c>
      <c r="BO7" s="491">
        <f>+SUM(BK7:BN7)</f>
        <v>365</v>
      </c>
      <c r="BP7" s="99"/>
      <c r="BQ7" s="517">
        <f>+BQ6-BN6</f>
        <v>91</v>
      </c>
      <c r="BR7" s="518">
        <f>+BR6-BQ6</f>
        <v>92</v>
      </c>
      <c r="BS7" s="518">
        <f>+BS6-BR6</f>
        <v>92</v>
      </c>
      <c r="BT7" s="145">
        <f>+BT6-BS6</f>
        <v>90</v>
      </c>
      <c r="BU7" s="491">
        <f>+SUM(BQ7:BT7)</f>
        <v>365</v>
      </c>
      <c r="BV7" s="99"/>
      <c r="BW7" s="517">
        <f>+BW6-BT6</f>
        <v>91</v>
      </c>
      <c r="BX7" s="518">
        <f>+BX6-BW6</f>
        <v>92</v>
      </c>
      <c r="BY7" s="518">
        <f>+BY6-BX6</f>
        <v>92</v>
      </c>
      <c r="BZ7" s="145">
        <f>+BZ6-BY6</f>
        <v>90</v>
      </c>
      <c r="CA7" s="491">
        <f>+SUM(BW7:BZ7)</f>
        <v>365</v>
      </c>
      <c r="CB7" s="99"/>
      <c r="CC7" s="517">
        <f>+CC6-BZ6</f>
        <v>91.25</v>
      </c>
      <c r="CD7" s="518">
        <f>+CD6-CC6</f>
        <v>92</v>
      </c>
      <c r="CE7" s="518">
        <f>+CE6-CD6</f>
        <v>92</v>
      </c>
      <c r="CF7" s="145">
        <f>+CF6-CE6</f>
        <v>90</v>
      </c>
      <c r="CG7" s="491">
        <f>+SUM(CC7:CF7)</f>
        <v>365.25</v>
      </c>
      <c r="CH7" s="99"/>
      <c r="CI7" s="1287">
        <f>+CI6-CF6</f>
        <v>91.25</v>
      </c>
      <c r="CJ7" s="518">
        <f>+CJ6-CI6</f>
        <v>92</v>
      </c>
      <c r="CK7" s="518">
        <f>+CK6-CJ6</f>
        <v>92</v>
      </c>
      <c r="CL7" s="145">
        <f>+CL6-CK6</f>
        <v>90</v>
      </c>
      <c r="CM7" s="491">
        <f>+SUM(CI7:CL7)</f>
        <v>365.25</v>
      </c>
      <c r="CN7" s="99"/>
      <c r="CO7" s="17"/>
      <c r="CP7" s="17"/>
      <c r="CQ7"/>
      <c r="CR7"/>
      <c r="CS7"/>
      <c r="CT7"/>
      <c r="CU7"/>
      <c r="CV7"/>
    </row>
    <row r="8" spans="1:100" s="16" customFormat="1" ht="11.25" customHeight="1" collapsed="1" x14ac:dyDescent="0.2">
      <c r="A8" s="65"/>
      <c r="B8" s="500" t="s">
        <v>99</v>
      </c>
      <c r="C8" s="236">
        <v>655.48800000000006</v>
      </c>
      <c r="D8" s="225">
        <v>694.27300000000002</v>
      </c>
      <c r="E8" s="225">
        <v>709.49400000000003</v>
      </c>
      <c r="F8" s="225">
        <v>739.14300000000003</v>
      </c>
      <c r="G8" s="492">
        <f>SUM(C8:F8)</f>
        <v>2798.3980000000001</v>
      </c>
      <c r="H8" s="41"/>
      <c r="I8" s="236">
        <v>701.40300000000002</v>
      </c>
      <c r="J8" s="225">
        <v>741.99199999999996</v>
      </c>
      <c r="K8" s="225">
        <v>776.94600000000003</v>
      </c>
      <c r="L8" s="225">
        <v>778.38800000000003</v>
      </c>
      <c r="M8" s="492">
        <f>SUM(I8:L8)</f>
        <v>2998.7289999999998</v>
      </c>
      <c r="N8" s="41"/>
      <c r="O8" s="236">
        <v>743.85900000000004</v>
      </c>
      <c r="P8" s="225">
        <v>759.46100000000001</v>
      </c>
      <c r="Q8" s="225">
        <v>811.02300000000002</v>
      </c>
      <c r="R8" s="225">
        <v>779.88400000000001</v>
      </c>
      <c r="S8" s="492">
        <f>SUM(O8:R8)</f>
        <v>3094.2270000000003</v>
      </c>
      <c r="T8" s="41"/>
      <c r="U8" s="236">
        <v>789.57899999999995</v>
      </c>
      <c r="V8" s="225">
        <v>814.95100000000002</v>
      </c>
      <c r="W8" s="225">
        <v>820.08399999999995</v>
      </c>
      <c r="X8" s="225">
        <v>812.76199999999994</v>
      </c>
      <c r="Y8" s="492">
        <f>SUM(U8:X8)</f>
        <v>3237.3760000000002</v>
      </c>
      <c r="Z8" s="41"/>
      <c r="AA8" s="236">
        <v>849.78700000000003</v>
      </c>
      <c r="AB8" s="225">
        <v>857.41399999999999</v>
      </c>
      <c r="AC8" s="225">
        <v>824.65</v>
      </c>
      <c r="AD8" s="225">
        <v>883.81899999999996</v>
      </c>
      <c r="AE8" s="492">
        <f>SUM(AA8:AD8)</f>
        <v>3415.67</v>
      </c>
      <c r="AF8" s="41"/>
      <c r="AG8" s="236">
        <v>847.42200000000003</v>
      </c>
      <c r="AH8" s="225">
        <v>856.875</v>
      </c>
      <c r="AI8" s="225">
        <v>895.03</v>
      </c>
      <c r="AJ8" s="225">
        <v>936.33399999999995</v>
      </c>
      <c r="AK8" s="492">
        <f>SUM(AG8:AJ8)</f>
        <v>3535.6610000000001</v>
      </c>
      <c r="AL8" s="41"/>
      <c r="AM8" s="236">
        <v>889.22500000000002</v>
      </c>
      <c r="AN8" s="225">
        <v>867.19299999999998</v>
      </c>
      <c r="AO8" s="225">
        <v>915.86099999999999</v>
      </c>
      <c r="AP8" s="225">
        <v>964.93299999999999</v>
      </c>
      <c r="AQ8" s="492">
        <f>SUM(AM8:AP8)</f>
        <v>3637.212</v>
      </c>
      <c r="AR8" s="41"/>
      <c r="AS8" s="236">
        <v>880.125</v>
      </c>
      <c r="AT8" s="225">
        <v>998.83399999999995</v>
      </c>
      <c r="AU8" s="225">
        <v>1082.6790000000001</v>
      </c>
      <c r="AV8" s="225">
        <v>1102.077</v>
      </c>
      <c r="AW8" s="492">
        <f>SUM(AS8:AV8)</f>
        <v>4063.7150000000001</v>
      </c>
      <c r="AX8" s="41"/>
      <c r="AY8" s="236">
        <v>938.95600000000002</v>
      </c>
      <c r="AZ8" s="225">
        <v>978.22</v>
      </c>
      <c r="BA8" s="225">
        <v>958.62800000000004</v>
      </c>
      <c r="BB8" s="225">
        <v>1035.0609999999999</v>
      </c>
      <c r="BC8" s="492">
        <f>SUM(AY8:BB8)</f>
        <v>3910.8649999999998</v>
      </c>
      <c r="BD8" s="41"/>
      <c r="BE8" s="236">
        <v>1142.8699999999999</v>
      </c>
      <c r="BF8" s="225">
        <v>1389.21</v>
      </c>
      <c r="BG8" s="225">
        <v>1400.8530000000001</v>
      </c>
      <c r="BH8" s="225">
        <v>1453.77</v>
      </c>
      <c r="BI8" s="492">
        <f>SUM(BE8:BH8)</f>
        <v>5386.7029999999995</v>
      </c>
      <c r="BJ8" s="41"/>
      <c r="BK8" s="1273">
        <v>1332.4359999999999</v>
      </c>
      <c r="BL8" s="1278">
        <v>1418.241</v>
      </c>
      <c r="BM8" s="1278">
        <v>1397.4179999999999</v>
      </c>
      <c r="BN8" s="1278">
        <v>1445.0319999999999</v>
      </c>
      <c r="BO8" s="492">
        <f>SUM(BK8:BN8)</f>
        <v>5593.1269999999995</v>
      </c>
      <c r="BP8" s="41"/>
      <c r="BQ8" s="1273">
        <v>1304.115</v>
      </c>
      <c r="BR8" s="1278">
        <v>1385.7370000000001</v>
      </c>
      <c r="BS8" s="1278">
        <v>1375.222</v>
      </c>
      <c r="BT8" s="231">
        <f>RevBuild!BT154</f>
        <v>1441.5627744061578</v>
      </c>
      <c r="BU8" s="492">
        <f>+SUM(BQ8:BT8)</f>
        <v>5506.6367744061572</v>
      </c>
      <c r="BV8" s="41"/>
      <c r="BW8" s="519">
        <f>RevBuild!BW154</f>
        <v>1310.7676700000002</v>
      </c>
      <c r="BX8" s="231">
        <f>RevBuild!BX154</f>
        <v>1432.3703800000001</v>
      </c>
      <c r="BY8" s="231">
        <f>RevBuild!BY154</f>
        <v>1412.47874</v>
      </c>
      <c r="BZ8" s="231">
        <f>RevBuild!BZ154</f>
        <v>1496.1673184175957</v>
      </c>
      <c r="CA8" s="492">
        <f>+SUM(BW8:BZ8)</f>
        <v>5651.7841084175961</v>
      </c>
      <c r="CB8" s="41"/>
      <c r="CC8" s="519">
        <f>RevBuild!CC154</f>
        <v>1343.3388220000002</v>
      </c>
      <c r="CD8" s="231">
        <f>RevBuild!CD154</f>
        <v>1467.3439948999999</v>
      </c>
      <c r="CE8" s="231">
        <f>RevBuild!CE154</f>
        <v>1450.1437599999999</v>
      </c>
      <c r="CF8" s="231">
        <f>RevBuild!CF154</f>
        <v>1536.2855792628322</v>
      </c>
      <c r="CG8" s="492">
        <f>+SUM(CC8:CF8)</f>
        <v>5797.1121561628324</v>
      </c>
      <c r="CH8" s="41"/>
      <c r="CI8" s="519">
        <f>RevBuild!CI154</f>
        <v>1379.6368443260001</v>
      </c>
      <c r="CJ8" s="231">
        <f>RevBuild!CJ154</f>
        <v>1507.0687469280001</v>
      </c>
      <c r="CK8" s="231">
        <f>RevBuild!CK154</f>
        <v>1488.9679645819999</v>
      </c>
      <c r="CL8" s="231">
        <f>RevBuild!CL154</f>
        <v>1577.6436752456161</v>
      </c>
      <c r="CM8" s="492">
        <f>+SUM(CI8:CL8)</f>
        <v>5953.3172310816153</v>
      </c>
      <c r="CN8" s="41"/>
      <c r="CO8" s="97"/>
      <c r="CP8" s="97"/>
      <c r="CQ8"/>
      <c r="CR8"/>
      <c r="CS8"/>
      <c r="CT8"/>
      <c r="CU8"/>
      <c r="CV8"/>
    </row>
    <row r="9" spans="1:100" s="16" customFormat="1" ht="11.25" customHeight="1" x14ac:dyDescent="0.2">
      <c r="A9" s="65"/>
      <c r="B9" s="501" t="s">
        <v>133</v>
      </c>
      <c r="C9" s="235">
        <v>433.07400000000001</v>
      </c>
      <c r="D9" s="226">
        <v>458.64400000000001</v>
      </c>
      <c r="E9" s="226">
        <v>459.22800000000001</v>
      </c>
      <c r="F9" s="226">
        <f>739.143-260.563</f>
        <v>478.58000000000004</v>
      </c>
      <c r="G9" s="493">
        <f>SUM(C9:F9)</f>
        <v>1829.5260000000003</v>
      </c>
      <c r="H9" s="215"/>
      <c r="I9" s="235">
        <v>464.26900000000001</v>
      </c>
      <c r="J9" s="226">
        <v>489.69299999999998</v>
      </c>
      <c r="K9" s="226">
        <v>507.80799999999999</v>
      </c>
      <c r="L9" s="226">
        <f>778.388-273.154</f>
        <v>505.23400000000004</v>
      </c>
      <c r="M9" s="493">
        <f>SUM(I9:L9)</f>
        <v>1967.0039999999999</v>
      </c>
      <c r="N9" s="215"/>
      <c r="O9" s="235">
        <v>492.12900000000002</v>
      </c>
      <c r="P9" s="226">
        <v>505.88600000000002</v>
      </c>
      <c r="Q9" s="226">
        <v>541.91399999999999</v>
      </c>
      <c r="R9" s="226">
        <f>779.884-269.11</f>
        <v>510.774</v>
      </c>
      <c r="S9" s="493">
        <f>SUM(O9:R9)</f>
        <v>2050.703</v>
      </c>
      <c r="T9" s="215"/>
      <c r="U9" s="235">
        <v>530.89499999999998</v>
      </c>
      <c r="V9" s="226">
        <v>548.41399999999999</v>
      </c>
      <c r="W9" s="226">
        <v>544.01499999999999</v>
      </c>
      <c r="X9" s="226">
        <f>812.762-288.111</f>
        <v>524.65099999999995</v>
      </c>
      <c r="Y9" s="493">
        <f>SUM(U9:X9)</f>
        <v>2147.9749999999999</v>
      </c>
      <c r="Z9" s="215"/>
      <c r="AA9" s="235">
        <f>849.787-280.2</f>
        <v>569.58699999999999</v>
      </c>
      <c r="AB9" s="226">
        <f>857.414-279.201</f>
        <v>578.21299999999997</v>
      </c>
      <c r="AC9" s="226">
        <f>824.65-280.875</f>
        <v>543.77499999999998</v>
      </c>
      <c r="AD9" s="226">
        <f>883.819-303.949</f>
        <v>579.86999999999989</v>
      </c>
      <c r="AE9" s="493">
        <f>SUM(AA9:AD9)</f>
        <v>2271.4449999999997</v>
      </c>
      <c r="AF9" s="215"/>
      <c r="AG9" s="235">
        <f>847.422-278.276</f>
        <v>569.14599999999996</v>
      </c>
      <c r="AH9" s="226">
        <f>856.875-280.983</f>
        <v>575.89200000000005</v>
      </c>
      <c r="AI9" s="226">
        <f>895.03-289.534</f>
        <v>605.49599999999998</v>
      </c>
      <c r="AJ9" s="226">
        <f>936.334-313.721</f>
        <v>622.61299999999994</v>
      </c>
      <c r="AK9" s="493">
        <f>SUM(AG9:AJ9)</f>
        <v>2373.1469999999999</v>
      </c>
      <c r="AL9" s="215"/>
      <c r="AM9" s="235">
        <f>889.225-285.7</f>
        <v>603.52500000000009</v>
      </c>
      <c r="AN9" s="226">
        <f>867.193-280.599</f>
        <v>586.59400000000005</v>
      </c>
      <c r="AO9" s="226">
        <f>915.861-300.293</f>
        <v>615.56799999999998</v>
      </c>
      <c r="AP9" s="226">
        <f>964.933-324.177</f>
        <v>640.75599999999997</v>
      </c>
      <c r="AQ9" s="493">
        <f>SUM(AM9:AP9)</f>
        <v>2446.4430000000002</v>
      </c>
      <c r="AR9" s="215"/>
      <c r="AS9" s="235">
        <f>880.125-281.518</f>
        <v>598.60699999999997</v>
      </c>
      <c r="AT9" s="226">
        <f>998.834-289.431-(3.2%*998.834)</f>
        <v>677.44031200000006</v>
      </c>
      <c r="AU9" s="226">
        <f>1082.679-311.461</f>
        <v>771.21800000000007</v>
      </c>
      <c r="AV9" s="226">
        <f>1102.077-315.868</f>
        <v>786.20900000000006</v>
      </c>
      <c r="AW9" s="493">
        <f>SUM(AS9:AV9)</f>
        <v>2833.4743120000003</v>
      </c>
      <c r="AX9" s="215"/>
      <c r="AY9" s="235">
        <v>688.33900000000006</v>
      </c>
      <c r="AZ9" s="226">
        <f>978.22-259.287</f>
        <v>718.93299999999999</v>
      </c>
      <c r="BA9" s="226">
        <f>958.628-262.442</f>
        <v>696.18600000000004</v>
      </c>
      <c r="BB9" s="226">
        <f>1035.061-288.203</f>
        <v>746.85799999999995</v>
      </c>
      <c r="BC9" s="493">
        <f>SUM(AY9:BB9)</f>
        <v>2850.3159999999998</v>
      </c>
      <c r="BD9" s="215"/>
      <c r="BE9" s="235">
        <v>854.62599999999998</v>
      </c>
      <c r="BF9" s="226">
        <v>1058.3109999999999</v>
      </c>
      <c r="BG9" s="226">
        <v>1060.989</v>
      </c>
      <c r="BH9" s="226">
        <f>1453.77-363.741</f>
        <v>1090.029</v>
      </c>
      <c r="BI9" s="493">
        <f>SUM(BE9:BH9)</f>
        <v>4063.9549999999999</v>
      </c>
      <c r="BJ9" s="215"/>
      <c r="BK9" s="1274">
        <v>1015.258</v>
      </c>
      <c r="BL9" s="1277">
        <v>1099.2809999999999</v>
      </c>
      <c r="BM9" s="1277">
        <v>1067.6569999999999</v>
      </c>
      <c r="BN9" s="990">
        <f>BN8-BN10</f>
        <v>1109.5339999999999</v>
      </c>
      <c r="BO9" s="493">
        <f>SUM(BK9:BN9)</f>
        <v>4291.7299999999996</v>
      </c>
      <c r="BP9" s="215"/>
      <c r="BQ9" s="227">
        <f>BQ8-BQ10</f>
        <v>1005.067</v>
      </c>
      <c r="BR9" s="990">
        <f>BR8-BR10</f>
        <v>1069.9940000000001</v>
      </c>
      <c r="BS9" s="990">
        <f>BS8-BS10</f>
        <v>1080.4859999999999</v>
      </c>
      <c r="BT9" s="195">
        <f>BT8-BT10</f>
        <v>1140.4172967599814</v>
      </c>
      <c r="BU9" s="493">
        <f>SUM(BQ9:BT9)</f>
        <v>4295.9642967599812</v>
      </c>
      <c r="BV9" s="215"/>
      <c r="BW9" s="227">
        <f>BW8-BW10</f>
        <v>1028.437945832821</v>
      </c>
      <c r="BX9" s="195">
        <f>BX8-BX10</f>
        <v>1131.2062398070698</v>
      </c>
      <c r="BY9" s="195">
        <f>BY8-BY10</f>
        <v>1111.7133186507401</v>
      </c>
      <c r="BZ9" s="195">
        <f>BZ8-BZ10</f>
        <v>1179.2525285314468</v>
      </c>
      <c r="CA9" s="493">
        <f>SUM(BW9:BZ9)</f>
        <v>4450.6100328220773</v>
      </c>
      <c r="CB9" s="215"/>
      <c r="CC9" s="227">
        <f>CC8-CC10</f>
        <v>1055.1055155090776</v>
      </c>
      <c r="CD9" s="195">
        <f>CD8-CD10</f>
        <v>1160.0760695448564</v>
      </c>
      <c r="CE9" s="195">
        <f>CE8-CE10</f>
        <v>1142.6618372580544</v>
      </c>
      <c r="CF9" s="195">
        <f>CF8-CF10</f>
        <v>1212.1794632849815</v>
      </c>
      <c r="CG9" s="493">
        <f>SUM(CC9:CF9)</f>
        <v>4570.0228855969699</v>
      </c>
      <c r="CH9" s="215"/>
      <c r="CI9" s="227">
        <f>CI8-CI10</f>
        <v>1088.7400623696633</v>
      </c>
      <c r="CJ9" s="195">
        <f>CJ8-CJ10</f>
        <v>1197.1000211009305</v>
      </c>
      <c r="CK9" s="195">
        <f>CK8-CK10</f>
        <v>1179.0010339054065</v>
      </c>
      <c r="CL9" s="195">
        <f>CL8-CL10</f>
        <v>1250.8251448912235</v>
      </c>
      <c r="CM9" s="493">
        <f>SUM(CI9:CL9)</f>
        <v>4715.6662622672238</v>
      </c>
      <c r="CN9" s="215"/>
      <c r="CO9" s="97"/>
      <c r="CP9" s="97"/>
      <c r="CQ9"/>
      <c r="CR9"/>
      <c r="CS9"/>
      <c r="CT9"/>
      <c r="CU9"/>
      <c r="CV9"/>
    </row>
    <row r="10" spans="1:100" s="16" customFormat="1" ht="11.25" customHeight="1" x14ac:dyDescent="0.2">
      <c r="A10" s="67"/>
      <c r="B10" s="500" t="s">
        <v>135</v>
      </c>
      <c r="C10" s="223">
        <f>+C8-C9</f>
        <v>222.41400000000004</v>
      </c>
      <c r="D10" s="211">
        <f>+D8-D9</f>
        <v>235.62900000000002</v>
      </c>
      <c r="E10" s="211">
        <f>+E8-E9</f>
        <v>250.26600000000002</v>
      </c>
      <c r="F10" s="211">
        <f>+F8-F9</f>
        <v>260.56299999999999</v>
      </c>
      <c r="G10" s="492">
        <f>+G8-G9</f>
        <v>968.87199999999984</v>
      </c>
      <c r="H10" s="41"/>
      <c r="I10" s="223">
        <f>+I8-I9</f>
        <v>237.13400000000001</v>
      </c>
      <c r="J10" s="211">
        <f>+J8-J9</f>
        <v>252.29899999999998</v>
      </c>
      <c r="K10" s="211">
        <f>+K8-K9</f>
        <v>269.13800000000003</v>
      </c>
      <c r="L10" s="211">
        <f>+L8-L9</f>
        <v>273.154</v>
      </c>
      <c r="M10" s="492">
        <f>+M8-M9</f>
        <v>1031.7249999999999</v>
      </c>
      <c r="N10" s="41"/>
      <c r="O10" s="223">
        <f>+O8-O9</f>
        <v>251.73000000000002</v>
      </c>
      <c r="P10" s="211">
        <f>+P8-P9</f>
        <v>253.57499999999999</v>
      </c>
      <c r="Q10" s="211">
        <f>+Q8-Q9</f>
        <v>269.10900000000004</v>
      </c>
      <c r="R10" s="211">
        <f>+R8-R9</f>
        <v>269.11</v>
      </c>
      <c r="S10" s="492">
        <f>+S8-S9</f>
        <v>1043.5240000000003</v>
      </c>
      <c r="T10" s="41"/>
      <c r="U10" s="223">
        <f>+U8-U9</f>
        <v>258.68399999999997</v>
      </c>
      <c r="V10" s="211">
        <f>+V8-V9</f>
        <v>266.53700000000003</v>
      </c>
      <c r="W10" s="211">
        <f>+W8-W9</f>
        <v>276.06899999999996</v>
      </c>
      <c r="X10" s="211">
        <f>+X8-X9</f>
        <v>288.11099999999999</v>
      </c>
      <c r="Y10" s="492">
        <f>+Y8-Y9</f>
        <v>1089.4010000000003</v>
      </c>
      <c r="Z10" s="41"/>
      <c r="AA10" s="223">
        <f>+AA8-AA9</f>
        <v>280.20000000000005</v>
      </c>
      <c r="AB10" s="211">
        <f>+AB8-AB9</f>
        <v>279.20100000000002</v>
      </c>
      <c r="AC10" s="211">
        <f>+AC8-AC9</f>
        <v>280.875</v>
      </c>
      <c r="AD10" s="211">
        <f>+AD8-AD9</f>
        <v>303.94900000000007</v>
      </c>
      <c r="AE10" s="492">
        <f>+AE8-AE9</f>
        <v>1144.2250000000004</v>
      </c>
      <c r="AF10" s="41"/>
      <c r="AG10" s="223">
        <f>+AG8-AG9</f>
        <v>278.27600000000007</v>
      </c>
      <c r="AH10" s="211">
        <f>+AH8-AH9</f>
        <v>280.98299999999995</v>
      </c>
      <c r="AI10" s="211">
        <f>+AI8-AI9</f>
        <v>289.53399999999999</v>
      </c>
      <c r="AJ10" s="211">
        <f>+AJ8-AJ9</f>
        <v>313.721</v>
      </c>
      <c r="AK10" s="492">
        <f>+AK8-AK9</f>
        <v>1162.5140000000001</v>
      </c>
      <c r="AL10" s="41"/>
      <c r="AM10" s="223">
        <f>+AM8-AM9</f>
        <v>285.69999999999993</v>
      </c>
      <c r="AN10" s="211">
        <f>+AN8-AN9</f>
        <v>280.59899999999993</v>
      </c>
      <c r="AO10" s="211">
        <f>+AO8-AO9</f>
        <v>300.29300000000001</v>
      </c>
      <c r="AP10" s="211">
        <f>+AP8-AP9</f>
        <v>324.17700000000002</v>
      </c>
      <c r="AQ10" s="492">
        <f>+AQ8-AQ9</f>
        <v>1190.7689999999998</v>
      </c>
      <c r="AR10" s="41"/>
      <c r="AS10" s="223">
        <f>+AS8-AS9</f>
        <v>281.51800000000003</v>
      </c>
      <c r="AT10" s="211">
        <f>+AT8-AT9</f>
        <v>321.39368799999988</v>
      </c>
      <c r="AU10" s="211">
        <f>+AU8-AU9</f>
        <v>311.46100000000001</v>
      </c>
      <c r="AV10" s="211">
        <f>+AV8-AV9</f>
        <v>315.86799999999994</v>
      </c>
      <c r="AW10" s="492">
        <f>+AW8-AW9</f>
        <v>1230.2406879999999</v>
      </c>
      <c r="AX10" s="41"/>
      <c r="AY10" s="223">
        <f>+AY8-AY9</f>
        <v>250.61699999999996</v>
      </c>
      <c r="AZ10" s="211">
        <f>+AZ8-AZ9</f>
        <v>259.28700000000003</v>
      </c>
      <c r="BA10" s="211">
        <f>+BA8-BA9</f>
        <v>262.44200000000001</v>
      </c>
      <c r="BB10" s="211">
        <f>+BB8-BB9</f>
        <v>288.20299999999997</v>
      </c>
      <c r="BC10" s="492">
        <f>+BC8-BC9</f>
        <v>1060.549</v>
      </c>
      <c r="BD10" s="41"/>
      <c r="BE10" s="223">
        <f>+BE8-BE9</f>
        <v>288.24399999999991</v>
      </c>
      <c r="BF10" s="211">
        <f>+BF8-BF9</f>
        <v>330.89900000000011</v>
      </c>
      <c r="BG10" s="211">
        <f>+BG8-BG9</f>
        <v>339.86400000000003</v>
      </c>
      <c r="BH10" s="211">
        <f>+BH8-BH9</f>
        <v>363.74099999999999</v>
      </c>
      <c r="BI10" s="492">
        <f>+BI8-BI9</f>
        <v>1322.7479999999996</v>
      </c>
      <c r="BJ10" s="41"/>
      <c r="BK10" s="223">
        <f>+BK8-BK9</f>
        <v>317.17799999999988</v>
      </c>
      <c r="BL10" s="211">
        <f>+BL8-BL9</f>
        <v>318.96000000000004</v>
      </c>
      <c r="BM10" s="211">
        <f>+BM8-BM9</f>
        <v>329.76099999999997</v>
      </c>
      <c r="BN10" s="1278">
        <v>335.49799999999999</v>
      </c>
      <c r="BO10" s="492">
        <f>+BO8-BO9</f>
        <v>1301.3969999999999</v>
      </c>
      <c r="BP10" s="41"/>
      <c r="BQ10" s="1273">
        <v>299.048</v>
      </c>
      <c r="BR10" s="1278">
        <v>315.74299999999999</v>
      </c>
      <c r="BS10" s="1278">
        <v>294.73599999999999</v>
      </c>
      <c r="BT10" s="211">
        <f>BT120</f>
        <v>301.1454776461764</v>
      </c>
      <c r="BU10" s="492">
        <f>+SUM(BQ10:BT10)</f>
        <v>1210.6724776461763</v>
      </c>
      <c r="BV10" s="41"/>
      <c r="BW10" s="223">
        <f t="shared" ref="BW10:CF10" si="0">BW120</f>
        <v>282.32972416717922</v>
      </c>
      <c r="BX10" s="211">
        <f t="shared" si="0"/>
        <v>301.16414019293029</v>
      </c>
      <c r="BY10" s="211">
        <f t="shared" si="0"/>
        <v>300.76542134925995</v>
      </c>
      <c r="BZ10" s="211">
        <f t="shared" si="0"/>
        <v>316.91478988614875</v>
      </c>
      <c r="CA10" s="492">
        <f>+SUM(BW10:BZ10)</f>
        <v>1201.1740755955182</v>
      </c>
      <c r="CB10" s="41"/>
      <c r="CC10" s="223">
        <f>CC120</f>
        <v>288.23330649092259</v>
      </c>
      <c r="CD10" s="211">
        <f t="shared" si="0"/>
        <v>307.2679253551434</v>
      </c>
      <c r="CE10" s="211">
        <f t="shared" si="0"/>
        <v>307.48192274194543</v>
      </c>
      <c r="CF10" s="211">
        <f t="shared" si="0"/>
        <v>324.10611597785089</v>
      </c>
      <c r="CG10" s="492">
        <f>+SUM(CC10:CF10)</f>
        <v>1227.0892705658625</v>
      </c>
      <c r="CH10" s="41"/>
      <c r="CI10" s="223">
        <f>CI120</f>
        <v>290.89678195633672</v>
      </c>
      <c r="CJ10" s="211">
        <f t="shared" ref="CJ10:CL10" si="1">CJ120</f>
        <v>309.96872582706959</v>
      </c>
      <c r="CK10" s="211">
        <f t="shared" si="1"/>
        <v>309.96693067659334</v>
      </c>
      <c r="CL10" s="211">
        <f t="shared" si="1"/>
        <v>326.81853035439264</v>
      </c>
      <c r="CM10" s="492">
        <f>+SUM(CI10:CL10)</f>
        <v>1237.6509688143922</v>
      </c>
      <c r="CN10" s="41"/>
      <c r="CO10" s="97"/>
      <c r="CP10" s="483"/>
      <c r="CQ10"/>
      <c r="CR10"/>
      <c r="CS10"/>
      <c r="CT10"/>
      <c r="CU10"/>
      <c r="CV10"/>
    </row>
    <row r="11" spans="1:100" s="16" customFormat="1" ht="11.25" customHeight="1" x14ac:dyDescent="0.2">
      <c r="A11" s="68"/>
      <c r="B11" s="501" t="s">
        <v>285</v>
      </c>
      <c r="C11" s="235">
        <v>153.87700000000001</v>
      </c>
      <c r="D11" s="226">
        <v>157.608</v>
      </c>
      <c r="E11" s="226">
        <v>157.58000000000001</v>
      </c>
      <c r="F11" s="226">
        <v>164.11699999999999</v>
      </c>
      <c r="G11" s="493">
        <f>SUM(C11:F11)</f>
        <v>633.18200000000002</v>
      </c>
      <c r="H11" s="19"/>
      <c r="I11" s="235">
        <v>161.92699999999999</v>
      </c>
      <c r="J11" s="226">
        <v>166.68600000000001</v>
      </c>
      <c r="K11" s="226">
        <v>172.024</v>
      </c>
      <c r="L11" s="226">
        <v>171.88499999999999</v>
      </c>
      <c r="M11" s="493">
        <f>SUM(I11:L11)</f>
        <v>672.52199999999993</v>
      </c>
      <c r="N11" s="19"/>
      <c r="O11" s="235">
        <v>172.136</v>
      </c>
      <c r="P11" s="226">
        <v>170.97300000000001</v>
      </c>
      <c r="Q11" s="226">
        <v>177.56700000000001</v>
      </c>
      <c r="R11" s="226">
        <v>176.62200000000001</v>
      </c>
      <c r="S11" s="493">
        <f>SUM(O11:R11)</f>
        <v>697.298</v>
      </c>
      <c r="T11" s="19"/>
      <c r="U11" s="235">
        <v>181.89400000000001</v>
      </c>
      <c r="V11" s="226">
        <v>182.05099999999999</v>
      </c>
      <c r="W11" s="226">
        <v>182.30199999999999</v>
      </c>
      <c r="X11" s="226">
        <v>187.863</v>
      </c>
      <c r="Y11" s="493">
        <f>SUM(U11:X11)</f>
        <v>734.1099999999999</v>
      </c>
      <c r="Z11" s="19"/>
      <c r="AA11" s="235">
        <v>191.17599999999999</v>
      </c>
      <c r="AB11" s="226">
        <v>189.04900000000001</v>
      </c>
      <c r="AC11" s="226">
        <v>188.16800000000001</v>
      </c>
      <c r="AD11" s="226">
        <v>199.82400000000001</v>
      </c>
      <c r="AE11" s="493">
        <f>SUM(AA11:AD11)</f>
        <v>768.2170000000001</v>
      </c>
      <c r="AF11" s="19"/>
      <c r="AG11" s="235">
        <v>196.28299999999999</v>
      </c>
      <c r="AH11" s="226">
        <v>197.72399999999999</v>
      </c>
      <c r="AI11" s="226">
        <v>199.62799999999999</v>
      </c>
      <c r="AJ11" s="226">
        <v>210.87</v>
      </c>
      <c r="AK11" s="493">
        <f>SUM(AG11:AJ11)</f>
        <v>804.505</v>
      </c>
      <c r="AL11" s="19"/>
      <c r="AM11" s="235">
        <f>203.108-AM59+AM63</f>
        <v>203.108</v>
      </c>
      <c r="AN11" s="226">
        <v>202.73</v>
      </c>
      <c r="AO11" s="226">
        <v>210.755</v>
      </c>
      <c r="AP11" s="226">
        <v>219.721</v>
      </c>
      <c r="AQ11" s="493">
        <f>SUM(AM11:AP11)</f>
        <v>836.31399999999996</v>
      </c>
      <c r="AR11" s="19"/>
      <c r="AS11" s="235">
        <v>200.23699999999999</v>
      </c>
      <c r="AT11" s="226">
        <f>214.208-((-2.4+0.6)%*998.834)</f>
        <v>232.18701199999998</v>
      </c>
      <c r="AU11" s="226">
        <f>214.81-AU59+AU63</f>
        <v>213.72732100000002</v>
      </c>
      <c r="AV11" s="226">
        <f>223.267-AV59+AV63</f>
        <v>216.654538</v>
      </c>
      <c r="AW11" s="493">
        <f>SUM(AS11:AV11)</f>
        <v>862.80587100000002</v>
      </c>
      <c r="AX11" s="19"/>
      <c r="AY11" s="235">
        <f>184.621-AY58</f>
        <v>181.88800000000001</v>
      </c>
      <c r="AZ11" s="226">
        <f>187.147-AZ58</f>
        <v>184.411</v>
      </c>
      <c r="BA11" s="226">
        <f>185.065-BA58</f>
        <v>182.29400000000001</v>
      </c>
      <c r="BB11" s="226">
        <f>199.13-BB58</f>
        <v>194.81700000000001</v>
      </c>
      <c r="BC11" s="493">
        <f>SUM(AY11:BB11)</f>
        <v>743.41</v>
      </c>
      <c r="BD11" s="19"/>
      <c r="BE11" s="235">
        <f>226.067-BE57-BE58-BE59</f>
        <v>205.268</v>
      </c>
      <c r="BF11" s="226">
        <f>247.436-BF57-BF58-BF59</f>
        <v>233.66800000000001</v>
      </c>
      <c r="BG11" s="226">
        <f>244.135-BG58-BG59+BG63-BG57-BG61</f>
        <v>231.527323</v>
      </c>
      <c r="BH11" s="226">
        <f>257.397-BH58-BH59+BH63-BH57-BH61</f>
        <v>244.09906999999998</v>
      </c>
      <c r="BI11" s="493">
        <f>SUM(BE11:BH11)</f>
        <v>914.56239300000004</v>
      </c>
      <c r="BJ11" s="19"/>
      <c r="BK11" s="1274">
        <f>251.762-BK57-BK58-BK59</f>
        <v>236.52599999999998</v>
      </c>
      <c r="BL11" s="1277">
        <f>239.157-BL57-BL58-BL59</f>
        <v>227.21</v>
      </c>
      <c r="BM11" s="1277">
        <f>283.207-BM57-BM58-BM59-BM61</f>
        <v>236.08299999999997</v>
      </c>
      <c r="BN11" s="1277">
        <f>239.343-BN57-BN58-BN59-BN61</f>
        <v>229.16299999999998</v>
      </c>
      <c r="BO11" s="493">
        <f>SUM(BK11:BN11)</f>
        <v>928.98199999999997</v>
      </c>
      <c r="BP11" s="19"/>
      <c r="BQ11" s="1274">
        <f>242.215-BQ57-BQ58-BQ59</f>
        <v>225.679</v>
      </c>
      <c r="BR11" s="1277">
        <f>243.984-BR57-BR58-BR59</f>
        <v>232.63600000000002</v>
      </c>
      <c r="BS11" s="1277">
        <f>244.69-BS57-BS58-BS59-BS61</f>
        <v>234.99799999999999</v>
      </c>
      <c r="BT11" s="195">
        <f>BT128</f>
        <v>245.06567164904683</v>
      </c>
      <c r="BU11" s="493">
        <f>SUM(BQ11:BT11)</f>
        <v>938.37867164904696</v>
      </c>
      <c r="BV11" s="19"/>
      <c r="BW11" s="227">
        <f>BW128</f>
        <v>229.38434225</v>
      </c>
      <c r="BX11" s="195">
        <f>BX128</f>
        <v>243.50296460000004</v>
      </c>
      <c r="BY11" s="195">
        <f>BY128</f>
        <v>239.95195474239048</v>
      </c>
      <c r="BZ11" s="195">
        <f>BZ128</f>
        <v>252.85227681257368</v>
      </c>
      <c r="CA11" s="493">
        <f>SUM(BW11:BZ11)</f>
        <v>965.69153840496426</v>
      </c>
      <c r="CB11" s="19"/>
      <c r="CC11" s="227">
        <f>CC128</f>
        <v>233.740955028</v>
      </c>
      <c r="CD11" s="195">
        <f>CD128</f>
        <v>247.9811351381</v>
      </c>
      <c r="CE11" s="195">
        <f>CE128</f>
        <v>244.90034635037145</v>
      </c>
      <c r="CF11" s="195">
        <f>CF128</f>
        <v>258.09597731615582</v>
      </c>
      <c r="CG11" s="493">
        <f>SUM(CC11:CF11)</f>
        <v>984.71841383262722</v>
      </c>
      <c r="CH11" s="19"/>
      <c r="CI11" s="227">
        <f>CI128</f>
        <v>238.67717406839799</v>
      </c>
      <c r="CJ11" s="195">
        <f>CJ128</f>
        <v>253.18754948390404</v>
      </c>
      <c r="CK11" s="195">
        <f>CK128</f>
        <v>249.96801188046413</v>
      </c>
      <c r="CL11" s="195">
        <f>CL128</f>
        <v>263.46649376601789</v>
      </c>
      <c r="CM11" s="493">
        <f>SUM(CI11:CL11)</f>
        <v>1005.2992291987841</v>
      </c>
      <c r="CN11" s="19"/>
      <c r="CO11" s="62"/>
      <c r="CP11" s="62"/>
      <c r="CQ11"/>
      <c r="CR11"/>
      <c r="CS11"/>
      <c r="CT11"/>
      <c r="CU11"/>
      <c r="CV11"/>
    </row>
    <row r="12" spans="1:100" s="16" customFormat="1" ht="11.25" customHeight="1" x14ac:dyDescent="0.2">
      <c r="A12" s="71"/>
      <c r="B12" s="501" t="s">
        <v>246</v>
      </c>
      <c r="C12" s="227">
        <f>+C13+'Cash Flow'!C11+'Cash Flow'!C12</f>
        <v>74.781000000000034</v>
      </c>
      <c r="D12" s="195">
        <f>+D13+'Cash Flow'!D11+'Cash Flow'!D12</f>
        <v>84.633000000000024</v>
      </c>
      <c r="E12" s="195">
        <f>+E13+'Cash Flow'!E11+'Cash Flow'!E12</f>
        <v>99.167000000000002</v>
      </c>
      <c r="F12" s="195">
        <f>+F13+'Cash Flow'!F11+'Cash Flow'!F12</f>
        <v>102.61</v>
      </c>
      <c r="G12" s="493">
        <f>+G13+'Cash Flow'!G11+'Cash Flow'!G12</f>
        <v>361.1909999999998</v>
      </c>
      <c r="H12" s="199"/>
      <c r="I12" s="227">
        <f>+I13+'Cash Flow'!I11+'Cash Flow'!I12</f>
        <v>81.29000000000002</v>
      </c>
      <c r="J12" s="195">
        <f>+J13+'Cash Flow'!J11+'Cash Flow'!J12</f>
        <v>91.853999999999971</v>
      </c>
      <c r="K12" s="195">
        <f>+K13+'Cash Flow'!K11+'Cash Flow'!K12</f>
        <v>104.28700000000003</v>
      </c>
      <c r="L12" s="195">
        <f>+L13+'Cash Flow'!L11+'Cash Flow'!L12</f>
        <v>108.05200000000001</v>
      </c>
      <c r="M12" s="493">
        <f>+M13+'Cash Flow'!M11+'Cash Flow'!M12</f>
        <v>385.483</v>
      </c>
      <c r="N12" s="199"/>
      <c r="O12" s="227">
        <f>+O13+'Cash Flow'!O11+'Cash Flow'!O12</f>
        <v>85.977000000000032</v>
      </c>
      <c r="P12" s="195">
        <f>+P13+'Cash Flow'!P11+'Cash Flow'!P12</f>
        <v>90.08299999999997</v>
      </c>
      <c r="Q12" s="195">
        <f>+Q13+'Cash Flow'!Q11+'Cash Flow'!Q12</f>
        <v>99.19300000000004</v>
      </c>
      <c r="R12" s="195">
        <f>+R13+'Cash Flow'!R11+'Cash Flow'!R12</f>
        <v>101.319</v>
      </c>
      <c r="S12" s="493">
        <f>+S13+'Cash Flow'!S11+'Cash Flow'!S12</f>
        <v>376.57200000000034</v>
      </c>
      <c r="T12" s="199"/>
      <c r="U12" s="227">
        <f>+U13+'Cash Flow'!U11+'Cash Flow'!U12</f>
        <v>85.646999999999963</v>
      </c>
      <c r="V12" s="195">
        <f>+V13+'Cash Flow'!V11+'Cash Flow'!V12</f>
        <v>94.298000000000059</v>
      </c>
      <c r="W12" s="195">
        <f>+W13+'Cash Flow'!W11+'Cash Flow'!W12</f>
        <v>103.33199999999997</v>
      </c>
      <c r="X12" s="195">
        <f>+X13+'Cash Flow'!X11+'Cash Flow'!X12</f>
        <v>111.48799999999999</v>
      </c>
      <c r="Y12" s="493">
        <f>+Y13+'Cash Flow'!Y11+'Cash Flow'!Y12</f>
        <v>394.76500000000038</v>
      </c>
      <c r="Z12" s="199"/>
      <c r="AA12" s="227">
        <f>+AA13+'Cash Flow'!AA11+'Cash Flow'!AA12</f>
        <v>98.547000000000068</v>
      </c>
      <c r="AB12" s="195">
        <f>+AB13+'Cash Flow'!AB11+'Cash Flow'!AB12</f>
        <v>101.68200000000002</v>
      </c>
      <c r="AC12" s="195">
        <f>+AC13+'Cash Flow'!AC11+'Cash Flow'!AC12</f>
        <v>102.489</v>
      </c>
      <c r="AD12" s="195">
        <f>+AD13+'Cash Flow'!AD11+'Cash Flow'!AD12</f>
        <v>114.62900000000005</v>
      </c>
      <c r="AE12" s="493">
        <f>+AE13+'Cash Flow'!AE11+'Cash Flow'!AE12</f>
        <v>417.34700000000026</v>
      </c>
      <c r="AF12" s="199"/>
      <c r="AG12" s="227">
        <f>+AG13+'Cash Flow'!AG11+'Cash Flow'!AG12</f>
        <v>91.075000000000088</v>
      </c>
      <c r="AH12" s="195">
        <f>+AH13+'Cash Flow'!AH11+'Cash Flow'!AH12</f>
        <v>93.715999999999966</v>
      </c>
      <c r="AI12" s="195">
        <f>+AI13+'Cash Flow'!AI11+'Cash Flow'!AI12</f>
        <v>100.79900000000001</v>
      </c>
      <c r="AJ12" s="195">
        <f>+AJ13+'Cash Flow'!AJ11+'Cash Flow'!AJ12</f>
        <v>114.628</v>
      </c>
      <c r="AK12" s="1081">
        <f>+AK13+'Cash Flow'!AK11+'Cash Flow'!AK12</f>
        <v>400.21800000000013</v>
      </c>
      <c r="AL12" s="185"/>
      <c r="AM12" s="520">
        <f>+AM13+'Cash Flow'!AM11+'Cash Flow'!AM12</f>
        <v>94.076999999999927</v>
      </c>
      <c r="AN12" s="230">
        <f>+AN13+'Cash Flow'!AN11+'Cash Flow'!AN12</f>
        <v>88.289999999999949</v>
      </c>
      <c r="AO12" s="230">
        <f>+AO13+'Cash Flow'!AO11+'Cash Flow'!AO12</f>
        <v>100.93900000000002</v>
      </c>
      <c r="AP12" s="230">
        <f>+AP13+'Cash Flow'!AP11+'Cash Flow'!AP12</f>
        <v>117.15100000000001</v>
      </c>
      <c r="AQ12" s="1081">
        <f>+AQ13+'Cash Flow'!AQ11+'Cash Flow'!AQ12</f>
        <v>400.45699999999982</v>
      </c>
      <c r="AR12" s="185"/>
      <c r="AS12" s="520">
        <f>+AS13+'Cash Flow'!AS11+'Cash Flow'!AS12</f>
        <v>92.257000000000033</v>
      </c>
      <c r="AT12" s="230">
        <f>+AT13+'Cash Flow'!AT11+'Cash Flow'!AT12</f>
        <v>101.2716759999999</v>
      </c>
      <c r="AU12" s="230">
        <f>+AU13+'Cash Flow'!AU11+'Cash Flow'!AU12</f>
        <v>111.37567899999999</v>
      </c>
      <c r="AV12" s="230">
        <f>+AV13+'Cash Flow'!AV11+'Cash Flow'!AV12</f>
        <v>112.51646199999995</v>
      </c>
      <c r="AW12" s="1081">
        <f>+AW13+'Cash Flow'!AW11+'Cash Flow'!AW12</f>
        <v>417.42081699999983</v>
      </c>
      <c r="AX12" s="185"/>
      <c r="AY12" s="520">
        <f>+AY13+'Cash Flow'!AY11+'Cash Flow'!AY12</f>
        <v>78.384999999999948</v>
      </c>
      <c r="AZ12" s="230">
        <f>+AZ13+'Cash Flow'!AZ11+'Cash Flow'!AZ12</f>
        <v>86.234000000000037</v>
      </c>
      <c r="BA12" s="230">
        <f>+BA13+'Cash Flow'!BA11+'Cash Flow'!BA12</f>
        <v>90.62299999999999</v>
      </c>
      <c r="BB12" s="230">
        <f>+BB13+'Cash Flow'!BB11+'Cash Flow'!BB12</f>
        <v>106.41999999999997</v>
      </c>
      <c r="BC12" s="1081">
        <f>+BC13+'Cash Flow'!BC11+'Cash Flow'!BC12</f>
        <v>361.66200000000003</v>
      </c>
      <c r="BD12" s="199"/>
      <c r="BE12" s="520">
        <f>+BE13+'Cash Flow'!BE11+'Cash Flow'!BE12</f>
        <v>98.222999999999914</v>
      </c>
      <c r="BF12" s="230">
        <f>+BF13+'Cash Flow'!BF11+'Cash Flow'!BF12</f>
        <v>120.3840000000001</v>
      </c>
      <c r="BG12" s="230">
        <f>+BG13+'Cash Flow'!BG11+'Cash Flow'!BG12</f>
        <v>128.75367700000004</v>
      </c>
      <c r="BH12" s="230">
        <f>+BH13+'Cash Flow'!BH11+'Cash Flow'!BH12</f>
        <v>143.20793</v>
      </c>
      <c r="BI12" s="1081">
        <f>+BI13+'Cash Flow'!BI11+'Cash Flow'!BI12</f>
        <v>490.56860699999953</v>
      </c>
      <c r="BJ12" s="185"/>
      <c r="BK12" s="520">
        <f>+BK13+'Cash Flow'!BK11+'Cash Flow'!BK12</f>
        <v>101.0109999999999</v>
      </c>
      <c r="BL12" s="230">
        <f>+BL13+'Cash Flow'!BL11+'Cash Flow'!BL12</f>
        <v>113.39800000000002</v>
      </c>
      <c r="BM12" s="230">
        <f>+BM13+'Cash Flow'!BM11+'Cash Flow'!BM12</f>
        <v>114.727</v>
      </c>
      <c r="BN12" s="230">
        <f>+BN13+'Cash Flow'!BN11+'Cash Flow'!BN12</f>
        <v>127.09700000000001</v>
      </c>
      <c r="BO12" s="1081">
        <f>+BO13+'Cash Flow'!BO11+'Cash Flow'!BO12</f>
        <v>456.233</v>
      </c>
      <c r="BP12" s="199"/>
      <c r="BQ12" s="520">
        <f>+BQ13+'Cash Flow'!BQ11+'Cash Flow'!BQ12</f>
        <v>94.472999999999985</v>
      </c>
      <c r="BR12" s="230">
        <f>+BR13+'Cash Flow'!BR11+'Cash Flow'!BR12</f>
        <v>103.83599999999998</v>
      </c>
      <c r="BS12" s="230">
        <f>+BS13+'Cash Flow'!BS11+'Cash Flow'!BS12</f>
        <v>80.692000000000007</v>
      </c>
      <c r="BT12" s="230">
        <f>+BT13+'Cash Flow'!BT11+'Cash Flow'!BT12</f>
        <v>76.635415458526268</v>
      </c>
      <c r="BU12" s="1081">
        <f>+BU13+'Cash Flow'!BU11+'Cash Flow'!BU12</f>
        <v>355.63641545852602</v>
      </c>
      <c r="BV12" s="185"/>
      <c r="BW12" s="520">
        <f>+BW13+'Cash Flow'!BW11+'Cash Flow'!BW12</f>
        <v>74.480207851784868</v>
      </c>
      <c r="BX12" s="230">
        <f>+BX13+'Cash Flow'!BX11+'Cash Flow'!BX12</f>
        <v>79.409675716624577</v>
      </c>
      <c r="BY12" s="230">
        <f>+BY13+'Cash Flow'!BY11+'Cash Flow'!BY12</f>
        <v>82.79546392951525</v>
      </c>
      <c r="BZ12" s="230">
        <f>+BZ13+'Cash Flow'!BZ11+'Cash Flow'!BZ12</f>
        <v>86.274764968623074</v>
      </c>
      <c r="CA12" s="1081">
        <f>+CA13+'Cash Flow'!CA11+'Cash Flow'!CA12</f>
        <v>322.96011246654763</v>
      </c>
      <c r="CB12" s="185"/>
      <c r="CC12" s="520">
        <f>+CC13+'Cash Flow'!CC11+'Cash Flow'!CC12</f>
        <v>76.198500385507018</v>
      </c>
      <c r="CD12" s="230">
        <f>+CD13+'Cash Flow'!CD11+'Cash Flow'!CD12</f>
        <v>81.211922900084929</v>
      </c>
      <c r="CE12" s="230">
        <f>+CE13+'Cash Flow'!CE11+'Cash Flow'!CE12</f>
        <v>84.745907481320486</v>
      </c>
      <c r="CF12" s="230">
        <f>+CF13+'Cash Flow'!CF11+'Cash Flow'!CF12</f>
        <v>88.410864269762271</v>
      </c>
      <c r="CG12" s="1081">
        <f>+CG13+'Cash Flow'!CG11+'Cash Flow'!CG12</f>
        <v>330.567195036675</v>
      </c>
      <c r="CH12" s="185"/>
      <c r="CI12" s="520">
        <f>+CI13+'Cash Flow'!CI11+'Cash Flow'!CI12</f>
        <v>74.870770383389356</v>
      </c>
      <c r="CJ12" s="230">
        <f>+CJ13+'Cash Flow'!CJ11+'Cash Flow'!CJ12</f>
        <v>79.65723970449443</v>
      </c>
      <c r="CK12" s="230">
        <f>+CK13+'Cash Flow'!CK11+'Cash Flow'!CK12</f>
        <v>83.120656276351113</v>
      </c>
      <c r="CL12" s="230">
        <f>+CL13+'Cash Flow'!CL11+'Cash Flow'!CL12</f>
        <v>86.716497496777535</v>
      </c>
      <c r="CM12" s="1081">
        <f>+CM13+'Cash Flow'!CM11+'Cash Flow'!CM12</f>
        <v>324.36516386101226</v>
      </c>
      <c r="CN12" s="199"/>
      <c r="CO12" s="62"/>
      <c r="CP12" s="62"/>
      <c r="CQ12"/>
      <c r="CR12"/>
      <c r="CS12"/>
      <c r="CT12"/>
      <c r="CU12"/>
      <c r="CV12"/>
    </row>
    <row r="13" spans="1:100" s="16" customFormat="1" ht="11.25" customHeight="1" x14ac:dyDescent="0.2">
      <c r="A13" s="73"/>
      <c r="B13" s="502" t="s">
        <v>176</v>
      </c>
      <c r="C13" s="223">
        <f>+C10-C11</f>
        <v>68.537000000000035</v>
      </c>
      <c r="D13" s="211">
        <f>+D10-D11</f>
        <v>78.021000000000015</v>
      </c>
      <c r="E13" s="211">
        <f>+E10-E11</f>
        <v>92.686000000000007</v>
      </c>
      <c r="F13" s="211">
        <f>+F10-F11</f>
        <v>96.445999999999998</v>
      </c>
      <c r="G13" s="492">
        <f>+G10-G11</f>
        <v>335.68999999999983</v>
      </c>
      <c r="H13" s="203"/>
      <c r="I13" s="223">
        <f>+I10-I11</f>
        <v>75.207000000000022</v>
      </c>
      <c r="J13" s="211">
        <f>+J10-J11</f>
        <v>85.612999999999971</v>
      </c>
      <c r="K13" s="211">
        <f>+K10-K11</f>
        <v>97.114000000000033</v>
      </c>
      <c r="L13" s="211">
        <f>+L10-L11</f>
        <v>101.26900000000001</v>
      </c>
      <c r="M13" s="492">
        <f>+M10-M11</f>
        <v>359.20299999999997</v>
      </c>
      <c r="N13" s="203"/>
      <c r="O13" s="223">
        <f>+O10-O11</f>
        <v>79.594000000000023</v>
      </c>
      <c r="P13" s="211">
        <f>+P10-P11</f>
        <v>82.601999999999975</v>
      </c>
      <c r="Q13" s="211">
        <f>+Q10-Q11</f>
        <v>91.54200000000003</v>
      </c>
      <c r="R13" s="211">
        <f>+R10-R11</f>
        <v>92.488</v>
      </c>
      <c r="S13" s="492">
        <f>+S10-S11</f>
        <v>346.22600000000034</v>
      </c>
      <c r="T13" s="203"/>
      <c r="U13" s="223">
        <f>+U10-U11</f>
        <v>76.789999999999964</v>
      </c>
      <c r="V13" s="211">
        <f>+V10-V11</f>
        <v>84.486000000000047</v>
      </c>
      <c r="W13" s="211">
        <f>+W10-W11</f>
        <v>93.766999999999967</v>
      </c>
      <c r="X13" s="211">
        <f>+X10-X11</f>
        <v>100.24799999999999</v>
      </c>
      <c r="Y13" s="492">
        <f>+Y10-Y11</f>
        <v>355.29100000000039</v>
      </c>
      <c r="Z13" s="203"/>
      <c r="AA13" s="223">
        <f>+AA10-AA11</f>
        <v>89.024000000000058</v>
      </c>
      <c r="AB13" s="211">
        <f>+AB10-AB11</f>
        <v>90.152000000000015</v>
      </c>
      <c r="AC13" s="211">
        <f>+AC10-AC11</f>
        <v>92.706999999999994</v>
      </c>
      <c r="AD13" s="211">
        <f>+AD10-AD11</f>
        <v>104.12500000000006</v>
      </c>
      <c r="AE13" s="492">
        <f>+AE10-AE11</f>
        <v>376.00800000000027</v>
      </c>
      <c r="AF13" s="203"/>
      <c r="AG13" s="223">
        <f>+AG10-AG11</f>
        <v>81.99300000000008</v>
      </c>
      <c r="AH13" s="211">
        <f>+AH10-AH11</f>
        <v>83.258999999999958</v>
      </c>
      <c r="AI13" s="211">
        <f>+AI10-AI11</f>
        <v>89.906000000000006</v>
      </c>
      <c r="AJ13" s="211">
        <f>+AJ10-AJ11</f>
        <v>102.851</v>
      </c>
      <c r="AK13" s="492">
        <f>+AK10-AK11</f>
        <v>358.00900000000013</v>
      </c>
      <c r="AL13" s="203"/>
      <c r="AM13" s="223">
        <f>+AM10-AM11</f>
        <v>82.591999999999928</v>
      </c>
      <c r="AN13" s="211">
        <f>+AN10-AN11</f>
        <v>77.868999999999943</v>
      </c>
      <c r="AO13" s="211">
        <f>+AO10-AO11</f>
        <v>89.538000000000011</v>
      </c>
      <c r="AP13" s="211">
        <f>+AP10-AP11</f>
        <v>104.45600000000002</v>
      </c>
      <c r="AQ13" s="492">
        <f>+AQ10-AQ11</f>
        <v>354.45499999999981</v>
      </c>
      <c r="AR13" s="203"/>
      <c r="AS13" s="223">
        <f>+AS10-AS11</f>
        <v>81.281000000000034</v>
      </c>
      <c r="AT13" s="211">
        <f>+AT10-AT11</f>
        <v>89.206675999999902</v>
      </c>
      <c r="AU13" s="211">
        <f>+AU10-AU11</f>
        <v>97.733678999999995</v>
      </c>
      <c r="AV13" s="211">
        <f>+AV10-AV11</f>
        <v>99.213461999999936</v>
      </c>
      <c r="AW13" s="492">
        <f>+AW10-AW11</f>
        <v>367.43481699999984</v>
      </c>
      <c r="AX13" s="203"/>
      <c r="AY13" s="223">
        <f>+AY10-AY11</f>
        <v>68.728999999999957</v>
      </c>
      <c r="AZ13" s="211">
        <f>+AZ10-AZ11</f>
        <v>74.876000000000033</v>
      </c>
      <c r="BA13" s="211">
        <f>+BA10-BA11</f>
        <v>80.147999999999996</v>
      </c>
      <c r="BB13" s="211">
        <f>+BB10-BB11</f>
        <v>93.385999999999967</v>
      </c>
      <c r="BC13" s="492">
        <f>+BC10-BC11</f>
        <v>317.13900000000001</v>
      </c>
      <c r="BD13" s="203"/>
      <c r="BE13" s="223">
        <f>+BE10-BE11</f>
        <v>82.975999999999914</v>
      </c>
      <c r="BF13" s="211">
        <f>+BF10-BF11</f>
        <v>97.231000000000108</v>
      </c>
      <c r="BG13" s="211">
        <f>+BG10-BG11</f>
        <v>108.33667700000004</v>
      </c>
      <c r="BH13" s="211">
        <f>+BH10-BH11</f>
        <v>119.64193</v>
      </c>
      <c r="BI13" s="492">
        <f>+BI10-BI11</f>
        <v>408.18560699999955</v>
      </c>
      <c r="BJ13" s="203"/>
      <c r="BK13" s="223">
        <f>+BK10-BK11</f>
        <v>80.651999999999902</v>
      </c>
      <c r="BL13" s="211">
        <f>+BL10-BL11</f>
        <v>91.750000000000028</v>
      </c>
      <c r="BM13" s="211">
        <f>+BM10-BM11</f>
        <v>93.677999999999997</v>
      </c>
      <c r="BN13" s="211">
        <f>+BN10-BN11</f>
        <v>106.33500000000001</v>
      </c>
      <c r="BO13" s="492">
        <f>+BO10-BO11</f>
        <v>372.41499999999996</v>
      </c>
      <c r="BP13" s="203"/>
      <c r="BQ13" s="223">
        <f>+BQ10-BQ11</f>
        <v>73.369</v>
      </c>
      <c r="BR13" s="211">
        <f>+BR10-BR11</f>
        <v>83.106999999999971</v>
      </c>
      <c r="BS13" s="211">
        <f>+BS10-BS11</f>
        <v>59.738</v>
      </c>
      <c r="BT13" s="211">
        <f>+BT10-BT11</f>
        <v>56.079805997129569</v>
      </c>
      <c r="BU13" s="492">
        <f>+BU10-BU11</f>
        <v>272.29380599712931</v>
      </c>
      <c r="BV13" s="203"/>
      <c r="BW13" s="223">
        <f>+BW10-BW11</f>
        <v>52.945381917179219</v>
      </c>
      <c r="BX13" s="211">
        <f>+BX10-BX11</f>
        <v>57.661175592930249</v>
      </c>
      <c r="BY13" s="211">
        <f>+BY10-BY11</f>
        <v>60.813466606869468</v>
      </c>
      <c r="BZ13" s="211">
        <f>+BZ10-BZ11</f>
        <v>64.062513073575076</v>
      </c>
      <c r="CA13" s="492">
        <f>+CA10-CA11</f>
        <v>235.4825371905539</v>
      </c>
      <c r="CB13" s="203"/>
      <c r="CC13" s="223">
        <f>+CC10-CC11</f>
        <v>54.492351462922585</v>
      </c>
      <c r="CD13" s="211">
        <f>+CD10-CD11</f>
        <v>59.286790217043404</v>
      </c>
      <c r="CE13" s="211">
        <f>+CE10-CE11</f>
        <v>62.581576391573975</v>
      </c>
      <c r="CF13" s="211">
        <f>+CF10-CF11</f>
        <v>66.010138661695066</v>
      </c>
      <c r="CG13" s="492">
        <f>+CG10-CG11</f>
        <v>242.37085673323531</v>
      </c>
      <c r="CH13" s="203"/>
      <c r="CI13" s="223">
        <f>+CI10-CI11</f>
        <v>52.219607887938736</v>
      </c>
      <c r="CJ13" s="211">
        <f>+CJ10-CJ11</f>
        <v>56.781176343165555</v>
      </c>
      <c r="CK13" s="211">
        <f>+CK10-CK11</f>
        <v>59.998918796129203</v>
      </c>
      <c r="CL13" s="211">
        <f>+CL10-CL11</f>
        <v>63.352036588374744</v>
      </c>
      <c r="CM13" s="492">
        <f>+CM10-CM11</f>
        <v>232.35173961560804</v>
      </c>
      <c r="CN13" s="203"/>
      <c r="CO13" s="97"/>
      <c r="CP13" s="97"/>
      <c r="CQ13"/>
      <c r="CR13"/>
      <c r="CS13"/>
      <c r="CT13"/>
      <c r="CU13"/>
      <c r="CV13"/>
    </row>
    <row r="14" spans="1:100" s="16" customFormat="1" ht="11.25" customHeight="1" x14ac:dyDescent="0.2">
      <c r="A14" s="73"/>
      <c r="B14" s="502"/>
      <c r="C14" s="223"/>
      <c r="D14" s="211"/>
      <c r="E14" s="211"/>
      <c r="F14" s="211"/>
      <c r="G14" s="492"/>
      <c r="H14" s="203"/>
      <c r="I14" s="223"/>
      <c r="J14" s="211"/>
      <c r="K14" s="211"/>
      <c r="L14" s="211"/>
      <c r="M14" s="492"/>
      <c r="N14" s="203"/>
      <c r="O14" s="223"/>
      <c r="P14" s="211"/>
      <c r="Q14" s="211"/>
      <c r="R14" s="211"/>
      <c r="S14" s="492"/>
      <c r="T14" s="203"/>
      <c r="U14" s="223"/>
      <c r="V14" s="211"/>
      <c r="W14" s="211"/>
      <c r="X14" s="211"/>
      <c r="Y14" s="492"/>
      <c r="Z14" s="203"/>
      <c r="AA14" s="223"/>
      <c r="AB14" s="211"/>
      <c r="AC14" s="211"/>
      <c r="AD14" s="211"/>
      <c r="AE14" s="492"/>
      <c r="AF14" s="203"/>
      <c r="AG14" s="223"/>
      <c r="AH14" s="211"/>
      <c r="AI14" s="211"/>
      <c r="AJ14" s="211"/>
      <c r="AK14" s="492"/>
      <c r="AL14" s="203"/>
      <c r="AM14" s="223"/>
      <c r="AN14" s="211"/>
      <c r="AO14" s="211"/>
      <c r="AP14" s="211"/>
      <c r="AQ14" s="492"/>
      <c r="AR14" s="203"/>
      <c r="AS14" s="223"/>
      <c r="AT14" s="211"/>
      <c r="AU14" s="211"/>
      <c r="AV14" s="211"/>
      <c r="AW14" s="492"/>
      <c r="AX14" s="203"/>
      <c r="AY14" s="223"/>
      <c r="AZ14" s="211"/>
      <c r="BA14" s="211"/>
      <c r="BB14" s="211"/>
      <c r="BC14" s="492"/>
      <c r="BD14" s="203"/>
      <c r="BE14" s="223"/>
      <c r="BF14" s="211"/>
      <c r="BG14" s="211"/>
      <c r="BH14" s="211"/>
      <c r="BI14" s="492"/>
      <c r="BJ14" s="203"/>
      <c r="BK14" s="223"/>
      <c r="BL14" s="211"/>
      <c r="BM14" s="211"/>
      <c r="BN14" s="211"/>
      <c r="BO14" s="492"/>
      <c r="BP14" s="203"/>
      <c r="BQ14" s="223"/>
      <c r="BR14" s="211"/>
      <c r="BS14" s="211"/>
      <c r="BT14" s="211"/>
      <c r="BU14" s="492"/>
      <c r="BV14" s="203"/>
      <c r="BW14" s="223"/>
      <c r="BX14" s="211"/>
      <c r="BY14" s="211"/>
      <c r="BZ14" s="211"/>
      <c r="CA14" s="492"/>
      <c r="CB14" s="203"/>
      <c r="CC14" s="223"/>
      <c r="CD14" s="211"/>
      <c r="CE14" s="211"/>
      <c r="CF14" s="211"/>
      <c r="CG14" s="492"/>
      <c r="CH14" s="203"/>
      <c r="CI14" s="223"/>
      <c r="CJ14" s="211"/>
      <c r="CK14" s="211"/>
      <c r="CL14" s="211"/>
      <c r="CM14" s="492"/>
      <c r="CN14" s="203"/>
      <c r="CO14" s="97"/>
      <c r="CP14" s="97"/>
      <c r="CQ14"/>
      <c r="CR14"/>
      <c r="CS14"/>
      <c r="CT14"/>
      <c r="CU14"/>
      <c r="CV14"/>
    </row>
    <row r="15" spans="1:100" s="16" customFormat="1" ht="11.25" customHeight="1" x14ac:dyDescent="0.2">
      <c r="A15" s="71"/>
      <c r="B15" s="503" t="s">
        <v>208</v>
      </c>
      <c r="C15" s="227">
        <f>SUM(C16:C18)</f>
        <v>-1.841</v>
      </c>
      <c r="D15" s="195">
        <f>SUM(D16:D18)</f>
        <v>-1.502</v>
      </c>
      <c r="E15" s="195">
        <f>SUM(E16:E18)</f>
        <v>-1.7010000000000001</v>
      </c>
      <c r="F15" s="195">
        <f>SUM(F16:F18)</f>
        <v>-1.0380000000000005</v>
      </c>
      <c r="G15" s="493">
        <f>SUM(G16:G18)</f>
        <v>-6.0819999999999999</v>
      </c>
      <c r="H15" s="199"/>
      <c r="I15" s="227">
        <f>SUM(I16:I18)</f>
        <v>0.60499999999999998</v>
      </c>
      <c r="J15" s="195">
        <f>SUM(J16:J18)</f>
        <v>0.75499999999999978</v>
      </c>
      <c r="K15" s="195">
        <f>SUM(K16:K18)</f>
        <v>0.40200000000000014</v>
      </c>
      <c r="L15" s="195">
        <f>SUM(L16:L18)</f>
        <v>-3.5369999999999995</v>
      </c>
      <c r="M15" s="493">
        <f>SUM(M16:M18)</f>
        <v>-1.7749999999999999</v>
      </c>
      <c r="N15" s="199"/>
      <c r="O15" s="227">
        <f>SUM(O16:O18)</f>
        <v>-5.9119999999999999</v>
      </c>
      <c r="P15" s="195">
        <f>SUM(P16:P18)</f>
        <v>-7.5139999999999993</v>
      </c>
      <c r="Q15" s="195">
        <f>SUM(Q16:Q18)</f>
        <v>-6.7450000000000001</v>
      </c>
      <c r="R15" s="195">
        <f>SUM(R16:R18)</f>
        <v>-6.4039999999999999</v>
      </c>
      <c r="S15" s="493">
        <f>SUM(S16:S18)</f>
        <v>-26.574999999999999</v>
      </c>
      <c r="T15" s="199"/>
      <c r="U15" s="227">
        <f>SUM(U16:U18)</f>
        <v>-4.3579999999999997</v>
      </c>
      <c r="V15" s="195">
        <f>SUM(V16:V18)</f>
        <v>-3.76</v>
      </c>
      <c r="W15" s="195">
        <f>SUM(W16:W18)</f>
        <v>-4.2939999999999996</v>
      </c>
      <c r="X15" s="195">
        <f>SUM(X16:X18)</f>
        <v>-3.8379999999999996</v>
      </c>
      <c r="Y15" s="493">
        <f>SUM(Y16:Y18)</f>
        <v>-16.25</v>
      </c>
      <c r="Z15" s="199"/>
      <c r="AA15" s="227">
        <f>SUM(AA16:AA18)</f>
        <v>-3.2569999999999997</v>
      </c>
      <c r="AB15" s="195">
        <f>SUM(AB16:AB18)</f>
        <v>-4.798</v>
      </c>
      <c r="AC15" s="195">
        <f>SUM(AC16:AC18)</f>
        <v>-6.423</v>
      </c>
      <c r="AD15" s="195">
        <f>SUM(AD16:AD18)</f>
        <v>-5.6430000000000007</v>
      </c>
      <c r="AE15" s="493">
        <f>SUM(AE16:AE18)</f>
        <v>-20.121000000000002</v>
      </c>
      <c r="AF15" s="199"/>
      <c r="AG15" s="227">
        <f>SUM(AG16:AG18)</f>
        <v>-5.1349999999999998</v>
      </c>
      <c r="AH15" s="195">
        <f>SUM(AH16:AH18)</f>
        <v>-6.214999999999999</v>
      </c>
      <c r="AI15" s="195">
        <f>SUM(AI16:AI18)</f>
        <v>-8.043000000000001</v>
      </c>
      <c r="AJ15" s="195">
        <f>SUM(AJ16:AJ18)</f>
        <v>-8.8039999999999985</v>
      </c>
      <c r="AK15" s="493">
        <f>SUM(AK16:AK18)</f>
        <v>-28.196999999999996</v>
      </c>
      <c r="AL15" s="199"/>
      <c r="AM15" s="227">
        <f>SUM(AM16:AM18)</f>
        <v>-8.8909999999999982</v>
      </c>
      <c r="AN15" s="195">
        <f>SUM(AN16:AN18)</f>
        <v>-8.452</v>
      </c>
      <c r="AO15" s="195">
        <f>SUM(AO16:AO18)</f>
        <v>-7.7379999999999995</v>
      </c>
      <c r="AP15" s="195">
        <f>SUM(AP16:AP18)</f>
        <v>-8.2570000000000014</v>
      </c>
      <c r="AQ15" s="493">
        <f>SUM(AQ16:AQ18)</f>
        <v>-33.338000000000001</v>
      </c>
      <c r="AR15" s="199"/>
      <c r="AS15" s="227">
        <f>SUM(AS16:AS18)</f>
        <v>-9.1240000000000006</v>
      </c>
      <c r="AT15" s="195">
        <f>SUM(AT16:AT18)</f>
        <v>-7.5319999999999991</v>
      </c>
      <c r="AU15" s="195">
        <f>SUM(AU16:AU18)</f>
        <v>-8.7100000000000009</v>
      </c>
      <c r="AV15" s="195">
        <f>SUM(AV16:AV18)</f>
        <v>-7.4790000000000001</v>
      </c>
      <c r="AW15" s="493">
        <f>SUM(AW16:AW18)</f>
        <v>-32.844999999999999</v>
      </c>
      <c r="AX15" s="199"/>
      <c r="AY15" s="227">
        <f>SUM(AY16:AY18)</f>
        <v>-7.3980000000000006</v>
      </c>
      <c r="AZ15" s="195">
        <f>SUM(AZ16:AZ18)</f>
        <v>-7.7670000000000012</v>
      </c>
      <c r="BA15" s="195">
        <f>SUM(BA16:BA18)</f>
        <v>-7.9710000000000001</v>
      </c>
      <c r="BB15" s="195">
        <f>SUM(BB16:BB18)</f>
        <v>-7.1319999999999997</v>
      </c>
      <c r="BC15" s="493">
        <f>SUM(BC16:BC18)</f>
        <v>-30.267999999999997</v>
      </c>
      <c r="BD15" s="199"/>
      <c r="BE15" s="227">
        <f>SUM(BE16:BE18)</f>
        <v>-11.473000000000001</v>
      </c>
      <c r="BF15" s="195">
        <f>SUM(BF16:BF18)</f>
        <v>-11.047000000000002</v>
      </c>
      <c r="BG15" s="195">
        <f>SUM(BG16:BG18)</f>
        <v>-9.8040000000000003</v>
      </c>
      <c r="BH15" s="195">
        <f>SUM(BH16:BH18)</f>
        <v>-8.5429999999999993</v>
      </c>
      <c r="BI15" s="493">
        <f>SUM(BI16:BI18)</f>
        <v>-40.867000000000004</v>
      </c>
      <c r="BJ15" s="199"/>
      <c r="BK15" s="227">
        <f>SUM(BK16:BK18)</f>
        <v>-7.7980000000000009</v>
      </c>
      <c r="BL15" s="195">
        <f>SUM(BL16:BL18)</f>
        <v>-8.4749999999999996</v>
      </c>
      <c r="BM15" s="195">
        <f>SUM(BM16:BM18)</f>
        <v>-10.406000000000001</v>
      </c>
      <c r="BN15" s="195">
        <f>SUM(BN16:BN18)</f>
        <v>-10.368000000000002</v>
      </c>
      <c r="BO15" s="493">
        <f>SUM(BO16:BO18)</f>
        <v>-37.046999999999997</v>
      </c>
      <c r="BP15" s="199"/>
      <c r="BQ15" s="227">
        <f>SUM(BQ16:BQ18)</f>
        <v>-9.6909999999999989</v>
      </c>
      <c r="BR15" s="195">
        <f>SUM(BR16:BR18)</f>
        <v>-10.308</v>
      </c>
      <c r="BS15" s="195">
        <f>SUM(BS16:BS18)</f>
        <v>-9.6869999999999994</v>
      </c>
      <c r="BT15" s="195">
        <f>SUM(BT16:BT18)</f>
        <v>-8.5684431249999999</v>
      </c>
      <c r="BU15" s="493">
        <f>SUM(BU16:BU18)</f>
        <v>-38.254443125000002</v>
      </c>
      <c r="BV15" s="199"/>
      <c r="BW15" s="227">
        <f>SUM(BW16:BW18)</f>
        <v>-10.057726389945444</v>
      </c>
      <c r="BX15" s="195">
        <f>SUM(BX16:BX18)</f>
        <v>-9.9236366090366417</v>
      </c>
      <c r="BY15" s="195">
        <f>SUM(BY16:BY18)</f>
        <v>-10.139661509691468</v>
      </c>
      <c r="BZ15" s="195">
        <f>SUM(BZ16:BZ18)</f>
        <v>-10.081223240622641</v>
      </c>
      <c r="CA15" s="493">
        <f>SUM(CA16:CA18)</f>
        <v>-40.202247749296198</v>
      </c>
      <c r="CB15" s="199"/>
      <c r="CC15" s="227">
        <f>SUM(CC16:CC18)</f>
        <v>-8.1238699311270377</v>
      </c>
      <c r="CD15" s="195">
        <f>SUM(CD16:CD18)</f>
        <v>-7.9923061314970516</v>
      </c>
      <c r="CE15" s="195">
        <f>SUM(CE16:CE18)</f>
        <v>-8.8657161606345429</v>
      </c>
      <c r="CF15" s="195">
        <f>SUM(CF16:CF18)</f>
        <v>-8.6609046359003266</v>
      </c>
      <c r="CG15" s="493">
        <f>SUM(CG16:CG18)</f>
        <v>-33.642796859158963</v>
      </c>
      <c r="CH15" s="199"/>
      <c r="CI15" s="227">
        <f>SUM(CI16:CI18)</f>
        <v>-10.061054216680464</v>
      </c>
      <c r="CJ15" s="195">
        <f>SUM(CJ16:CJ18)</f>
        <v>-10.041683568859177</v>
      </c>
      <c r="CK15" s="195">
        <f>SUM(CK16:CK18)</f>
        <v>-10.292780139648912</v>
      </c>
      <c r="CL15" s="195">
        <f>SUM(CL16:CL18)</f>
        <v>-10.250014761501765</v>
      </c>
      <c r="CM15" s="493">
        <f>SUM(CM16:CM18)</f>
        <v>-40.645532686690316</v>
      </c>
      <c r="CN15" s="199"/>
      <c r="CO15" s="62"/>
      <c r="CP15" s="62"/>
      <c r="CQ15"/>
      <c r="CR15"/>
      <c r="CS15"/>
      <c r="CT15"/>
      <c r="CU15"/>
      <c r="CV15"/>
    </row>
    <row r="16" spans="1:100" s="16" customFormat="1" ht="11.25" customHeight="1" x14ac:dyDescent="0.2">
      <c r="A16" s="70"/>
      <c r="B16" s="501" t="s">
        <v>100</v>
      </c>
      <c r="C16" s="426">
        <v>-3.806</v>
      </c>
      <c r="D16" s="194">
        <v>-3.83</v>
      </c>
      <c r="E16" s="194">
        <v>-3.3660000000000001</v>
      </c>
      <c r="F16" s="194">
        <v>-3.2280000000000002</v>
      </c>
      <c r="G16" s="493">
        <f>SUM(C16:F16)</f>
        <v>-14.23</v>
      </c>
      <c r="H16" s="215"/>
      <c r="I16" s="426">
        <v>-2.4969999999999999</v>
      </c>
      <c r="J16" s="194">
        <v>-2.5990000000000002</v>
      </c>
      <c r="K16" s="194">
        <v>-2.383</v>
      </c>
      <c r="L16" s="194">
        <v>-5.3129999999999997</v>
      </c>
      <c r="M16" s="493">
        <f>SUM(I16:L16)</f>
        <v>-12.792</v>
      </c>
      <c r="N16" s="215"/>
      <c r="O16" s="426">
        <v>-8.0519999999999996</v>
      </c>
      <c r="P16" s="194">
        <v>-8.1829999999999998</v>
      </c>
      <c r="Q16" s="194">
        <v>-7</v>
      </c>
      <c r="R16" s="194">
        <v>-6.9139999999999997</v>
      </c>
      <c r="S16" s="493">
        <f>SUM(O16:R16)</f>
        <v>-30.149000000000001</v>
      </c>
      <c r="T16" s="215"/>
      <c r="U16" s="426">
        <v>-6.6189999999999998</v>
      </c>
      <c r="V16" s="194">
        <v>-6.3579999999999997</v>
      </c>
      <c r="W16" s="194">
        <v>-6.4059999999999997</v>
      </c>
      <c r="X16" s="194">
        <v>-6.3109999999999999</v>
      </c>
      <c r="Y16" s="493">
        <f>SUM(U16:X16)</f>
        <v>-25.693999999999999</v>
      </c>
      <c r="Z16" s="215"/>
      <c r="AA16" s="426">
        <v>-6.89</v>
      </c>
      <c r="AB16" s="194">
        <v>-6.2290000000000001</v>
      </c>
      <c r="AC16" s="194">
        <v>-6.38</v>
      </c>
      <c r="AD16" s="194">
        <v>-6.3410000000000002</v>
      </c>
      <c r="AE16" s="493">
        <f>SUM(AA16:AD16)</f>
        <v>-25.84</v>
      </c>
      <c r="AF16" s="215"/>
      <c r="AG16" s="426">
        <v>-6.3529999999999998</v>
      </c>
      <c r="AH16" s="194">
        <v>-6.1689999999999996</v>
      </c>
      <c r="AI16" s="194">
        <v>-8.3580000000000005</v>
      </c>
      <c r="AJ16" s="194">
        <v>-9.4629999999999992</v>
      </c>
      <c r="AK16" s="493">
        <f>SUM(AG16:AJ16)</f>
        <v>-30.342999999999996</v>
      </c>
      <c r="AL16" s="215"/>
      <c r="AM16" s="426">
        <v>-9.5679999999999996</v>
      </c>
      <c r="AN16" s="194">
        <v>-9.1270000000000007</v>
      </c>
      <c r="AO16" s="194">
        <v>-9.1129999999999995</v>
      </c>
      <c r="AP16" s="194">
        <v>-8.5890000000000004</v>
      </c>
      <c r="AQ16" s="493">
        <f>SUM(AM16:AP16)</f>
        <v>-36.396999999999998</v>
      </c>
      <c r="AR16" s="215"/>
      <c r="AS16" s="426">
        <v>-8.5670000000000002</v>
      </c>
      <c r="AT16" s="194">
        <v>-8.7769999999999992</v>
      </c>
      <c r="AU16" s="194">
        <v>-9.2370000000000001</v>
      </c>
      <c r="AV16" s="194">
        <v>-9.1319999999999997</v>
      </c>
      <c r="AW16" s="493">
        <f>SUM(AS16:AV16)</f>
        <v>-35.713000000000001</v>
      </c>
      <c r="AX16" s="215"/>
      <c r="AY16" s="426">
        <v>-8.7680000000000007</v>
      </c>
      <c r="AZ16" s="194">
        <v>-8.5440000000000005</v>
      </c>
      <c r="BA16" s="194">
        <v>-8.5120000000000005</v>
      </c>
      <c r="BB16" s="194">
        <v>-7.8689999999999998</v>
      </c>
      <c r="BC16" s="493">
        <f>SUM(AY16:BB16)</f>
        <v>-33.692999999999998</v>
      </c>
      <c r="BD16" s="215"/>
      <c r="BE16" s="426">
        <v>-12.143000000000001</v>
      </c>
      <c r="BF16" s="194">
        <f>-17.154+BF60</f>
        <v>-12.001000000000001</v>
      </c>
      <c r="BG16" s="194">
        <v>-10.634</v>
      </c>
      <c r="BH16" s="194">
        <f>-10.134</f>
        <v>-10.134</v>
      </c>
      <c r="BI16" s="493">
        <f>SUM(BE16:BH16)</f>
        <v>-44.912000000000006</v>
      </c>
      <c r="BJ16" s="215"/>
      <c r="BK16" s="1274">
        <v>-10.162000000000001</v>
      </c>
      <c r="BL16" s="1277">
        <v>-10.097</v>
      </c>
      <c r="BM16" s="1277">
        <v>-11.4</v>
      </c>
      <c r="BN16" s="1277">
        <f>-43.06-SUM(BK16:BM16)</f>
        <v>-11.401000000000003</v>
      </c>
      <c r="BO16" s="493">
        <f>SUM(BK16:BN16)</f>
        <v>-43.06</v>
      </c>
      <c r="BP16" s="215"/>
      <c r="BQ16" s="1274">
        <v>-11.202999999999999</v>
      </c>
      <c r="BR16" s="1277">
        <v>-11.468</v>
      </c>
      <c r="BS16" s="1277">
        <v>-11.782999999999999</v>
      </c>
      <c r="BT16" s="230">
        <f>-Debt!BS64</f>
        <v>-10.664443125</v>
      </c>
      <c r="BU16" s="493">
        <f>SUM(BQ16:BT16)</f>
        <v>-45.118443124999999</v>
      </c>
      <c r="BV16" s="215"/>
      <c r="BW16" s="520">
        <f>-Debt!BV64</f>
        <v>-10.664443125</v>
      </c>
      <c r="BX16" s="230">
        <f>-Debt!BW64</f>
        <v>-10.664443125</v>
      </c>
      <c r="BY16" s="230">
        <f>-Debt!BX64</f>
        <v>-10.664443125</v>
      </c>
      <c r="BZ16" s="230">
        <f>-Debt!BY64</f>
        <v>-10.664443125</v>
      </c>
      <c r="CA16" s="493">
        <f>SUM(BW16:BZ16)</f>
        <v>-42.6577725</v>
      </c>
      <c r="CB16" s="215"/>
      <c r="CC16" s="520">
        <f>-Debt!CB64</f>
        <v>-10.664443125</v>
      </c>
      <c r="CD16" s="230">
        <f>-Debt!CC64</f>
        <v>-10.664443125</v>
      </c>
      <c r="CE16" s="230">
        <f>-Debt!CD64</f>
        <v>-10.664443125</v>
      </c>
      <c r="CF16" s="230">
        <f>-Debt!CE64</f>
        <v>-10.664443125</v>
      </c>
      <c r="CG16" s="493">
        <f>SUM(CC16:CF16)</f>
        <v>-42.6577725</v>
      </c>
      <c r="CH16" s="215"/>
      <c r="CI16" s="520">
        <f>-Debt!CH64</f>
        <v>-10.664443125</v>
      </c>
      <c r="CJ16" s="230">
        <f>-Debt!CI64</f>
        <v>-10.664443125</v>
      </c>
      <c r="CK16" s="230">
        <f>-Debt!CJ64</f>
        <v>-10.664443125</v>
      </c>
      <c r="CL16" s="230">
        <f>-Debt!CK64</f>
        <v>-10.664443125</v>
      </c>
      <c r="CM16" s="493">
        <f>SUM(CI16:CL16)</f>
        <v>-42.6577725</v>
      </c>
      <c r="CN16" s="215"/>
      <c r="CO16" s="62"/>
      <c r="CP16" s="478"/>
      <c r="CQ16"/>
      <c r="CR16"/>
      <c r="CS16"/>
      <c r="CT16"/>
      <c r="CU16"/>
      <c r="CV16"/>
    </row>
    <row r="17" spans="1:101" s="16" customFormat="1" ht="11.25" customHeight="1" x14ac:dyDescent="0.2">
      <c r="A17" s="70"/>
      <c r="B17" s="501" t="s">
        <v>372</v>
      </c>
      <c r="C17" s="426">
        <v>1.9470000000000001</v>
      </c>
      <c r="D17" s="194">
        <v>2.12</v>
      </c>
      <c r="E17" s="194">
        <v>1.8680000000000001</v>
      </c>
      <c r="F17" s="194">
        <v>2.1349999999999998</v>
      </c>
      <c r="G17" s="493">
        <f>SUM(C17:F17)</f>
        <v>8.07</v>
      </c>
      <c r="H17" s="215"/>
      <c r="I17" s="426">
        <v>2.3479999999999999</v>
      </c>
      <c r="J17" s="194">
        <v>2.71</v>
      </c>
      <c r="K17" s="194">
        <v>2.8130000000000002</v>
      </c>
      <c r="L17" s="194">
        <v>1.86</v>
      </c>
      <c r="M17" s="493">
        <f>SUM(I17:L17)</f>
        <v>9.7309999999999999</v>
      </c>
      <c r="N17" s="215"/>
      <c r="O17" s="426">
        <v>1.9219999999999999</v>
      </c>
      <c r="P17" s="194">
        <v>1.87</v>
      </c>
      <c r="Q17" s="194">
        <v>1.048</v>
      </c>
      <c r="R17" s="194">
        <v>0.58299999999999996</v>
      </c>
      <c r="S17" s="493">
        <f>SUM(O17:R17)</f>
        <v>5.423</v>
      </c>
      <c r="T17" s="215"/>
      <c r="U17" s="426">
        <v>2.46</v>
      </c>
      <c r="V17" s="194">
        <v>1.909</v>
      </c>
      <c r="W17" s="194">
        <v>2.1219999999999999</v>
      </c>
      <c r="X17" s="194">
        <v>2.0590000000000002</v>
      </c>
      <c r="Y17" s="493">
        <f>SUM(U17:X17)</f>
        <v>8.5500000000000007</v>
      </c>
      <c r="Z17" s="215"/>
      <c r="AA17" s="426">
        <v>2.6429999999999998</v>
      </c>
      <c r="AB17" s="194">
        <v>2.8980000000000001</v>
      </c>
      <c r="AC17" s="194">
        <v>1.577</v>
      </c>
      <c r="AD17" s="194">
        <v>1.0820000000000001</v>
      </c>
      <c r="AE17" s="493">
        <f>SUM(AA17:AD17)</f>
        <v>8.2000000000000011</v>
      </c>
      <c r="AF17" s="215"/>
      <c r="AG17" s="426">
        <v>1.829</v>
      </c>
      <c r="AH17" s="194">
        <v>0.89700000000000002</v>
      </c>
      <c r="AI17" s="194">
        <v>1.052</v>
      </c>
      <c r="AJ17" s="194">
        <v>1.1759999999999999</v>
      </c>
      <c r="AK17" s="493">
        <f>SUM(AG17:AJ17)</f>
        <v>4.9539999999999997</v>
      </c>
      <c r="AL17" s="215"/>
      <c r="AM17" s="426">
        <v>1.4990000000000001</v>
      </c>
      <c r="AN17" s="194">
        <v>0.84199999999999997</v>
      </c>
      <c r="AO17" s="194">
        <v>1.151</v>
      </c>
      <c r="AP17" s="194">
        <v>1.0489999999999999</v>
      </c>
      <c r="AQ17" s="493">
        <f>SUM(AM17:AP17)</f>
        <v>4.5410000000000004</v>
      </c>
      <c r="AR17" s="215"/>
      <c r="AS17" s="426">
        <v>1.161</v>
      </c>
      <c r="AT17" s="194">
        <v>1.1379999999999999</v>
      </c>
      <c r="AU17" s="194">
        <v>1.593</v>
      </c>
      <c r="AV17" s="194">
        <v>1.0900000000000001</v>
      </c>
      <c r="AW17" s="493">
        <f>SUM(AS17:AV17)</f>
        <v>4.9820000000000002</v>
      </c>
      <c r="AX17" s="215"/>
      <c r="AY17" s="426">
        <v>1.25</v>
      </c>
      <c r="AZ17" s="194">
        <v>0.749</v>
      </c>
      <c r="BA17" s="194">
        <v>1.0569999999999999</v>
      </c>
      <c r="BB17" s="194">
        <v>0.97</v>
      </c>
      <c r="BC17" s="493">
        <f>SUM(AY17:BB17)</f>
        <v>4.0259999999999998</v>
      </c>
      <c r="BD17" s="215"/>
      <c r="BE17" s="426">
        <v>0.78900000000000003</v>
      </c>
      <c r="BF17" s="194">
        <v>0.629</v>
      </c>
      <c r="BG17" s="194">
        <v>0.496</v>
      </c>
      <c r="BH17" s="194">
        <v>0.91600000000000004</v>
      </c>
      <c r="BI17" s="493">
        <f>SUM(BE17:BH17)</f>
        <v>2.83</v>
      </c>
      <c r="BJ17" s="215"/>
      <c r="BK17" s="1274">
        <v>1.2949999999999999</v>
      </c>
      <c r="BL17" s="1277">
        <v>0</v>
      </c>
      <c r="BM17" s="1277">
        <v>0</v>
      </c>
      <c r="BN17" s="1277">
        <v>0</v>
      </c>
      <c r="BO17" s="493">
        <f>SUM(BK17:BN17)</f>
        <v>1.2949999999999999</v>
      </c>
      <c r="BP17" s="215"/>
      <c r="BQ17" s="1274">
        <v>0</v>
      </c>
      <c r="BR17" s="1277">
        <v>0</v>
      </c>
      <c r="BS17" s="1277">
        <v>0</v>
      </c>
      <c r="BT17" s="230">
        <f>'BalSht '!BT145</f>
        <v>0</v>
      </c>
      <c r="BU17" s="493">
        <f>SUM(BQ17:BT17)</f>
        <v>0</v>
      </c>
      <c r="BV17" s="215"/>
      <c r="BW17" s="520">
        <f>'BalSht '!BW145</f>
        <v>0.60671673505455614</v>
      </c>
      <c r="BX17" s="230">
        <f>'BalSht '!BX145</f>
        <v>0.74080651596335756</v>
      </c>
      <c r="BY17" s="230">
        <f>'BalSht '!BY145</f>
        <v>0.52478161530853196</v>
      </c>
      <c r="BZ17" s="230">
        <f>'BalSht '!BZ145</f>
        <v>0.5832198843773585</v>
      </c>
      <c r="CA17" s="493">
        <f>SUM(BW17:BZ17)</f>
        <v>2.4555247507038045</v>
      </c>
      <c r="CB17" s="215"/>
      <c r="CC17" s="520">
        <f>'BalSht '!CC145</f>
        <v>2.5405731938729619</v>
      </c>
      <c r="CD17" s="230">
        <f>'BalSht '!CD145</f>
        <v>2.6721369935029484</v>
      </c>
      <c r="CE17" s="230">
        <f>'BalSht '!CE145</f>
        <v>1.7987269643654571</v>
      </c>
      <c r="CF17" s="230">
        <f>'BalSht '!CF145</f>
        <v>2.0035384890996744</v>
      </c>
      <c r="CG17" s="493">
        <f>SUM(CC17:CF17)</f>
        <v>9.0149756408410404</v>
      </c>
      <c r="CH17" s="215"/>
      <c r="CI17" s="520">
        <f>'BalSht '!CI145</f>
        <v>0.60338890831953562</v>
      </c>
      <c r="CJ17" s="230">
        <f>'BalSht '!CJ145</f>
        <v>0.62275955614082179</v>
      </c>
      <c r="CK17" s="230">
        <f>'BalSht '!CK145</f>
        <v>0.3716629853510886</v>
      </c>
      <c r="CL17" s="230">
        <f>'BalSht '!CL145</f>
        <v>0.41442836349823425</v>
      </c>
      <c r="CM17" s="493">
        <f>SUM(CI17:CL17)</f>
        <v>2.0122398133096806</v>
      </c>
      <c r="CN17" s="215"/>
      <c r="CO17" s="62"/>
      <c r="CP17" s="478"/>
      <c r="CQ17"/>
      <c r="CR17"/>
      <c r="CS17"/>
      <c r="CT17"/>
      <c r="CU17"/>
      <c r="CV17"/>
    </row>
    <row r="18" spans="1:101" s="16" customFormat="1" ht="11.25" customHeight="1" x14ac:dyDescent="0.2">
      <c r="A18" s="70"/>
      <c r="B18" s="501" t="s">
        <v>209</v>
      </c>
      <c r="C18" s="426">
        <f>0.018</f>
        <v>1.7999999999999999E-2</v>
      </c>
      <c r="D18" s="194">
        <f>0.208</f>
        <v>0.20799999999999999</v>
      </c>
      <c r="E18" s="194">
        <f>-0.203</f>
        <v>-0.20300000000000001</v>
      </c>
      <c r="F18" s="194">
        <f>0.055</f>
        <v>5.5E-2</v>
      </c>
      <c r="G18" s="493">
        <f>SUM(C18:F18)</f>
        <v>7.7999999999999958E-2</v>
      </c>
      <c r="H18" s="215"/>
      <c r="I18" s="426">
        <f>0.754</f>
        <v>0.754</v>
      </c>
      <c r="J18" s="194">
        <f>0.644</f>
        <v>0.64400000000000002</v>
      </c>
      <c r="K18" s="194">
        <f>-0.028</f>
        <v>-2.8000000000000001E-2</v>
      </c>
      <c r="L18" s="194">
        <f>-0.084</f>
        <v>-8.4000000000000005E-2</v>
      </c>
      <c r="M18" s="493">
        <f>SUM(I18:L18)</f>
        <v>1.286</v>
      </c>
      <c r="N18" s="215"/>
      <c r="O18" s="426">
        <f>0.218</f>
        <v>0.218</v>
      </c>
      <c r="P18" s="194">
        <f>-1.201</f>
        <v>-1.2010000000000001</v>
      </c>
      <c r="Q18" s="194">
        <f>-0.793</f>
        <v>-0.79300000000000004</v>
      </c>
      <c r="R18" s="194">
        <f>-0.073</f>
        <v>-7.2999999999999995E-2</v>
      </c>
      <c r="S18" s="493">
        <f>SUM(O18:R18)</f>
        <v>-1.8490000000000002</v>
      </c>
      <c r="T18" s="215"/>
      <c r="U18" s="426">
        <f>-0.199</f>
        <v>-0.19900000000000001</v>
      </c>
      <c r="V18" s="194">
        <f>0.689</f>
        <v>0.68899999999999995</v>
      </c>
      <c r="W18" s="194">
        <f>-0.01</f>
        <v>-0.01</v>
      </c>
      <c r="X18" s="194">
        <f>0.414</f>
        <v>0.41399999999999998</v>
      </c>
      <c r="Y18" s="493">
        <f>SUM(U18:X18)</f>
        <v>0.89399999999999991</v>
      </c>
      <c r="Z18" s="215"/>
      <c r="AA18" s="426">
        <f>0.99</f>
        <v>0.99</v>
      </c>
      <c r="AB18" s="194">
        <f>-1.467</f>
        <v>-1.4670000000000001</v>
      </c>
      <c r="AC18" s="194">
        <f>-1.62</f>
        <v>-1.62</v>
      </c>
      <c r="AD18" s="194">
        <f>-0.384</f>
        <v>-0.38400000000000001</v>
      </c>
      <c r="AE18" s="493">
        <f>SUM(AA18:AD18)</f>
        <v>-2.4810000000000003</v>
      </c>
      <c r="AF18" s="215"/>
      <c r="AG18" s="426">
        <f>-0.611</f>
        <v>-0.61099999999999999</v>
      </c>
      <c r="AH18" s="194">
        <f>-0.943</f>
        <v>-0.94299999999999995</v>
      </c>
      <c r="AI18" s="194">
        <f>-0.737</f>
        <v>-0.73699999999999999</v>
      </c>
      <c r="AJ18" s="194">
        <f>-0.517</f>
        <v>-0.51700000000000002</v>
      </c>
      <c r="AK18" s="493">
        <f>SUM(AG18:AJ18)</f>
        <v>-2.8079999999999998</v>
      </c>
      <c r="AL18" s="215"/>
      <c r="AM18" s="426">
        <f>-0.822</f>
        <v>-0.82199999999999995</v>
      </c>
      <c r="AN18" s="194">
        <f>-0.167</f>
        <v>-0.16700000000000001</v>
      </c>
      <c r="AO18" s="194">
        <f>0.224</f>
        <v>0.224</v>
      </c>
      <c r="AP18" s="194">
        <f>-0.717</f>
        <v>-0.71699999999999997</v>
      </c>
      <c r="AQ18" s="493">
        <f>SUM(AM18:AP18)</f>
        <v>-1.482</v>
      </c>
      <c r="AR18" s="215"/>
      <c r="AS18" s="426">
        <f>-1.718</f>
        <v>-1.718</v>
      </c>
      <c r="AT18" s="194">
        <f>0.107</f>
        <v>0.107</v>
      </c>
      <c r="AU18" s="194">
        <f>-1.066</f>
        <v>-1.0660000000000001</v>
      </c>
      <c r="AV18" s="194">
        <f>0.563</f>
        <v>0.56299999999999994</v>
      </c>
      <c r="AW18" s="493">
        <f>SUM(AS18:AV18)</f>
        <v>-2.1139999999999999</v>
      </c>
      <c r="AX18" s="215"/>
      <c r="AY18" s="426">
        <f>1.37-AY17</f>
        <v>0.12000000000000011</v>
      </c>
      <c r="AZ18" s="194">
        <f>0.028</f>
        <v>2.8000000000000001E-2</v>
      </c>
      <c r="BA18" s="194">
        <f>-0.516</f>
        <v>-0.51600000000000001</v>
      </c>
      <c r="BB18" s="194">
        <f>-0.233</f>
        <v>-0.23300000000000001</v>
      </c>
      <c r="BC18" s="493">
        <f>SUM(AY18:BB18)</f>
        <v>-0.60099999999999987</v>
      </c>
      <c r="BD18" s="215"/>
      <c r="BE18" s="426">
        <f>0.67-BE17</f>
        <v>-0.11899999999999999</v>
      </c>
      <c r="BF18" s="194">
        <f>0.954-BF17</f>
        <v>0.32499999999999996</v>
      </c>
      <c r="BG18" s="194">
        <f>0.83-BG17</f>
        <v>0.33399999999999996</v>
      </c>
      <c r="BH18" s="194">
        <f>0.675</f>
        <v>0.67500000000000004</v>
      </c>
      <c r="BI18" s="493">
        <f>SUM(BE18:BH18)</f>
        <v>1.2149999999999999</v>
      </c>
      <c r="BJ18" s="215"/>
      <c r="BK18" s="1274">
        <f>2.364-BK17</f>
        <v>1.069</v>
      </c>
      <c r="BL18" s="1277">
        <f>1.622-BL17</f>
        <v>1.6220000000000001</v>
      </c>
      <c r="BM18" s="1277">
        <f>0.994-BM17</f>
        <v>0.99399999999999999</v>
      </c>
      <c r="BN18" s="1277">
        <f>6.013-SUM(BK17:BN17,BK18:BM18)</f>
        <v>1.0330000000000004</v>
      </c>
      <c r="BO18" s="493">
        <f>SUM(BK18:BN18)</f>
        <v>4.718</v>
      </c>
      <c r="BP18" s="215"/>
      <c r="BQ18" s="1274">
        <f>1.512-BQ17</f>
        <v>1.512</v>
      </c>
      <c r="BR18" s="1277">
        <f>1.16-BR17</f>
        <v>1.1599999999999999</v>
      </c>
      <c r="BS18" s="1277">
        <v>2.0960000000000001</v>
      </c>
      <c r="BT18" s="215">
        <f>+BS18</f>
        <v>2.0960000000000001</v>
      </c>
      <c r="BU18" s="493">
        <f>SUM(BQ18:BT18)</f>
        <v>6.8639999999999999</v>
      </c>
      <c r="BV18" s="215"/>
      <c r="BW18" s="176">
        <v>0</v>
      </c>
      <c r="BX18" s="215">
        <f>+BW18</f>
        <v>0</v>
      </c>
      <c r="BY18" s="215">
        <f>+BX18</f>
        <v>0</v>
      </c>
      <c r="BZ18" s="215">
        <f>+BY18</f>
        <v>0</v>
      </c>
      <c r="CA18" s="493">
        <f>SUM(BW18:BZ18)</f>
        <v>0</v>
      </c>
      <c r="CB18" s="215"/>
      <c r="CC18" s="176">
        <f>+BZ18</f>
        <v>0</v>
      </c>
      <c r="CD18" s="215">
        <f>+CC18</f>
        <v>0</v>
      </c>
      <c r="CE18" s="215">
        <f>+CD18</f>
        <v>0</v>
      </c>
      <c r="CF18" s="215">
        <f>+CE18</f>
        <v>0</v>
      </c>
      <c r="CG18" s="493">
        <f>SUM(CC18:CF18)</f>
        <v>0</v>
      </c>
      <c r="CH18" s="215"/>
      <c r="CI18" s="176">
        <v>0</v>
      </c>
      <c r="CJ18" s="215">
        <v>0</v>
      </c>
      <c r="CK18" s="215">
        <v>0</v>
      </c>
      <c r="CL18" s="215">
        <v>0</v>
      </c>
      <c r="CM18" s="493">
        <f>SUM(CI18:CL18)</f>
        <v>0</v>
      </c>
      <c r="CN18" s="215"/>
      <c r="CO18" s="62"/>
      <c r="CP18" s="62"/>
      <c r="CQ18"/>
      <c r="CR18"/>
      <c r="CS18"/>
      <c r="CT18"/>
      <c r="CU18"/>
      <c r="CV18"/>
    </row>
    <row r="19" spans="1:101" s="16" customFormat="1" ht="11.25" customHeight="1" x14ac:dyDescent="0.2">
      <c r="A19" s="63"/>
      <c r="B19" s="504"/>
      <c r="C19" s="227"/>
      <c r="D19" s="195"/>
      <c r="E19" s="195"/>
      <c r="F19" s="195"/>
      <c r="G19" s="493"/>
      <c r="H19" s="427"/>
      <c r="I19" s="227"/>
      <c r="J19" s="195"/>
      <c r="K19" s="195"/>
      <c r="L19" s="195"/>
      <c r="M19" s="493"/>
      <c r="N19" s="427"/>
      <c r="O19" s="227"/>
      <c r="P19" s="195"/>
      <c r="Q19" s="195"/>
      <c r="R19" s="195"/>
      <c r="S19" s="493"/>
      <c r="T19" s="427"/>
      <c r="U19" s="227"/>
      <c r="V19" s="195"/>
      <c r="W19" s="195"/>
      <c r="X19" s="195"/>
      <c r="Y19" s="493"/>
      <c r="Z19" s="427"/>
      <c r="AA19" s="227"/>
      <c r="AB19" s="195"/>
      <c r="AC19" s="195"/>
      <c r="AD19" s="195"/>
      <c r="AE19" s="493"/>
      <c r="AF19" s="427"/>
      <c r="AG19" s="227"/>
      <c r="AH19" s="195"/>
      <c r="AI19" s="195"/>
      <c r="AJ19" s="195"/>
      <c r="AK19" s="493"/>
      <c r="AL19" s="427"/>
      <c r="AM19" s="227"/>
      <c r="AN19" s="195"/>
      <c r="AO19" s="195"/>
      <c r="AP19" s="195"/>
      <c r="AQ19" s="493"/>
      <c r="AR19" s="427"/>
      <c r="AS19" s="227"/>
      <c r="AT19" s="195"/>
      <c r="AU19" s="195"/>
      <c r="AV19" s="195"/>
      <c r="AW19" s="493"/>
      <c r="AX19" s="427"/>
      <c r="AY19" s="227"/>
      <c r="AZ19" s="195"/>
      <c r="BA19" s="195"/>
      <c r="BB19" s="195"/>
      <c r="BC19" s="493"/>
      <c r="BD19" s="427"/>
      <c r="BE19" s="227"/>
      <c r="BF19" s="195"/>
      <c r="BG19" s="195"/>
      <c r="BH19" s="195"/>
      <c r="BI19" s="493"/>
      <c r="BJ19" s="427"/>
      <c r="BK19" s="227"/>
      <c r="BL19" s="195"/>
      <c r="BM19" s="195"/>
      <c r="BN19" s="195"/>
      <c r="BO19" s="514"/>
      <c r="BP19" s="427"/>
      <c r="BQ19" s="227"/>
      <c r="BR19" s="195"/>
      <c r="BS19" s="195"/>
      <c r="BT19" s="194"/>
      <c r="BU19" s="514"/>
      <c r="BV19" s="427"/>
      <c r="BW19" s="426"/>
      <c r="BX19" s="194"/>
      <c r="BY19" s="194"/>
      <c r="BZ19" s="194"/>
      <c r="CA19" s="514"/>
      <c r="CB19" s="427"/>
      <c r="CC19" s="426"/>
      <c r="CD19" s="194"/>
      <c r="CE19" s="194"/>
      <c r="CF19" s="194"/>
      <c r="CG19" s="514"/>
      <c r="CH19" s="427"/>
      <c r="CI19" s="426"/>
      <c r="CJ19" s="194"/>
      <c r="CK19" s="194"/>
      <c r="CL19" s="194"/>
      <c r="CM19" s="514"/>
      <c r="CN19" s="427"/>
      <c r="CO19" s="62"/>
      <c r="CP19" s="62"/>
      <c r="CQ19"/>
      <c r="CR19"/>
      <c r="CS19"/>
      <c r="CT19"/>
      <c r="CU19"/>
      <c r="CV19"/>
    </row>
    <row r="20" spans="1:101" s="16" customFormat="1" ht="11.25" customHeight="1" x14ac:dyDescent="0.2">
      <c r="A20" s="73"/>
      <c r="B20" s="502" t="s">
        <v>177</v>
      </c>
      <c r="C20" s="223">
        <f>+C13+C15</f>
        <v>66.696000000000041</v>
      </c>
      <c r="D20" s="211">
        <f t="shared" ref="D20:BN20" si="2">+D13+D15</f>
        <v>76.51900000000002</v>
      </c>
      <c r="E20" s="211">
        <f t="shared" si="2"/>
        <v>90.985000000000014</v>
      </c>
      <c r="F20" s="211">
        <f t="shared" si="2"/>
        <v>95.408000000000001</v>
      </c>
      <c r="G20" s="492">
        <f t="shared" si="2"/>
        <v>329.60799999999983</v>
      </c>
      <c r="H20" s="203"/>
      <c r="I20" s="223">
        <f t="shared" si="2"/>
        <v>75.812000000000026</v>
      </c>
      <c r="J20" s="211">
        <f t="shared" si="2"/>
        <v>86.367999999999967</v>
      </c>
      <c r="K20" s="211">
        <f t="shared" si="2"/>
        <v>97.516000000000034</v>
      </c>
      <c r="L20" s="211">
        <f t="shared" si="2"/>
        <v>97.731999999999999</v>
      </c>
      <c r="M20" s="492">
        <f t="shared" si="2"/>
        <v>357.428</v>
      </c>
      <c r="N20" s="203"/>
      <c r="O20" s="223">
        <f t="shared" si="2"/>
        <v>73.682000000000016</v>
      </c>
      <c r="P20" s="211">
        <f t="shared" si="2"/>
        <v>75.08799999999998</v>
      </c>
      <c r="Q20" s="211">
        <f t="shared" si="2"/>
        <v>84.797000000000025</v>
      </c>
      <c r="R20" s="211">
        <f t="shared" si="2"/>
        <v>86.084000000000003</v>
      </c>
      <c r="S20" s="492">
        <f t="shared" si="2"/>
        <v>319.65100000000035</v>
      </c>
      <c r="T20" s="203"/>
      <c r="U20" s="223">
        <f t="shared" si="2"/>
        <v>72.43199999999996</v>
      </c>
      <c r="V20" s="211">
        <f t="shared" si="2"/>
        <v>80.726000000000042</v>
      </c>
      <c r="W20" s="211">
        <f t="shared" si="2"/>
        <v>89.472999999999971</v>
      </c>
      <c r="X20" s="211">
        <f t="shared" si="2"/>
        <v>96.41</v>
      </c>
      <c r="Y20" s="492">
        <f t="shared" si="2"/>
        <v>339.04100000000039</v>
      </c>
      <c r="Z20" s="203"/>
      <c r="AA20" s="223">
        <f t="shared" si="2"/>
        <v>85.767000000000053</v>
      </c>
      <c r="AB20" s="211">
        <f t="shared" si="2"/>
        <v>85.354000000000013</v>
      </c>
      <c r="AC20" s="211">
        <f t="shared" si="2"/>
        <v>86.283999999999992</v>
      </c>
      <c r="AD20" s="211">
        <f t="shared" si="2"/>
        <v>98.482000000000056</v>
      </c>
      <c r="AE20" s="492">
        <f t="shared" si="2"/>
        <v>355.88700000000028</v>
      </c>
      <c r="AF20" s="203"/>
      <c r="AG20" s="223">
        <f t="shared" si="2"/>
        <v>76.858000000000075</v>
      </c>
      <c r="AH20" s="211">
        <f t="shared" si="2"/>
        <v>77.043999999999954</v>
      </c>
      <c r="AI20" s="211">
        <f t="shared" si="2"/>
        <v>81.863</v>
      </c>
      <c r="AJ20" s="211">
        <f t="shared" si="2"/>
        <v>94.046999999999997</v>
      </c>
      <c r="AK20" s="492">
        <f t="shared" si="2"/>
        <v>329.81200000000013</v>
      </c>
      <c r="AL20" s="203"/>
      <c r="AM20" s="223">
        <f t="shared" si="2"/>
        <v>73.700999999999937</v>
      </c>
      <c r="AN20" s="211">
        <f t="shared" si="2"/>
        <v>69.416999999999945</v>
      </c>
      <c r="AO20" s="211">
        <f t="shared" si="2"/>
        <v>81.800000000000011</v>
      </c>
      <c r="AP20" s="211">
        <f t="shared" si="2"/>
        <v>96.199000000000012</v>
      </c>
      <c r="AQ20" s="492">
        <f t="shared" si="2"/>
        <v>321.11699999999979</v>
      </c>
      <c r="AR20" s="203"/>
      <c r="AS20" s="223">
        <f t="shared" si="2"/>
        <v>72.157000000000039</v>
      </c>
      <c r="AT20" s="211">
        <f t="shared" si="2"/>
        <v>81.674675999999906</v>
      </c>
      <c r="AU20" s="211">
        <f t="shared" si="2"/>
        <v>89.023678999999987</v>
      </c>
      <c r="AV20" s="211">
        <f t="shared" si="2"/>
        <v>91.734461999999937</v>
      </c>
      <c r="AW20" s="492">
        <f t="shared" si="2"/>
        <v>334.58981699999981</v>
      </c>
      <c r="AX20" s="203"/>
      <c r="AY20" s="223">
        <f t="shared" si="2"/>
        <v>61.330999999999953</v>
      </c>
      <c r="AZ20" s="211">
        <f t="shared" si="2"/>
        <v>67.109000000000037</v>
      </c>
      <c r="BA20" s="211">
        <f t="shared" si="2"/>
        <v>72.176999999999992</v>
      </c>
      <c r="BB20" s="211">
        <f t="shared" si="2"/>
        <v>86.253999999999962</v>
      </c>
      <c r="BC20" s="492">
        <f t="shared" si="2"/>
        <v>286.87100000000004</v>
      </c>
      <c r="BD20" s="203"/>
      <c r="BE20" s="223">
        <f t="shared" si="2"/>
        <v>71.502999999999915</v>
      </c>
      <c r="BF20" s="211">
        <f t="shared" si="2"/>
        <v>86.184000000000111</v>
      </c>
      <c r="BG20" s="211">
        <f t="shared" si="2"/>
        <v>98.532677000000035</v>
      </c>
      <c r="BH20" s="211">
        <f t="shared" si="2"/>
        <v>111.09893</v>
      </c>
      <c r="BI20" s="492">
        <f t="shared" si="2"/>
        <v>367.31860699999953</v>
      </c>
      <c r="BJ20" s="203"/>
      <c r="BK20" s="223">
        <f t="shared" si="2"/>
        <v>72.8539999999999</v>
      </c>
      <c r="BL20" s="211">
        <f t="shared" si="2"/>
        <v>83.275000000000034</v>
      </c>
      <c r="BM20" s="211">
        <f t="shared" si="2"/>
        <v>83.271999999999991</v>
      </c>
      <c r="BN20" s="211">
        <f t="shared" si="2"/>
        <v>95.967000000000013</v>
      </c>
      <c r="BO20" s="492">
        <f>+BO13+BO15</f>
        <v>335.36799999999994</v>
      </c>
      <c r="BP20" s="203"/>
      <c r="BQ20" s="223">
        <f>+BQ13+BQ15</f>
        <v>63.677999999999997</v>
      </c>
      <c r="BR20" s="211">
        <f t="shared" ref="BR20:BS20" si="3">+BR13+BR15</f>
        <v>72.798999999999978</v>
      </c>
      <c r="BS20" s="211">
        <f t="shared" si="3"/>
        <v>50.051000000000002</v>
      </c>
      <c r="BT20" s="211">
        <f t="shared" ref="BS20:CG20" si="4">+BT13+BT15</f>
        <v>47.511362872129567</v>
      </c>
      <c r="BU20" s="492">
        <f t="shared" si="4"/>
        <v>234.03936287212932</v>
      </c>
      <c r="BV20" s="203"/>
      <c r="BW20" s="223">
        <f t="shared" si="4"/>
        <v>42.887655527233775</v>
      </c>
      <c r="BX20" s="211">
        <f t="shared" si="4"/>
        <v>47.737538983893607</v>
      </c>
      <c r="BY20" s="211">
        <f t="shared" si="4"/>
        <v>50.673805097178004</v>
      </c>
      <c r="BZ20" s="211">
        <f t="shared" si="4"/>
        <v>53.981289832952434</v>
      </c>
      <c r="CA20" s="492">
        <f t="shared" si="4"/>
        <v>195.28028944125771</v>
      </c>
      <c r="CB20" s="203"/>
      <c r="CC20" s="223">
        <f t="shared" si="4"/>
        <v>46.368481531795545</v>
      </c>
      <c r="CD20" s="211">
        <f t="shared" si="4"/>
        <v>51.294484085546351</v>
      </c>
      <c r="CE20" s="211">
        <f t="shared" si="4"/>
        <v>53.715860230939434</v>
      </c>
      <c r="CF20" s="211">
        <f t="shared" si="4"/>
        <v>57.349234025794743</v>
      </c>
      <c r="CG20" s="492">
        <f t="shared" si="4"/>
        <v>208.72805987407634</v>
      </c>
      <c r="CH20" s="203"/>
      <c r="CI20" s="223">
        <f t="shared" ref="CI20:CM20" si="5">+CI13+CI15</f>
        <v>42.158553671258275</v>
      </c>
      <c r="CJ20" s="211">
        <f t="shared" si="5"/>
        <v>46.739492774306377</v>
      </c>
      <c r="CK20" s="211">
        <f t="shared" si="5"/>
        <v>49.706138656480292</v>
      </c>
      <c r="CL20" s="211">
        <f t="shared" si="5"/>
        <v>53.102021826872978</v>
      </c>
      <c r="CM20" s="492">
        <f t="shared" si="5"/>
        <v>191.70620692891771</v>
      </c>
      <c r="CN20" s="203"/>
      <c r="CO20" s="97"/>
      <c r="CP20" s="97"/>
      <c r="CQ20"/>
      <c r="CR20"/>
      <c r="CS20"/>
      <c r="CT20"/>
      <c r="CU20"/>
      <c r="CV20"/>
    </row>
    <row r="21" spans="1:101" s="16" customFormat="1" ht="11.25" hidden="1" customHeight="1" outlineLevel="1" x14ac:dyDescent="0.2">
      <c r="A21" s="75"/>
      <c r="B21" s="505" t="s">
        <v>151</v>
      </c>
      <c r="C21" s="237">
        <f>C22/C20</f>
        <v>0.37651433369317477</v>
      </c>
      <c r="D21" s="214">
        <f>D22/D20</f>
        <v>0.36960754845201838</v>
      </c>
      <c r="E21" s="214">
        <f>E22/E20</f>
        <v>0.3560367093476946</v>
      </c>
      <c r="F21" s="214">
        <f>F22/F20</f>
        <v>0.37191849740063726</v>
      </c>
      <c r="G21" s="494">
        <f>G22/G20</f>
        <v>0.3679279629135217</v>
      </c>
      <c r="H21" s="184"/>
      <c r="I21" s="237">
        <f>I22/I20</f>
        <v>0.37286973038569082</v>
      </c>
      <c r="J21" s="214">
        <f>J22/J20</f>
        <v>0.37776722860318657</v>
      </c>
      <c r="K21" s="214">
        <f>K22/K20</f>
        <v>0.38098363345502262</v>
      </c>
      <c r="L21" s="214">
        <f>L22/L20</f>
        <v>0.35324151761961287</v>
      </c>
      <c r="M21" s="494">
        <f>M22/M20</f>
        <v>0.37089987354096488</v>
      </c>
      <c r="N21" s="184"/>
      <c r="O21" s="237">
        <f>O22/O20</f>
        <v>0.37618414266713707</v>
      </c>
      <c r="P21" s="214">
        <f>P22/P20</f>
        <v>0.37535957809503523</v>
      </c>
      <c r="Q21" s="214">
        <f>Q22/Q20</f>
        <v>0.37725391228463256</v>
      </c>
      <c r="R21" s="214">
        <f>R22/R20</f>
        <v>0.37315877514985357</v>
      </c>
      <c r="S21" s="494">
        <f>S22/S20</f>
        <v>0.37545948550137448</v>
      </c>
      <c r="T21" s="184"/>
      <c r="U21" s="237">
        <f>U22/U20</f>
        <v>0.37794068919814466</v>
      </c>
      <c r="V21" s="214">
        <f>V22/V20</f>
        <v>0.38875950746971216</v>
      </c>
      <c r="W21" s="214">
        <f>W22/W20</f>
        <v>0.37356520961630896</v>
      </c>
      <c r="X21" s="214">
        <f>X22/X20</f>
        <v>0.35893579504200807</v>
      </c>
      <c r="Y21" s="494">
        <f>Y22/Y20</f>
        <v>0.37395772192743598</v>
      </c>
      <c r="Z21" s="184"/>
      <c r="AA21" s="237">
        <f>AA22/AA20</f>
        <v>0.37126167407044641</v>
      </c>
      <c r="AB21" s="214">
        <f>AB22/AB20</f>
        <v>0.37487405394006135</v>
      </c>
      <c r="AC21" s="214">
        <f>AC22/AC20</f>
        <v>0.35798062213156556</v>
      </c>
      <c r="AD21" s="214">
        <f>AD22/AD20</f>
        <v>0.36326435287666758</v>
      </c>
      <c r="AE21" s="494">
        <f>AE22/AE20</f>
        <v>0.36669504646137652</v>
      </c>
      <c r="AF21" s="184"/>
      <c r="AG21" s="237">
        <f>AG22/AG20</f>
        <v>0.36753493455463287</v>
      </c>
      <c r="AH21" s="214">
        <f>AH22/AH20</f>
        <v>0.36459685374591166</v>
      </c>
      <c r="AI21" s="214">
        <f>AI22/AI20</f>
        <v>0.3512575888985256</v>
      </c>
      <c r="AJ21" s="214">
        <f>AJ22/AJ20</f>
        <v>0.33923463800014886</v>
      </c>
      <c r="AK21" s="494">
        <f>AK22/AK20</f>
        <v>0.35473845706038576</v>
      </c>
      <c r="AL21" s="184"/>
      <c r="AM21" s="237">
        <f>AM22/AM20</f>
        <v>0.35498839907192609</v>
      </c>
      <c r="AN21" s="214">
        <f>AN22/AN20</f>
        <v>0.34393592347695839</v>
      </c>
      <c r="AO21" s="214">
        <f>AO22/AO20</f>
        <v>0.34437652811735936</v>
      </c>
      <c r="AP21" s="214">
        <f>AP22/AP20</f>
        <v>0.33926548093015518</v>
      </c>
      <c r="AQ21" s="494">
        <f>AQ22/AQ20</f>
        <v>0.34518571112709717</v>
      </c>
      <c r="AR21" s="184"/>
      <c r="AS21" s="237">
        <f>AS22/AS20</f>
        <v>0.36399794891694481</v>
      </c>
      <c r="AT21" s="214">
        <f>AT22/AT20</f>
        <v>0.40400130880225393</v>
      </c>
      <c r="AU21" s="214">
        <f>AU22/AU20</f>
        <v>0.34919562243658797</v>
      </c>
      <c r="AV21" s="214">
        <f>AV22/AV20</f>
        <v>0.33099296968679037</v>
      </c>
      <c r="AW21" s="494">
        <f>AW22/AW20</f>
        <v>0.3607755253352497</v>
      </c>
      <c r="AX21" s="184"/>
      <c r="AY21" s="237">
        <f>AY22/AY20</f>
        <v>0.34380655785817965</v>
      </c>
      <c r="AZ21" s="214">
        <f>AZ22/AZ20</f>
        <v>0.34759868274001976</v>
      </c>
      <c r="BA21" s="214">
        <f>BA22/BA20</f>
        <v>0.32992504537456535</v>
      </c>
      <c r="BB21" s="214">
        <f>BB22/BB20</f>
        <v>0.34680130776543711</v>
      </c>
      <c r="BC21" s="494">
        <f>BC22/BC20</f>
        <v>0.34210150206887413</v>
      </c>
      <c r="BD21" s="184"/>
      <c r="BE21" s="237">
        <f>BE22/BE20</f>
        <v>0.34413940673817928</v>
      </c>
      <c r="BF21" s="214">
        <f>BF22/BF20</f>
        <v>0.3586164485287287</v>
      </c>
      <c r="BG21" s="214">
        <f>BG22/BG20</f>
        <v>0.33888937169544259</v>
      </c>
      <c r="BH21" s="214">
        <f>BH22/BH20</f>
        <v>0.33114567350018581</v>
      </c>
      <c r="BI21" s="494">
        <f>BI22/BI20</f>
        <v>0.34219776674694879</v>
      </c>
      <c r="BJ21" s="184"/>
      <c r="BK21" s="237">
        <f>BK22/BK20</f>
        <v>0.33029071842314811</v>
      </c>
      <c r="BL21" s="214">
        <f>BL22/BL20</f>
        <v>0.3572620834584207</v>
      </c>
      <c r="BM21" s="214">
        <f>BM22/BM20</f>
        <v>0.33448217888365844</v>
      </c>
      <c r="BN21" s="214">
        <f>BN22/BN20</f>
        <v>0.31628580657934496</v>
      </c>
      <c r="BO21" s="494">
        <f>BO22/BO20</f>
        <v>0.33402113499200886</v>
      </c>
      <c r="BP21" s="184"/>
      <c r="BQ21" s="237">
        <f>BQ22/BQ20</f>
        <v>0.34942994440780178</v>
      </c>
      <c r="BR21" s="214">
        <f>BR22/BR20</f>
        <v>0.34603497300787112</v>
      </c>
      <c r="BS21" s="214">
        <f>BS22/BS20</f>
        <v>0.20976603864058649</v>
      </c>
      <c r="BT21" s="178">
        <v>0.25</v>
      </c>
      <c r="BU21" s="494">
        <f>+BU22/BU20</f>
        <v>0.29832093140750382</v>
      </c>
      <c r="BV21" s="184"/>
      <c r="BW21" s="521">
        <v>0.25</v>
      </c>
      <c r="BX21" s="178">
        <f>+BW21</f>
        <v>0.25</v>
      </c>
      <c r="BY21" s="178">
        <f>+BX21</f>
        <v>0.25</v>
      </c>
      <c r="BZ21" s="178">
        <f>+BY21</f>
        <v>0.25</v>
      </c>
      <c r="CA21" s="494">
        <f>+CA22/CA20</f>
        <v>0.25000000000000017</v>
      </c>
      <c r="CB21" s="184"/>
      <c r="CC21" s="521">
        <f>+BZ21</f>
        <v>0.25</v>
      </c>
      <c r="CD21" s="178">
        <f>+CC21</f>
        <v>0.25</v>
      </c>
      <c r="CE21" s="178">
        <f>+CD21</f>
        <v>0.25</v>
      </c>
      <c r="CF21" s="178">
        <f>+CE21</f>
        <v>0.25</v>
      </c>
      <c r="CG21" s="494">
        <f>+CG22/CG20</f>
        <v>0.24999999999999969</v>
      </c>
      <c r="CH21" s="184"/>
      <c r="CI21" s="521">
        <f>+CF21</f>
        <v>0.25</v>
      </c>
      <c r="CJ21" s="178">
        <f>+CI21</f>
        <v>0.25</v>
      </c>
      <c r="CK21" s="178">
        <f>+CJ21</f>
        <v>0.25</v>
      </c>
      <c r="CL21" s="178">
        <f>+CK21</f>
        <v>0.25</v>
      </c>
      <c r="CM21" s="494">
        <f>+CM22/CM20</f>
        <v>0.25000000000000028</v>
      </c>
      <c r="CN21" s="184"/>
      <c r="CO21" s="484"/>
      <c r="CP21" s="484"/>
      <c r="CQ21"/>
      <c r="CR21"/>
      <c r="CS21"/>
      <c r="CT21"/>
      <c r="CU21"/>
      <c r="CV21"/>
    </row>
    <row r="22" spans="1:101" s="16" customFormat="1" ht="11.25" customHeight="1" collapsed="1" x14ac:dyDescent="0.2">
      <c r="A22" s="66"/>
      <c r="B22" s="501" t="s">
        <v>159</v>
      </c>
      <c r="C22" s="235">
        <v>25.111999999999998</v>
      </c>
      <c r="D22" s="226">
        <v>28.282</v>
      </c>
      <c r="E22" s="226">
        <v>32.393999999999998</v>
      </c>
      <c r="F22" s="226">
        <v>35.484000000000002</v>
      </c>
      <c r="G22" s="493">
        <f>SUM(C22:F22)</f>
        <v>121.27199999999999</v>
      </c>
      <c r="H22" s="41"/>
      <c r="I22" s="235">
        <v>28.268000000000001</v>
      </c>
      <c r="J22" s="226">
        <v>32.627000000000002</v>
      </c>
      <c r="K22" s="226">
        <v>37.152000000000001</v>
      </c>
      <c r="L22" s="226">
        <v>34.523000000000003</v>
      </c>
      <c r="M22" s="493">
        <f>SUM(I22:L22)</f>
        <v>132.57</v>
      </c>
      <c r="N22" s="41"/>
      <c r="O22" s="235">
        <v>27.718</v>
      </c>
      <c r="P22" s="226">
        <v>28.184999999999999</v>
      </c>
      <c r="Q22" s="226">
        <v>31.99</v>
      </c>
      <c r="R22" s="226">
        <v>32.122999999999998</v>
      </c>
      <c r="S22" s="493">
        <f>SUM(O22:R22)</f>
        <v>120.01599999999999</v>
      </c>
      <c r="T22" s="41"/>
      <c r="U22" s="235">
        <v>27.375</v>
      </c>
      <c r="V22" s="226">
        <v>31.382999999999999</v>
      </c>
      <c r="W22" s="226">
        <v>33.423999999999999</v>
      </c>
      <c r="X22" s="226">
        <v>34.604999999999997</v>
      </c>
      <c r="Y22" s="493">
        <f>SUM(U22:X22)</f>
        <v>126.78699999999998</v>
      </c>
      <c r="Z22" s="41"/>
      <c r="AA22" s="235">
        <v>31.841999999999999</v>
      </c>
      <c r="AB22" s="226">
        <v>31.997</v>
      </c>
      <c r="AC22" s="226">
        <v>30.888000000000002</v>
      </c>
      <c r="AD22" s="226">
        <v>35.774999999999999</v>
      </c>
      <c r="AE22" s="493">
        <f>SUM(AA22:AD22)</f>
        <v>130.50200000000001</v>
      </c>
      <c r="AF22" s="41"/>
      <c r="AG22" s="235">
        <v>28.248000000000001</v>
      </c>
      <c r="AH22" s="226">
        <v>28.09</v>
      </c>
      <c r="AI22" s="226">
        <v>28.754999999999999</v>
      </c>
      <c r="AJ22" s="226">
        <v>31.904</v>
      </c>
      <c r="AK22" s="493">
        <f>SUM(AG22:AJ22)</f>
        <v>116.997</v>
      </c>
      <c r="AL22" s="41"/>
      <c r="AM22" s="235">
        <v>26.163</v>
      </c>
      <c r="AN22" s="226">
        <v>23.875</v>
      </c>
      <c r="AO22" s="226">
        <v>28.17</v>
      </c>
      <c r="AP22" s="226">
        <v>32.637</v>
      </c>
      <c r="AQ22" s="493">
        <f>SUM(AM22:AP22)</f>
        <v>110.845</v>
      </c>
      <c r="AR22" s="41"/>
      <c r="AS22" s="235">
        <v>26.265000000000001</v>
      </c>
      <c r="AT22" s="226">
        <f>25.663-AT63</f>
        <v>32.996676000000001</v>
      </c>
      <c r="AU22" s="226">
        <f>30.92-AU63</f>
        <v>31.086679</v>
      </c>
      <c r="AV22" s="226">
        <f>29.452-AV63</f>
        <v>30.363462000000002</v>
      </c>
      <c r="AW22" s="493">
        <f>SUM(AS22:AV22)</f>
        <v>120.711817</v>
      </c>
      <c r="AX22" s="41"/>
      <c r="AY22" s="235">
        <f>20.273-AY63</f>
        <v>21.085999999999999</v>
      </c>
      <c r="AZ22" s="226">
        <f>22.508-AZ63</f>
        <v>23.326999999999998</v>
      </c>
      <c r="BA22" s="226">
        <f>22.972-BA63</f>
        <v>23.813000000000002</v>
      </c>
      <c r="BB22" s="226">
        <f>28.482-BB63</f>
        <v>29.913</v>
      </c>
      <c r="BC22" s="493">
        <f>SUM(AY22:BB22)</f>
        <v>98.138999999999996</v>
      </c>
      <c r="BD22" s="41"/>
      <c r="BE22" s="235">
        <f>30.393-BE63-BE62</f>
        <v>24.607000000000003</v>
      </c>
      <c r="BF22" s="226">
        <f>24.7-BF63-BF62</f>
        <v>30.906999999999996</v>
      </c>
      <c r="BG22" s="226">
        <f>28.735-BG63</f>
        <v>33.391677000000001</v>
      </c>
      <c r="BH22" s="226">
        <f>32.181-BH63</f>
        <v>36.789929999999998</v>
      </c>
      <c r="BI22" s="493">
        <f>SUM(BE22:BH22)</f>
        <v>125.695607</v>
      </c>
      <c r="BJ22" s="41"/>
      <c r="BK22" s="1274">
        <f>18.712-BK63-BK62</f>
        <v>24.062999999999999</v>
      </c>
      <c r="BL22" s="1277">
        <f>25.572-BL63-BL62</f>
        <v>29.750999999999998</v>
      </c>
      <c r="BM22" s="1277">
        <f>8.379-BM63-BM62</f>
        <v>27.853000000000002</v>
      </c>
      <c r="BN22" s="1277">
        <f>24.43-BN63</f>
        <v>30.353000000000002</v>
      </c>
      <c r="BO22" s="493">
        <f>SUM(BK22:BN22)</f>
        <v>112.02000000000001</v>
      </c>
      <c r="BP22" s="41"/>
      <c r="BQ22" s="1274">
        <f>16.295-BQ63-BQ62</f>
        <v>22.251000000000001</v>
      </c>
      <c r="BR22" s="1277">
        <f>21.207-BR63-BR62</f>
        <v>25.191000000000003</v>
      </c>
      <c r="BS22" s="1277">
        <f>-68.596-BS63-BS62</f>
        <v>10.498999999999995</v>
      </c>
      <c r="BT22" s="195">
        <f>BT20*BT21</f>
        <v>11.877840718032392</v>
      </c>
      <c r="BU22" s="493">
        <f>SUM(BQ22:BT22)</f>
        <v>69.818840718032391</v>
      </c>
      <c r="BV22" s="41"/>
      <c r="BW22" s="227">
        <f>BW20*BW21</f>
        <v>10.721913881808444</v>
      </c>
      <c r="BX22" s="195">
        <f>BX20*BX21</f>
        <v>11.934384745973402</v>
      </c>
      <c r="BY22" s="195">
        <f>BY20*BY21</f>
        <v>12.668451274294501</v>
      </c>
      <c r="BZ22" s="195">
        <f>BZ20*BZ21</f>
        <v>13.495322458238109</v>
      </c>
      <c r="CA22" s="493">
        <f>SUM(BW22:BZ22)</f>
        <v>48.820072360314455</v>
      </c>
      <c r="CB22" s="41"/>
      <c r="CC22" s="227">
        <f>CC20*CC21</f>
        <v>11.592120382948886</v>
      </c>
      <c r="CD22" s="195">
        <f>CD20*CD21</f>
        <v>12.823621021386588</v>
      </c>
      <c r="CE22" s="195">
        <f>CE20*CE21</f>
        <v>13.428965057734858</v>
      </c>
      <c r="CF22" s="195">
        <f>CF20*CF21</f>
        <v>14.337308506448686</v>
      </c>
      <c r="CG22" s="493">
        <f>SUM(CC22:CF22)</f>
        <v>52.18201496851902</v>
      </c>
      <c r="CH22" s="41"/>
      <c r="CI22" s="227">
        <f>CI20*CI21</f>
        <v>10.539638417814569</v>
      </c>
      <c r="CJ22" s="195">
        <f>CJ20*CJ21</f>
        <v>11.684873193576594</v>
      </c>
      <c r="CK22" s="195">
        <f>CK20*CK21</f>
        <v>12.426534664120073</v>
      </c>
      <c r="CL22" s="195">
        <f>CL20*CL21</f>
        <v>13.275505456718244</v>
      </c>
      <c r="CM22" s="493">
        <f>SUM(CI22:CL22)</f>
        <v>47.926551732229477</v>
      </c>
      <c r="CN22" s="41"/>
      <c r="CO22" s="485"/>
      <c r="CP22" s="97"/>
      <c r="CQ22"/>
      <c r="CR22"/>
      <c r="CS22"/>
      <c r="CT22"/>
      <c r="CU22"/>
      <c r="CV22"/>
    </row>
    <row r="23" spans="1:101" s="16" customFormat="1" ht="11.25" customHeight="1" x14ac:dyDescent="0.2">
      <c r="A23" s="73"/>
      <c r="B23" s="502" t="s">
        <v>14</v>
      </c>
      <c r="C23" s="223">
        <f t="shared" ref="C23:BK23" si="6">+C20-C22</f>
        <v>41.584000000000046</v>
      </c>
      <c r="D23" s="211">
        <f t="shared" si="6"/>
        <v>48.237000000000023</v>
      </c>
      <c r="E23" s="211">
        <f t="shared" si="6"/>
        <v>58.591000000000015</v>
      </c>
      <c r="F23" s="211">
        <f t="shared" si="6"/>
        <v>59.923999999999999</v>
      </c>
      <c r="G23" s="492">
        <f t="shared" si="6"/>
        <v>208.33599999999984</v>
      </c>
      <c r="H23" s="203"/>
      <c r="I23" s="223">
        <f t="shared" si="6"/>
        <v>47.544000000000025</v>
      </c>
      <c r="J23" s="211">
        <f t="shared" si="6"/>
        <v>53.740999999999964</v>
      </c>
      <c r="K23" s="211">
        <f t="shared" si="6"/>
        <v>60.364000000000033</v>
      </c>
      <c r="L23" s="211">
        <f t="shared" si="6"/>
        <v>63.208999999999996</v>
      </c>
      <c r="M23" s="492">
        <f t="shared" si="6"/>
        <v>224.858</v>
      </c>
      <c r="N23" s="203"/>
      <c r="O23" s="223">
        <f t="shared" si="6"/>
        <v>45.964000000000013</v>
      </c>
      <c r="P23" s="211">
        <f t="shared" si="6"/>
        <v>46.902999999999977</v>
      </c>
      <c r="Q23" s="211">
        <f t="shared" si="6"/>
        <v>52.807000000000031</v>
      </c>
      <c r="R23" s="211">
        <f t="shared" si="6"/>
        <v>53.961000000000006</v>
      </c>
      <c r="S23" s="492">
        <f t="shared" si="6"/>
        <v>199.63500000000036</v>
      </c>
      <c r="T23" s="203"/>
      <c r="U23" s="223">
        <f t="shared" si="6"/>
        <v>45.05699999999996</v>
      </c>
      <c r="V23" s="211">
        <f t="shared" si="6"/>
        <v>49.343000000000046</v>
      </c>
      <c r="W23" s="211">
        <f t="shared" si="6"/>
        <v>56.048999999999971</v>
      </c>
      <c r="X23" s="211">
        <f t="shared" si="6"/>
        <v>61.805</v>
      </c>
      <c r="Y23" s="492">
        <f t="shared" si="6"/>
        <v>212.25400000000042</v>
      </c>
      <c r="Z23" s="203"/>
      <c r="AA23" s="223">
        <f t="shared" si="6"/>
        <v>53.925000000000054</v>
      </c>
      <c r="AB23" s="211">
        <f t="shared" si="6"/>
        <v>53.357000000000014</v>
      </c>
      <c r="AC23" s="211">
        <f t="shared" si="6"/>
        <v>55.395999999999987</v>
      </c>
      <c r="AD23" s="211">
        <f t="shared" si="6"/>
        <v>62.707000000000058</v>
      </c>
      <c r="AE23" s="492">
        <f t="shared" si="6"/>
        <v>225.38500000000028</v>
      </c>
      <c r="AF23" s="203"/>
      <c r="AG23" s="223">
        <f t="shared" si="6"/>
        <v>48.61000000000007</v>
      </c>
      <c r="AH23" s="211">
        <f t="shared" si="6"/>
        <v>48.953999999999951</v>
      </c>
      <c r="AI23" s="211">
        <f t="shared" si="6"/>
        <v>53.108000000000004</v>
      </c>
      <c r="AJ23" s="211">
        <f t="shared" si="6"/>
        <v>62.143000000000001</v>
      </c>
      <c r="AK23" s="492">
        <f t="shared" si="6"/>
        <v>212.81500000000011</v>
      </c>
      <c r="AL23" s="203"/>
      <c r="AM23" s="223">
        <f t="shared" si="6"/>
        <v>47.53799999999994</v>
      </c>
      <c r="AN23" s="211">
        <f t="shared" si="6"/>
        <v>45.541999999999945</v>
      </c>
      <c r="AO23" s="211">
        <f t="shared" si="6"/>
        <v>53.63000000000001</v>
      </c>
      <c r="AP23" s="211">
        <f t="shared" si="6"/>
        <v>63.562000000000012</v>
      </c>
      <c r="AQ23" s="492">
        <f t="shared" si="6"/>
        <v>210.27199999999979</v>
      </c>
      <c r="AR23" s="203"/>
      <c r="AS23" s="223">
        <f t="shared" si="6"/>
        <v>45.892000000000039</v>
      </c>
      <c r="AT23" s="211">
        <f t="shared" si="6"/>
        <v>48.677999999999905</v>
      </c>
      <c r="AU23" s="211">
        <f t="shared" si="6"/>
        <v>57.936999999999983</v>
      </c>
      <c r="AV23" s="211">
        <f t="shared" si="6"/>
        <v>61.370999999999938</v>
      </c>
      <c r="AW23" s="492">
        <f t="shared" si="6"/>
        <v>213.87799999999982</v>
      </c>
      <c r="AX23" s="203"/>
      <c r="AY23" s="223">
        <f t="shared" si="6"/>
        <v>40.244999999999955</v>
      </c>
      <c r="AZ23" s="211">
        <f t="shared" si="6"/>
        <v>43.782000000000039</v>
      </c>
      <c r="BA23" s="211">
        <f t="shared" si="6"/>
        <v>48.36399999999999</v>
      </c>
      <c r="BB23" s="211">
        <f t="shared" si="6"/>
        <v>56.340999999999966</v>
      </c>
      <c r="BC23" s="492">
        <f t="shared" si="6"/>
        <v>188.73200000000003</v>
      </c>
      <c r="BD23" s="203"/>
      <c r="BE23" s="223">
        <f t="shared" si="6"/>
        <v>46.895999999999916</v>
      </c>
      <c r="BF23" s="211">
        <f t="shared" si="6"/>
        <v>55.277000000000115</v>
      </c>
      <c r="BG23" s="211">
        <f t="shared" si="6"/>
        <v>65.141000000000034</v>
      </c>
      <c r="BH23" s="211">
        <f t="shared" si="6"/>
        <v>74.308999999999997</v>
      </c>
      <c r="BI23" s="492">
        <f t="shared" si="6"/>
        <v>241.62299999999954</v>
      </c>
      <c r="BJ23" s="203"/>
      <c r="BK23" s="223">
        <f t="shared" si="6"/>
        <v>48.790999999999897</v>
      </c>
      <c r="BL23" s="211">
        <f>+BL20-BL22</f>
        <v>53.524000000000036</v>
      </c>
      <c r="BM23" s="211">
        <f t="shared" ref="BM23:CG23" si="7">+BM20-BM22</f>
        <v>55.41899999999999</v>
      </c>
      <c r="BN23" s="211">
        <f t="shared" si="7"/>
        <v>65.614000000000004</v>
      </c>
      <c r="BO23" s="492">
        <f t="shared" si="7"/>
        <v>223.34799999999993</v>
      </c>
      <c r="BP23" s="203"/>
      <c r="BQ23" s="223">
        <f t="shared" ref="BQ23" si="8">+BQ20-BQ22</f>
        <v>41.426999999999992</v>
      </c>
      <c r="BR23" s="211">
        <f>+BR20-BR22</f>
        <v>47.607999999999976</v>
      </c>
      <c r="BS23" s="211">
        <f t="shared" ref="BS23" si="9">+BS20-BS22</f>
        <v>39.552000000000007</v>
      </c>
      <c r="BT23" s="211">
        <f t="shared" si="7"/>
        <v>35.633522154097179</v>
      </c>
      <c r="BU23" s="492">
        <f t="shared" si="7"/>
        <v>164.22052215409693</v>
      </c>
      <c r="BV23" s="203"/>
      <c r="BW23" s="223">
        <f t="shared" si="7"/>
        <v>32.165741645425328</v>
      </c>
      <c r="BX23" s="211">
        <f t="shared" si="7"/>
        <v>35.803154237920204</v>
      </c>
      <c r="BY23" s="211">
        <f t="shared" si="7"/>
        <v>38.005353822883507</v>
      </c>
      <c r="BZ23" s="211">
        <f t="shared" si="7"/>
        <v>40.485967374714328</v>
      </c>
      <c r="CA23" s="492">
        <f t="shared" si="7"/>
        <v>146.46021708094327</v>
      </c>
      <c r="CB23" s="203"/>
      <c r="CC23" s="223">
        <f t="shared" si="7"/>
        <v>34.776361148846661</v>
      </c>
      <c r="CD23" s="211">
        <f t="shared" si="7"/>
        <v>38.470863064159765</v>
      </c>
      <c r="CE23" s="211">
        <f t="shared" si="7"/>
        <v>40.286895173204577</v>
      </c>
      <c r="CF23" s="211">
        <f t="shared" si="7"/>
        <v>43.011925519346057</v>
      </c>
      <c r="CG23" s="492">
        <f t="shared" si="7"/>
        <v>156.54604490555732</v>
      </c>
      <c r="CH23" s="203"/>
      <c r="CI23" s="223">
        <f t="shared" ref="CI23:CM23" si="10">+CI20-CI22</f>
        <v>31.618915253443706</v>
      </c>
      <c r="CJ23" s="211">
        <f t="shared" si="10"/>
        <v>35.054619580729785</v>
      </c>
      <c r="CK23" s="211">
        <f t="shared" si="10"/>
        <v>37.279603992360222</v>
      </c>
      <c r="CL23" s="211">
        <f t="shared" si="10"/>
        <v>39.826516370154735</v>
      </c>
      <c r="CM23" s="492">
        <f t="shared" si="10"/>
        <v>143.77965519668822</v>
      </c>
      <c r="CN23" s="203"/>
      <c r="CO23" s="97"/>
      <c r="CP23" s="97"/>
      <c r="CQ23"/>
      <c r="CR23"/>
      <c r="CS23"/>
      <c r="CT23"/>
      <c r="CU23"/>
      <c r="CV23"/>
    </row>
    <row r="24" spans="1:101" s="16" customFormat="1" ht="11.25" hidden="1" customHeight="1" outlineLevel="1" x14ac:dyDescent="0.2">
      <c r="A24" s="73"/>
      <c r="B24" s="502" t="s">
        <v>227</v>
      </c>
      <c r="C24" s="227">
        <f>'Cash Flow'!C25/C23</f>
        <v>1.263033859176605</v>
      </c>
      <c r="D24" s="195">
        <f>'Cash Flow'!D25/D23</f>
        <v>0.62095486866927818</v>
      </c>
      <c r="E24" s="195">
        <f>'Cash Flow'!E25/E23</f>
        <v>0.58775238517861117</v>
      </c>
      <c r="F24" s="195">
        <f>'Cash Flow'!F25/F23</f>
        <v>2.1125592417061614</v>
      </c>
      <c r="G24" s="493">
        <f>'Cash Flow'!G25/G23</f>
        <v>1.1688090392442987</v>
      </c>
      <c r="H24" s="203"/>
      <c r="I24" s="227">
        <f>'Cash Flow'!I25/I23</f>
        <v>1.1177014975601542</v>
      </c>
      <c r="J24" s="195">
        <f>'Cash Flow'!J25/J23</f>
        <v>1.036434007554754</v>
      </c>
      <c r="K24" s="195">
        <f>'Cash Flow'!K25/K23</f>
        <v>0.9822742031674504</v>
      </c>
      <c r="L24" s="195">
        <f>'Cash Flow'!L25/L23</f>
        <v>1.5384834438133812</v>
      </c>
      <c r="M24" s="493">
        <f>'Cash Flow'!M25/M23</f>
        <v>1.1802070640137332</v>
      </c>
      <c r="N24" s="203"/>
      <c r="O24" s="227">
        <f>'Cash Flow'!O25/O23</f>
        <v>0.7091636933252109</v>
      </c>
      <c r="P24" s="195">
        <f>'Cash Flow'!P25/P23</f>
        <v>0.53800396563119679</v>
      </c>
      <c r="Q24" s="195">
        <f>'Cash Flow'!Q25/Q23</f>
        <v>0.27844793303918025</v>
      </c>
      <c r="R24" s="195">
        <f>'Cash Flow'!R25/R23</f>
        <v>0.95385556235058611</v>
      </c>
      <c r="S24" s="493">
        <f>'Cash Flow'!S25/S23</f>
        <v>0.62115861447140919</v>
      </c>
      <c r="T24" s="203"/>
      <c r="U24" s="227">
        <f>'Cash Flow'!U25/U23</f>
        <v>1.0394833211265739</v>
      </c>
      <c r="V24" s="195">
        <f>'Cash Flow'!V25/V23</f>
        <v>0.17461443365826965</v>
      </c>
      <c r="W24" s="195">
        <f>'Cash Flow'!W25/W23</f>
        <v>1.742671590929366</v>
      </c>
      <c r="X24" s="195">
        <f>'Cash Flow'!X25/X23</f>
        <v>1.8179435320766923</v>
      </c>
      <c r="Y24" s="493">
        <f>'Cash Flow'!Y25/Y23</f>
        <v>1.2507891488499603</v>
      </c>
      <c r="Z24" s="203"/>
      <c r="AA24" s="227">
        <f>'Cash Flow'!AA25/AA23</f>
        <v>0.42203059805285081</v>
      </c>
      <c r="AB24" s="195">
        <f>'Cash Flow'!AB25/AB23</f>
        <v>-0.6972093633450156</v>
      </c>
      <c r="AC24" s="195">
        <f>'Cash Flow'!AC25/AC23</f>
        <v>3.7168387609213669</v>
      </c>
      <c r="AD24" s="195">
        <f>'Cash Flow'!AD25/AD23</f>
        <v>1.1347536957596429</v>
      </c>
      <c r="AE24" s="493">
        <f>'Cash Flow'!AE25/AE23</f>
        <v>1.1651707078998144</v>
      </c>
      <c r="AF24" s="203"/>
      <c r="AG24" s="227">
        <f>'Cash Flow'!AG25/AG23</f>
        <v>1.3724747994239848</v>
      </c>
      <c r="AH24" s="195">
        <f>'Cash Flow'!AH25/AH23</f>
        <v>1.069738938595417</v>
      </c>
      <c r="AI24" s="195">
        <f>'Cash Flow'!AI25/AI23</f>
        <v>2.0633049634706637</v>
      </c>
      <c r="AJ24" s="195">
        <f>'Cash Flow'!AJ25/AJ23</f>
        <v>1.4884379576138904</v>
      </c>
      <c r="AK24" s="493">
        <f>'Cash Flow'!AK25/AK23</f>
        <v>1.5090947536592809</v>
      </c>
      <c r="AL24" s="203"/>
      <c r="AM24" s="227">
        <f>'Cash Flow'!AM25/AM23</f>
        <v>1.2570575118852301</v>
      </c>
      <c r="AN24" s="195">
        <f>'Cash Flow'!AN25/AN23</f>
        <v>1.612621316586889</v>
      </c>
      <c r="AO24" s="195">
        <f>'Cash Flow'!AO25/AO23</f>
        <v>0.86026477717695327</v>
      </c>
      <c r="AP24" s="195">
        <f>'Cash Flow'!AP25/AP23</f>
        <v>1.8857021490827848</v>
      </c>
      <c r="AQ24" s="493">
        <f>'Cash Flow'!AQ25/AQ23</f>
        <v>1.4228951072896072</v>
      </c>
      <c r="AR24" s="203"/>
      <c r="AS24" s="227">
        <f>'Cash Flow'!AS25/AS23</f>
        <v>0.46031988146082065</v>
      </c>
      <c r="AT24" s="195">
        <f>'Cash Flow'!AT25/AT23</f>
        <v>1.4797033567525404</v>
      </c>
      <c r="AU24" s="195">
        <f>'Cash Flow'!AU25/AU23</f>
        <v>0.97685416918376933</v>
      </c>
      <c r="AV24" s="195">
        <f>'Cash Flow'!AV25/AV23</f>
        <v>0.75094099819132842</v>
      </c>
      <c r="AW24" s="493">
        <f>'Cash Flow'!AW25/AW23</f>
        <v>0.91564349769494813</v>
      </c>
      <c r="AX24" s="203"/>
      <c r="AY24" s="227">
        <f>'Cash Flow'!AY25/AY23</f>
        <v>1.7087836998384911</v>
      </c>
      <c r="AZ24" s="195">
        <f>'Cash Flow'!AZ25/AZ23</f>
        <v>0.67664793750856467</v>
      </c>
      <c r="BA24" s="195">
        <f>'Cash Flow'!BA25/BA23</f>
        <v>1.234182449756017</v>
      </c>
      <c r="BB24" s="195">
        <f>'Cash Flow'!BB25/BB23</f>
        <v>1.8566585612608946</v>
      </c>
      <c r="BC24" s="493">
        <f>'Cash Flow'!BC25/BC23</f>
        <v>1.3918731322722164</v>
      </c>
      <c r="BD24" s="203"/>
      <c r="BE24" s="227">
        <f>'Cash Flow'!BE25/BE23</f>
        <v>0.1156601842374619</v>
      </c>
      <c r="BF24" s="195">
        <f>'Cash Flow'!BF25/BF23</f>
        <v>-1.0560631003853302</v>
      </c>
      <c r="BG24" s="195">
        <f>'Cash Flow'!BG25/BG23</f>
        <v>-0.51549715233109683</v>
      </c>
      <c r="BH24" s="195">
        <f>'Cash Flow'!BH25/BH23</f>
        <v>3.2682582190582572</v>
      </c>
      <c r="BI24" s="493">
        <f>'Cash Flow'!BI25/BI23</f>
        <v>0.64699552608816346</v>
      </c>
      <c r="BJ24" s="203"/>
      <c r="BK24" s="227">
        <f>'Cash Flow'!BK25/BK23</f>
        <v>-1.4916480498452631</v>
      </c>
      <c r="BL24" s="195">
        <f>'Cash Flow'!BL25/BL23</f>
        <v>0.32645168522531975</v>
      </c>
      <c r="BM24" s="195">
        <f>'Cash Flow'!BM25/BM23</f>
        <v>0.76988036593947906</v>
      </c>
      <c r="BN24" s="195">
        <f>'Cash Flow'!BN25/BN23</f>
        <v>2.6725851190294754</v>
      </c>
      <c r="BO24" s="493">
        <f>'Cash Flow'!BO25/BO23</f>
        <v>0.72854469258735199</v>
      </c>
      <c r="BP24" s="203"/>
      <c r="BQ24" s="227">
        <f>'Cash Flow'!BQ25/BQ23</f>
        <v>-1.1110628334178201</v>
      </c>
      <c r="BR24" s="195">
        <f>'Cash Flow'!BR25/BR23</f>
        <v>2.5864560578054117</v>
      </c>
      <c r="BS24" s="195">
        <f>'Cash Flow'!BS25/BS23</f>
        <v>-0.93787924757281538</v>
      </c>
      <c r="BT24" s="195">
        <f>'Cash Flow'!BT25/BT23</f>
        <v>3.2424018160236412</v>
      </c>
      <c r="BU24" s="493">
        <f>'Cash Flow'!BU25/BU23</f>
        <v>0.94720924585662469</v>
      </c>
      <c r="BV24" s="203"/>
      <c r="BW24" s="227">
        <f>'Cash Flow'!BW25/BW23</f>
        <v>3.0142837618838558</v>
      </c>
      <c r="BX24" s="195">
        <f>'Cash Flow'!BX25/BX23</f>
        <v>0.12222703904019619</v>
      </c>
      <c r="BY24" s="195">
        <f>'Cash Flow'!BY25/BY23</f>
        <v>2.031758369988613</v>
      </c>
      <c r="BZ24" s="195">
        <f>'Cash Flow'!BZ25/BZ23</f>
        <v>2.0953245533276124</v>
      </c>
      <c r="CA24" s="493">
        <f>'Cash Flow'!CA25/CA23</f>
        <v>1.7983158071893177</v>
      </c>
      <c r="CB24" s="203"/>
      <c r="CC24" s="227">
        <f>'Cash Flow'!CC25/CC23</f>
        <v>2.0676189126369509</v>
      </c>
      <c r="CD24" s="195">
        <f>'Cash Flow'!CD25/CD23</f>
        <v>7.831609674276141E-2</v>
      </c>
      <c r="CE24" s="195">
        <f>'Cash Flow'!CE25/CE23</f>
        <v>1.9218843165232111</v>
      </c>
      <c r="CF24" s="195">
        <f>'Cash Flow'!CF25/CF23</f>
        <v>2.043719527166648</v>
      </c>
      <c r="CG24" s="493">
        <f>'Cash Flow'!CG25/CG23</f>
        <v>1.5346808287760916</v>
      </c>
      <c r="CH24" s="203"/>
      <c r="CI24" s="227">
        <f>'Cash Flow'!CI25/CI23</f>
        <v>2.2013025822451011</v>
      </c>
      <c r="CJ24" s="195">
        <f>'Cash Flow'!CJ25/CJ23</f>
        <v>-4.9199007827601123E-2</v>
      </c>
      <c r="CK24" s="195">
        <f>'Cash Flow'!CK25/CK23</f>
        <v>2.0459287358727356</v>
      </c>
      <c r="CL24" s="195">
        <f>'Cash Flow'!CL25/CL23</f>
        <v>2.1652709569102271</v>
      </c>
      <c r="CM24" s="493">
        <f>'Cash Flow'!CM25/CM23</f>
        <v>1.6023460291236447</v>
      </c>
      <c r="CN24" s="203"/>
      <c r="CO24" s="97"/>
      <c r="CP24" s="97"/>
      <c r="CQ24"/>
      <c r="CR24"/>
      <c r="CS24"/>
      <c r="CT24"/>
      <c r="CU24"/>
      <c r="CV24"/>
    </row>
    <row r="25" spans="1:101" s="16" customFormat="1" ht="11.25" customHeight="1" collapsed="1" x14ac:dyDescent="0.2">
      <c r="A25"/>
      <c r="B25" s="506"/>
      <c r="C25" s="227"/>
      <c r="D25" s="195"/>
      <c r="E25" s="195"/>
      <c r="F25" s="195"/>
      <c r="G25" s="493"/>
      <c r="H25" s="200"/>
      <c r="I25" s="227"/>
      <c r="J25" s="195"/>
      <c r="K25" s="195"/>
      <c r="L25" s="195"/>
      <c r="M25" s="493"/>
      <c r="N25" s="200"/>
      <c r="O25" s="227"/>
      <c r="P25" s="195"/>
      <c r="Q25" s="195"/>
      <c r="R25" s="195"/>
      <c r="S25" s="493"/>
      <c r="T25" s="200"/>
      <c r="U25" s="227"/>
      <c r="V25" s="195"/>
      <c r="W25" s="195"/>
      <c r="X25" s="195"/>
      <c r="Y25" s="493"/>
      <c r="Z25" s="200"/>
      <c r="AA25" s="227"/>
      <c r="AB25" s="195"/>
      <c r="AC25" s="195"/>
      <c r="AD25" s="195"/>
      <c r="AE25" s="493"/>
      <c r="AF25" s="200"/>
      <c r="AG25" s="227"/>
      <c r="AH25" s="195"/>
      <c r="AI25" s="195"/>
      <c r="AJ25" s="195"/>
      <c r="AK25" s="493"/>
      <c r="AL25" s="200"/>
      <c r="AM25" s="227"/>
      <c r="AN25" s="195"/>
      <c r="AO25" s="195"/>
      <c r="AP25" s="195"/>
      <c r="AQ25" s="493"/>
      <c r="AR25" s="200"/>
      <c r="AS25" s="227"/>
      <c r="AT25" s="195"/>
      <c r="AU25" s="195"/>
      <c r="AV25" s="195"/>
      <c r="AW25" s="493"/>
      <c r="AX25" s="200"/>
      <c r="AY25" s="227"/>
      <c r="AZ25" s="195"/>
      <c r="BA25" s="195"/>
      <c r="BB25" s="195"/>
      <c r="BC25" s="493"/>
      <c r="BD25" s="200"/>
      <c r="BE25" s="227"/>
      <c r="BF25" s="195"/>
      <c r="BG25" s="195"/>
      <c r="BH25" s="195"/>
      <c r="BI25" s="493"/>
      <c r="BJ25" s="200"/>
      <c r="BK25" s="227"/>
      <c r="BL25" s="195"/>
      <c r="BM25" s="195"/>
      <c r="BN25" s="195"/>
      <c r="BO25" s="493"/>
      <c r="BP25" s="200"/>
      <c r="BQ25" s="227"/>
      <c r="BR25" s="195"/>
      <c r="BS25" s="195"/>
      <c r="BT25" s="195"/>
      <c r="BU25" s="493"/>
      <c r="BV25" s="200"/>
      <c r="BW25" s="227"/>
      <c r="BX25" s="195"/>
      <c r="BY25" s="195"/>
      <c r="BZ25" s="195"/>
      <c r="CA25" s="493"/>
      <c r="CB25" s="200"/>
      <c r="CC25" s="227"/>
      <c r="CD25" s="195"/>
      <c r="CE25" s="195"/>
      <c r="CF25" s="195"/>
      <c r="CG25" s="493"/>
      <c r="CH25" s="200"/>
      <c r="CI25" s="227"/>
      <c r="CJ25" s="195"/>
      <c r="CK25" s="195"/>
      <c r="CL25" s="195"/>
      <c r="CM25" s="493"/>
      <c r="CN25" s="200"/>
      <c r="CO25" s="17"/>
      <c r="CP25" s="17"/>
      <c r="CQ25"/>
      <c r="CR25"/>
      <c r="CS25"/>
      <c r="CT25"/>
      <c r="CU25"/>
      <c r="CV25"/>
    </row>
    <row r="26" spans="1:101" s="16" customFormat="1" ht="11.25" customHeight="1" x14ac:dyDescent="0.2">
      <c r="A26" s="23"/>
      <c r="B26" s="507" t="s">
        <v>222</v>
      </c>
      <c r="C26" s="166">
        <v>139.16800000000001</v>
      </c>
      <c r="D26" s="190">
        <v>138.72800000000001</v>
      </c>
      <c r="E26" s="190">
        <v>136.56700000000001</v>
      </c>
      <c r="F26" s="190">
        <v>136.61199999999999</v>
      </c>
      <c r="G26" s="495">
        <v>137.76900000000001</v>
      </c>
      <c r="H26" s="19"/>
      <c r="I26" s="166">
        <v>136.745</v>
      </c>
      <c r="J26" s="190">
        <v>136.923</v>
      </c>
      <c r="K26" s="190">
        <v>134.935</v>
      </c>
      <c r="L26" s="190">
        <v>123.035</v>
      </c>
      <c r="M26" s="495">
        <v>132.9</v>
      </c>
      <c r="N26" s="19"/>
      <c r="O26" s="166">
        <v>118.712</v>
      </c>
      <c r="P26" s="190">
        <v>118.328</v>
      </c>
      <c r="Q26" s="190">
        <v>118.134</v>
      </c>
      <c r="R26" s="190">
        <v>118.247</v>
      </c>
      <c r="S26" s="495">
        <v>118.355</v>
      </c>
      <c r="T26" s="19"/>
      <c r="U26" s="166">
        <v>118.643</v>
      </c>
      <c r="V26" s="190">
        <v>119.21599999999999</v>
      </c>
      <c r="W26" s="190">
        <v>119.434</v>
      </c>
      <c r="X26" s="190">
        <v>119.518</v>
      </c>
      <c r="Y26" s="495">
        <v>119.202</v>
      </c>
      <c r="Z26" s="19"/>
      <c r="AA26" s="166">
        <v>119.78400000000001</v>
      </c>
      <c r="AB26" s="190">
        <v>119.373</v>
      </c>
      <c r="AC26" s="190">
        <v>118.837</v>
      </c>
      <c r="AD26" s="190">
        <v>118.26900000000001</v>
      </c>
      <c r="AE26" s="495">
        <v>119.066</v>
      </c>
      <c r="AF26" s="19"/>
      <c r="AG26" s="166">
        <v>116.285</v>
      </c>
      <c r="AH26" s="190">
        <v>113.18600000000001</v>
      </c>
      <c r="AI26" s="190">
        <v>107.206</v>
      </c>
      <c r="AJ26" s="190">
        <v>106.708</v>
      </c>
      <c r="AK26" s="1275">
        <v>110.846</v>
      </c>
      <c r="AL26" s="1276"/>
      <c r="AM26" s="852">
        <v>105.783</v>
      </c>
      <c r="AN26" s="847">
        <v>104.41500000000001</v>
      </c>
      <c r="AO26" s="847">
        <v>102.896</v>
      </c>
      <c r="AP26" s="847">
        <v>102.134</v>
      </c>
      <c r="AQ26" s="1275">
        <v>103.807</v>
      </c>
      <c r="AR26" s="1276"/>
      <c r="AS26" s="852">
        <v>101.919</v>
      </c>
      <c r="AT26" s="847">
        <v>101.968</v>
      </c>
      <c r="AU26" s="847">
        <v>101.999</v>
      </c>
      <c r="AV26" s="847">
        <v>100.684</v>
      </c>
      <c r="AW26" s="1275">
        <v>101.643</v>
      </c>
      <c r="AX26" s="1276"/>
      <c r="AY26" s="852">
        <v>100.182</v>
      </c>
      <c r="AZ26" s="847">
        <v>99.376000000000005</v>
      </c>
      <c r="BA26" s="847">
        <v>99.54</v>
      </c>
      <c r="BB26" s="847">
        <v>99.677000000000007</v>
      </c>
      <c r="BC26" s="1275">
        <v>99.694000000000003</v>
      </c>
      <c r="BD26" s="1276"/>
      <c r="BE26" s="852">
        <v>100.16200000000001</v>
      </c>
      <c r="BF26" s="847">
        <v>99.185000000000002</v>
      </c>
      <c r="BG26" s="847">
        <v>95.93</v>
      </c>
      <c r="BH26" s="847">
        <v>96.120999999999995</v>
      </c>
      <c r="BI26" s="1275">
        <v>97.902000000000001</v>
      </c>
      <c r="BJ26" s="1276"/>
      <c r="BK26" s="852">
        <v>96.09</v>
      </c>
      <c r="BL26" s="847">
        <v>95.903999999999996</v>
      </c>
      <c r="BM26" s="847">
        <v>95.358999999999995</v>
      </c>
      <c r="BN26" s="847">
        <v>94.503</v>
      </c>
      <c r="BO26" s="1275">
        <v>95.566999999999993</v>
      </c>
      <c r="BP26" s="19"/>
      <c r="BQ26" s="852">
        <v>94.019000000000005</v>
      </c>
      <c r="BR26" s="847">
        <v>93.350999999999999</v>
      </c>
      <c r="BS26" s="847">
        <v>92.608999999999995</v>
      </c>
      <c r="BT26" s="523">
        <f>+BS26*BT27/BS27</f>
        <v>92.128055434501732</v>
      </c>
      <c r="BU26" s="270">
        <f>AVERAGE(BQ26:BT26)</f>
        <v>93.026763858625429</v>
      </c>
      <c r="BV26" s="19"/>
      <c r="BW26" s="522">
        <f>+BT26*BW27/BT27</f>
        <v>91.310965247517629</v>
      </c>
      <c r="BX26" s="428">
        <f>+BW26*BX27/BW27</f>
        <v>90.63867400454599</v>
      </c>
      <c r="BY26" s="428">
        <f>+BX26*BY27/BX27</f>
        <v>89.966382761574323</v>
      </c>
      <c r="BZ26" s="523">
        <f>+BY26*BZ27/BY27</f>
        <v>89.294091518602684</v>
      </c>
      <c r="CA26" s="270">
        <f>AVERAGE(BW26:BZ26)</f>
        <v>90.30252838306015</v>
      </c>
      <c r="CB26" s="19"/>
      <c r="CC26" s="522">
        <f>+BZ26*CC27/BZ27</f>
        <v>88.621800275631017</v>
      </c>
      <c r="CD26" s="428">
        <f>+CC26*CD27/CC27</f>
        <v>87.949509032659378</v>
      </c>
      <c r="CE26" s="428">
        <f>+CD26*CE27/CD27</f>
        <v>87.277217789687711</v>
      </c>
      <c r="CF26" s="523">
        <f>+CE26*CF27/CE27</f>
        <v>86.604926546716072</v>
      </c>
      <c r="CG26" s="270">
        <f>AVERAGE(CC26:CF26)</f>
        <v>87.613363411173538</v>
      </c>
      <c r="CH26" s="19"/>
      <c r="CI26" s="522">
        <f>+CF26*CI27/CF27</f>
        <v>85.932635303744405</v>
      </c>
      <c r="CJ26" s="428">
        <f>+CI26*CJ27/CI27</f>
        <v>85.260344060772766</v>
      </c>
      <c r="CK26" s="428">
        <f>+CJ26*CK27/CJ27</f>
        <v>84.588052817801099</v>
      </c>
      <c r="CL26" s="523">
        <f>+CK26*CL27/CK27</f>
        <v>83.91576157482946</v>
      </c>
      <c r="CM26" s="270">
        <f>AVERAGE(CI26:CL26)</f>
        <v>84.924198439286926</v>
      </c>
      <c r="CN26" s="19"/>
      <c r="CO26" s="429"/>
      <c r="CP26" s="430"/>
      <c r="CQ26"/>
      <c r="CR26"/>
      <c r="CS26"/>
      <c r="CT26"/>
      <c r="CU26"/>
      <c r="CV26"/>
    </row>
    <row r="27" spans="1:101" s="16" customFormat="1" ht="11.25" customHeight="1" x14ac:dyDescent="0.2">
      <c r="A27" s="23"/>
      <c r="B27" s="507" t="s">
        <v>172</v>
      </c>
      <c r="C27" s="166">
        <v>138.208</v>
      </c>
      <c r="D27" s="190">
        <v>137.75700000000001</v>
      </c>
      <c r="E27" s="190">
        <v>135.601</v>
      </c>
      <c r="F27" s="190">
        <v>135.69499999999999</v>
      </c>
      <c r="G27" s="495">
        <v>136.815</v>
      </c>
      <c r="H27" s="19"/>
      <c r="I27" s="166">
        <v>135.785</v>
      </c>
      <c r="J27" s="190">
        <v>135.90700000000001</v>
      </c>
      <c r="K27" s="190">
        <v>134.05000000000001</v>
      </c>
      <c r="L27" s="190">
        <v>122.571</v>
      </c>
      <c r="M27" s="495">
        <v>132.078</v>
      </c>
      <c r="N27" s="19"/>
      <c r="O27" s="166">
        <v>117.89</v>
      </c>
      <c r="P27" s="190">
        <v>117.42100000000001</v>
      </c>
      <c r="Q27" s="190">
        <v>117.624</v>
      </c>
      <c r="R27" s="190">
        <v>117.93</v>
      </c>
      <c r="S27" s="495">
        <v>117.71599999999999</v>
      </c>
      <c r="T27" s="19"/>
      <c r="U27" s="166">
        <v>118.119</v>
      </c>
      <c r="V27" s="190">
        <v>118.336</v>
      </c>
      <c r="W27" s="190">
        <v>118.518</v>
      </c>
      <c r="X27" s="190">
        <v>118.798</v>
      </c>
      <c r="Y27" s="495">
        <v>118.443</v>
      </c>
      <c r="Z27" s="19"/>
      <c r="AA27" s="166">
        <v>119.02200000000001</v>
      </c>
      <c r="AB27" s="190">
        <v>118.616</v>
      </c>
      <c r="AC27" s="190">
        <v>117.994</v>
      </c>
      <c r="AD27" s="190">
        <v>117.529</v>
      </c>
      <c r="AE27" s="495">
        <v>118.29</v>
      </c>
      <c r="AF27" s="19"/>
      <c r="AG27" s="166">
        <v>115.57599999999999</v>
      </c>
      <c r="AH27" s="190">
        <v>112.538</v>
      </c>
      <c r="AI27" s="190">
        <v>106.504</v>
      </c>
      <c r="AJ27" s="190">
        <v>105.86499999999999</v>
      </c>
      <c r="AK27" s="1275">
        <v>110.121</v>
      </c>
      <c r="AL27" s="1276"/>
      <c r="AM27" s="852">
        <v>105.035</v>
      </c>
      <c r="AN27" s="847">
        <v>103.706</v>
      </c>
      <c r="AO27" s="847">
        <v>102.13</v>
      </c>
      <c r="AP27" s="847">
        <v>101.249</v>
      </c>
      <c r="AQ27" s="1275">
        <v>103.03</v>
      </c>
      <c r="AR27" s="1276"/>
      <c r="AS27" s="852">
        <v>101.027</v>
      </c>
      <c r="AT27" s="847">
        <v>101.069</v>
      </c>
      <c r="AU27" s="847">
        <v>101.105</v>
      </c>
      <c r="AV27" s="847">
        <v>99.706999999999994</v>
      </c>
      <c r="AW27" s="1275">
        <v>100.727</v>
      </c>
      <c r="AX27" s="1276"/>
      <c r="AY27" s="852">
        <v>99.328999999999994</v>
      </c>
      <c r="AZ27" s="847">
        <v>98.802000000000007</v>
      </c>
      <c r="BA27" s="847">
        <v>98.841999999999999</v>
      </c>
      <c r="BB27" s="847">
        <v>98.980999999999995</v>
      </c>
      <c r="BC27" s="1275">
        <v>98.989000000000004</v>
      </c>
      <c r="BD27" s="1276"/>
      <c r="BE27" s="852">
        <v>99.436000000000007</v>
      </c>
      <c r="BF27" s="847">
        <v>98.525000000000006</v>
      </c>
      <c r="BG27" s="847">
        <v>95.334999999999994</v>
      </c>
      <c r="BH27" s="847">
        <v>95.46</v>
      </c>
      <c r="BI27" s="1275">
        <v>97.221999999999994</v>
      </c>
      <c r="BJ27" s="1276"/>
      <c r="BK27" s="852">
        <v>95.460999999999999</v>
      </c>
      <c r="BL27" s="847">
        <v>95.29</v>
      </c>
      <c r="BM27" s="847">
        <v>94.736999999999995</v>
      </c>
      <c r="BN27" s="847">
        <v>93.83</v>
      </c>
      <c r="BO27" s="1275">
        <v>94.897000000000006</v>
      </c>
      <c r="BP27" s="19"/>
      <c r="BQ27" s="852">
        <v>93.35</v>
      </c>
      <c r="BR27" s="847">
        <v>92.721999999999994</v>
      </c>
      <c r="BS27" s="847">
        <v>91.948999999999998</v>
      </c>
      <c r="BT27" s="199">
        <f>+AVERAGE(BT70:BT71)</f>
        <v>91.471483000000006</v>
      </c>
      <c r="BU27" s="270">
        <f>AVERAGE(BQ27:BT27)</f>
        <v>92.373120749999998</v>
      </c>
      <c r="BV27" s="19"/>
      <c r="BW27" s="175">
        <f>+AVERAGE(BW70:BW71)</f>
        <v>90.660215999999991</v>
      </c>
      <c r="BX27" s="199">
        <f>+AVERAGE(BX70:BX71)</f>
        <v>89.992716000000001</v>
      </c>
      <c r="BY27" s="199">
        <f>+AVERAGE(BY70:BY71)</f>
        <v>89.325215999999983</v>
      </c>
      <c r="BZ27" s="199">
        <f>+AVERAGE(BZ70:BZ71)</f>
        <v>88.657715999999994</v>
      </c>
      <c r="CA27" s="270">
        <f>AVERAGE(BW27:BZ27)</f>
        <v>89.658965999999992</v>
      </c>
      <c r="CB27" s="19"/>
      <c r="CC27" s="175">
        <f>+AVERAGE(CC70:CC71)</f>
        <v>87.990215999999975</v>
      </c>
      <c r="CD27" s="199">
        <f>+AVERAGE(CD70:CD71)</f>
        <v>87.322715999999986</v>
      </c>
      <c r="CE27" s="199">
        <f>+AVERAGE(CE70:CE71)</f>
        <v>86.655215999999967</v>
      </c>
      <c r="CF27" s="199">
        <f>+AVERAGE(CF70:CF71)</f>
        <v>85.987715999999978</v>
      </c>
      <c r="CG27" s="270">
        <f>AVERAGE(CC27:CF27)</f>
        <v>86.988965999999976</v>
      </c>
      <c r="CH27" s="19"/>
      <c r="CI27" s="175">
        <f>+AVERAGE(CI70:CI71)</f>
        <v>85.320215999999959</v>
      </c>
      <c r="CJ27" s="199">
        <f>+AVERAGE(CJ70:CJ71)</f>
        <v>84.65271599999997</v>
      </c>
      <c r="CK27" s="199">
        <f>+AVERAGE(CK70:CK71)</f>
        <v>83.985215999999951</v>
      </c>
      <c r="CL27" s="199">
        <f>+AVERAGE(CL70:CL71)</f>
        <v>83.317715999999962</v>
      </c>
      <c r="CM27" s="270">
        <f>AVERAGE(CI27:CL27)</f>
        <v>84.318965999999961</v>
      </c>
      <c r="CN27" s="19"/>
      <c r="CO27" s="429"/>
      <c r="CP27" s="430"/>
      <c r="CQ27"/>
      <c r="CR27"/>
      <c r="CS27"/>
      <c r="CT27"/>
      <c r="CU27"/>
      <c r="CV27"/>
    </row>
    <row r="28" spans="1:101" s="16" customFormat="1" ht="11.25" customHeight="1" x14ac:dyDescent="0.2">
      <c r="A28" s="23"/>
      <c r="B28" s="507" t="s">
        <v>173</v>
      </c>
      <c r="C28" s="166">
        <v>138.95400000000001</v>
      </c>
      <c r="D28" s="190">
        <v>139.15600000000001</v>
      </c>
      <c r="E28" s="190">
        <v>139.13499999999999</v>
      </c>
      <c r="F28" s="190">
        <v>139.49</v>
      </c>
      <c r="G28" s="495">
        <f>F28</f>
        <v>139.49</v>
      </c>
      <c r="H28" s="19"/>
      <c r="I28" s="166">
        <v>139.947</v>
      </c>
      <c r="J28" s="190">
        <v>139.82300000000001</v>
      </c>
      <c r="K28" s="190">
        <v>129.346</v>
      </c>
      <c r="L28" s="190">
        <v>122.357</v>
      </c>
      <c r="M28" s="495">
        <f>L28</f>
        <v>122.357</v>
      </c>
      <c r="N28" s="19"/>
      <c r="O28" s="166">
        <v>121.44</v>
      </c>
      <c r="P28" s="190">
        <v>121.57299999999999</v>
      </c>
      <c r="Q28" s="190">
        <v>121.961</v>
      </c>
      <c r="R28" s="190">
        <v>122.042</v>
      </c>
      <c r="S28" s="495">
        <f>R28</f>
        <v>122.042</v>
      </c>
      <c r="T28" s="19"/>
      <c r="U28" s="166">
        <v>122.316</v>
      </c>
      <c r="V28" s="190">
        <v>122.46899999999999</v>
      </c>
      <c r="W28" s="190">
        <v>122.75700000000001</v>
      </c>
      <c r="X28" s="190">
        <v>123.437</v>
      </c>
      <c r="Y28" s="495">
        <f>X28</f>
        <v>123.437</v>
      </c>
      <c r="Z28" s="19"/>
      <c r="AA28" s="166">
        <v>123.986</v>
      </c>
      <c r="AB28" s="190">
        <v>122.75700000000001</v>
      </c>
      <c r="AC28" s="190">
        <v>122.876</v>
      </c>
      <c r="AD28" s="190">
        <v>121.1</v>
      </c>
      <c r="AE28" s="495">
        <f>AD28</f>
        <v>121.1</v>
      </c>
      <c r="AF28" s="19"/>
      <c r="AG28" s="166">
        <v>118.458</v>
      </c>
      <c r="AH28" s="190">
        <v>110.82599999999999</v>
      </c>
      <c r="AI28" s="190">
        <v>110.973</v>
      </c>
      <c r="AJ28" s="190">
        <v>109.92</v>
      </c>
      <c r="AK28" s="1275">
        <f>AJ28</f>
        <v>109.92</v>
      </c>
      <c r="AL28" s="1276"/>
      <c r="AM28" s="852">
        <v>110.34399999999999</v>
      </c>
      <c r="AN28" s="847">
        <v>108.633</v>
      </c>
      <c r="AO28" s="847">
        <v>106.21599999999999</v>
      </c>
      <c r="AP28" s="847">
        <v>105.57</v>
      </c>
      <c r="AQ28" s="1275">
        <f>AP28</f>
        <v>105.57</v>
      </c>
      <c r="AR28" s="1276"/>
      <c r="AS28" s="852">
        <v>105.28400000000001</v>
      </c>
      <c r="AT28" s="847">
        <v>105.533</v>
      </c>
      <c r="AU28" s="847">
        <v>103.922</v>
      </c>
      <c r="AV28" s="847">
        <v>103.965</v>
      </c>
      <c r="AW28" s="1275">
        <f>AV28</f>
        <v>103.965</v>
      </c>
      <c r="AX28" s="1276"/>
      <c r="AY28" s="852">
        <v>104.259</v>
      </c>
      <c r="AZ28" s="847">
        <v>103.11499999999999</v>
      </c>
      <c r="BA28" s="847">
        <v>103.232</v>
      </c>
      <c r="BB28" s="847">
        <v>103.27800000000001</v>
      </c>
      <c r="BC28" s="1275">
        <f>BB28</f>
        <v>103.27800000000001</v>
      </c>
      <c r="BD28" s="1276"/>
      <c r="BE28" s="852">
        <v>103.248</v>
      </c>
      <c r="BF28" s="847">
        <v>99.43</v>
      </c>
      <c r="BG28" s="847">
        <v>99.088999999999999</v>
      </c>
      <c r="BH28" s="847">
        <v>99.106999999999999</v>
      </c>
      <c r="BI28" s="1275">
        <f>BH28</f>
        <v>99.106999999999999</v>
      </c>
      <c r="BJ28" s="1276"/>
      <c r="BK28" s="852">
        <v>99.072999999999993</v>
      </c>
      <c r="BL28" s="847">
        <v>97.909000000000006</v>
      </c>
      <c r="BM28" s="847">
        <v>97.134</v>
      </c>
      <c r="BN28" s="847">
        <v>96.534000000000006</v>
      </c>
      <c r="BO28" s="1275">
        <f>BN28</f>
        <v>96.534000000000006</v>
      </c>
      <c r="BP28" s="19"/>
      <c r="BQ28" s="852">
        <v>93.35</v>
      </c>
      <c r="BR28" s="847">
        <v>92.721999999999994</v>
      </c>
      <c r="BS28" s="847">
        <v>91.948999999999998</v>
      </c>
      <c r="BT28" s="199">
        <f>BT82</f>
        <v>90.993966</v>
      </c>
      <c r="BU28" s="270">
        <f>BT28</f>
        <v>90.993966</v>
      </c>
      <c r="BV28" s="19"/>
      <c r="BW28" s="175">
        <f>BW82</f>
        <v>90.326465999999996</v>
      </c>
      <c r="BX28" s="199">
        <f>BX82</f>
        <v>89.658965999999992</v>
      </c>
      <c r="BY28" s="199">
        <f>BY82</f>
        <v>88.991465999999988</v>
      </c>
      <c r="BZ28" s="199">
        <f>BZ82</f>
        <v>88.323965999999984</v>
      </c>
      <c r="CA28" s="270">
        <f>BZ28</f>
        <v>88.323965999999984</v>
      </c>
      <c r="CB28" s="19"/>
      <c r="CC28" s="175">
        <f>CC82</f>
        <v>87.65646599999998</v>
      </c>
      <c r="CD28" s="199">
        <f>CD82</f>
        <v>86.988965999999976</v>
      </c>
      <c r="CE28" s="199">
        <f>CE82</f>
        <v>86.321465999999972</v>
      </c>
      <c r="CF28" s="199">
        <f>CF82</f>
        <v>85.653965999999969</v>
      </c>
      <c r="CG28" s="270">
        <f>CF28</f>
        <v>85.653965999999969</v>
      </c>
      <c r="CH28" s="19"/>
      <c r="CI28" s="175">
        <f>CI82</f>
        <v>84.986465999999965</v>
      </c>
      <c r="CJ28" s="199">
        <f>CJ82</f>
        <v>84.318965999999961</v>
      </c>
      <c r="CK28" s="199">
        <f>CK82</f>
        <v>83.651465999999957</v>
      </c>
      <c r="CL28" s="199">
        <f>CL82</f>
        <v>82.983965999999953</v>
      </c>
      <c r="CM28" s="270">
        <f>CL28</f>
        <v>82.983965999999953</v>
      </c>
      <c r="CN28" s="19"/>
      <c r="CO28" s="429"/>
      <c r="CP28" s="430"/>
      <c r="CQ28"/>
      <c r="CR28"/>
      <c r="CS28"/>
      <c r="CT28"/>
      <c r="CU28"/>
      <c r="CV28"/>
    </row>
    <row r="29" spans="1:101" s="16" customFormat="1" ht="11.25" customHeight="1" x14ac:dyDescent="0.2">
      <c r="A29" s="23"/>
      <c r="B29" s="508" t="s">
        <v>161</v>
      </c>
      <c r="C29" s="431">
        <f>C23/C26</f>
        <v>0.29880432283283542</v>
      </c>
      <c r="D29" s="432">
        <f>D23/D26</f>
        <v>0.34770918632143488</v>
      </c>
      <c r="E29" s="432">
        <f>E23/E26</f>
        <v>0.42902751030629666</v>
      </c>
      <c r="F29" s="432">
        <f>F23/F26</f>
        <v>0.43864375018300006</v>
      </c>
      <c r="G29" s="496">
        <f>G23/G26</f>
        <v>1.5122124716010121</v>
      </c>
      <c r="H29" s="37"/>
      <c r="I29" s="431">
        <f>I23/I26</f>
        <v>0.34768364474021007</v>
      </c>
      <c r="J29" s="432">
        <f>J23/J26</f>
        <v>0.39249066993857834</v>
      </c>
      <c r="K29" s="432">
        <f>K23/K26</f>
        <v>0.44735613443509864</v>
      </c>
      <c r="L29" s="432">
        <f>L23/L26</f>
        <v>0.51374812045352947</v>
      </c>
      <c r="M29" s="496">
        <f>M23/M26</f>
        <v>1.691933784800602</v>
      </c>
      <c r="N29" s="37"/>
      <c r="O29" s="431">
        <f>O23/O26</f>
        <v>0.38718916369027573</v>
      </c>
      <c r="P29" s="432">
        <f>P23/P26</f>
        <v>0.396381245351903</v>
      </c>
      <c r="Q29" s="432">
        <f>Q23/Q26</f>
        <v>0.4470093283897949</v>
      </c>
      <c r="R29" s="432">
        <f>R23/R26</f>
        <v>0.45634138709650146</v>
      </c>
      <c r="S29" s="496">
        <f>S23/S26</f>
        <v>1.6867474969371834</v>
      </c>
      <c r="T29" s="37"/>
      <c r="U29" s="431">
        <f>U23/U26</f>
        <v>0.37976956078318957</v>
      </c>
      <c r="V29" s="432">
        <f>V23/V26</f>
        <v>0.41389578580056408</v>
      </c>
      <c r="W29" s="432">
        <f>W23/W26</f>
        <v>0.46928847731801643</v>
      </c>
      <c r="X29" s="432">
        <f>X23/X26</f>
        <v>0.51711876035408888</v>
      </c>
      <c r="Y29" s="496">
        <f>Y23/Y26</f>
        <v>1.7806244861663429</v>
      </c>
      <c r="Z29" s="37"/>
      <c r="AA29" s="431">
        <f>AA23/AA26</f>
        <v>0.4501853336004813</v>
      </c>
      <c r="AB29" s="432">
        <f>AB23/AB26</f>
        <v>0.44697712212979496</v>
      </c>
      <c r="AC29" s="432">
        <f>AC23/AC26</f>
        <v>0.46615111455186503</v>
      </c>
      <c r="AD29" s="432">
        <f>AD23/AD26</f>
        <v>0.53020656300467628</v>
      </c>
      <c r="AE29" s="496">
        <f>AE23/AE26</f>
        <v>1.8929417297969215</v>
      </c>
      <c r="AF29" s="37"/>
      <c r="AG29" s="431">
        <f>AG23/AG26</f>
        <v>0.41802468074128279</v>
      </c>
      <c r="AH29" s="432">
        <f>AH23/AH26</f>
        <v>0.43250932094075195</v>
      </c>
      <c r="AI29" s="432">
        <f>AI23/AI26</f>
        <v>0.49538272111635545</v>
      </c>
      <c r="AJ29" s="432">
        <f>AJ23/AJ26</f>
        <v>0.58236495857855086</v>
      </c>
      <c r="AK29" s="496">
        <f>AK23/AK26</f>
        <v>1.9199159193836504</v>
      </c>
      <c r="AL29" s="37"/>
      <c r="AM29" s="431">
        <f>AM23/AM26</f>
        <v>0.44939167919230821</v>
      </c>
      <c r="AN29" s="432">
        <f>AN23/AN26</f>
        <v>0.43616338648661535</v>
      </c>
      <c r="AO29" s="432">
        <f>AO23/AO26</f>
        <v>0.52120587777950556</v>
      </c>
      <c r="AP29" s="432">
        <f>AP23/AP26</f>
        <v>0.62233927976971437</v>
      </c>
      <c r="AQ29" s="496">
        <f>AQ23/AQ26</f>
        <v>2.0256052096679396</v>
      </c>
      <c r="AR29" s="37"/>
      <c r="AS29" s="431">
        <f>AS23/AS26</f>
        <v>0.45027914324120172</v>
      </c>
      <c r="AT29" s="432">
        <f>AT23/AT26</f>
        <v>0.47738506198022812</v>
      </c>
      <c r="AU29" s="432">
        <f>AU23/AU26</f>
        <v>0.56801537269973223</v>
      </c>
      <c r="AV29" s="432">
        <f>AV23/AV26</f>
        <v>0.60954074132930691</v>
      </c>
      <c r="AW29" s="496">
        <f>AW23/AW26</f>
        <v>2.1042078647816358</v>
      </c>
      <c r="AX29" s="37"/>
      <c r="AY29" s="431">
        <f>AY23/AY26</f>
        <v>0.40171887165358999</v>
      </c>
      <c r="AZ29" s="432">
        <f>AZ23/AZ26</f>
        <v>0.44056915150539405</v>
      </c>
      <c r="BA29" s="432">
        <f>BA23/BA26</f>
        <v>0.48587502511553132</v>
      </c>
      <c r="BB29" s="432">
        <f>BB23/BB26</f>
        <v>0.56523571134765249</v>
      </c>
      <c r="BC29" s="496">
        <f>BC23/BC26</f>
        <v>1.8931129255521899</v>
      </c>
      <c r="BD29" s="37"/>
      <c r="BE29" s="431">
        <f>BE23/BE26</f>
        <v>0.46820151354805128</v>
      </c>
      <c r="BF29" s="432">
        <f>BF23/BF26</f>
        <v>0.55731209356253575</v>
      </c>
      <c r="BG29" s="432">
        <f>BG23/BG26</f>
        <v>0.67904722193265954</v>
      </c>
      <c r="BH29" s="432">
        <f>BH23/BH26</f>
        <v>0.77307768333662785</v>
      </c>
      <c r="BI29" s="496">
        <f>BI23/BI26</f>
        <v>2.4680088251516774</v>
      </c>
      <c r="BJ29" s="37"/>
      <c r="BK29" s="431">
        <f>BK23/BK26</f>
        <v>0.50776355500051928</v>
      </c>
      <c r="BL29" s="432">
        <f>BL23/BL26</f>
        <v>0.55809976643310022</v>
      </c>
      <c r="BM29" s="432">
        <f>BM23/BM26</f>
        <v>0.58116171520255033</v>
      </c>
      <c r="BN29" s="432">
        <f>BN23/BN26</f>
        <v>0.69430600086769734</v>
      </c>
      <c r="BO29" s="496">
        <f>BO23/BO26</f>
        <v>2.3370828842592104</v>
      </c>
      <c r="BP29" s="37"/>
      <c r="BQ29" s="431">
        <f>BQ23/BQ26</f>
        <v>0.44062370371946086</v>
      </c>
      <c r="BR29" s="432">
        <f>BR23/BR26</f>
        <v>0.50998918061938248</v>
      </c>
      <c r="BS29" s="432">
        <f>BS23/BS26</f>
        <v>0.42708592037490967</v>
      </c>
      <c r="BT29" s="432">
        <f>BT23/BT26</f>
        <v>0.38678252771145011</v>
      </c>
      <c r="BU29" s="496">
        <f>BU23/BU26</f>
        <v>1.7653040409281142</v>
      </c>
      <c r="BV29" s="37"/>
      <c r="BW29" s="431">
        <f>BW23/BW26</f>
        <v>0.35226592510804483</v>
      </c>
      <c r="BX29" s="432">
        <f>BX23/BX26</f>
        <v>0.39500968688183252</v>
      </c>
      <c r="BY29" s="432">
        <f>BY23/BY26</f>
        <v>0.4224395008033604</v>
      </c>
      <c r="BZ29" s="432">
        <f>BZ23/BZ26</f>
        <v>0.45340029431040085</v>
      </c>
      <c r="CA29" s="496">
        <f>CA23/CA26</f>
        <v>1.6218839018511662</v>
      </c>
      <c r="CB29" s="37"/>
      <c r="CC29" s="431">
        <f>CC23/CC26</f>
        <v>0.39241316516574276</v>
      </c>
      <c r="CD29" s="432">
        <f>CD23/CD26</f>
        <v>0.43741987291678802</v>
      </c>
      <c r="CE29" s="432">
        <f>CE23/CE26</f>
        <v>0.46159692292533983</v>
      </c>
      <c r="CF29" s="432">
        <f>CF23/CF26</f>
        <v>0.49664525142394461</v>
      </c>
      <c r="CG29" s="496">
        <f>CG23/CG26</f>
        <v>1.7867827327993282</v>
      </c>
      <c r="CH29" s="37"/>
      <c r="CI29" s="431">
        <f>CI23/CI26</f>
        <v>0.36795002436130286</v>
      </c>
      <c r="CJ29" s="432">
        <f>CJ23/CJ26</f>
        <v>0.4111479957873872</v>
      </c>
      <c r="CK29" s="432">
        <f>CK23/CK26</f>
        <v>0.4407194958448663</v>
      </c>
      <c r="CL29" s="432">
        <f>CL23/CL26</f>
        <v>0.47460114313138407</v>
      </c>
      <c r="CM29" s="496">
        <f>CM23/CM26</f>
        <v>1.6930351753567341</v>
      </c>
      <c r="CN29" s="37"/>
      <c r="CO29" s="433"/>
      <c r="CP29" s="17"/>
      <c r="CQ29"/>
      <c r="CR29"/>
      <c r="CS29"/>
      <c r="CT29"/>
      <c r="CU29"/>
      <c r="CV29"/>
      <c r="CW29" s="486"/>
    </row>
    <row r="30" spans="1:101" s="16" customFormat="1" ht="11.25" customHeight="1" x14ac:dyDescent="0.2">
      <c r="A30" s="23"/>
      <c r="B30" s="36"/>
      <c r="C30" s="524"/>
      <c r="D30" s="524"/>
      <c r="E30" s="524"/>
      <c r="F30" s="524"/>
      <c r="G30" s="524"/>
      <c r="H30" s="37"/>
      <c r="I30" s="43"/>
      <c r="J30" s="524"/>
      <c r="K30" s="524"/>
      <c r="L30" s="524"/>
      <c r="M30" s="524"/>
      <c r="N30" s="37"/>
      <c r="O30" s="524"/>
      <c r="P30" s="524"/>
      <c r="Q30" s="524"/>
      <c r="R30" s="524"/>
      <c r="S30" s="524"/>
      <c r="T30" s="37"/>
      <c r="U30" s="524"/>
      <c r="V30" s="524"/>
      <c r="W30" s="524"/>
      <c r="X30" s="524"/>
      <c r="Y30" s="524"/>
      <c r="Z30" s="37"/>
      <c r="AA30" s="524"/>
      <c r="AB30" s="524"/>
      <c r="AC30" s="524"/>
      <c r="AD30" s="524"/>
      <c r="AE30" s="524"/>
      <c r="AF30" s="37"/>
      <c r="AG30" s="524"/>
      <c r="AH30" s="524"/>
      <c r="AI30" s="524"/>
      <c r="AJ30" s="524"/>
      <c r="AK30" s="524"/>
      <c r="AL30" s="37"/>
      <c r="AM30" s="524"/>
      <c r="AN30" s="524"/>
      <c r="AO30" s="524"/>
      <c r="AP30" s="524"/>
      <c r="AQ30" s="524"/>
      <c r="AR30" s="37"/>
      <c r="AS30" s="524"/>
      <c r="AT30" s="524"/>
      <c r="AU30" s="524"/>
      <c r="AV30" s="524"/>
      <c r="AW30" s="524"/>
      <c r="AX30" s="37"/>
      <c r="AY30" s="524"/>
      <c r="AZ30" s="524"/>
      <c r="BA30" s="524"/>
      <c r="BB30" s="524"/>
      <c r="BC30" s="524"/>
      <c r="BD30" s="37"/>
      <c r="BE30" s="524"/>
      <c r="BF30" s="524"/>
      <c r="BG30" s="524"/>
      <c r="BH30" s="524"/>
      <c r="BI30" s="524"/>
      <c r="BJ30" s="37"/>
      <c r="BK30" s="524"/>
      <c r="BL30" s="524"/>
      <c r="BM30" s="524"/>
      <c r="BN30" s="524"/>
      <c r="BO30" s="524"/>
      <c r="BP30" s="37"/>
      <c r="BQ30" s="524"/>
      <c r="BR30" s="524"/>
      <c r="BS30" s="1410"/>
      <c r="BT30" s="1410"/>
      <c r="BU30" s="1410"/>
      <c r="BV30" s="37"/>
      <c r="BW30" s="524"/>
      <c r="BX30" s="524"/>
      <c r="BY30" s="524"/>
      <c r="BZ30" s="524"/>
      <c r="CA30" s="524"/>
      <c r="CB30" s="37"/>
      <c r="CC30" s="524"/>
      <c r="CD30" s="524"/>
      <c r="CE30" s="524"/>
      <c r="CF30" s="524"/>
      <c r="CG30" s="524"/>
      <c r="CH30" s="37"/>
      <c r="CI30" s="524"/>
      <c r="CJ30" s="524"/>
      <c r="CK30" s="524"/>
      <c r="CL30" s="524"/>
      <c r="CM30" s="524"/>
      <c r="CN30" s="37"/>
      <c r="CO30" s="17"/>
      <c r="CP30" s="17"/>
      <c r="CQ30"/>
      <c r="CR30"/>
      <c r="CS30"/>
      <c r="CT30"/>
      <c r="CU30"/>
      <c r="CV30"/>
    </row>
    <row r="31" spans="1:101" s="16" customFormat="1" ht="11.25" customHeight="1" x14ac:dyDescent="0.2">
      <c r="B31" s="1039" t="s">
        <v>134</v>
      </c>
      <c r="C31" s="1038"/>
      <c r="D31" s="1038"/>
      <c r="E31" s="1038"/>
      <c r="F31" s="1038"/>
      <c r="G31" s="1046"/>
      <c r="H31" s="1037"/>
      <c r="I31" s="1038"/>
      <c r="J31" s="1038"/>
      <c r="K31" s="1038"/>
      <c r="L31" s="1038"/>
      <c r="M31" s="1046"/>
      <c r="N31" s="1037"/>
      <c r="O31" s="1038"/>
      <c r="P31" s="1038"/>
      <c r="Q31" s="1038"/>
      <c r="R31" s="1038"/>
      <c r="S31" s="1046"/>
      <c r="T31" s="1037"/>
      <c r="U31" s="1038"/>
      <c r="V31" s="1038"/>
      <c r="W31" s="1038"/>
      <c r="X31" s="1038"/>
      <c r="Y31" s="1046"/>
      <c r="Z31" s="1037"/>
      <c r="AA31" s="1038"/>
      <c r="AB31" s="1038"/>
      <c r="AC31" s="1038"/>
      <c r="AD31" s="1038"/>
      <c r="AE31" s="1046"/>
      <c r="AF31" s="1037"/>
      <c r="AG31" s="1038"/>
      <c r="AH31" s="1038"/>
      <c r="AI31" s="1038"/>
      <c r="AJ31" s="1038"/>
      <c r="AK31" s="1046"/>
      <c r="AL31" s="1037"/>
      <c r="AM31" s="1038"/>
      <c r="AN31" s="1038"/>
      <c r="AO31" s="1038"/>
      <c r="AP31" s="1038"/>
      <c r="AQ31" s="1046"/>
      <c r="AR31" s="1037"/>
      <c r="AS31" s="1038"/>
      <c r="AT31" s="1038"/>
      <c r="AU31" s="1038"/>
      <c r="AV31" s="1038"/>
      <c r="AW31" s="1046"/>
      <c r="AX31" s="1037"/>
      <c r="AY31" s="1038"/>
      <c r="AZ31" s="1038"/>
      <c r="BA31" s="1038"/>
      <c r="BB31" s="1038"/>
      <c r="BC31" s="1046"/>
      <c r="BD31" s="1037"/>
      <c r="BE31" s="1038"/>
      <c r="BF31" s="1038"/>
      <c r="BG31" s="1038"/>
      <c r="BH31" s="1038"/>
      <c r="BI31" s="1046"/>
      <c r="BJ31" s="1037"/>
      <c r="BK31" s="1038"/>
      <c r="BL31" s="1038"/>
      <c r="BM31" s="1038"/>
      <c r="BN31" s="1038"/>
      <c r="BO31" s="1046"/>
      <c r="BP31" s="1037"/>
      <c r="BQ31" s="1038"/>
      <c r="BR31" s="1038"/>
      <c r="BS31" s="1038"/>
      <c r="BT31" s="1038"/>
      <c r="BU31" s="1046"/>
      <c r="BV31" s="1037"/>
      <c r="BW31" s="1038"/>
      <c r="BX31" s="1038"/>
      <c r="BY31" s="1038"/>
      <c r="BZ31" s="1038"/>
      <c r="CA31" s="1047"/>
      <c r="CB31" s="1037"/>
      <c r="CC31" s="1038"/>
      <c r="CD31" s="1038"/>
      <c r="CE31" s="1038"/>
      <c r="CF31" s="1038"/>
      <c r="CG31" s="1047"/>
      <c r="CH31" s="1037"/>
      <c r="CI31" s="1038"/>
      <c r="CJ31" s="1038"/>
      <c r="CK31" s="1038"/>
      <c r="CL31" s="1038"/>
      <c r="CM31" s="1047"/>
      <c r="CN31" s="200"/>
      <c r="CO31" s="17"/>
      <c r="CP31" s="17"/>
      <c r="CQ31"/>
      <c r="CR31"/>
      <c r="CS31"/>
      <c r="CT31"/>
      <c r="CU31"/>
      <c r="CV31"/>
    </row>
    <row r="32" spans="1:101" s="16" customFormat="1" ht="11.25" customHeight="1" x14ac:dyDescent="0.2">
      <c r="A32"/>
      <c r="B32" s="528" t="s">
        <v>175</v>
      </c>
      <c r="C32" s="440">
        <f>+C9/C8</f>
        <v>0.66068944053895717</v>
      </c>
      <c r="D32" s="441">
        <f>+D9/D8</f>
        <v>0.66061045150826836</v>
      </c>
      <c r="E32" s="441">
        <f>+E9/E8</f>
        <v>0.64726128762188262</v>
      </c>
      <c r="F32" s="441">
        <f>+F9/F8</f>
        <v>0.64747958108241577</v>
      </c>
      <c r="G32" s="525">
        <f>+G9/G8</f>
        <v>0.65377619623799055</v>
      </c>
      <c r="H32" s="435"/>
      <c r="I32" s="440">
        <f>+I9/I8</f>
        <v>0.66191476226933732</v>
      </c>
      <c r="J32" s="441">
        <f>+J9/J8</f>
        <v>0.6599707274471962</v>
      </c>
      <c r="K32" s="441">
        <f>+K9/K8</f>
        <v>0.6535949731384163</v>
      </c>
      <c r="L32" s="441">
        <f>+L9/L8</f>
        <v>0.64907732390530171</v>
      </c>
      <c r="M32" s="525">
        <f>+M9/M8</f>
        <v>0.65594590241398942</v>
      </c>
      <c r="N32" s="435"/>
      <c r="O32" s="440">
        <f>+O9/O8</f>
        <v>0.66158909148104683</v>
      </c>
      <c r="P32" s="441">
        <f>+P9/P8</f>
        <v>0.66611188724634973</v>
      </c>
      <c r="Q32" s="441">
        <f>+Q9/Q8</f>
        <v>0.66818573579294294</v>
      </c>
      <c r="R32" s="441">
        <f>+R9/R8</f>
        <v>0.65493586225643807</v>
      </c>
      <c r="S32" s="525">
        <f>+S9/S8</f>
        <v>0.66275131074740146</v>
      </c>
      <c r="T32" s="435"/>
      <c r="U32" s="440">
        <f>+U9/U8</f>
        <v>0.67237730486753067</v>
      </c>
      <c r="V32" s="441">
        <f>+V9/V8</f>
        <v>0.67294107253074109</v>
      </c>
      <c r="W32" s="441">
        <f>+W9/W8</f>
        <v>0.66336497236868419</v>
      </c>
      <c r="X32" s="441">
        <f>+X9/X8</f>
        <v>0.64551615356032888</v>
      </c>
      <c r="Y32" s="525">
        <f>+Y9/Y8</f>
        <v>0.66349259400205596</v>
      </c>
      <c r="Z32" s="435"/>
      <c r="AA32" s="440">
        <f>+AA9/AA8</f>
        <v>0.67027031479653132</v>
      </c>
      <c r="AB32" s="441">
        <f>+AB9/AB8</f>
        <v>0.67436850809527249</v>
      </c>
      <c r="AC32" s="441">
        <f>+AC9/AC8</f>
        <v>0.65940095798217424</v>
      </c>
      <c r="AD32" s="441">
        <f>+AD9/AD8</f>
        <v>0.65609587483410059</v>
      </c>
      <c r="AE32" s="525">
        <f>+AE9/AE8</f>
        <v>0.66500715818565603</v>
      </c>
      <c r="AF32" s="435"/>
      <c r="AG32" s="440">
        <f>+AG9/AG8</f>
        <v>0.67162051492644748</v>
      </c>
      <c r="AH32" s="441">
        <f>+AH9/AH8</f>
        <v>0.67208402625820574</v>
      </c>
      <c r="AI32" s="441">
        <f>+AI9/AI8</f>
        <v>0.67650916729048183</v>
      </c>
      <c r="AJ32" s="441">
        <f>+AJ9/AJ8</f>
        <v>0.66494755076714074</v>
      </c>
      <c r="AK32" s="525">
        <f>+AK9/AK8</f>
        <v>0.67120320641599973</v>
      </c>
      <c r="AL32" s="435"/>
      <c r="AM32" s="440">
        <f>+AM9/AM8</f>
        <v>0.67870898816385061</v>
      </c>
      <c r="AN32" s="441">
        <f>+AN9/AN8</f>
        <v>0.67642843058004398</v>
      </c>
      <c r="AO32" s="441">
        <f>+AO9/AO8</f>
        <v>0.67211945917557359</v>
      </c>
      <c r="AP32" s="441">
        <f>+AP9/AP8</f>
        <v>0.66404195938992649</v>
      </c>
      <c r="AQ32" s="525">
        <f>+AQ9/AQ8</f>
        <v>0.67261490394291013</v>
      </c>
      <c r="AR32" s="435"/>
      <c r="AS32" s="440">
        <f>+AS9/AS8</f>
        <v>0.68013861667376785</v>
      </c>
      <c r="AT32" s="441">
        <f>+AT9/AT8</f>
        <v>0.6782311294969936</v>
      </c>
      <c r="AU32" s="441">
        <f>+AU9/AU8</f>
        <v>0.71232378202588209</v>
      </c>
      <c r="AV32" s="441">
        <f>+AV9/AV8</f>
        <v>0.71338844744967911</v>
      </c>
      <c r="AW32" s="525">
        <f>+AW9/AW8</f>
        <v>0.69726206488397935</v>
      </c>
      <c r="AX32" s="435"/>
      <c r="AY32" s="440">
        <f>+AY9/AY8</f>
        <v>0.73308972944419126</v>
      </c>
      <c r="AZ32" s="441">
        <f>+AZ9/AZ8</f>
        <v>0.73493999304859847</v>
      </c>
      <c r="BA32" s="441">
        <f>+BA9/BA8</f>
        <v>0.72623165607514073</v>
      </c>
      <c r="BB32" s="441">
        <f>+BB9/BB8</f>
        <v>0.72155940567753973</v>
      </c>
      <c r="BC32" s="525">
        <f>+BC9/BC8</f>
        <v>0.72881983908930636</v>
      </c>
      <c r="BD32" s="435"/>
      <c r="BE32" s="440">
        <f>+BE9/BE8</f>
        <v>0.74778933736995468</v>
      </c>
      <c r="BF32" s="441">
        <f>+BF9/BF8</f>
        <v>0.76180779003894294</v>
      </c>
      <c r="BG32" s="441">
        <f>+BG9/BG8</f>
        <v>0.75738782013530326</v>
      </c>
      <c r="BH32" s="441">
        <f>+BH9/BH8</f>
        <v>0.74979467178439507</v>
      </c>
      <c r="BI32" s="525">
        <f>+BI9/BI8</f>
        <v>0.75444200283550078</v>
      </c>
      <c r="BJ32" s="435"/>
      <c r="BK32" s="440">
        <f>+BK9/BK8</f>
        <v>0.76195629658760355</v>
      </c>
      <c r="BL32" s="441">
        <f>+BL9/BL8</f>
        <v>0.77510169287166286</v>
      </c>
      <c r="BM32" s="441">
        <f>+BM9/BM8</f>
        <v>0.76402121627172404</v>
      </c>
      <c r="BN32" s="441">
        <f>+BN9/BN8</f>
        <v>0.76782659484357441</v>
      </c>
      <c r="BO32" s="525">
        <f>+BO9/BO8</f>
        <v>0.76732210800863276</v>
      </c>
      <c r="BP32" s="435"/>
      <c r="BQ32" s="440">
        <f>+BQ9/BQ8</f>
        <v>0.77068893464150012</v>
      </c>
      <c r="BR32" s="441">
        <f>+BR9/BR8</f>
        <v>0.77214796169835986</v>
      </c>
      <c r="BS32" s="441">
        <f>+BS9/BS8</f>
        <v>0.78568114820734392</v>
      </c>
      <c r="BT32" s="441">
        <f>+BT9/BT8</f>
        <v>0.79109790916303913</v>
      </c>
      <c r="BU32" s="525">
        <f>+BU9/BU8</f>
        <v>0.78014302972130634</v>
      </c>
      <c r="BV32" s="435"/>
      <c r="BW32" s="440">
        <f>+BW9/BW8</f>
        <v>0.78460734832803813</v>
      </c>
      <c r="BX32" s="441">
        <f>+BX9/BX8</f>
        <v>0.78974422789102194</v>
      </c>
      <c r="BY32" s="441">
        <f>+BY9/BY8</f>
        <v>0.78706552330178092</v>
      </c>
      <c r="BZ32" s="441">
        <f>+BZ9/BZ8</f>
        <v>0.78818225342515158</v>
      </c>
      <c r="CA32" s="525">
        <f>+CA9/CA8</f>
        <v>0.78746992939689142</v>
      </c>
      <c r="CB32" s="435"/>
      <c r="CC32" s="440">
        <f>+CC9/CC8</f>
        <v>0.7854351398392605</v>
      </c>
      <c r="CD32" s="441">
        <f>+CD9/CD8</f>
        <v>0.790595847720027</v>
      </c>
      <c r="CE32" s="441">
        <f>+CE9/CE8</f>
        <v>0.78796452377801118</v>
      </c>
      <c r="CF32" s="441">
        <f>+CF9/CF8</f>
        <v>0.78903263797257728</v>
      </c>
      <c r="CG32" s="525">
        <f>+CG9/CG8</f>
        <v>0.78832749177340644</v>
      </c>
      <c r="CH32" s="435"/>
      <c r="CI32" s="440">
        <f>+CI9/CI8</f>
        <v>0.78914974389622816</v>
      </c>
      <c r="CJ32" s="441">
        <f>+CJ9/CJ8</f>
        <v>0.7943234331818585</v>
      </c>
      <c r="CK32" s="441">
        <f>+CK9/CK8</f>
        <v>0.79182431183896507</v>
      </c>
      <c r="CL32" s="441">
        <f>+CL9/CL8</f>
        <v>0.79284388770264513</v>
      </c>
      <c r="CM32" s="525">
        <f>+CM9/CM8</f>
        <v>0.79210733767843722</v>
      </c>
      <c r="CN32" s="435"/>
      <c r="CO32" s="103"/>
      <c r="CP32" s="17"/>
      <c r="CQ32"/>
      <c r="CR32"/>
      <c r="CS32"/>
      <c r="CT32"/>
      <c r="CU32"/>
      <c r="CV32"/>
    </row>
    <row r="33" spans="1:100" s="16" customFormat="1" ht="11.25" customHeight="1" x14ac:dyDescent="0.2">
      <c r="A33"/>
      <c r="B33" s="529" t="s">
        <v>135</v>
      </c>
      <c r="C33" s="434">
        <f>+C10/C$8</f>
        <v>0.33931055946104283</v>
      </c>
      <c r="D33" s="103">
        <f>+D10/D8</f>
        <v>0.33938954849173164</v>
      </c>
      <c r="E33" s="103">
        <f>+E10/E8</f>
        <v>0.35273871237811738</v>
      </c>
      <c r="F33" s="103">
        <f>+F10/F8</f>
        <v>0.35252041891758423</v>
      </c>
      <c r="G33" s="526">
        <f>+G10/G8</f>
        <v>0.34622380376200945</v>
      </c>
      <c r="H33" s="435"/>
      <c r="I33" s="434">
        <f>+I10/I8</f>
        <v>0.33808523773066268</v>
      </c>
      <c r="J33" s="103">
        <f>+J10/J8</f>
        <v>0.3400292725528038</v>
      </c>
      <c r="K33" s="103">
        <f>+K10/K8</f>
        <v>0.3464050268615837</v>
      </c>
      <c r="L33" s="103">
        <f>+L10/L8</f>
        <v>0.35092267609469824</v>
      </c>
      <c r="M33" s="526">
        <f>+M10/M8</f>
        <v>0.34405409758601058</v>
      </c>
      <c r="N33" s="435"/>
      <c r="O33" s="434">
        <f>+O10/O8</f>
        <v>0.33841090851895317</v>
      </c>
      <c r="P33" s="103">
        <f>+P10/P8</f>
        <v>0.33388811275365027</v>
      </c>
      <c r="Q33" s="103">
        <f>+Q10/Q8</f>
        <v>0.33181426420705706</v>
      </c>
      <c r="R33" s="103">
        <f>+R10/R8</f>
        <v>0.34506413774356187</v>
      </c>
      <c r="S33" s="526">
        <f>+S10/S8</f>
        <v>0.33724868925259854</v>
      </c>
      <c r="T33" s="435"/>
      <c r="U33" s="434">
        <f>+U10/U8</f>
        <v>0.32762269513246933</v>
      </c>
      <c r="V33" s="103">
        <f>+V10/V8</f>
        <v>0.32705892746925891</v>
      </c>
      <c r="W33" s="103">
        <f>+W10/W8</f>
        <v>0.33663502763131581</v>
      </c>
      <c r="X33" s="103">
        <f>+X10/X8</f>
        <v>0.35448384643967118</v>
      </c>
      <c r="Y33" s="526">
        <f>+Y10/Y8</f>
        <v>0.3365074059979441</v>
      </c>
      <c r="Z33" s="435"/>
      <c r="AA33" s="434">
        <f>+AA10/AA8</f>
        <v>0.32972968520346868</v>
      </c>
      <c r="AB33" s="103">
        <f>+AB10/AB8</f>
        <v>0.32563149190472751</v>
      </c>
      <c r="AC33" s="103">
        <f>+AC10/AC8</f>
        <v>0.34059904201782576</v>
      </c>
      <c r="AD33" s="103">
        <f>+AD10/AD8</f>
        <v>0.34390412516589947</v>
      </c>
      <c r="AE33" s="526">
        <f>+AE10/AE8</f>
        <v>0.33499284181434397</v>
      </c>
      <c r="AF33" s="435"/>
      <c r="AG33" s="434">
        <f>+AG10/AG8</f>
        <v>0.32837948507355258</v>
      </c>
      <c r="AH33" s="103">
        <f>+AH10/AH8</f>
        <v>0.32791597374179426</v>
      </c>
      <c r="AI33" s="103">
        <f>+AI10/AI8</f>
        <v>0.32349083270951812</v>
      </c>
      <c r="AJ33" s="103">
        <f>+AJ10/AJ8</f>
        <v>0.33505244923285926</v>
      </c>
      <c r="AK33" s="526">
        <f>+AK10/AK8</f>
        <v>0.32879679358400032</v>
      </c>
      <c r="AL33" s="435"/>
      <c r="AM33" s="434">
        <f>+AM10/AM8</f>
        <v>0.32129101183614939</v>
      </c>
      <c r="AN33" s="103">
        <f>+AN10/AN8</f>
        <v>0.32357156941995602</v>
      </c>
      <c r="AO33" s="103">
        <f>+AO10/AO8</f>
        <v>0.32788054082442641</v>
      </c>
      <c r="AP33" s="103">
        <f>+AP10/AP8</f>
        <v>0.33595804061007345</v>
      </c>
      <c r="AQ33" s="526">
        <f>+AQ10/AQ8</f>
        <v>0.32738509605708982</v>
      </c>
      <c r="AR33" s="435"/>
      <c r="AS33" s="434">
        <f>+AS10/AS8</f>
        <v>0.3198613833262321</v>
      </c>
      <c r="AT33" s="103">
        <f>+AT10/AT8</f>
        <v>0.3217688705030064</v>
      </c>
      <c r="AU33" s="103">
        <f>+AU10/AU8</f>
        <v>0.28767621797411791</v>
      </c>
      <c r="AV33" s="103">
        <f>+AV10/AV8</f>
        <v>0.28661155255032084</v>
      </c>
      <c r="AW33" s="526">
        <f>+AW10/AW8</f>
        <v>0.30273793511602065</v>
      </c>
      <c r="AX33" s="435"/>
      <c r="AY33" s="434">
        <f>+AY10/AY8</f>
        <v>0.26691027055580874</v>
      </c>
      <c r="AZ33" s="103">
        <f>+AZ10/AZ8</f>
        <v>0.26506000695140153</v>
      </c>
      <c r="BA33" s="103">
        <f>+BA10/BA8</f>
        <v>0.27376834392485927</v>
      </c>
      <c r="BB33" s="103">
        <f>+BB10/BB8</f>
        <v>0.27844059432246021</v>
      </c>
      <c r="BC33" s="526">
        <f>+BC10/BC8</f>
        <v>0.27118016091069369</v>
      </c>
      <c r="BD33" s="435"/>
      <c r="BE33" s="434">
        <f>+BE10/BE8</f>
        <v>0.25221066263004538</v>
      </c>
      <c r="BF33" s="103">
        <f>+BF10/BF8</f>
        <v>0.23819220996105708</v>
      </c>
      <c r="BG33" s="103">
        <f>+BG10/BG8</f>
        <v>0.24261217986469674</v>
      </c>
      <c r="BH33" s="103">
        <f>+BH10/BH8</f>
        <v>0.25020532821560493</v>
      </c>
      <c r="BI33" s="526">
        <f>+BI10/BI8</f>
        <v>0.24555799716449928</v>
      </c>
      <c r="BJ33" s="435"/>
      <c r="BK33" s="434">
        <f>+BK10/BK8</f>
        <v>0.23804370341239647</v>
      </c>
      <c r="BL33" s="103">
        <f>+BL10/BL8</f>
        <v>0.22489830712833717</v>
      </c>
      <c r="BM33" s="103">
        <f>+BM10/BM8</f>
        <v>0.23597878372827599</v>
      </c>
      <c r="BN33" s="103">
        <f>+BN10/BN8</f>
        <v>0.23217340515642559</v>
      </c>
      <c r="BO33" s="526">
        <f>+BO10/BO8</f>
        <v>0.23267789199136726</v>
      </c>
      <c r="BP33" s="435"/>
      <c r="BQ33" s="434">
        <f>+BQ10/BQ8</f>
        <v>0.22931106535849982</v>
      </c>
      <c r="BR33" s="103">
        <f>+BR10/BR8</f>
        <v>0.22785203830164019</v>
      </c>
      <c r="BS33" s="103">
        <f>+BS10/BS8</f>
        <v>0.21431885179265603</v>
      </c>
      <c r="BT33" s="103">
        <f>+BT10/BT8</f>
        <v>0.20890209083696079</v>
      </c>
      <c r="BU33" s="526">
        <f>+BU10/BU8</f>
        <v>0.21985697027869369</v>
      </c>
      <c r="BV33" s="435"/>
      <c r="BW33" s="434">
        <f>+BW10/BW8</f>
        <v>0.21539265167196195</v>
      </c>
      <c r="BX33" s="103">
        <f>+BX10/BX8</f>
        <v>0.21025577210897803</v>
      </c>
      <c r="BY33" s="103">
        <f>+BY10/BY8</f>
        <v>0.21293447669821916</v>
      </c>
      <c r="BZ33" s="103">
        <f>+BZ10/BZ8</f>
        <v>0.21181774657484836</v>
      </c>
      <c r="CA33" s="526">
        <f>+CA10/CA8</f>
        <v>0.21253007060310847</v>
      </c>
      <c r="CB33" s="435"/>
      <c r="CC33" s="434">
        <f>+CC10/CC8</f>
        <v>0.21456486016073953</v>
      </c>
      <c r="CD33" s="103">
        <f>+CD10/CD8</f>
        <v>0.20940415227997294</v>
      </c>
      <c r="CE33" s="103">
        <f>+CE10/CE8</f>
        <v>0.21203547622198882</v>
      </c>
      <c r="CF33" s="103">
        <f>+CF10/CF8</f>
        <v>0.21096736202742281</v>
      </c>
      <c r="CG33" s="526">
        <f>+CG10/CG8</f>
        <v>0.21167250822659353</v>
      </c>
      <c r="CH33" s="435"/>
      <c r="CI33" s="434">
        <f>+CI10/CI8</f>
        <v>0.21085025610377184</v>
      </c>
      <c r="CJ33" s="103">
        <f>+CJ10/CJ8</f>
        <v>0.2056765668181415</v>
      </c>
      <c r="CK33" s="103">
        <f>+CK10/CK8</f>
        <v>0.20817568816103493</v>
      </c>
      <c r="CL33" s="103">
        <f>+CL10/CL8</f>
        <v>0.20715611229735495</v>
      </c>
      <c r="CM33" s="526">
        <f>+CM10/CM8</f>
        <v>0.20789266232156292</v>
      </c>
      <c r="CN33" s="435"/>
      <c r="CO33" s="17"/>
      <c r="CP33" s="17"/>
      <c r="CQ33"/>
      <c r="CR33"/>
      <c r="CS33"/>
      <c r="CT33"/>
      <c r="CU33"/>
      <c r="CV33"/>
    </row>
    <row r="34" spans="1:100" s="16" customFormat="1" ht="11.25" customHeight="1" x14ac:dyDescent="0.2">
      <c r="A34" s="128"/>
      <c r="B34" s="1082" t="s">
        <v>285</v>
      </c>
      <c r="C34" s="434">
        <f>+C11/C$8</f>
        <v>0.23475181849248195</v>
      </c>
      <c r="D34" s="103">
        <f>+D11/D$8</f>
        <v>0.22701156461507216</v>
      </c>
      <c r="E34" s="103">
        <f>+E11/E$8</f>
        <v>0.22210194871274458</v>
      </c>
      <c r="F34" s="103">
        <f>+F11/F$8</f>
        <v>0.22203687243199216</v>
      </c>
      <c r="G34" s="526">
        <f>+G11/G$8</f>
        <v>0.22626588498133574</v>
      </c>
      <c r="H34" s="435"/>
      <c r="I34" s="434">
        <f>+I11/I$8</f>
        <v>0.23086157316122113</v>
      </c>
      <c r="J34" s="103">
        <f>+J11/J$8</f>
        <v>0.22464662691781045</v>
      </c>
      <c r="K34" s="103">
        <f>+K11/K$8</f>
        <v>0.22141049699721729</v>
      </c>
      <c r="L34" s="103">
        <f>+L11/L$8</f>
        <v>0.22082174956448453</v>
      </c>
      <c r="M34" s="526">
        <f>+M11/M$8</f>
        <v>0.22426901530615137</v>
      </c>
      <c r="N34" s="435"/>
      <c r="O34" s="434">
        <f t="shared" ref="O34:BO34" si="11">+O11/O$8</f>
        <v>0.23140944722050816</v>
      </c>
      <c r="P34" s="103">
        <f t="shared" si="11"/>
        <v>0.22512413408983478</v>
      </c>
      <c r="Q34" s="103">
        <f t="shared" si="11"/>
        <v>0.21894200287784688</v>
      </c>
      <c r="R34" s="103">
        <f t="shared" si="11"/>
        <v>0.22647214201086316</v>
      </c>
      <c r="S34" s="526">
        <f t="shared" si="11"/>
        <v>0.22535450695763432</v>
      </c>
      <c r="T34" s="435"/>
      <c r="U34" s="434">
        <f>+U11/U$8</f>
        <v>0.2303683355307069</v>
      </c>
      <c r="V34" s="103">
        <f t="shared" si="11"/>
        <v>0.22338889086583116</v>
      </c>
      <c r="W34" s="103">
        <f t="shared" si="11"/>
        <v>0.22229674033391703</v>
      </c>
      <c r="X34" s="103">
        <f t="shared" si="11"/>
        <v>0.23114146576734643</v>
      </c>
      <c r="Y34" s="526">
        <f t="shared" si="11"/>
        <v>0.22676080875375609</v>
      </c>
      <c r="Z34" s="435"/>
      <c r="AA34" s="434">
        <f>+AA11/AA$8</f>
        <v>0.22496931584032231</v>
      </c>
      <c r="AB34" s="103">
        <f t="shared" si="11"/>
        <v>0.22048741914641004</v>
      </c>
      <c r="AC34" s="103">
        <f t="shared" si="11"/>
        <v>0.2281792275510823</v>
      </c>
      <c r="AD34" s="103">
        <f t="shared" si="11"/>
        <v>0.22609154136763299</v>
      </c>
      <c r="AE34" s="526">
        <f t="shared" si="11"/>
        <v>0.22490960777826899</v>
      </c>
      <c r="AF34" s="435"/>
      <c r="AG34" s="434">
        <f>+AG11/AG$8</f>
        <v>0.23162367745940038</v>
      </c>
      <c r="AH34" s="103">
        <f t="shared" si="11"/>
        <v>0.23075010940919036</v>
      </c>
      <c r="AI34" s="103">
        <f t="shared" si="11"/>
        <v>0.22304056847256515</v>
      </c>
      <c r="AJ34" s="103">
        <f t="shared" si="11"/>
        <v>0.22520809881943837</v>
      </c>
      <c r="AK34" s="526">
        <f t="shared" si="11"/>
        <v>0.22754019686842147</v>
      </c>
      <c r="AL34" s="435"/>
      <c r="AM34" s="434">
        <f>+AM11/AM$8</f>
        <v>0.22841013241867919</v>
      </c>
      <c r="AN34" s="103">
        <f t="shared" si="11"/>
        <v>0.23377725604334906</v>
      </c>
      <c r="AO34" s="103">
        <f t="shared" si="11"/>
        <v>0.23011679719957503</v>
      </c>
      <c r="AP34" s="103">
        <f t="shared" si="11"/>
        <v>0.22770596507736807</v>
      </c>
      <c r="AQ34" s="526">
        <f t="shared" si="11"/>
        <v>0.22993270669952698</v>
      </c>
      <c r="AR34" s="435"/>
      <c r="AS34" s="434">
        <f>+AS11/AS$8</f>
        <v>0.22750972873171424</v>
      </c>
      <c r="AT34" s="103">
        <f t="shared" si="11"/>
        <v>0.23245805809573963</v>
      </c>
      <c r="AU34" s="103">
        <f t="shared" si="11"/>
        <v>0.19740599106475695</v>
      </c>
      <c r="AV34" s="103">
        <f t="shared" si="11"/>
        <v>0.19658747800743506</v>
      </c>
      <c r="AW34" s="526">
        <f t="shared" si="11"/>
        <v>0.21231948377285317</v>
      </c>
      <c r="AX34" s="435"/>
      <c r="AY34" s="434">
        <f>+AY11/AY$8</f>
        <v>0.1937130174363868</v>
      </c>
      <c r="AZ34" s="103">
        <f t="shared" si="11"/>
        <v>0.18851689803929586</v>
      </c>
      <c r="BA34" s="103">
        <f t="shared" si="11"/>
        <v>0.19016135560405079</v>
      </c>
      <c r="BB34" s="103">
        <f t="shared" si="11"/>
        <v>0.18821789247203791</v>
      </c>
      <c r="BC34" s="526">
        <f t="shared" si="11"/>
        <v>0.19008838198199121</v>
      </c>
      <c r="BD34" s="435"/>
      <c r="BE34" s="434">
        <f>+BE11/BE$8</f>
        <v>0.17960747941585659</v>
      </c>
      <c r="BF34" s="103">
        <f t="shared" si="11"/>
        <v>0.16820207168102735</v>
      </c>
      <c r="BG34" s="103">
        <f t="shared" si="11"/>
        <v>0.16527595900497766</v>
      </c>
      <c r="BH34" s="103">
        <f t="shared" si="11"/>
        <v>0.16790762637831294</v>
      </c>
      <c r="BI34" s="526">
        <f t="shared" si="11"/>
        <v>0.16978147727840204</v>
      </c>
      <c r="BJ34" s="435"/>
      <c r="BK34" s="434">
        <f t="shared" ref="BK34:CG34" si="12">+BK11/BK$8</f>
        <v>0.17751396689972351</v>
      </c>
      <c r="BL34" s="103">
        <f t="shared" si="11"/>
        <v>0.16020549398868036</v>
      </c>
      <c r="BM34" s="103">
        <f t="shared" si="11"/>
        <v>0.1689422921416498</v>
      </c>
      <c r="BN34" s="103">
        <f t="shared" si="11"/>
        <v>0.15858679946188042</v>
      </c>
      <c r="BO34" s="526">
        <f t="shared" si="11"/>
        <v>0.16609349296019921</v>
      </c>
      <c r="BP34" s="435"/>
      <c r="BQ34" s="434">
        <f t="shared" ref="BQ34:BS34" si="13">+BQ11/BQ$8</f>
        <v>0.17305145635162544</v>
      </c>
      <c r="BR34" s="103">
        <f t="shared" si="13"/>
        <v>0.16787889765518277</v>
      </c>
      <c r="BS34" s="103">
        <f t="shared" si="13"/>
        <v>0.17088004700332018</v>
      </c>
      <c r="BT34" s="103">
        <f t="shared" si="12"/>
        <v>0.17</v>
      </c>
      <c r="BU34" s="526">
        <f t="shared" si="12"/>
        <v>0.17040867413127006</v>
      </c>
      <c r="BV34" s="435"/>
      <c r="BW34" s="434">
        <f t="shared" si="12"/>
        <v>0.17499999999999999</v>
      </c>
      <c r="BX34" s="103">
        <f t="shared" si="12"/>
        <v>0.17</v>
      </c>
      <c r="BY34" s="103">
        <f t="shared" si="12"/>
        <v>0.16988004700332018</v>
      </c>
      <c r="BZ34" s="103">
        <f t="shared" si="12"/>
        <v>0.16900000000000001</v>
      </c>
      <c r="CA34" s="526">
        <f t="shared" si="12"/>
        <v>0.17086490210528257</v>
      </c>
      <c r="CB34" s="435"/>
      <c r="CC34" s="434">
        <f t="shared" si="12"/>
        <v>0.17399999999999999</v>
      </c>
      <c r="CD34" s="103">
        <f t="shared" si="12"/>
        <v>0.16900000000000001</v>
      </c>
      <c r="CE34" s="103">
        <f t="shared" si="12"/>
        <v>0.16888004700332018</v>
      </c>
      <c r="CF34" s="103">
        <f t="shared" si="12"/>
        <v>0.16800000000000001</v>
      </c>
      <c r="CG34" s="526">
        <f t="shared" si="12"/>
        <v>0.1698636126585521</v>
      </c>
      <c r="CH34" s="435"/>
      <c r="CI34" s="434">
        <f t="shared" ref="CI34:CM34" si="14">+CI11/CI$8</f>
        <v>0.17299999999999999</v>
      </c>
      <c r="CJ34" s="103">
        <f t="shared" si="14"/>
        <v>0.16800000000000001</v>
      </c>
      <c r="CK34" s="103">
        <f t="shared" si="14"/>
        <v>0.16788004700332018</v>
      </c>
      <c r="CL34" s="103">
        <f t="shared" si="14"/>
        <v>0.16700000000000001</v>
      </c>
      <c r="CM34" s="526">
        <f t="shared" si="14"/>
        <v>0.16886370911837645</v>
      </c>
      <c r="CN34" s="435"/>
      <c r="CO34" s="17"/>
      <c r="CP34" s="17"/>
      <c r="CQ34"/>
      <c r="CR34"/>
      <c r="CS34"/>
      <c r="CT34"/>
      <c r="CU34"/>
      <c r="CV34"/>
    </row>
    <row r="35" spans="1:100" s="16" customFormat="1" ht="11.25" customHeight="1" x14ac:dyDescent="0.2">
      <c r="A35"/>
      <c r="B35" s="529" t="s">
        <v>102</v>
      </c>
      <c r="C35" s="434">
        <f>C12/C8</f>
        <v>0.11408446836555365</v>
      </c>
      <c r="D35" s="103">
        <f>D12/D8</f>
        <v>0.12190161507072869</v>
      </c>
      <c r="E35" s="103">
        <f>E12/E8</f>
        <v>0.13977144274652076</v>
      </c>
      <c r="F35" s="103">
        <f>F12/F8</f>
        <v>0.13882293412776689</v>
      </c>
      <c r="G35" s="526">
        <f>G12/G8</f>
        <v>0.12907063255476875</v>
      </c>
      <c r="H35" s="479"/>
      <c r="I35" s="434">
        <f>I12/I8</f>
        <v>0.11589628216588754</v>
      </c>
      <c r="J35" s="103">
        <f>J12/J8</f>
        <v>0.12379378753409737</v>
      </c>
      <c r="K35" s="103">
        <f>K12/K8</f>
        <v>0.13422683172318287</v>
      </c>
      <c r="L35" s="103">
        <f>L12/L8</f>
        <v>0.13881508964680853</v>
      </c>
      <c r="M35" s="526">
        <f>M12/M8</f>
        <v>0.12854879517288825</v>
      </c>
      <c r="N35" s="479"/>
      <c r="O35" s="434">
        <f>O12/O8</f>
        <v>0.11558238859783915</v>
      </c>
      <c r="P35" s="103">
        <f>P12/P8</f>
        <v>0.11861438572882606</v>
      </c>
      <c r="Q35" s="103">
        <f>Q12/Q8</f>
        <v>0.12230602584636939</v>
      </c>
      <c r="R35" s="103">
        <f>R12/R8</f>
        <v>0.12991547460904443</v>
      </c>
      <c r="S35" s="526">
        <f>S12/S8</f>
        <v>0.12170147826904759</v>
      </c>
      <c r="T35" s="479"/>
      <c r="U35" s="434">
        <f>U12/U8</f>
        <v>0.10847172987123514</v>
      </c>
      <c r="V35" s="103">
        <f>V12/V8</f>
        <v>0.11571002428366865</v>
      </c>
      <c r="W35" s="103">
        <f>W12/W8</f>
        <v>0.12600172665239168</v>
      </c>
      <c r="X35" s="103">
        <f>X12/X8</f>
        <v>0.13717176738085687</v>
      </c>
      <c r="Y35" s="526">
        <f>Y12/Y8</f>
        <v>0.12193980557093163</v>
      </c>
      <c r="Z35" s="479"/>
      <c r="AA35" s="434">
        <f>AA12/AA8</f>
        <v>0.1159667069512714</v>
      </c>
      <c r="AB35" s="103">
        <f>AB12/AB8</f>
        <v>0.11859148556006785</v>
      </c>
      <c r="AC35" s="103">
        <f>AC12/AC8</f>
        <v>0.12428181652822411</v>
      </c>
      <c r="AD35" s="103">
        <f>AD12/AD8</f>
        <v>0.1296973701628954</v>
      </c>
      <c r="AE35" s="526">
        <f>AE12/AE8</f>
        <v>0.12218598400899391</v>
      </c>
      <c r="AF35" s="479"/>
      <c r="AG35" s="434">
        <f>AG12/AG8</f>
        <v>0.10747301816568379</v>
      </c>
      <c r="AH35" s="103">
        <f>AH12/AH8</f>
        <v>0.1093695113056163</v>
      </c>
      <c r="AI35" s="103">
        <f>AI12/AI8</f>
        <v>0.11262080600650258</v>
      </c>
      <c r="AJ35" s="103">
        <f>AJ12/AJ8</f>
        <v>0.12242212714693688</v>
      </c>
      <c r="AK35" s="526">
        <f>AK12/AK8</f>
        <v>0.11319467562076797</v>
      </c>
      <c r="AL35" s="479"/>
      <c r="AM35" s="434">
        <f>AM12/AM8</f>
        <v>0.10579662065281557</v>
      </c>
      <c r="AN35" s="103">
        <f>AN12/AN8</f>
        <v>0.10181124617011432</v>
      </c>
      <c r="AO35" s="103">
        <f>AO12/AO8</f>
        <v>0.11021213917832512</v>
      </c>
      <c r="AP35" s="103">
        <f>AP12/AP8</f>
        <v>0.1214084293935434</v>
      </c>
      <c r="AQ35" s="526">
        <f>AQ12/AQ8</f>
        <v>0.11009998867264262</v>
      </c>
      <c r="AR35" s="479"/>
      <c r="AS35" s="434">
        <f>AS12/AS8</f>
        <v>0.10482261042465563</v>
      </c>
      <c r="AT35" s="103">
        <f>AT12/AT8</f>
        <v>0.1013898966194582</v>
      </c>
      <c r="AU35" s="103">
        <f>AU12/AU8</f>
        <v>0.10287045283043264</v>
      </c>
      <c r="AV35" s="103">
        <f>AV12/AV8</f>
        <v>0.10209491895756825</v>
      </c>
      <c r="AW35" s="526">
        <f>AW12/AW8</f>
        <v>0.10271901868118208</v>
      </c>
      <c r="AX35" s="479"/>
      <c r="AY35" s="434">
        <f>AY12/AY8</f>
        <v>8.348101508483885E-2</v>
      </c>
      <c r="AZ35" s="103">
        <f>AZ12/AZ8</f>
        <v>8.8153993989082247E-2</v>
      </c>
      <c r="BA35" s="103">
        <f>BA12/BA8</f>
        <v>9.4534063265416815E-2</v>
      </c>
      <c r="BB35" s="103">
        <f>BB12/BB8</f>
        <v>0.10281519639905279</v>
      </c>
      <c r="BC35" s="526">
        <f>BC12/BC8</f>
        <v>9.2476216898307678E-2</v>
      </c>
      <c r="BD35" s="479"/>
      <c r="BE35" s="434">
        <f>BE12/BE8</f>
        <v>8.5944158128220996E-2</v>
      </c>
      <c r="BF35" s="103">
        <f>BF12/BF8</f>
        <v>8.6656445029909157E-2</v>
      </c>
      <c r="BG35" s="103">
        <f>BG12/BG8</f>
        <v>9.1910912137105061E-2</v>
      </c>
      <c r="BH35" s="103">
        <f>BH12/BH8</f>
        <v>9.850796893593898E-2</v>
      </c>
      <c r="BI35" s="526">
        <f>BI12/BI8</f>
        <v>9.1070290491233608E-2</v>
      </c>
      <c r="BJ35" s="479"/>
      <c r="BK35" s="434">
        <f>BK12/BK8</f>
        <v>7.5809269638466611E-2</v>
      </c>
      <c r="BL35" s="103">
        <f>BL12/BL8</f>
        <v>7.9956791546711758E-2</v>
      </c>
      <c r="BM35" s="103">
        <f>BM12/BM8</f>
        <v>8.209927165672691E-2</v>
      </c>
      <c r="BN35" s="103">
        <f>BN12/BN8</f>
        <v>8.795445360379564E-2</v>
      </c>
      <c r="BO35" s="526">
        <f>BO12/BO8</f>
        <v>8.1570291538168194E-2</v>
      </c>
      <c r="BP35" s="479"/>
      <c r="BQ35" s="434">
        <f>BQ12/BQ8</f>
        <v>7.2442230938222454E-2</v>
      </c>
      <c r="BR35" s="103">
        <f>BR12/BR8</f>
        <v>7.4931967610015443E-2</v>
      </c>
      <c r="BS35" s="103">
        <f>BS12/BS8</f>
        <v>5.8675617463944008E-2</v>
      </c>
      <c r="BT35" s="103">
        <f>BT12/BT8</f>
        <v>5.3161344631763065E-2</v>
      </c>
      <c r="BU35" s="526">
        <f>BU12/BU8</f>
        <v>6.4583234745291207E-2</v>
      </c>
      <c r="BV35" s="479"/>
      <c r="BW35" s="434">
        <f>BW12/BW8</f>
        <v>5.6821822475820495E-2</v>
      </c>
      <c r="BX35" s="103">
        <f>BX12/BX8</f>
        <v>5.5439345036319844E-2</v>
      </c>
      <c r="BY35" s="103">
        <f>BY12/BY8</f>
        <v>5.8617139914980416E-2</v>
      </c>
      <c r="BZ35" s="103">
        <f>BZ12/BZ8</f>
        <v>5.7663848091449157E-2</v>
      </c>
      <c r="CA35" s="526">
        <f>CA12/CA8</f>
        <v>5.7143037715389838E-2</v>
      </c>
      <c r="CB35" s="479"/>
      <c r="CC35" s="434">
        <f>CC12/CC8</f>
        <v>5.6723217655587868E-2</v>
      </c>
      <c r="CD35" s="103">
        <f>CD12/CD8</f>
        <v>5.5346205921958713E-2</v>
      </c>
      <c r="CE35" s="103">
        <f>CE12/CE8</f>
        <v>5.8439659445433528E-2</v>
      </c>
      <c r="CF35" s="103">
        <f>CF12/CF8</f>
        <v>5.754845678639068E-2</v>
      </c>
      <c r="CG35" s="526">
        <f>CG12/CG8</f>
        <v>5.7022735826363725E-2</v>
      </c>
      <c r="CH35" s="479"/>
      <c r="CI35" s="434">
        <f>CI12/CI8</f>
        <v>5.4268462524256732E-2</v>
      </c>
      <c r="CJ35" s="103">
        <f>CJ12/CJ8</f>
        <v>5.2855743884854138E-2</v>
      </c>
      <c r="CK35" s="103">
        <f>CK12/CK8</f>
        <v>5.5824341593330176E-2</v>
      </c>
      <c r="CL35" s="103">
        <f>CL12/CL8</f>
        <v>5.4965832182147872E-2</v>
      </c>
      <c r="CM35" s="526">
        <f>CM12/CM8</f>
        <v>5.4484777355309974E-2</v>
      </c>
      <c r="CN35" s="479"/>
      <c r="CO35" s="17"/>
      <c r="CP35" s="17"/>
      <c r="CQ35"/>
      <c r="CR35"/>
      <c r="CS35"/>
      <c r="CT35"/>
      <c r="CU35"/>
      <c r="CV35"/>
    </row>
    <row r="36" spans="1:100" s="16" customFormat="1" ht="11.25" customHeight="1" x14ac:dyDescent="0.2">
      <c r="A36"/>
      <c r="B36" s="530" t="str">
        <f>+B13</f>
        <v>Operating Income / Loss</v>
      </c>
      <c r="C36" s="434">
        <f>+C13/C8</f>
        <v>0.10455874096856087</v>
      </c>
      <c r="D36" s="103">
        <f>+D13/D8</f>
        <v>0.11237798387665948</v>
      </c>
      <c r="E36" s="103">
        <f>+E13/E8</f>
        <v>0.1306367636653728</v>
      </c>
      <c r="F36" s="103">
        <f>+F13/F8</f>
        <v>0.1304835464855921</v>
      </c>
      <c r="G36" s="526">
        <f>+G13/G8</f>
        <v>0.11995791878067373</v>
      </c>
      <c r="H36" s="141"/>
      <c r="I36" s="434">
        <f>+I13/I8</f>
        <v>0.10722366456944156</v>
      </c>
      <c r="J36" s="103">
        <f>+J13/J8</f>
        <v>0.11538264563499334</v>
      </c>
      <c r="K36" s="103">
        <f>+K13/K8</f>
        <v>0.12499452986436642</v>
      </c>
      <c r="L36" s="103">
        <f>+L13/L8</f>
        <v>0.13010092653021371</v>
      </c>
      <c r="M36" s="526">
        <f>+M13/M8</f>
        <v>0.11978508227985923</v>
      </c>
      <c r="N36" s="141"/>
      <c r="O36" s="434">
        <f>+O13/O8</f>
        <v>0.10700146129844502</v>
      </c>
      <c r="P36" s="103">
        <f>+P13/P8</f>
        <v>0.10876397866381549</v>
      </c>
      <c r="Q36" s="103">
        <f>+Q13/Q8</f>
        <v>0.11287226132921017</v>
      </c>
      <c r="R36" s="103">
        <f>+R13/R8</f>
        <v>0.11859199573269871</v>
      </c>
      <c r="S36" s="526">
        <f>+S13/S8</f>
        <v>0.11189418229496424</v>
      </c>
      <c r="T36" s="141"/>
      <c r="U36" s="434">
        <f>+U13/U8</f>
        <v>9.7254359601762416E-2</v>
      </c>
      <c r="V36" s="103">
        <f>+V13/V8</f>
        <v>0.10367003660342775</v>
      </c>
      <c r="W36" s="103">
        <f>+W13/W8</f>
        <v>0.11433828729739877</v>
      </c>
      <c r="X36" s="103">
        <f>+X13/X8</f>
        <v>0.12334238067232474</v>
      </c>
      <c r="Y36" s="526">
        <f>+Y13/Y8</f>
        <v>0.109746597244188</v>
      </c>
      <c r="Z36" s="141"/>
      <c r="AA36" s="434">
        <f>+AA13/AA8</f>
        <v>0.10476036936314635</v>
      </c>
      <c r="AB36" s="103">
        <f>+AB13/AB8</f>
        <v>0.10514407275831747</v>
      </c>
      <c r="AC36" s="103">
        <f>+AC13/AC8</f>
        <v>0.11241981446674346</v>
      </c>
      <c r="AD36" s="103">
        <f>+AD13/AD8</f>
        <v>0.11781258379826645</v>
      </c>
      <c r="AE36" s="526">
        <f>+AE13/AE8</f>
        <v>0.11008323403607499</v>
      </c>
      <c r="AF36" s="141"/>
      <c r="AG36" s="434">
        <f>+AG13/AG8</f>
        <v>9.6755807614152187E-2</v>
      </c>
      <c r="AH36" s="103">
        <f>+AH13/AH8</f>
        <v>9.7165864332603893E-2</v>
      </c>
      <c r="AI36" s="103">
        <f>+AI13/AI8</f>
        <v>0.10045026423695295</v>
      </c>
      <c r="AJ36" s="103">
        <f>+AJ13/AJ8</f>
        <v>0.10984435041342086</v>
      </c>
      <c r="AK36" s="526">
        <f>+AK13/AK8</f>
        <v>0.10125659671557882</v>
      </c>
      <c r="AL36" s="141"/>
      <c r="AM36" s="434">
        <f>+AM13/AM8</f>
        <v>9.2880879417470183E-2</v>
      </c>
      <c r="AN36" s="103">
        <f>+AN13/AN8</f>
        <v>8.9794313376606982E-2</v>
      </c>
      <c r="AO36" s="103">
        <f>+AO13/AO8</f>
        <v>9.7763743624851379E-2</v>
      </c>
      <c r="AP36" s="103">
        <f>+AP13/AP8</f>
        <v>0.1082520755327054</v>
      </c>
      <c r="AQ36" s="526">
        <f>+AQ13/AQ8</f>
        <v>9.7452389357562827E-2</v>
      </c>
      <c r="AR36" s="141"/>
      <c r="AS36" s="434">
        <f>+AS13/AS8</f>
        <v>9.2351654594517857E-2</v>
      </c>
      <c r="AT36" s="103">
        <f>+AT13/AT8</f>
        <v>8.9310812407266779E-2</v>
      </c>
      <c r="AU36" s="103">
        <f>+AU13/AU8</f>
        <v>9.0270226909360929E-2</v>
      </c>
      <c r="AV36" s="103">
        <f>+AV13/AV8</f>
        <v>9.0024074542885787E-2</v>
      </c>
      <c r="AW36" s="526">
        <f>+AW13/AW8</f>
        <v>9.0418451343167477E-2</v>
      </c>
      <c r="AX36" s="141"/>
      <c r="AY36" s="434">
        <f>+AY13/AY8</f>
        <v>7.3197253119421948E-2</v>
      </c>
      <c r="AZ36" s="103">
        <f>+AZ13/AZ8</f>
        <v>7.6543108912105695E-2</v>
      </c>
      <c r="BA36" s="103">
        <f>+BA13/BA8</f>
        <v>8.3606988320808484E-2</v>
      </c>
      <c r="BB36" s="103">
        <f>+BB13/BB8</f>
        <v>9.0222701850422318E-2</v>
      </c>
      <c r="BC36" s="526">
        <f>+BC13/BC8</f>
        <v>8.1091778928702479E-2</v>
      </c>
      <c r="BD36" s="141"/>
      <c r="BE36" s="434">
        <f>+BE13/BE8</f>
        <v>7.2603183214188766E-2</v>
      </c>
      <c r="BF36" s="103">
        <f>+BF13/BF8</f>
        <v>6.9990138280029729E-2</v>
      </c>
      <c r="BG36" s="103">
        <f>+BG13/BG8</f>
        <v>7.7336220859719071E-2</v>
      </c>
      <c r="BH36" s="103">
        <f>+BH13/BH8</f>
        <v>8.2297701837292014E-2</v>
      </c>
      <c r="BI36" s="526">
        <f>+BI13/BI8</f>
        <v>7.5776519886097224E-2</v>
      </c>
      <c r="BJ36" s="141"/>
      <c r="BK36" s="434">
        <f>+BK13/BK8</f>
        <v>6.052973651267296E-2</v>
      </c>
      <c r="BL36" s="103">
        <f>+BL13/BL8</f>
        <v>6.4692813139656816E-2</v>
      </c>
      <c r="BM36" s="103">
        <f>+BM13/BM8</f>
        <v>6.7036491586626196E-2</v>
      </c>
      <c r="BN36" s="103">
        <f>+BN13/BN8</f>
        <v>7.3586605694545185E-2</v>
      </c>
      <c r="BO36" s="526">
        <f>+BO13/BO8</f>
        <v>6.6584399031168071E-2</v>
      </c>
      <c r="BP36" s="141"/>
      <c r="BQ36" s="434">
        <f>+BQ13/BQ8</f>
        <v>5.6259609006874392E-2</v>
      </c>
      <c r="BR36" s="103">
        <f>+BR13/BR8</f>
        <v>5.9973140646457423E-2</v>
      </c>
      <c r="BS36" s="103">
        <f>+BS13/BS8</f>
        <v>4.343880478933583E-2</v>
      </c>
      <c r="BT36" s="103">
        <f>+BT13/BT8</f>
        <v>3.8902090836960793E-2</v>
      </c>
      <c r="BU36" s="526">
        <f>+BU13/BU8</f>
        <v>4.9448296147423638E-2</v>
      </c>
      <c r="BV36" s="141"/>
      <c r="BW36" s="434">
        <f>+BW13/BW8</f>
        <v>4.0392651671961981E-2</v>
      </c>
      <c r="BX36" s="103">
        <f>+BX13/BX8</f>
        <v>4.0255772108978016E-2</v>
      </c>
      <c r="BY36" s="103">
        <f>+BY13/BY8</f>
        <v>4.3054429694898963E-2</v>
      </c>
      <c r="BZ36" s="103">
        <f>+BZ13/BZ8</f>
        <v>4.2817746574848367E-2</v>
      </c>
      <c r="CA36" s="526">
        <f>+CA13/CA8</f>
        <v>4.1665168497825908E-2</v>
      </c>
      <c r="CB36" s="141"/>
      <c r="CC36" s="434">
        <f>+CC13/CC8</f>
        <v>4.0564860160739534E-2</v>
      </c>
      <c r="CD36" s="103">
        <f>+CD13/CD8</f>
        <v>4.0404152279972919E-2</v>
      </c>
      <c r="CE36" s="103">
        <f>+CE13/CE8</f>
        <v>4.315542921866862E-2</v>
      </c>
      <c r="CF36" s="103">
        <f>+CF13/CF8</f>
        <v>4.2967362027422802E-2</v>
      </c>
      <c r="CG36" s="526">
        <f>+CG13/CG8</f>
        <v>4.1808895568041425E-2</v>
      </c>
      <c r="CH36" s="141"/>
      <c r="CI36" s="434">
        <f>+CI13/CI8</f>
        <v>3.7850256103771865E-2</v>
      </c>
      <c r="CJ36" s="103">
        <f>+CJ13/CJ8</f>
        <v>3.7676566818141487E-2</v>
      </c>
      <c r="CK36" s="103">
        <f>+CK13/CK8</f>
        <v>4.0295641157714758E-2</v>
      </c>
      <c r="CL36" s="103">
        <f>+CL13/CL8</f>
        <v>4.0156112297354947E-2</v>
      </c>
      <c r="CM36" s="526">
        <f>+CM13/CM8</f>
        <v>3.9028953203186473E-2</v>
      </c>
      <c r="CN36" s="141"/>
      <c r="CO36" s="17"/>
      <c r="CP36" s="17"/>
      <c r="CQ36"/>
      <c r="CR36"/>
      <c r="CS36"/>
      <c r="CT36"/>
      <c r="CU36"/>
      <c r="CV36"/>
    </row>
    <row r="37" spans="1:100" s="16" customFormat="1" ht="11.25" customHeight="1" x14ac:dyDescent="0.2">
      <c r="A37"/>
      <c r="B37" s="529" t="s">
        <v>15</v>
      </c>
      <c r="C37" s="434"/>
      <c r="D37" s="103"/>
      <c r="E37" s="103"/>
      <c r="F37" s="103"/>
      <c r="G37" s="526"/>
      <c r="H37" s="479"/>
      <c r="I37" s="434">
        <f>+(I13-C13)/(I8-C8)</f>
        <v>0.14526843079603599</v>
      </c>
      <c r="J37" s="103">
        <f>+(J13-D13)/(J8-D8)</f>
        <v>0.15909805318636111</v>
      </c>
      <c r="K37" s="103">
        <f>+(K13-E13)/(K8-E8)</f>
        <v>6.5646682085038627E-2</v>
      </c>
      <c r="L37" s="103">
        <f>+(L13-F13)/(L8-F8)</f>
        <v>0.12289463625939628</v>
      </c>
      <c r="M37" s="526">
        <f>+(M13-G13)/(M8-G8)</f>
        <v>0.11737075140642329</v>
      </c>
      <c r="N37" s="479"/>
      <c r="O37" s="434">
        <f>+(O13-I13)/(O8-I8)</f>
        <v>0.10333050687770866</v>
      </c>
      <c r="P37" s="103">
        <f>+(P13-J13)/(P8-J8)</f>
        <v>-0.17236247066231536</v>
      </c>
      <c r="Q37" s="103">
        <f>+(Q13-K13)/(Q8-K8)</f>
        <v>-0.1635120462482027</v>
      </c>
      <c r="R37" s="103">
        <f>+(R13-L13)/(R8-L8)</f>
        <v>-5.8696524064171909</v>
      </c>
      <c r="S37" s="526">
        <f>+(S13-M13)/(S8-M8)</f>
        <v>-0.13588766256884507</v>
      </c>
      <c r="T37" s="479"/>
      <c r="U37" s="434">
        <f>+(U13-O13)/(U8-O8)</f>
        <v>-6.1329833770780058E-2</v>
      </c>
      <c r="V37" s="103">
        <f>+(V13-P13)/(V8-P8)</f>
        <v>3.3952063434854407E-2</v>
      </c>
      <c r="W37" s="103">
        <f>+(W13-Q13)/(W8-Q8)</f>
        <v>0.24555788544310303</v>
      </c>
      <c r="X37" s="103">
        <f>+(X13-R13)/(X8-R8)</f>
        <v>0.23602408905651218</v>
      </c>
      <c r="Y37" s="526">
        <f>+(Y13-S13)/(Y8-S8)</f>
        <v>6.3325625746600125E-2</v>
      </c>
      <c r="Z37" s="479"/>
      <c r="AA37" s="434">
        <f>+(AA13-U13)/(AA8-U8)</f>
        <v>0.20319558862609749</v>
      </c>
      <c r="AB37" s="103">
        <f>+(AB13-V13)/(AB8-V8)</f>
        <v>0.13343381296658205</v>
      </c>
      <c r="AC37" s="103">
        <f>+(AC13-W13)/(AC8-W8)</f>
        <v>-0.23215067893122354</v>
      </c>
      <c r="AD37" s="103">
        <f>+(AD13-X13)/(AD8-X8)</f>
        <v>5.4561830643005835E-2</v>
      </c>
      <c r="AE37" s="526">
        <f>+(AE13-Y13)/(AE8-Y8)</f>
        <v>0.11619572167319082</v>
      </c>
      <c r="AF37" s="479"/>
      <c r="AG37" s="434">
        <f>+(AG13-AA13)/(AG8-AA8)</f>
        <v>2.9729386892177381</v>
      </c>
      <c r="AH37" s="103">
        <f>+(AH13-AB13)/(AH8-AB8)</f>
        <v>12.788497217069054</v>
      </c>
      <c r="AI37" s="103">
        <f>+(AI13-AC13)/(AI8-AC8)</f>
        <v>-3.9798238135833872E-2</v>
      </c>
      <c r="AJ37" s="103">
        <f>+(AJ13-AD13)/(AJ8-AD8)</f>
        <v>-2.4259735313720995E-2</v>
      </c>
      <c r="AK37" s="526">
        <f>+(AK13-AE13)/(AK8-AE8)</f>
        <v>-0.15000291688543424</v>
      </c>
      <c r="AL37" s="479"/>
      <c r="AM37" s="434">
        <f>+(AM13-AG13)/(AM8-AG8)</f>
        <v>1.4329115135273724E-2</v>
      </c>
      <c r="AN37" s="103">
        <f>+(AN13-AH13)/(AN8-AH8)</f>
        <v>-0.52238805970149482</v>
      </c>
      <c r="AO37" s="103">
        <f>+(AO13-AI13)/(AO8-AI8)</f>
        <v>-1.7665978589601779E-2</v>
      </c>
      <c r="AP37" s="103">
        <f>+(AP13-AJ13)/(AP8-AJ8)</f>
        <v>5.6120843386132928E-2</v>
      </c>
      <c r="AQ37" s="526">
        <f>+(AQ13-AK13)/(AQ8-AK8)</f>
        <v>-3.4997193528378025E-2</v>
      </c>
      <c r="AR37" s="479"/>
      <c r="AS37" s="434">
        <f>+(AS13-AM13)/(AS8-AM8)</f>
        <v>0.144065934065922</v>
      </c>
      <c r="AT37" s="103">
        <f>+(AT13-AN13)/(AT8-AN8)</f>
        <v>8.6125720710112819E-2</v>
      </c>
      <c r="AU37" s="103">
        <f>+(AU13-AO13)/(AU8-AO8)</f>
        <v>4.9129464446282654E-2</v>
      </c>
      <c r="AV37" s="103">
        <f>+(AV13-AP13)/(AV8-AP8)</f>
        <v>-3.8226521028992017E-2</v>
      </c>
      <c r="AW37" s="526">
        <f>+(AW13-AQ13)/(AW8-AQ8)</f>
        <v>3.0433120048393613E-2</v>
      </c>
      <c r="AX37" s="479"/>
      <c r="AY37" s="434">
        <f>+(AY13-AS13)/(AY8-AS8)</f>
        <v>-0.21335690367323476</v>
      </c>
      <c r="AZ37" s="103">
        <f>+(AZ13-AT13)/(AZ8-AT8)</f>
        <v>0.69519142330454664</v>
      </c>
      <c r="BA37" s="103">
        <f>+(BA13-AU13)/(BA8-AU8)</f>
        <v>0.14176168672562087</v>
      </c>
      <c r="BB37" s="103">
        <f>+(BB13-AV13)/(BB8-AV8)</f>
        <v>8.6956279097528386E-2</v>
      </c>
      <c r="BC37" s="526">
        <f>+(BC13-AW13)/(BC8-AW8)</f>
        <v>0.32905343146875832</v>
      </c>
      <c r="BD37" s="479"/>
      <c r="BE37" s="434">
        <f>+(BE13-AY13)/(BE8-AY8)</f>
        <v>6.9867689320007281E-2</v>
      </c>
      <c r="BF37" s="103">
        <f>+(BF13-AZ13)/(BF8-AZ8)</f>
        <v>5.4393050925813459E-2</v>
      </c>
      <c r="BG37" s="103">
        <f>+(BG13-BA13)/(BG8-BA8)</f>
        <v>6.374283905251861E-2</v>
      </c>
      <c r="BH37" s="103">
        <f>+(BH13-BB13)/(BH8-BB8)</f>
        <v>6.2706868015734149E-2</v>
      </c>
      <c r="BI37" s="526">
        <f>+(BI13-BC13)/(BI8-BC8)</f>
        <v>6.1691464103783449E-2</v>
      </c>
      <c r="BJ37" s="479"/>
      <c r="BK37" s="434">
        <f>+(BK13-BE13)/(BK8-BE8)</f>
        <v>-1.2259582414568076E-2</v>
      </c>
      <c r="BL37" s="103">
        <f>+(BL13-BF13)/(BL8-BF8)</f>
        <v>-0.18879818125452411</v>
      </c>
      <c r="BM37" s="103">
        <f>+(BM13-BG13)/(BM8-BG8)</f>
        <v>4.267445997088589</v>
      </c>
      <c r="BN37" s="103">
        <f>+(BN13-BH13)/(BN8-BH8)</f>
        <v>1.5228805218585384</v>
      </c>
      <c r="BO37" s="526">
        <f>+(BO13-BI13)/(BO8-BI8)</f>
        <v>-0.17328705479982748</v>
      </c>
      <c r="BP37" s="479"/>
      <c r="BQ37" s="434">
        <f>+(BQ13-BK13)/(BQ8-BK8)</f>
        <v>0.25715899862292729</v>
      </c>
      <c r="BR37" s="103">
        <f>+(BR13-BL13)/(BR8-BL8)</f>
        <v>0.26590573467881129</v>
      </c>
      <c r="BS37" s="103">
        <f>+(BS13-BM13)/(BS8-BM8)</f>
        <v>1.5291043431248932</v>
      </c>
      <c r="BT37" s="103">
        <f>+(BT13-BN13)/(BT8-BN8)</f>
        <v>14.485997708558822</v>
      </c>
      <c r="BU37" s="526">
        <f>+(BU13-BO13)/(BU8-BO8)</f>
        <v>1.1576012585865982</v>
      </c>
      <c r="BV37" s="479"/>
      <c r="BW37" s="434">
        <f>+(BW13-BQ13)/(BW8-BQ8)</f>
        <v>-3.0699881525493158</v>
      </c>
      <c r="BX37" s="103">
        <f>+(BX13-BR13)/(BX8-BR8)</f>
        <v>-0.54565687511970451</v>
      </c>
      <c r="BY37" s="103">
        <f>+(BY13-BS13)/(BY8-BS8)</f>
        <v>2.8866363693373812E-2</v>
      </c>
      <c r="BZ37" s="103">
        <f>+(BZ13-BT13)/(BZ8-BT8)</f>
        <v>0.14619125973789646</v>
      </c>
      <c r="CA37" s="526">
        <f>+(CA13-BU13)/(CA8-BU8)</f>
        <v>-0.25361312391500312</v>
      </c>
      <c r="CB37" s="479"/>
      <c r="CC37" s="434">
        <f>+(CC13-BW13)/(CC8-BW8)</f>
        <v>4.7495082327556809E-2</v>
      </c>
      <c r="CD37" s="103">
        <f>+(CD13-BX13)/(CD8-BX8)</f>
        <v>4.64811724141551E-2</v>
      </c>
      <c r="CE37" s="103">
        <f>+(CE13-BY13)/(CE8-BY8)</f>
        <v>4.6943019934796548E-2</v>
      </c>
      <c r="CF37" s="103">
        <f>+(CF13-BZ13)/(CF8-BZ8)</f>
        <v>4.8547109148956047E-2</v>
      </c>
      <c r="CG37" s="526">
        <f>+(CG13-CA13)/(CG8-CA8)</f>
        <v>4.7398417921066499E-2</v>
      </c>
      <c r="CH37" s="479"/>
      <c r="CI37" s="434">
        <f>+(CI13-CC13)/(CI8-CC8)</f>
        <v>-6.261342710552871E-2</v>
      </c>
      <c r="CJ37" s="103">
        <f>+(CJ13-CD13)/(CJ8-CD8)</f>
        <v>-6.3074374186445542E-2</v>
      </c>
      <c r="CK37" s="103">
        <f>+(CK13-CE13)/(CK8-CE8)</f>
        <v>-6.6521841805927573E-2</v>
      </c>
      <c r="CL37" s="103">
        <f>+(CL13-CF13)/(CL8-CF8)</f>
        <v>-6.4270416956012891E-2</v>
      </c>
      <c r="CM37" s="526">
        <f>+(CM13-CG13)/(CM8-CG8)</f>
        <v>-6.4140791346482207E-2</v>
      </c>
      <c r="CN37" s="479"/>
      <c r="CO37" s="17"/>
      <c r="CP37" s="17"/>
      <c r="CQ37"/>
      <c r="CR37"/>
      <c r="CS37"/>
      <c r="CT37"/>
      <c r="CU37"/>
      <c r="CV37"/>
    </row>
    <row r="38" spans="1:100" s="16" customFormat="1" ht="11.25" customHeight="1" x14ac:dyDescent="0.2">
      <c r="A38"/>
      <c r="B38" s="529" t="s">
        <v>174</v>
      </c>
      <c r="C38" s="434">
        <f>C20/C8</f>
        <v>0.10175014645577041</v>
      </c>
      <c r="D38" s="103">
        <f>D20/D8</f>
        <v>0.11021456977298558</v>
      </c>
      <c r="E38" s="103">
        <f>E20/E8</f>
        <v>0.12823928038855861</v>
      </c>
      <c r="F38" s="103">
        <f>F20/F8</f>
        <v>0.12907921741800976</v>
      </c>
      <c r="G38" s="526">
        <f>G20/G8</f>
        <v>0.11778453243605799</v>
      </c>
      <c r="H38" s="479"/>
      <c r="I38" s="434">
        <f>I20/I8</f>
        <v>0.10808622147324723</v>
      </c>
      <c r="J38" s="103">
        <f>J20/J8</f>
        <v>0.1164001768213134</v>
      </c>
      <c r="K38" s="103">
        <f>K20/K8</f>
        <v>0.12551194034077018</v>
      </c>
      <c r="L38" s="103">
        <f>L20/L8</f>
        <v>0.12555692019918085</v>
      </c>
      <c r="M38" s="526">
        <f>M20/M8</f>
        <v>0.11919316483750284</v>
      </c>
      <c r="N38" s="479"/>
      <c r="O38" s="434">
        <f>O20/O8</f>
        <v>9.9053718513858149E-2</v>
      </c>
      <c r="P38" s="103">
        <f>P20/P8</f>
        <v>9.8870119729650346E-2</v>
      </c>
      <c r="Q38" s="103">
        <f>Q20/Q8</f>
        <v>0.10455560446497821</v>
      </c>
      <c r="R38" s="103">
        <f>R20/R8</f>
        <v>0.11038051812833703</v>
      </c>
      <c r="S38" s="526">
        <f>S20/S8</f>
        <v>0.10330560750714163</v>
      </c>
      <c r="T38" s="479"/>
      <c r="U38" s="434">
        <f>U20/U8</f>
        <v>9.1734962555994989E-2</v>
      </c>
      <c r="V38" s="103">
        <f>V20/V8</f>
        <v>9.9056262278345616E-2</v>
      </c>
      <c r="W38" s="103">
        <f>W20/W8</f>
        <v>0.10910223830729532</v>
      </c>
      <c r="X38" s="103">
        <f>X20/X8</f>
        <v>0.11862021108270318</v>
      </c>
      <c r="Y38" s="526">
        <f>Y20/Y8</f>
        <v>0.10472709997232338</v>
      </c>
      <c r="Z38" s="479"/>
      <c r="AA38" s="434">
        <f>AA20/AA8</f>
        <v>0.10092764422143437</v>
      </c>
      <c r="AB38" s="103">
        <f>AB20/AB8</f>
        <v>9.9548176260243024E-2</v>
      </c>
      <c r="AC38" s="103">
        <f>AC20/AC8</f>
        <v>0.10463105559934517</v>
      </c>
      <c r="AD38" s="103">
        <f>AD20/AD8</f>
        <v>0.11142779234209726</v>
      </c>
      <c r="AE38" s="526">
        <f>AE20/AE8</f>
        <v>0.10419244247834254</v>
      </c>
      <c r="AF38" s="479"/>
      <c r="AG38" s="434">
        <f>AG20/AG8</f>
        <v>9.0696252870470756E-2</v>
      </c>
      <c r="AH38" s="103">
        <f>AH20/AH8</f>
        <v>8.9912764405543341E-2</v>
      </c>
      <c r="AI38" s="103">
        <f>AI20/AI8</f>
        <v>9.1463973274638843E-2</v>
      </c>
      <c r="AJ38" s="103">
        <f>AJ20/AJ8</f>
        <v>0.10044172271860255</v>
      </c>
      <c r="AK38" s="526">
        <f>AK20/AK8</f>
        <v>9.3281567435339566E-2</v>
      </c>
      <c r="AL38" s="479"/>
      <c r="AM38" s="434">
        <f>AM20/AM8</f>
        <v>8.2882285135932904E-2</v>
      </c>
      <c r="AN38" s="103">
        <f>AN20/AN8</f>
        <v>8.0047924741089863E-2</v>
      </c>
      <c r="AO38" s="103">
        <f>AO20/AO8</f>
        <v>8.9314863281655194E-2</v>
      </c>
      <c r="AP38" s="103">
        <f>AP20/AP8</f>
        <v>9.9695004730898429E-2</v>
      </c>
      <c r="AQ38" s="526">
        <f>AQ20/AQ8</f>
        <v>8.8286577741412867E-2</v>
      </c>
      <c r="AR38" s="479"/>
      <c r="AS38" s="434">
        <f>AS20/AS8</f>
        <v>8.1984945320267053E-2</v>
      </c>
      <c r="AT38" s="103">
        <f>AT20/AT8</f>
        <v>8.1770019843137004E-2</v>
      </c>
      <c r="AU38" s="103">
        <f>AU20/AU8</f>
        <v>8.2225367814467612E-2</v>
      </c>
      <c r="AV38" s="103">
        <f>AV20/AV8</f>
        <v>8.3237797358986662E-2</v>
      </c>
      <c r="AW38" s="526">
        <f>AW20/AW8</f>
        <v>8.2335945557205609E-2</v>
      </c>
      <c r="AX38" s="479"/>
      <c r="AY38" s="434">
        <f>AY20/AY8</f>
        <v>6.53182896749155E-2</v>
      </c>
      <c r="AZ38" s="103">
        <f>AZ20/AZ8</f>
        <v>6.8603177199403037E-2</v>
      </c>
      <c r="BA38" s="103">
        <f>BA20/BA8</f>
        <v>7.5291979787780031E-2</v>
      </c>
      <c r="BB38" s="103">
        <f>BB20/BB8</f>
        <v>8.3332286696146382E-2</v>
      </c>
      <c r="BC38" s="526">
        <f>BC20/BC8</f>
        <v>7.3352314641390096E-2</v>
      </c>
      <c r="BD38" s="479"/>
      <c r="BE38" s="434">
        <f>BE20/BE8</f>
        <v>6.2564421150261992E-2</v>
      </c>
      <c r="BF38" s="103">
        <f>BF20/BF8</f>
        <v>6.20381367827759E-2</v>
      </c>
      <c r="BG38" s="103">
        <f>BG20/BG8</f>
        <v>7.0337627859596991E-2</v>
      </c>
      <c r="BH38" s="103">
        <f>BH20/BH8</f>
        <v>7.6421256457348818E-2</v>
      </c>
      <c r="BI38" s="526">
        <f>BI20/BI8</f>
        <v>6.8189875513834639E-2</v>
      </c>
      <c r="BJ38" s="479"/>
      <c r="BK38" s="434">
        <f>BK20/BK8</f>
        <v>5.4677297821433754E-2</v>
      </c>
      <c r="BL38" s="103">
        <f>BL20/BL8</f>
        <v>5.8717100972260731E-2</v>
      </c>
      <c r="BM38" s="103">
        <f>BM20/BM8</f>
        <v>5.9589900802766244E-2</v>
      </c>
      <c r="BN38" s="103">
        <f>BN20/BN8</f>
        <v>6.6411678080485426E-2</v>
      </c>
      <c r="BO38" s="526">
        <f>BO20/BO8</f>
        <v>5.9960733950793529E-2</v>
      </c>
      <c r="BP38" s="479"/>
      <c r="BQ38" s="434">
        <f>BQ20/BQ8</f>
        <v>4.8828515890086376E-2</v>
      </c>
      <c r="BR38" s="103">
        <f>BR20/BR8</f>
        <v>5.2534499692221522E-2</v>
      </c>
      <c r="BS38" s="103">
        <f>BS20/BS8</f>
        <v>3.6394851158576581E-2</v>
      </c>
      <c r="BT38" s="103">
        <f>BT20/BT8</f>
        <v>3.2958233741643028E-2</v>
      </c>
      <c r="BU38" s="526">
        <f>BU20/BU8</f>
        <v>4.2501325665767815E-2</v>
      </c>
      <c r="BV38" s="479"/>
      <c r="BW38" s="434">
        <f>BW20/BW8</f>
        <v>3.2719494467874519E-2</v>
      </c>
      <c r="BX38" s="103">
        <f>BX20/BX8</f>
        <v>3.3327650201684295E-2</v>
      </c>
      <c r="BY38" s="103">
        <f>BY20/BY8</f>
        <v>3.5875800224205855E-2</v>
      </c>
      <c r="BZ38" s="103">
        <f>BZ20/BZ8</f>
        <v>3.6079714593716117E-2</v>
      </c>
      <c r="CA38" s="526">
        <f>CA20/CA8</f>
        <v>3.4551972562153102E-2</v>
      </c>
      <c r="CB38" s="479"/>
      <c r="CC38" s="434">
        <f>CC20/CC8</f>
        <v>3.4517339015603568E-2</v>
      </c>
      <c r="CD38" s="103">
        <f>CD20/CD8</f>
        <v>3.4957368049911224E-2</v>
      </c>
      <c r="CE38" s="103">
        <f>CE20/CE8</f>
        <v>3.7041748351169981E-2</v>
      </c>
      <c r="CF38" s="103">
        <f>CF20/CF8</f>
        <v>3.7329800396429594E-2</v>
      </c>
      <c r="CG38" s="526">
        <f>CG20/CG8</f>
        <v>3.6005523828304811E-2</v>
      </c>
      <c r="CH38" s="479"/>
      <c r="CI38" s="434">
        <f>CI20/CI8</f>
        <v>3.0557718028945635E-2</v>
      </c>
      <c r="CJ38" s="103">
        <f>CJ20/CJ8</f>
        <v>3.101351074367369E-2</v>
      </c>
      <c r="CK38" s="103">
        <f>CK20/CK8</f>
        <v>3.3382947006811103E-2</v>
      </c>
      <c r="CL38" s="103">
        <f>CL20/CL8</f>
        <v>3.3659071855123283E-2</v>
      </c>
      <c r="CM38" s="526">
        <f>CM20/CM8</f>
        <v>3.2201577622647193E-2</v>
      </c>
      <c r="CN38" s="479"/>
      <c r="CO38" s="17"/>
      <c r="CP38" s="17"/>
      <c r="CQ38"/>
      <c r="CR38"/>
      <c r="CS38"/>
      <c r="CT38"/>
      <c r="CU38"/>
      <c r="CV38"/>
    </row>
    <row r="39" spans="1:100" s="16" customFormat="1" ht="11.25" customHeight="1" x14ac:dyDescent="0.2">
      <c r="A39"/>
      <c r="B39" s="531" t="s">
        <v>71</v>
      </c>
      <c r="C39" s="436">
        <f>C23/C8</f>
        <v>6.3439757859793069E-2</v>
      </c>
      <c r="D39" s="437">
        <f>D23/D8</f>
        <v>6.9478432835498455E-2</v>
      </c>
      <c r="E39" s="437">
        <f>E23/E8</f>
        <v>8.2581388989899862E-2</v>
      </c>
      <c r="F39" s="437">
        <f>F23/F8</f>
        <v>8.1072268830253411E-2</v>
      </c>
      <c r="G39" s="527">
        <f>G23/G8</f>
        <v>7.4448309354137557E-2</v>
      </c>
      <c r="H39" s="180"/>
      <c r="I39" s="436">
        <f>I23/I8</f>
        <v>6.7784141214109472E-2</v>
      </c>
      <c r="J39" s="437">
        <f>J23/J8</f>
        <v>7.2428004614604968E-2</v>
      </c>
      <c r="K39" s="437">
        <f>K23/K8</f>
        <v>7.7693945267753528E-2</v>
      </c>
      <c r="L39" s="437">
        <f>L23/L8</f>
        <v>8.1205003160377598E-2</v>
      </c>
      <c r="M39" s="527">
        <f>M23/M8</f>
        <v>7.4984435072325648E-2</v>
      </c>
      <c r="N39" s="180"/>
      <c r="O39" s="436">
        <f>O23/O8</f>
        <v>6.1791280336730495E-2</v>
      </c>
      <c r="P39" s="437">
        <f>P23/P8</f>
        <v>6.1758273301723163E-2</v>
      </c>
      <c r="Q39" s="437">
        <f>Q23/Q8</f>
        <v>6.5111593629280581E-2</v>
      </c>
      <c r="R39" s="437">
        <f>R23/R8</f>
        <v>6.9191059183160583E-2</v>
      </c>
      <c r="S39" s="527">
        <f>S23/S8</f>
        <v>6.4518537263103304E-2</v>
      </c>
      <c r="T39" s="180"/>
      <c r="U39" s="436">
        <f>U23/U8</f>
        <v>5.7064587584016245E-2</v>
      </c>
      <c r="V39" s="437">
        <f>V23/V8</f>
        <v>6.054719854322535E-2</v>
      </c>
      <c r="W39" s="437">
        <f>W23/W8</f>
        <v>6.834543778442205E-2</v>
      </c>
      <c r="X39" s="437">
        <f>X23/X8</f>
        <v>7.60431713096823E-2</v>
      </c>
      <c r="Y39" s="527">
        <f>Y23/Y8</f>
        <v>6.556359224260648E-2</v>
      </c>
      <c r="Z39" s="180"/>
      <c r="AA39" s="436">
        <f>AA23/AA8</f>
        <v>6.3457078067798225E-2</v>
      </c>
      <c r="AB39" s="437">
        <f>AB23/AB8</f>
        <v>6.2230147863225949E-2</v>
      </c>
      <c r="AC39" s="437">
        <f>AC23/AC8</f>
        <v>6.7175165221609157E-2</v>
      </c>
      <c r="AD39" s="437">
        <f>AD23/AD8</f>
        <v>7.0950047464469604E-2</v>
      </c>
      <c r="AE39" s="527">
        <f>AE23/AE8</f>
        <v>6.5985589942822429E-2</v>
      </c>
      <c r="AF39" s="180"/>
      <c r="AG39" s="436">
        <f>AG23/AG8</f>
        <v>5.7362211507371849E-2</v>
      </c>
      <c r="AH39" s="437">
        <f>AH23/AH8</f>
        <v>5.7130853391684847E-2</v>
      </c>
      <c r="AI39" s="437">
        <f>AI23/AI8</f>
        <v>5.9336558551110023E-2</v>
      </c>
      <c r="AJ39" s="437">
        <f>AJ23/AJ8</f>
        <v>6.6368411272046096E-2</v>
      </c>
      <c r="AK39" s="527">
        <f>AK23/AK8</f>
        <v>6.0191008131152877E-2</v>
      </c>
      <c r="AL39" s="180"/>
      <c r="AM39" s="436">
        <f>AM23/AM8</f>
        <v>5.3460035424105191E-2</v>
      </c>
      <c r="AN39" s="437">
        <f>AN23/AN8</f>
        <v>5.251656782284906E-2</v>
      </c>
      <c r="AO39" s="437">
        <f>AO23/AO8</f>
        <v>5.8556920755442159E-2</v>
      </c>
      <c r="AP39" s="437">
        <f>AP23/AP8</f>
        <v>6.5871931004536075E-2</v>
      </c>
      <c r="AQ39" s="527">
        <f>AQ23/AQ8</f>
        <v>5.7811312620765519E-2</v>
      </c>
      <c r="AR39" s="180"/>
      <c r="AS39" s="436">
        <f>AS23/AS8</f>
        <v>5.2142593381621971E-2</v>
      </c>
      <c r="AT39" s="437">
        <f>AT23/AT8</f>
        <v>4.873482480572338E-2</v>
      </c>
      <c r="AU39" s="437">
        <f>AU23/AU8</f>
        <v>5.3512629320417206E-2</v>
      </c>
      <c r="AV39" s="437">
        <f>AV23/AV8</f>
        <v>5.568667162094839E-2</v>
      </c>
      <c r="AW39" s="527">
        <f>AW23/AW8</f>
        <v>5.2631151544830237E-2</v>
      </c>
      <c r="AX39" s="180"/>
      <c r="AY39" s="436">
        <f>AY23/AY8</f>
        <v>4.2861433336599322E-2</v>
      </c>
      <c r="AZ39" s="437">
        <f>AZ23/AZ8</f>
        <v>4.4756803173110385E-2</v>
      </c>
      <c r="BA39" s="437">
        <f>BA23/BA8</f>
        <v>5.0451269939955842E-2</v>
      </c>
      <c r="BB39" s="437">
        <f>BB23/BB8</f>
        <v>5.4432540690838485E-2</v>
      </c>
      <c r="BC39" s="527">
        <f>BC23/BC8</f>
        <v>4.8258377622341871E-2</v>
      </c>
      <c r="BD39" s="180"/>
      <c r="BE39" s="436">
        <f>BE23/BE8</f>
        <v>4.1033538372693239E-2</v>
      </c>
      <c r="BF39" s="437">
        <f>BF23/BF8</f>
        <v>3.9790240496397317E-2</v>
      </c>
      <c r="BG39" s="437">
        <f>BG23/BG8</f>
        <v>4.650095334771031E-2</v>
      </c>
      <c r="BH39" s="437">
        <f>BH23/BH8</f>
        <v>5.1114688018049623E-2</v>
      </c>
      <c r="BI39" s="527">
        <f>BI23/BI8</f>
        <v>4.4855452398247973E-2</v>
      </c>
      <c r="BJ39" s="180"/>
      <c r="BK39" s="436">
        <f>BK23/BK8</f>
        <v>3.6617893842555968E-2</v>
      </c>
      <c r="BL39" s="437">
        <f>BL23/BL8</f>
        <v>3.7739707144272404E-2</v>
      </c>
      <c r="BM39" s="437">
        <f>BM23/BM8</f>
        <v>3.9658140942795926E-2</v>
      </c>
      <c r="BN39" s="437">
        <f>BN23/BN8</f>
        <v>4.5406606912511284E-2</v>
      </c>
      <c r="BO39" s="527">
        <f>BO23/BO8</f>
        <v>3.9932581541595596E-2</v>
      </c>
      <c r="BP39" s="180"/>
      <c r="BQ39" s="436">
        <f>BQ23/BQ8</f>
        <v>3.1766370297098029E-2</v>
      </c>
      <c r="BR39" s="437">
        <f>BR23/BR8</f>
        <v>3.4355725509241632E-2</v>
      </c>
      <c r="BS39" s="437">
        <f>BS23/BS8</f>
        <v>2.8760447404128212E-2</v>
      </c>
      <c r="BT39" s="437">
        <f>BT23/BT8</f>
        <v>2.4718675306232275E-2</v>
      </c>
      <c r="BU39" s="527">
        <f>BU23/BU8</f>
        <v>2.9822290607102314E-2</v>
      </c>
      <c r="BV39" s="180"/>
      <c r="BW39" s="436">
        <f>BW23/BW8</f>
        <v>2.4539620850905886E-2</v>
      </c>
      <c r="BX39" s="437">
        <f>BX23/BX8</f>
        <v>2.4995737651263217E-2</v>
      </c>
      <c r="BY39" s="437">
        <f>BY23/BY8</f>
        <v>2.6906850168154393E-2</v>
      </c>
      <c r="BZ39" s="437">
        <f>BZ23/BZ8</f>
        <v>2.7059785945287088E-2</v>
      </c>
      <c r="CA39" s="527">
        <f>CA23/CA8</f>
        <v>2.5913979421614823E-2</v>
      </c>
      <c r="CB39" s="180"/>
      <c r="CC39" s="436">
        <f>CC23/CC8</f>
        <v>2.588800426170268E-2</v>
      </c>
      <c r="CD39" s="437">
        <f>CD23/CD8</f>
        <v>2.6218026037433419E-2</v>
      </c>
      <c r="CE39" s="437">
        <f>CE23/CE8</f>
        <v>2.7781311263377486E-2</v>
      </c>
      <c r="CF39" s="437">
        <f>CF23/CF8</f>
        <v>2.7997350297322195E-2</v>
      </c>
      <c r="CG39" s="527">
        <f>CG23/CG8</f>
        <v>2.7004142871228619E-2</v>
      </c>
      <c r="CH39" s="180"/>
      <c r="CI39" s="436">
        <f>CI23/CI8</f>
        <v>2.2918288521709226E-2</v>
      </c>
      <c r="CJ39" s="437">
        <f>CJ23/CJ8</f>
        <v>2.3260133057755268E-2</v>
      </c>
      <c r="CK39" s="437">
        <f>CK23/CK8</f>
        <v>2.5037210255108328E-2</v>
      </c>
      <c r="CL39" s="437">
        <f>CL23/CL8</f>
        <v>2.5244303891342464E-2</v>
      </c>
      <c r="CM39" s="527">
        <f>CM23/CM8</f>
        <v>2.4151183216985388E-2</v>
      </c>
      <c r="CN39" s="180"/>
      <c r="CO39" s="17"/>
      <c r="CP39" s="17"/>
      <c r="CQ39"/>
      <c r="CR39"/>
      <c r="CS39"/>
      <c r="CT39"/>
      <c r="CU39"/>
      <c r="CV39"/>
    </row>
    <row r="40" spans="1:100" s="16" customFormat="1" ht="11.25" customHeight="1" x14ac:dyDescent="0.2">
      <c r="A40"/>
      <c r="B40" s="14"/>
      <c r="C40" s="438"/>
      <c r="D40" s="438"/>
      <c r="E40" s="438"/>
      <c r="F40" s="438"/>
      <c r="G40" s="438"/>
      <c r="H40" s="19"/>
      <c r="I40" s="438"/>
      <c r="J40" s="438"/>
      <c r="K40" s="438"/>
      <c r="L40" s="438"/>
      <c r="M40" s="438"/>
      <c r="N40" s="19"/>
      <c r="O40" s="438"/>
      <c r="P40" s="438"/>
      <c r="Q40" s="438"/>
      <c r="R40" s="438"/>
      <c r="S40" s="438"/>
      <c r="T40" s="19"/>
      <c r="U40" s="438"/>
      <c r="V40" s="438"/>
      <c r="W40" s="438"/>
      <c r="X40" s="438"/>
      <c r="Y40" s="438"/>
      <c r="Z40" s="19"/>
      <c r="AA40" s="438"/>
      <c r="AB40" s="438"/>
      <c r="AC40" s="438"/>
      <c r="AD40" s="438"/>
      <c r="AE40" s="438"/>
      <c r="AF40" s="19"/>
      <c r="AG40" s="438"/>
      <c r="AH40" s="438"/>
      <c r="AI40" s="438"/>
      <c r="AJ40" s="438"/>
      <c r="AK40" s="438"/>
      <c r="AL40" s="19"/>
      <c r="AM40" s="438"/>
      <c r="AN40" s="438"/>
      <c r="AO40" s="438"/>
      <c r="AP40" s="438"/>
      <c r="AQ40" s="438"/>
      <c r="AR40" s="19"/>
      <c r="AS40" s="438"/>
      <c r="AT40" s="438"/>
      <c r="AU40" s="438"/>
      <c r="AV40" s="438"/>
      <c r="AW40" s="438"/>
      <c r="AX40" s="19"/>
      <c r="AY40" s="438"/>
      <c r="AZ40" s="438"/>
      <c r="BA40" s="438"/>
      <c r="BB40" s="438"/>
      <c r="BC40" s="438"/>
      <c r="BD40" s="19"/>
      <c r="BE40" s="438"/>
      <c r="BF40" s="438"/>
      <c r="BG40" s="438"/>
      <c r="BH40" s="438"/>
      <c r="BI40" s="438"/>
      <c r="BJ40" s="19"/>
      <c r="BK40" s="438"/>
      <c r="BL40" s="438"/>
      <c r="BM40" s="438"/>
      <c r="BN40" s="438"/>
      <c r="BO40" s="438"/>
      <c r="BP40" s="19"/>
      <c r="BQ40" s="438"/>
      <c r="BR40" s="438"/>
      <c r="BS40" s="438"/>
      <c r="BT40" s="438"/>
      <c r="BU40" s="438"/>
      <c r="BV40" s="19"/>
      <c r="BW40" s="438"/>
      <c r="BX40" s="438"/>
      <c r="BY40" s="438"/>
      <c r="BZ40" s="438"/>
      <c r="CA40" s="438"/>
      <c r="CB40" s="19"/>
      <c r="CC40" s="438"/>
      <c r="CD40" s="438"/>
      <c r="CE40" s="438"/>
      <c r="CF40" s="438"/>
      <c r="CG40" s="438"/>
      <c r="CH40" s="19"/>
      <c r="CI40" s="438"/>
      <c r="CJ40" s="438"/>
      <c r="CK40" s="438"/>
      <c r="CL40" s="438"/>
      <c r="CM40" s="438"/>
      <c r="CN40" s="19"/>
      <c r="CO40" s="17"/>
      <c r="CP40" s="17"/>
      <c r="CQ40"/>
      <c r="CR40"/>
      <c r="CS40"/>
      <c r="CT40"/>
      <c r="CU40"/>
      <c r="CV40"/>
    </row>
    <row r="41" spans="1:100" s="16" customFormat="1" ht="11.25" customHeight="1" x14ac:dyDescent="0.2">
      <c r="B41" s="1039" t="s">
        <v>155</v>
      </c>
      <c r="C41" s="1041"/>
      <c r="D41" s="1041"/>
      <c r="E41" s="1041"/>
      <c r="F41" s="1041"/>
      <c r="G41" s="1041"/>
      <c r="H41" s="1041"/>
      <c r="I41" s="1041"/>
      <c r="J41" s="1041"/>
      <c r="K41" s="1041"/>
      <c r="L41" s="1041"/>
      <c r="M41" s="1041"/>
      <c r="N41" s="1041"/>
      <c r="O41" s="1041"/>
      <c r="P41" s="1041"/>
      <c r="Q41" s="1041"/>
      <c r="R41" s="1041"/>
      <c r="S41" s="1041"/>
      <c r="T41" s="1041"/>
      <c r="U41" s="1041"/>
      <c r="V41" s="1041"/>
      <c r="W41" s="1041"/>
      <c r="X41" s="1041"/>
      <c r="Y41" s="1041"/>
      <c r="Z41" s="1041"/>
      <c r="AA41" s="1041"/>
      <c r="AB41" s="1041"/>
      <c r="AC41" s="1041"/>
      <c r="AD41" s="1041"/>
      <c r="AE41" s="1041"/>
      <c r="AF41" s="1041"/>
      <c r="AG41" s="1041"/>
      <c r="AH41" s="1041"/>
      <c r="AI41" s="1041"/>
      <c r="AJ41" s="1041"/>
      <c r="AK41" s="1041"/>
      <c r="AL41" s="1041"/>
      <c r="AM41" s="1041"/>
      <c r="AN41" s="1041"/>
      <c r="AO41" s="1041"/>
      <c r="AP41" s="1041"/>
      <c r="AQ41" s="1041"/>
      <c r="AR41" s="1041"/>
      <c r="AS41" s="1041"/>
      <c r="AT41" s="1041"/>
      <c r="AU41" s="1041"/>
      <c r="AV41" s="1041"/>
      <c r="AW41" s="1041"/>
      <c r="AX41" s="1041"/>
      <c r="AY41" s="1041"/>
      <c r="AZ41" s="1041"/>
      <c r="BA41" s="1041"/>
      <c r="BB41" s="1041"/>
      <c r="BC41" s="1041"/>
      <c r="BD41" s="1041"/>
      <c r="BE41" s="1041"/>
      <c r="BF41" s="1041"/>
      <c r="BG41" s="1041"/>
      <c r="BH41" s="1041"/>
      <c r="BI41" s="1041"/>
      <c r="BJ41" s="1041"/>
      <c r="BK41" s="1041"/>
      <c r="BL41" s="1041"/>
      <c r="BM41" s="1041"/>
      <c r="BN41" s="1041"/>
      <c r="BO41" s="1041"/>
      <c r="BP41" s="1041"/>
      <c r="BQ41" s="1041"/>
      <c r="BR41" s="1041"/>
      <c r="BS41" s="1041"/>
      <c r="BT41" s="1041"/>
      <c r="BU41" s="1041"/>
      <c r="BV41" s="1041"/>
      <c r="BW41" s="1041"/>
      <c r="BX41" s="1041"/>
      <c r="BY41" s="1041"/>
      <c r="BZ41" s="1041"/>
      <c r="CA41" s="1041"/>
      <c r="CB41" s="1041"/>
      <c r="CC41" s="1041"/>
      <c r="CD41" s="1041"/>
      <c r="CE41" s="1041"/>
      <c r="CF41" s="1041"/>
      <c r="CG41" s="1041"/>
      <c r="CH41" s="1041"/>
      <c r="CI41" s="1041"/>
      <c r="CJ41" s="1041"/>
      <c r="CK41" s="1041"/>
      <c r="CL41" s="1041"/>
      <c r="CM41" s="1041"/>
      <c r="CN41" s="19"/>
      <c r="CO41" s="17"/>
      <c r="CP41" s="17"/>
      <c r="CQ41"/>
      <c r="CR41"/>
      <c r="CS41"/>
      <c r="CT41"/>
      <c r="CU41"/>
      <c r="CV41"/>
    </row>
    <row r="42" spans="1:100" s="16" customFormat="1" ht="11.25" customHeight="1" x14ac:dyDescent="0.2">
      <c r="A42"/>
      <c r="B42" s="535" t="s">
        <v>136</v>
      </c>
      <c r="C42" s="440"/>
      <c r="D42" s="441"/>
      <c r="E42" s="441"/>
      <c r="F42" s="441"/>
      <c r="G42" s="525"/>
      <c r="H42" s="141"/>
      <c r="I42" s="440">
        <f>I8/C8-1</f>
        <v>7.0047048916227261E-2</v>
      </c>
      <c r="J42" s="441">
        <f>J8/D8-1</f>
        <v>6.8732328637293838E-2</v>
      </c>
      <c r="K42" s="441">
        <f>K8/E8-1</f>
        <v>9.5070571421322692E-2</v>
      </c>
      <c r="L42" s="441">
        <f>IF(ISERROR(L8/F8-1),"NM",L8/F8-1)</f>
        <v>5.3095273850932712E-2</v>
      </c>
      <c r="M42" s="525">
        <f>M8/G8-1</f>
        <v>7.1587744130748865E-2</v>
      </c>
      <c r="N42" s="141"/>
      <c r="O42" s="440">
        <f>O8/I8-1</f>
        <v>6.0530108938798399E-2</v>
      </c>
      <c r="P42" s="441">
        <f>P8/J8-1</f>
        <v>2.354338052162297E-2</v>
      </c>
      <c r="Q42" s="441">
        <f>Q8/K8-1</f>
        <v>4.3860191055749009E-2</v>
      </c>
      <c r="R42" s="441">
        <f>IF(ISERROR(R8/L8-1),"NM",R8/L8-1)</f>
        <v>1.921920687369294E-3</v>
      </c>
      <c r="S42" s="525">
        <f>S8/M8-1</f>
        <v>3.1846158822621318E-2</v>
      </c>
      <c r="T42" s="141"/>
      <c r="U42" s="440">
        <f>U8/O8-1</f>
        <v>6.1463261182562734E-2</v>
      </c>
      <c r="V42" s="441">
        <f>V8/P8-1</f>
        <v>7.3064976345065702E-2</v>
      </c>
      <c r="W42" s="441">
        <f>W8/Q8-1</f>
        <v>1.1172309539926539E-2</v>
      </c>
      <c r="X42" s="441">
        <f>IF(ISERROR(X8/R8-1),"NM",X8/R8-1)</f>
        <v>4.2157551635884305E-2</v>
      </c>
      <c r="Y42" s="525">
        <f>Y8/S8-1</f>
        <v>4.6263250886247054E-2</v>
      </c>
      <c r="Z42" s="141"/>
      <c r="AA42" s="440">
        <f>AA8/U8-1</f>
        <v>7.6253294477183431E-2</v>
      </c>
      <c r="AB42" s="441">
        <f>AB8/V8-1</f>
        <v>5.2104973182436787E-2</v>
      </c>
      <c r="AC42" s="441">
        <f>AC8/W8-1</f>
        <v>5.5677223308832069E-3</v>
      </c>
      <c r="AD42" s="441">
        <f>IF(ISERROR(AD8/X8-1),"NM",AD8/X8-1)</f>
        <v>8.7426577522079052E-2</v>
      </c>
      <c r="AE42" s="525">
        <f>AE8/Y8-1</f>
        <v>5.5073615174758839E-2</v>
      </c>
      <c r="AF42" s="141"/>
      <c r="AG42" s="440">
        <f>AG8/AA8-1</f>
        <v>-2.783050340850135E-3</v>
      </c>
      <c r="AH42" s="441">
        <f>AH8/AB8-1</f>
        <v>-6.2863447529426519E-4</v>
      </c>
      <c r="AI42" s="441">
        <f>AI8/AC8-1</f>
        <v>8.5345298005214287E-2</v>
      </c>
      <c r="AJ42" s="441">
        <f>IF(ISERROR(AJ8/AD8-1),"NM",AJ8/AD8-1)</f>
        <v>5.9418274556215733E-2</v>
      </c>
      <c r="AK42" s="525">
        <f>AK8/AE8-1</f>
        <v>3.5129564624217124E-2</v>
      </c>
      <c r="AL42" s="141"/>
      <c r="AM42" s="440">
        <f>AM8/AG8-1</f>
        <v>4.9329613816964768E-2</v>
      </c>
      <c r="AN42" s="441">
        <f>AN8/AH8-1</f>
        <v>1.2041429613420807E-2</v>
      </c>
      <c r="AO42" s="441">
        <f>AO8/AI8-1</f>
        <v>2.3274080198429026E-2</v>
      </c>
      <c r="AP42" s="441">
        <f>IF(ISERROR(AP8/AJ8-1),"NM",AP8/AJ8-1)</f>
        <v>3.0543588078613126E-2</v>
      </c>
      <c r="AQ42" s="525">
        <f>AQ8/AK8-1</f>
        <v>2.8721927809255421E-2</v>
      </c>
      <c r="AR42" s="141"/>
      <c r="AS42" s="440">
        <f>AS8/AM8-1</f>
        <v>-1.0233630408501782E-2</v>
      </c>
      <c r="AT42" s="441">
        <f>AT8/AN8-1</f>
        <v>0.15180127145860256</v>
      </c>
      <c r="AU42" s="441">
        <f>AU8/AO8-1</f>
        <v>0.18214336018238586</v>
      </c>
      <c r="AV42" s="441">
        <f>IF(ISERROR(AV8/AP8-1),"NM",AV8/AP8-1)</f>
        <v>0.14212800266961545</v>
      </c>
      <c r="AW42" s="525">
        <f>AW8/AQ8-1</f>
        <v>0.11726096801616182</v>
      </c>
      <c r="AX42" s="141"/>
      <c r="AY42" s="440">
        <f>AY8/AS8-1</f>
        <v>6.6843914216730527E-2</v>
      </c>
      <c r="AZ42" s="441">
        <f>AZ8/AT8-1</f>
        <v>-2.0638063982603594E-2</v>
      </c>
      <c r="BA42" s="441">
        <f>BA8/AU8-1</f>
        <v>-0.1145778203881298</v>
      </c>
      <c r="BB42" s="441">
        <f>IF(ISERROR(BB8/AV8-1),"NM",BB8/AV8-1)</f>
        <v>-6.0808818258615394E-2</v>
      </c>
      <c r="BC42" s="525">
        <f>BC8/AW8-1</f>
        <v>-3.7613366094817247E-2</v>
      </c>
      <c r="BD42" s="141"/>
      <c r="BE42" s="440">
        <f>BE8/AY8-1</f>
        <v>0.21717098564788961</v>
      </c>
      <c r="BF42" s="441">
        <f>BF8/AZ8-1</f>
        <v>0.42014066365439273</v>
      </c>
      <c r="BG42" s="441">
        <f>BG8/BA8-1</f>
        <v>0.46131033101474195</v>
      </c>
      <c r="BH42" s="441">
        <f>IF(ISERROR(BH8/BB8-1),"NM",BH8/BB8-1)</f>
        <v>0.40452591683002259</v>
      </c>
      <c r="BI42" s="525">
        <f>BI8/BC8-1</f>
        <v>0.37736868953543512</v>
      </c>
      <c r="BJ42" s="141"/>
      <c r="BK42" s="440">
        <f>BK8/BE8-1</f>
        <v>0.16586838398068027</v>
      </c>
      <c r="BL42" s="441">
        <f>BL8/BF8-1</f>
        <v>2.0897488500658534E-2</v>
      </c>
      <c r="BM42" s="441">
        <f>BM8/BG8-1</f>
        <v>-2.4520774128335976E-3</v>
      </c>
      <c r="BN42" s="441">
        <f>BN8/BH8-1</f>
        <v>-6.0105793901373827E-3</v>
      </c>
      <c r="BO42" s="525">
        <f>BO8/BI8-1</f>
        <v>3.8321028651477462E-2</v>
      </c>
      <c r="BP42" s="141"/>
      <c r="BQ42" s="440">
        <f>BQ8/BK8-1</f>
        <v>-2.1255054651780569E-2</v>
      </c>
      <c r="BR42" s="441">
        <f>BR8/BL8-1</f>
        <v>-2.2918530771568357E-2</v>
      </c>
      <c r="BS42" s="441">
        <f>BS8/BM8-1</f>
        <v>-1.5883579573184203E-2</v>
      </c>
      <c r="BT42" s="441">
        <f>BT8/BN8-1</f>
        <v>-2.4007949954341079E-3</v>
      </c>
      <c r="BU42" s="525">
        <f>BU8/BO8-1</f>
        <v>-1.5463662025525626E-2</v>
      </c>
      <c r="BV42" s="141"/>
      <c r="BW42" s="440">
        <f>BW8/BQ8-1</f>
        <v>5.101290913761547E-3</v>
      </c>
      <c r="BX42" s="441">
        <f>BX8/BR8-1</f>
        <v>3.3652403017311316E-2</v>
      </c>
      <c r="BY42" s="441">
        <f>BY8/BS8-1</f>
        <v>2.7091436873464714E-2</v>
      </c>
      <c r="BZ42" s="441">
        <f>BZ8/BT8-1</f>
        <v>3.7878713976872591E-2</v>
      </c>
      <c r="CA42" s="525">
        <f>CA8/BU8-1</f>
        <v>2.6358617783917904E-2</v>
      </c>
      <c r="CB42" s="141"/>
      <c r="CC42" s="440">
        <f>CC8/BW8-1</f>
        <v>2.4848913156364283E-2</v>
      </c>
      <c r="CD42" s="441">
        <f>CD8/BX8-1</f>
        <v>2.4416600195265037E-2</v>
      </c>
      <c r="CE42" s="441">
        <f>CE8/BY8-1</f>
        <v>2.6665902242181572E-2</v>
      </c>
      <c r="CF42" s="441">
        <f>CF8/BZ8-1</f>
        <v>2.6814020297988517E-2</v>
      </c>
      <c r="CG42" s="525">
        <f>CG8/CA8-1</f>
        <v>2.5713658723939714E-2</v>
      </c>
      <c r="CH42" s="141"/>
      <c r="CI42" s="440">
        <f>CI8/CC8-1</f>
        <v>2.7020749889412388E-2</v>
      </c>
      <c r="CJ42" s="441">
        <f>CJ8/CD8-1</f>
        <v>2.7072555696598943E-2</v>
      </c>
      <c r="CK42" s="441">
        <f>CK8/CE8-1</f>
        <v>2.677265913415372E-2</v>
      </c>
      <c r="CL42" s="441">
        <f>CL8/CF8-1</f>
        <v>2.6920838508833089E-2</v>
      </c>
      <c r="CM42" s="525">
        <f>CM8/CG8-1</f>
        <v>2.6945325657141694E-2</v>
      </c>
      <c r="CN42" s="141"/>
      <c r="CO42" s="17"/>
      <c r="CP42" s="17"/>
      <c r="CQ42"/>
      <c r="CR42"/>
      <c r="CS42"/>
      <c r="CT42"/>
      <c r="CU42"/>
      <c r="CV42"/>
    </row>
    <row r="43" spans="1:100" s="16" customFormat="1" ht="11.25" hidden="1" customHeight="1" outlineLevel="1" x14ac:dyDescent="0.2">
      <c r="A43" s="23"/>
      <c r="B43" s="536" t="s">
        <v>1</v>
      </c>
      <c r="C43" s="186"/>
      <c r="D43" s="191"/>
      <c r="E43" s="191"/>
      <c r="F43" s="191"/>
      <c r="G43" s="532"/>
      <c r="H43" s="141"/>
      <c r="I43" s="186">
        <f>RevBuild!I156</f>
        <v>6.9934785991505682E-2</v>
      </c>
      <c r="J43" s="191">
        <f>RevBuild!J156</f>
        <v>6.9066203064212378E-2</v>
      </c>
      <c r="K43" s="191">
        <f>RevBuild!K156</f>
        <v>9.5087727309885614E-2</v>
      </c>
      <c r="L43" s="191">
        <f>RevBuild!L156</f>
        <v>5.4255435010545937E-2</v>
      </c>
      <c r="M43" s="532">
        <f>RevBuild!M156</f>
        <v>6.2E-2</v>
      </c>
      <c r="N43" s="141"/>
      <c r="O43" s="186">
        <f>RevBuild!O156</f>
        <v>6.02892773484002E-2</v>
      </c>
      <c r="P43" s="191">
        <f>RevBuild!P156</f>
        <v>2.3281949131526966E-2</v>
      </c>
      <c r="Q43" s="191">
        <f>RevBuild!Q156</f>
        <v>4.3860191055749009E-2</v>
      </c>
      <c r="R43" s="191">
        <f>RevBuild!R156</f>
        <v>3.0839249834272886E-2</v>
      </c>
      <c r="S43" s="532">
        <f>RevBuild!S156</f>
        <v>4.300000000000001E-2</v>
      </c>
      <c r="T43" s="141"/>
      <c r="U43" s="186">
        <f>RevBuild!U156</f>
        <v>7.0624217761699609E-2</v>
      </c>
      <c r="V43" s="191">
        <f>RevBuild!V156</f>
        <v>7.3337323443863539E-2</v>
      </c>
      <c r="W43" s="191">
        <f>RevBuild!W156</f>
        <v>3.0372554169240375E-2</v>
      </c>
      <c r="X43" s="191">
        <f>RevBuild!X156</f>
        <v>3.0417459519620826E-2</v>
      </c>
      <c r="Y43" s="532">
        <f>RevBuild!Y156</f>
        <v>4.1999999999999996E-2</v>
      </c>
      <c r="Z43" s="141"/>
      <c r="AA43" s="186">
        <f>RevBuild!AA156</f>
        <v>7.0999999999999994E-2</v>
      </c>
      <c r="AB43" s="191">
        <f>RevBuild!AB156</f>
        <v>0.05</v>
      </c>
      <c r="AC43" s="191">
        <f>RevBuild!AC156</f>
        <v>4.0000000000000001E-3</v>
      </c>
      <c r="AD43" s="191">
        <f>RevBuild!AD156</f>
        <v>7.9996580794869807E-2</v>
      </c>
      <c r="AE43" s="532">
        <f>RevBuild!AE156</f>
        <v>5.0999999999999997E-2</v>
      </c>
      <c r="AF43" s="141"/>
      <c r="AG43" s="186">
        <f>RevBuild!AG156</f>
        <v>5.0000000000000001E-3</v>
      </c>
      <c r="AH43" s="191">
        <f>RevBuild!AH156</f>
        <v>-5.0000000000000001E-3</v>
      </c>
      <c r="AI43" s="191">
        <f>RevBuild!AI156</f>
        <v>8.4000000000000005E-2</v>
      </c>
      <c r="AJ43" s="191">
        <f>RevBuild!AJ156</f>
        <v>4.9200812155402514E-2</v>
      </c>
      <c r="AK43" s="532">
        <f>RevBuild!AK156</f>
        <v>3.3000000000000002E-2</v>
      </c>
      <c r="AL43" s="141"/>
      <c r="AM43" s="186">
        <f>RevBuild!AM156</f>
        <v>5.5E-2</v>
      </c>
      <c r="AN43" s="191">
        <f>RevBuild!AN156</f>
        <v>1.2E-2</v>
      </c>
      <c r="AO43" s="191">
        <f>RevBuild!AO156</f>
        <v>1.9999999999999997E-2</v>
      </c>
      <c r="AP43" s="191">
        <f>RevBuild!AP156</f>
        <v>3.7181370109384049E-2</v>
      </c>
      <c r="AQ43" s="532">
        <f>RevBuild!AQ156</f>
        <v>3.1E-2</v>
      </c>
      <c r="AR43" s="141"/>
      <c r="AS43" s="186">
        <f>RevBuild!AS156</f>
        <v>-9.0000000000000011E-3</v>
      </c>
      <c r="AT43" s="191">
        <f>RevBuild!AT156</f>
        <v>0.156</v>
      </c>
      <c r="AU43" s="191">
        <f>RevBuild!AU156</f>
        <v>0.187</v>
      </c>
      <c r="AV43" s="191">
        <f>RevBuild!AV156</f>
        <v>0.14670195961792162</v>
      </c>
      <c r="AW43" s="532">
        <f>RevBuild!AW156</f>
        <v>0.121</v>
      </c>
      <c r="AX43" s="141"/>
      <c r="AY43" s="186">
        <f>RevBuild!AY156</f>
        <v>3.6272186066149154E-2</v>
      </c>
      <c r="AZ43" s="191">
        <f>RevBuild!AZ156</f>
        <v>6.937616863096116E-2</v>
      </c>
      <c r="BA43" s="191">
        <f>RevBuild!BA156</f>
        <v>1.9462368664958388E-2</v>
      </c>
      <c r="BB43" s="191">
        <f>RevBuild!BB156</f>
        <v>6.7000000000000004E-2</v>
      </c>
      <c r="BC43" s="532">
        <f>RevBuild!BC156</f>
        <v>8.6999999999999994E-2</v>
      </c>
      <c r="BD43" s="141"/>
      <c r="BE43" s="186">
        <f>RevBuild!BE156</f>
        <v>0.24019073737214527</v>
      </c>
      <c r="BF43" s="191">
        <f>RevBuild!BF156</f>
        <v>0.43602404469342271</v>
      </c>
      <c r="BG43" s="191">
        <f>RevBuild!BG156</f>
        <v>0.47585836215925265</v>
      </c>
      <c r="BH43" s="191">
        <f>RevBuild!BH156</f>
        <v>0.41474577053912781</v>
      </c>
      <c r="BI43" s="532">
        <f>RevBuild!BI156</f>
        <v>0.39313918966775901</v>
      </c>
      <c r="BJ43" s="141"/>
      <c r="BK43" s="186">
        <f>RevBuild!BK156</f>
        <v>0.23300000000000001</v>
      </c>
      <c r="BL43" s="191">
        <f>RevBuild!BL156</f>
        <v>4.1000000000000002E-2</v>
      </c>
      <c r="BM43" s="191">
        <f>RevBuild!BM156</f>
        <v>1.4E-2</v>
      </c>
      <c r="BN43" s="191">
        <f>RevBuild!BN156</f>
        <v>8.4656383059217959E-3</v>
      </c>
      <c r="BO43" s="532">
        <f>RevBuild!BO156</f>
        <v>6.5933717340644141E-2</v>
      </c>
      <c r="BP43" s="141"/>
      <c r="BQ43" s="186">
        <f>RevBuild!BQ156</f>
        <v>-1.0999999999999999E-2</v>
      </c>
      <c r="BR43" s="191">
        <f>RevBuild!BR156</f>
        <v>-2.8000000000000001E-2</v>
      </c>
      <c r="BS43" s="191">
        <f>RevBuild!BS156</f>
        <v>-2.7E-2</v>
      </c>
      <c r="BT43" s="191">
        <f>RevBuild!BT156</f>
        <v>-9.4548425225185057E-3</v>
      </c>
      <c r="BU43" s="532">
        <f>RevBuild!BU156</f>
        <v>-1.8908989550925619E-2</v>
      </c>
      <c r="BV43" s="141"/>
      <c r="BW43" s="186">
        <f>RevBuild!BW156</f>
        <v>5.2419533553406169E-3</v>
      </c>
      <c r="BX43" s="191">
        <f>RevBuild!BX156</f>
        <v>3.3775427804843328E-2</v>
      </c>
      <c r="BY43" s="191">
        <f>RevBuild!BY156</f>
        <v>2.7127474691358944E-2</v>
      </c>
      <c r="BZ43" s="191">
        <f>RevBuild!BZ156</f>
        <v>3.7949831240595096E-2</v>
      </c>
      <c r="CA43" s="532">
        <f>RevBuild!CA156</f>
        <v>2.6450506902581276E-2</v>
      </c>
      <c r="CB43" s="141"/>
      <c r="CC43" s="186">
        <f>RevBuild!CC156</f>
        <v>2.4711763603385131E-2</v>
      </c>
      <c r="CD43" s="191">
        <f>RevBuild!CD156</f>
        <v>2.4299961089672854E-2</v>
      </c>
      <c r="CE43" s="191">
        <f>RevBuild!CE156</f>
        <v>2.6631516733483598E-2</v>
      </c>
      <c r="CF43" s="191">
        <f>RevBuild!CF156</f>
        <v>2.6746868984921447E-2</v>
      </c>
      <c r="CG43" s="532">
        <f>RevBuild!CG156</f>
        <v>2.5625920057619989E-2</v>
      </c>
      <c r="CH43" s="141"/>
      <c r="CI43" s="186">
        <f>RevBuild!CI156</f>
        <v>2.6884249238201402E-2</v>
      </c>
      <c r="CJ43" s="191">
        <f>RevBuild!CJ156</f>
        <v>2.6956419460929189E-2</v>
      </c>
      <c r="CK43" s="191">
        <f>RevBuild!CK156</f>
        <v>2.6738496882543584E-2</v>
      </c>
      <c r="CL43" s="191">
        <f>RevBuild!CL156</f>
        <v>2.6854132817272176E-2</v>
      </c>
      <c r="CM43" s="532">
        <f>RevBuild!CM156</f>
        <v>2.685807573228716E-2</v>
      </c>
      <c r="CN43" s="141"/>
      <c r="CO43" s="1"/>
      <c r="CP43" s="1"/>
      <c r="CQ43"/>
      <c r="CR43"/>
      <c r="CS43"/>
      <c r="CT43"/>
      <c r="CU43"/>
      <c r="CV43"/>
    </row>
    <row r="44" spans="1:100" s="16" customFormat="1" ht="11.25" customHeight="1" collapsed="1" x14ac:dyDescent="0.2">
      <c r="A44" s="23"/>
      <c r="B44" s="537" t="s">
        <v>237</v>
      </c>
      <c r="C44" s="186"/>
      <c r="D44" s="191"/>
      <c r="E44" s="191"/>
      <c r="F44" s="191"/>
      <c r="G44" s="532"/>
      <c r="H44" s="141"/>
      <c r="I44" s="186">
        <f>RevBuild!I159</f>
        <v>6.9934785991505682E-2</v>
      </c>
      <c r="J44" s="191">
        <f>RevBuild!J159</f>
        <v>6.9066203064212378E-2</v>
      </c>
      <c r="K44" s="191">
        <f>RevBuild!K159</f>
        <v>9.5087727309885614E-2</v>
      </c>
      <c r="L44" s="191">
        <f>RevBuild!L159</f>
        <v>5.4255435010545937E-2</v>
      </c>
      <c r="M44" s="532">
        <f>RevBuild!M159</f>
        <v>5.6000000000000001E-2</v>
      </c>
      <c r="N44" s="141"/>
      <c r="O44" s="186">
        <f>RevBuild!O159</f>
        <v>6.02892773484002E-2</v>
      </c>
      <c r="P44" s="191">
        <f>RevBuild!P159</f>
        <v>2.3281949131526966E-2</v>
      </c>
      <c r="Q44" s="191">
        <f>RevBuild!Q159</f>
        <v>3.5578583324967203E-2</v>
      </c>
      <c r="R44" s="191">
        <f>RevBuild!R159</f>
        <v>1.3884707883472007E-2</v>
      </c>
      <c r="S44" s="532">
        <f>RevBuild!S159</f>
        <v>5.0000000000000114E-3</v>
      </c>
      <c r="T44" s="141"/>
      <c r="U44" s="186">
        <f>RevBuild!U159</f>
        <v>6.5032996844832297E-2</v>
      </c>
      <c r="V44" s="191">
        <f>RevBuild!V159</f>
        <v>7.3337323443863539E-2</v>
      </c>
      <c r="W44" s="191">
        <f>RevBuild!W159</f>
        <v>2.4610547419740052E-2</v>
      </c>
      <c r="X44" s="191">
        <f>RevBuild!X159</f>
        <v>2.2225647660421257E-2</v>
      </c>
      <c r="Y44" s="532">
        <f>RevBuild!Y159</f>
        <v>9.9999999999999395E-4</v>
      </c>
      <c r="Z44" s="141"/>
      <c r="AA44" s="186">
        <f>RevBuild!AA159</f>
        <v>5.4999999999999993E-2</v>
      </c>
      <c r="AB44" s="191">
        <f>RevBuild!AB159</f>
        <v>2.7000000000000003E-2</v>
      </c>
      <c r="AC44" s="191">
        <f>RevBuild!AC159</f>
        <v>-1.7000000000000001E-2</v>
      </c>
      <c r="AD44" s="191">
        <f>RevBuild!AD159</f>
        <v>5.6144585991963175E-2</v>
      </c>
      <c r="AE44" s="532">
        <f>RevBuild!AE159</f>
        <v>2.9999999999999995E-2</v>
      </c>
      <c r="AF44" s="141"/>
      <c r="AG44" s="186">
        <f>RevBuild!AG159</f>
        <v>-8.0000000000000002E-3</v>
      </c>
      <c r="AH44" s="191">
        <f>RevBuild!AH159</f>
        <v>-0.01</v>
      </c>
      <c r="AI44" s="191">
        <f>RevBuild!AI159</f>
        <v>7.8E-2</v>
      </c>
      <c r="AJ44" s="191">
        <f>RevBuild!AJ159</f>
        <v>4.8961135795596626E-2</v>
      </c>
      <c r="AK44" s="532">
        <f>RevBuild!AK159</f>
        <v>2.7000000000000003E-2</v>
      </c>
      <c r="AL44" s="141"/>
      <c r="AM44" s="186">
        <f>RevBuild!AM159</f>
        <v>4.7E-2</v>
      </c>
      <c r="AN44" s="191">
        <f>RevBuild!AN159</f>
        <v>7.0000000000000001E-3</v>
      </c>
      <c r="AO44" s="191">
        <f>RevBuild!AO159</f>
        <v>1.5999999999999997E-2</v>
      </c>
      <c r="AP44" s="191">
        <f>RevBuild!AP159</f>
        <v>3.0164541712679453E-2</v>
      </c>
      <c r="AQ44" s="532">
        <f>RevBuild!AQ159</f>
        <v>2.5000000000000001E-2</v>
      </c>
      <c r="AR44" s="141"/>
      <c r="AS44" s="186">
        <f>RevBuild!AS159</f>
        <v>-1.1000000000000001E-2</v>
      </c>
      <c r="AT44" s="191">
        <f>RevBuild!AT159</f>
        <v>1.8999999999999989E-2</v>
      </c>
      <c r="AU44" s="191">
        <f>RevBuild!AU159</f>
        <v>2.6999999999999996E-2</v>
      </c>
      <c r="AV44" s="191">
        <f>RevBuild!AV159</f>
        <v>-2.410263717791794E-3</v>
      </c>
      <c r="AW44" s="532">
        <f>RevBuild!AW159</f>
        <v>7.9999999999999932E-3</v>
      </c>
      <c r="AX44" s="141"/>
      <c r="AY44" s="186">
        <f>RevBuild!AY159</f>
        <v>3.6272186066149154E-2</v>
      </c>
      <c r="AZ44" s="191">
        <f>RevBuild!AZ159</f>
        <v>6.937616863096116E-2</v>
      </c>
      <c r="BA44" s="191">
        <f>RevBuild!BA159</f>
        <v>1.9462368664958388E-2</v>
      </c>
      <c r="BB44" s="191">
        <f>RevBuild!BB159</f>
        <v>6.7000000000000004E-2</v>
      </c>
      <c r="BC44" s="532">
        <f>RevBuild!BC159</f>
        <v>4.2999999999999997E-2</v>
      </c>
      <c r="BD44" s="141"/>
      <c r="BE44" s="186">
        <f>RevBuild!BE159</f>
        <v>2.2324727676270306E-2</v>
      </c>
      <c r="BF44" s="191">
        <f>RevBuild!BF159</f>
        <v>3.0814448692522978E-2</v>
      </c>
      <c r="BG44" s="191">
        <f>RevBuild!BG159</f>
        <v>6.8552011312000116E-2</v>
      </c>
      <c r="BH44" s="191">
        <f>RevBuild!BH159</f>
        <v>2.4759986126421718E-2</v>
      </c>
      <c r="BI44" s="532">
        <f>RevBuild!BI159</f>
        <v>3.6423967715582151E-2</v>
      </c>
      <c r="BJ44" s="141"/>
      <c r="BK44" s="186">
        <f>RevBuild!BK159</f>
        <v>5.8000000000000024E-2</v>
      </c>
      <c r="BL44" s="191">
        <f>RevBuild!BL159</f>
        <v>4.1000000000000002E-2</v>
      </c>
      <c r="BM44" s="191">
        <f>RevBuild!BM159</f>
        <v>1.4E-2</v>
      </c>
      <c r="BN44" s="191">
        <f>RevBuild!BN159</f>
        <v>8.4656383059217959E-3</v>
      </c>
      <c r="BO44" s="532">
        <f>RevBuild!BO159</f>
        <v>2.8804837207471783E-2</v>
      </c>
      <c r="BP44" s="141"/>
      <c r="BQ44" s="186">
        <f>RevBuild!BQ159</f>
        <v>-1.0999999999999999E-2</v>
      </c>
      <c r="BR44" s="191">
        <f>RevBuild!BR159</f>
        <v>-2.247525843633064E-2</v>
      </c>
      <c r="BS44" s="191">
        <f>RevBuild!BS159</f>
        <v>-2.7E-2</v>
      </c>
      <c r="BT44" s="191">
        <f>RevBuild!BT159</f>
        <v>-9.4548425225185057E-3</v>
      </c>
      <c r="BU44" s="532">
        <f>RevBuild!BU159</f>
        <v>-1.7508088945593397E-2</v>
      </c>
      <c r="BV44" s="141"/>
      <c r="BW44" s="186">
        <f>RevBuild!BW159</f>
        <v>5.2419533553406169E-3</v>
      </c>
      <c r="BX44" s="191">
        <f>RevBuild!BX159</f>
        <v>3.3775427804843328E-2</v>
      </c>
      <c r="BY44" s="191">
        <f>RevBuild!BY159</f>
        <v>2.7127474691358944E-2</v>
      </c>
      <c r="BZ44" s="191">
        <f>RevBuild!BZ159</f>
        <v>3.7949831240595096E-2</v>
      </c>
      <c r="CA44" s="532">
        <f>RevBuild!CA159</f>
        <v>2.6450506902581276E-2</v>
      </c>
      <c r="CB44" s="141"/>
      <c r="CC44" s="186">
        <f>RevBuild!CC159</f>
        <v>2.4711763603385131E-2</v>
      </c>
      <c r="CD44" s="191">
        <f>RevBuild!CD159</f>
        <v>2.4299961089672854E-2</v>
      </c>
      <c r="CE44" s="191">
        <f>RevBuild!CE159</f>
        <v>2.6631516733483598E-2</v>
      </c>
      <c r="CF44" s="191">
        <f>RevBuild!CF159</f>
        <v>2.6746868984921447E-2</v>
      </c>
      <c r="CG44" s="532">
        <f>RevBuild!CG159</f>
        <v>2.5625920057619989E-2</v>
      </c>
      <c r="CH44" s="141"/>
      <c r="CI44" s="186">
        <f>RevBuild!CI159</f>
        <v>2.6884249238201402E-2</v>
      </c>
      <c r="CJ44" s="191">
        <f>RevBuild!CJ159</f>
        <v>2.6956419460929189E-2</v>
      </c>
      <c r="CK44" s="191">
        <f>RevBuild!CK159</f>
        <v>2.6738496882543584E-2</v>
      </c>
      <c r="CL44" s="191">
        <f>RevBuild!CL159</f>
        <v>2.6854132817272176E-2</v>
      </c>
      <c r="CM44" s="532">
        <f>RevBuild!CM159</f>
        <v>2.685807573228716E-2</v>
      </c>
      <c r="CN44" s="141"/>
      <c r="CO44" s="1"/>
      <c r="CP44" s="1"/>
      <c r="CQ44"/>
      <c r="CR44"/>
      <c r="CS44"/>
      <c r="CT44"/>
      <c r="CU44"/>
      <c r="CV44"/>
    </row>
    <row r="45" spans="1:100" s="16" customFormat="1" ht="11.25" hidden="1" customHeight="1" outlineLevel="1" x14ac:dyDescent="0.2">
      <c r="A45" s="23"/>
      <c r="B45" s="536" t="s">
        <v>226</v>
      </c>
      <c r="C45" s="186"/>
      <c r="D45" s="191"/>
      <c r="E45" s="191"/>
      <c r="F45" s="191"/>
      <c r="G45" s="532"/>
      <c r="H45" s="141"/>
      <c r="I45" s="186">
        <f>RevBuild!I157</f>
        <v>1.1226292472180685E-4</v>
      </c>
      <c r="J45" s="191">
        <f>RevBuild!J157</f>
        <v>-3.3387442691854344E-4</v>
      </c>
      <c r="K45" s="191">
        <f>RevBuild!K157</f>
        <v>-1.7155888562917964E-5</v>
      </c>
      <c r="L45" s="191">
        <f>RevBuild!L157</f>
        <v>-1.1601611596134479E-3</v>
      </c>
      <c r="M45" s="532">
        <f>RevBuild!M157</f>
        <v>9.5877441307488653E-3</v>
      </c>
      <c r="N45" s="141"/>
      <c r="O45" s="186">
        <f>RevBuild!O157</f>
        <v>2.4083159039819973E-4</v>
      </c>
      <c r="P45" s="191">
        <f>RevBuild!P157</f>
        <v>2.6143139009578289E-4</v>
      </c>
      <c r="Q45" s="191">
        <f>RevBuild!Q157</f>
        <v>0</v>
      </c>
      <c r="R45" s="191">
        <f>RevBuild!R157</f>
        <v>-2.8917329146903592E-2</v>
      </c>
      <c r="S45" s="532">
        <f>RevBuild!S157</f>
        <v>-1.1153841177378915E-2</v>
      </c>
      <c r="T45" s="141"/>
      <c r="U45" s="186">
        <f>RevBuild!U157</f>
        <v>-9.160956579136648E-3</v>
      </c>
      <c r="V45" s="191">
        <f>RevBuild!V157</f>
        <v>-2.723470987978302E-4</v>
      </c>
      <c r="W45" s="191">
        <f>RevBuild!W157</f>
        <v>-1.9200244629313835E-2</v>
      </c>
      <c r="X45" s="191">
        <f>RevBuild!X157</f>
        <v>1.1740092116263477E-2</v>
      </c>
      <c r="Y45" s="532">
        <f>RevBuild!Y157</f>
        <v>4.2632508862472801E-3</v>
      </c>
      <c r="Z45" s="141"/>
      <c r="AA45" s="186">
        <f>RevBuild!AA157</f>
        <v>5.2532944771834372E-3</v>
      </c>
      <c r="AB45" s="191">
        <f>RevBuild!AB157</f>
        <v>2.104973182436784E-3</v>
      </c>
      <c r="AC45" s="191">
        <f>RevBuild!AC157</f>
        <v>1.5677223308832068E-3</v>
      </c>
      <c r="AD45" s="191">
        <f>RevBuild!AD157</f>
        <v>7.4324574721752606E-3</v>
      </c>
      <c r="AE45" s="532">
        <f>RevBuild!AE157</f>
        <v>4.0742329590385748E-3</v>
      </c>
      <c r="AF45" s="141"/>
      <c r="AG45" s="186">
        <f>RevBuild!AG157</f>
        <v>-7.7830503408501351E-3</v>
      </c>
      <c r="AH45" s="191">
        <f>RevBuild!AH157</f>
        <v>4.3713655247057349E-3</v>
      </c>
      <c r="AI45" s="191">
        <f>RevBuild!AI157</f>
        <v>1.3452980052145042E-3</v>
      </c>
      <c r="AJ45" s="191">
        <f>RevBuild!AJ157</f>
        <v>1.0215065041450637E-2</v>
      </c>
      <c r="AK45" s="532">
        <f>RevBuild!AK157</f>
        <v>2.1289585182652504E-3</v>
      </c>
      <c r="AL45" s="141"/>
      <c r="AM45" s="186">
        <f>RevBuild!AM157</f>
        <v>-5.6703861830350102E-3</v>
      </c>
      <c r="AN45" s="191">
        <f>RevBuild!AN157</f>
        <v>4.1429613420806283E-5</v>
      </c>
      <c r="AO45" s="191">
        <f>RevBuild!AO157</f>
        <v>3.2740801984288068E-3</v>
      </c>
      <c r="AP45" s="191">
        <f>RevBuild!AP157</f>
        <v>-6.6377820307709223E-3</v>
      </c>
      <c r="AQ45" s="532">
        <f>RevBuild!AQ157</f>
        <v>-2.2780721907445789E-3</v>
      </c>
      <c r="AR45" s="141"/>
      <c r="AS45" s="186">
        <f>RevBuild!AS157</f>
        <v>-1.2336304085018915E-3</v>
      </c>
      <c r="AT45" s="191">
        <f>RevBuild!AT157</f>
        <v>-4.1987285413972175E-3</v>
      </c>
      <c r="AU45" s="191">
        <f>RevBuild!AU157</f>
        <v>-4.856639817614139E-3</v>
      </c>
      <c r="AV45" s="191">
        <f>RevBuild!AV157</f>
        <v>-4.5739569483061737E-3</v>
      </c>
      <c r="AW45" s="532">
        <f>RevBuild!AW157</f>
        <v>-3.7390319838379593E-3</v>
      </c>
      <c r="AX45" s="141"/>
      <c r="AY45" s="186">
        <f>RevBuild!AY157</f>
        <v>3.0571728150581373E-2</v>
      </c>
      <c r="AZ45" s="191">
        <f>RevBuild!AZ157</f>
        <v>-9.0014232613564976E-2</v>
      </c>
      <c r="BA45" s="191">
        <f>RevBuild!BA157</f>
        <v>-0.13404018905308807</v>
      </c>
      <c r="BB45" s="191">
        <f>RevBuild!BB157</f>
        <v>-0.1278088182586154</v>
      </c>
      <c r="BC45" s="532">
        <f>RevBuild!BC157</f>
        <v>-0.12461336609481735</v>
      </c>
      <c r="BD45" s="141"/>
      <c r="BE45" s="186">
        <f>RevBuild!BE157</f>
        <v>-2.301975172425566E-2</v>
      </c>
      <c r="BF45" s="191">
        <f>RevBuild!BF157</f>
        <v>-1.5883381039029976E-2</v>
      </c>
      <c r="BG45" s="191">
        <f>RevBuild!BG157</f>
        <v>-1.4548031144510698E-2</v>
      </c>
      <c r="BH45" s="191">
        <f>RevBuild!BH157</f>
        <v>-1.021985370910522E-2</v>
      </c>
      <c r="BI45" s="532">
        <f>RevBuild!BI157</f>
        <v>-1.5770500132323451E-2</v>
      </c>
      <c r="BJ45" s="141"/>
      <c r="BK45" s="186">
        <f>RevBuild!BK157</f>
        <v>-6.7131616019319745E-2</v>
      </c>
      <c r="BL45" s="191">
        <f>RevBuild!BL157</f>
        <v>-2.0102511499341467E-2</v>
      </c>
      <c r="BM45" s="191">
        <f>RevBuild!BM157</f>
        <v>-1.6452077412833374E-2</v>
      </c>
      <c r="BN45" s="191">
        <f>RevBuild!BN157</f>
        <v>-1.4476217696059068E-2</v>
      </c>
      <c r="BO45" s="532">
        <f>RevBuild!BO157</f>
        <v>-2.7612688689166678E-2</v>
      </c>
      <c r="BP45" s="141"/>
      <c r="BQ45" s="186">
        <f>RevBuild!BQ157</f>
        <v>-1.0255054651780459E-2</v>
      </c>
      <c r="BR45" s="191">
        <f>RevBuild!BR157</f>
        <v>5.0814692284314213E-3</v>
      </c>
      <c r="BS45" s="191">
        <f>RevBuild!BS157</f>
        <v>1.1116420426815685E-2</v>
      </c>
      <c r="BT45" s="191">
        <f>RevBuild!BT157</f>
        <v>7.0540475270842867E-3</v>
      </c>
      <c r="BU45" s="532">
        <f>RevBuild!BU157</f>
        <v>3.4453275253999924E-3</v>
      </c>
      <c r="BV45" s="141"/>
      <c r="BW45" s="186">
        <f>RevBuild!BW157</f>
        <v>-1.4066244157929196E-4</v>
      </c>
      <c r="BX45" s="191">
        <f>RevBuild!BX157</f>
        <v>-1.2302478753178914E-4</v>
      </c>
      <c r="BY45" s="191">
        <f>RevBuild!BY157</f>
        <v>-3.6037817894230689E-5</v>
      </c>
      <c r="BZ45" s="191">
        <f>RevBuild!BZ157</f>
        <v>-7.1117263722504653E-5</v>
      </c>
      <c r="CA45" s="532">
        <f>RevBuild!CA157</f>
        <v>-9.1889118663372044E-5</v>
      </c>
      <c r="CB45" s="141"/>
      <c r="CC45" s="186">
        <f>RevBuild!CC157</f>
        <v>1.3714955297915166E-4</v>
      </c>
      <c r="CD45" s="191">
        <f>RevBuild!CD157</f>
        <v>1.1663910559218255E-4</v>
      </c>
      <c r="CE45" s="191">
        <f>RevBuild!CE157</f>
        <v>3.4385508697973993E-5</v>
      </c>
      <c r="CF45" s="191">
        <f>RevBuild!CF157</f>
        <v>6.7151313067070201E-5</v>
      </c>
      <c r="CG45" s="532">
        <f>RevBuild!CG157</f>
        <v>8.7738666319725489E-5</v>
      </c>
      <c r="CH45" s="141"/>
      <c r="CI45" s="186">
        <f>RevBuild!CI157</f>
        <v>1.3650065121098565E-4</v>
      </c>
      <c r="CJ45" s="191">
        <f>RevBuild!CJ157</f>
        <v>1.1613623566975387E-4</v>
      </c>
      <c r="CK45" s="191">
        <f>RevBuild!CK157</f>
        <v>3.4162251610136279E-5</v>
      </c>
      <c r="CL45" s="191">
        <f>RevBuild!CL157</f>
        <v>6.6705691560912939E-5</v>
      </c>
      <c r="CM45" s="532">
        <f>RevBuild!CM157</f>
        <v>8.7249924854756328E-5</v>
      </c>
      <c r="CN45" s="141"/>
      <c r="CO45" s="1"/>
      <c r="CP45" s="1"/>
      <c r="CQ45"/>
      <c r="CR45"/>
      <c r="CS45"/>
      <c r="CT45"/>
      <c r="CU45"/>
      <c r="CV45"/>
    </row>
    <row r="46" spans="1:100" s="140" customFormat="1" ht="11.25" hidden="1" customHeight="1" outlineLevel="1" x14ac:dyDescent="0.2">
      <c r="A46" s="116"/>
      <c r="B46" s="536" t="s">
        <v>0</v>
      </c>
      <c r="C46" s="143"/>
      <c r="D46" s="118"/>
      <c r="E46" s="118"/>
      <c r="F46" s="118"/>
      <c r="G46" s="533"/>
      <c r="H46" s="141"/>
      <c r="I46" s="143">
        <f>+I43-I44</f>
        <v>0</v>
      </c>
      <c r="J46" s="118">
        <f>+J43-J44</f>
        <v>0</v>
      </c>
      <c r="K46" s="118">
        <f>+K43-K44</f>
        <v>0</v>
      </c>
      <c r="L46" s="118">
        <f>+L43-L44</f>
        <v>0</v>
      </c>
      <c r="M46" s="533">
        <f>+M43-M44</f>
        <v>5.9999999999999984E-3</v>
      </c>
      <c r="N46" s="141"/>
      <c r="O46" s="143">
        <f>+O43-O44</f>
        <v>0</v>
      </c>
      <c r="P46" s="118">
        <f>+P43-P44</f>
        <v>0</v>
      </c>
      <c r="Q46" s="118">
        <f>+Q43-Q44</f>
        <v>8.2816077307818065E-3</v>
      </c>
      <c r="R46" s="118">
        <f>+R43-R44</f>
        <v>1.6954541950800879E-2</v>
      </c>
      <c r="S46" s="533">
        <f>+S43-S44</f>
        <v>3.7999999999999999E-2</v>
      </c>
      <c r="T46" s="141"/>
      <c r="U46" s="143">
        <f>+U43-U44</f>
        <v>5.5912209168673122E-3</v>
      </c>
      <c r="V46" s="118">
        <f>+V43-V44</f>
        <v>0</v>
      </c>
      <c r="W46" s="118">
        <f>+W43-W44</f>
        <v>5.762006749500323E-3</v>
      </c>
      <c r="X46" s="118">
        <f>+X43-X44</f>
        <v>8.1918118591995694E-3</v>
      </c>
      <c r="Y46" s="533">
        <f>+Y43-Y44</f>
        <v>4.1000000000000002E-2</v>
      </c>
      <c r="Z46" s="141"/>
      <c r="AA46" s="143">
        <f>+AA43-AA44</f>
        <v>1.6E-2</v>
      </c>
      <c r="AB46" s="118">
        <f>+AB43-AB44</f>
        <v>2.3E-2</v>
      </c>
      <c r="AC46" s="118">
        <f>+AC43-AC44</f>
        <v>2.1000000000000001E-2</v>
      </c>
      <c r="AD46" s="118">
        <f>+AD43-AD44</f>
        <v>2.3851994802906631E-2</v>
      </c>
      <c r="AE46" s="533">
        <f>+AE43-AE44</f>
        <v>2.1000000000000001E-2</v>
      </c>
      <c r="AF46" s="141"/>
      <c r="AG46" s="143">
        <f>+AG43-AG44</f>
        <v>1.3000000000000001E-2</v>
      </c>
      <c r="AH46" s="118">
        <f>+AH43-AH44</f>
        <v>5.0000000000000001E-3</v>
      </c>
      <c r="AI46" s="118">
        <f>+AI43-AI44</f>
        <v>6.0000000000000053E-3</v>
      </c>
      <c r="AJ46" s="118">
        <f>+AJ43-AJ44</f>
        <v>2.3967635980588764E-4</v>
      </c>
      <c r="AK46" s="533">
        <f>+AK43-AK44</f>
        <v>5.9999999999999984E-3</v>
      </c>
      <c r="AL46" s="141"/>
      <c r="AM46" s="143">
        <f>+AM43-AM44</f>
        <v>8.0000000000000002E-3</v>
      </c>
      <c r="AN46" s="118">
        <f>+AN43-AN44</f>
        <v>5.0000000000000001E-3</v>
      </c>
      <c r="AO46" s="118">
        <f>+AO43-AO44</f>
        <v>4.0000000000000001E-3</v>
      </c>
      <c r="AP46" s="118">
        <f>+AP43-AP44</f>
        <v>7.0168283967045955E-3</v>
      </c>
      <c r="AQ46" s="533">
        <f>+AQ43-AQ44</f>
        <v>5.9999999999999984E-3</v>
      </c>
      <c r="AR46" s="141"/>
      <c r="AS46" s="143">
        <f>+AS43-AS44</f>
        <v>2E-3</v>
      </c>
      <c r="AT46" s="118">
        <f>+AT43-AT44</f>
        <v>0.13700000000000001</v>
      </c>
      <c r="AU46" s="118">
        <f>+AU43-AU44</f>
        <v>0.16</v>
      </c>
      <c r="AV46" s="118">
        <f>+AV43-AV44</f>
        <v>0.14911222333571342</v>
      </c>
      <c r="AW46" s="533">
        <f>+AW43-AW44</f>
        <v>0.113</v>
      </c>
      <c r="AX46" s="141"/>
      <c r="AY46" s="143">
        <f>+AY43-AY44</f>
        <v>0</v>
      </c>
      <c r="AZ46" s="118">
        <f>+AZ43-AZ44</f>
        <v>0</v>
      </c>
      <c r="BA46" s="118">
        <f>+BA43-BA44</f>
        <v>0</v>
      </c>
      <c r="BB46" s="118">
        <f>+BB43-BB44</f>
        <v>0</v>
      </c>
      <c r="BC46" s="533">
        <f>+BC43-BC44</f>
        <v>4.3999999999999997E-2</v>
      </c>
      <c r="BD46" s="141"/>
      <c r="BE46" s="143">
        <f>+BE43-BE44</f>
        <v>0.21786600969587497</v>
      </c>
      <c r="BF46" s="118">
        <f>+BF43-BF44</f>
        <v>0.40520959600089973</v>
      </c>
      <c r="BG46" s="118">
        <f>+BG43-BG44</f>
        <v>0.40730635084725253</v>
      </c>
      <c r="BH46" s="118">
        <f>+BH43-BH44</f>
        <v>0.38998578441270609</v>
      </c>
      <c r="BI46" s="533">
        <f>+BI43-BI44</f>
        <v>0.35671522195217686</v>
      </c>
      <c r="BJ46" s="141"/>
      <c r="BK46" s="143">
        <f>+BK43-BK44</f>
        <v>0.17499999999999999</v>
      </c>
      <c r="BL46" s="118">
        <f>+BL43-BL44</f>
        <v>0</v>
      </c>
      <c r="BM46" s="118">
        <f>+BM43-BM44</f>
        <v>0</v>
      </c>
      <c r="BN46" s="118">
        <f>+BN43-BN44</f>
        <v>0</v>
      </c>
      <c r="BO46" s="533">
        <f>+BO43-BO44</f>
        <v>3.7128880133172358E-2</v>
      </c>
      <c r="BP46" s="141"/>
      <c r="BQ46" s="143">
        <f>+BQ43-BQ44</f>
        <v>0</v>
      </c>
      <c r="BR46" s="118">
        <f>+BR43-BR44</f>
        <v>-5.5247415636693609E-3</v>
      </c>
      <c r="BS46" s="118">
        <f>+BS43-BS44</f>
        <v>0</v>
      </c>
      <c r="BT46" s="118">
        <f>+BT43-BT44</f>
        <v>0</v>
      </c>
      <c r="BU46" s="533">
        <f>+BU43-BU44</f>
        <v>-1.4009006053322219E-3</v>
      </c>
      <c r="BV46" s="141"/>
      <c r="BW46" s="143">
        <f>+BW43-BW44</f>
        <v>0</v>
      </c>
      <c r="BX46" s="118">
        <f>+BX43-BX44</f>
        <v>0</v>
      </c>
      <c r="BY46" s="118">
        <f>+BY43-BY44</f>
        <v>0</v>
      </c>
      <c r="BZ46" s="118">
        <f>+BZ43-BZ44</f>
        <v>0</v>
      </c>
      <c r="CA46" s="533">
        <f>+CA43-CA44</f>
        <v>0</v>
      </c>
      <c r="CB46" s="141"/>
      <c r="CC46" s="143">
        <f>+CC43-CC44</f>
        <v>0</v>
      </c>
      <c r="CD46" s="118">
        <f>+CD43-CD44</f>
        <v>0</v>
      </c>
      <c r="CE46" s="118">
        <f>+CE43-CE44</f>
        <v>0</v>
      </c>
      <c r="CF46" s="118">
        <f>+CF43-CF44</f>
        <v>0</v>
      </c>
      <c r="CG46" s="533">
        <f>+CG43-CG44</f>
        <v>0</v>
      </c>
      <c r="CH46" s="141"/>
      <c r="CI46" s="143">
        <f>+CI43-CI44</f>
        <v>0</v>
      </c>
      <c r="CJ46" s="118">
        <f>+CJ43-CJ44</f>
        <v>0</v>
      </c>
      <c r="CK46" s="118">
        <f>+CK43-CK44</f>
        <v>0</v>
      </c>
      <c r="CL46" s="118">
        <f>+CL43-CL44</f>
        <v>0</v>
      </c>
      <c r="CM46" s="533">
        <f>+CM43-CM44</f>
        <v>0</v>
      </c>
      <c r="CN46" s="141"/>
      <c r="CO46" s="1"/>
      <c r="CP46" s="1"/>
      <c r="CQ46"/>
      <c r="CR46"/>
      <c r="CS46"/>
      <c r="CT46"/>
      <c r="CU46"/>
      <c r="CV46"/>
    </row>
    <row r="47" spans="1:100" s="16" customFormat="1" ht="11.25" customHeight="1" collapsed="1" x14ac:dyDescent="0.2">
      <c r="A47"/>
      <c r="B47" s="530" t="str">
        <f>+B9</f>
        <v>COGS</v>
      </c>
      <c r="C47" s="434"/>
      <c r="D47" s="103"/>
      <c r="E47" s="103"/>
      <c r="F47" s="103"/>
      <c r="G47" s="526"/>
      <c r="H47" s="141"/>
      <c r="I47" s="434">
        <f t="shared" ref="I47:K49" si="15">I9/C9-1</f>
        <v>7.2031569662459605E-2</v>
      </c>
      <c r="J47" s="103">
        <f t="shared" si="15"/>
        <v>6.7697386208039223E-2</v>
      </c>
      <c r="K47" s="103">
        <f t="shared" si="15"/>
        <v>0.10578623254679598</v>
      </c>
      <c r="L47" s="103">
        <f>IF(ISERROR(L9/F9-1),"NM",L9/F9-1)</f>
        <v>5.5693927869948645E-2</v>
      </c>
      <c r="M47" s="526">
        <f>M9/G9-1</f>
        <v>7.5144053705713754E-2</v>
      </c>
      <c r="N47" s="141"/>
      <c r="O47" s="434">
        <f t="shared" ref="O47:Q49" si="16">O9/I9-1</f>
        <v>6.0008314145463038E-2</v>
      </c>
      <c r="P47" s="103">
        <f t="shared" si="16"/>
        <v>3.3067656674692136E-2</v>
      </c>
      <c r="Q47" s="103">
        <f t="shared" si="16"/>
        <v>6.7163179784485383E-2</v>
      </c>
      <c r="R47" s="103">
        <f>IF(ISERROR(R9/L9-1),"NM",R9/L9-1)</f>
        <v>1.0965216117680088E-2</v>
      </c>
      <c r="S47" s="526">
        <f>S9/M9-1</f>
        <v>4.2551514892699815E-2</v>
      </c>
      <c r="T47" s="141"/>
      <c r="U47" s="434">
        <f t="shared" ref="U47:W49" si="17">U9/O9-1</f>
        <v>7.8772029285004486E-2</v>
      </c>
      <c r="V47" s="103">
        <f t="shared" si="17"/>
        <v>8.4066370684304337E-2</v>
      </c>
      <c r="W47" s="103">
        <f t="shared" si="17"/>
        <v>3.8769989334102029E-3</v>
      </c>
      <c r="X47" s="103">
        <f>IF(ISERROR(X9/R9-1),"NM",X9/R9-1)</f>
        <v>2.7168571618758852E-2</v>
      </c>
      <c r="Y47" s="526">
        <f>Y9/S9-1</f>
        <v>4.7433489881274937E-2</v>
      </c>
      <c r="Z47" s="141"/>
      <c r="AA47" s="434">
        <f t="shared" ref="AA47:AC49" si="18">AA9/U9-1</f>
        <v>7.2880701456973673E-2</v>
      </c>
      <c r="AB47" s="103">
        <f t="shared" si="18"/>
        <v>5.4336687247225512E-2</v>
      </c>
      <c r="AC47" s="103">
        <f t="shared" si="18"/>
        <v>-4.4116430613128088E-4</v>
      </c>
      <c r="AD47" s="103">
        <f>IF(ISERROR(AD9/X9-1),"NM",AD9/X9-1)</f>
        <v>0.10524901315350577</v>
      </c>
      <c r="AE47" s="526">
        <f>AE9/Y9-1</f>
        <v>5.7482047044309148E-2</v>
      </c>
      <c r="AF47" s="141"/>
      <c r="AG47" s="434">
        <f t="shared" ref="AG47:AI49" si="19">AG9/AA9-1</f>
        <v>-7.7424519871416297E-4</v>
      </c>
      <c r="AH47" s="103">
        <f t="shared" si="19"/>
        <v>-4.0140916928534942E-3</v>
      </c>
      <c r="AI47" s="103">
        <f t="shared" si="19"/>
        <v>0.1135046664521171</v>
      </c>
      <c r="AJ47" s="103">
        <f>IF(ISERROR(AJ9/AD9-1),"NM",AJ9/AD9-1)</f>
        <v>7.3711349095487044E-2</v>
      </c>
      <c r="AK47" s="526">
        <f>AK9/AE9-1</f>
        <v>4.4774141570674386E-2</v>
      </c>
      <c r="AL47" s="141"/>
      <c r="AM47" s="434">
        <f t="shared" ref="AM47:AO49" si="20">AM9/AG9-1</f>
        <v>6.040453591872752E-2</v>
      </c>
      <c r="AN47" s="103">
        <f t="shared" si="20"/>
        <v>1.8583345488390135E-2</v>
      </c>
      <c r="AO47" s="103">
        <f t="shared" si="20"/>
        <v>1.6634296510629198E-2</v>
      </c>
      <c r="AP47" s="103">
        <f>IF(ISERROR(AP9/AJ9-1),"NM",AP9/AJ9-1)</f>
        <v>2.9140091838750548E-2</v>
      </c>
      <c r="AQ47" s="526">
        <f>AQ9/AK9-1</f>
        <v>3.0885570931762807E-2</v>
      </c>
      <c r="AR47" s="141"/>
      <c r="AS47" s="434">
        <f t="shared" ref="AS47:AU49" si="21">AS9/AM9-1</f>
        <v>-8.1487925106666914E-3</v>
      </c>
      <c r="AT47" s="103">
        <f t="shared" si="21"/>
        <v>0.15487085104859588</v>
      </c>
      <c r="AU47" s="103">
        <f t="shared" si="21"/>
        <v>0.25285589894211546</v>
      </c>
      <c r="AV47" s="103">
        <f>IF(ISERROR(AV9/AP9-1),"NM",AV9/AP9-1)</f>
        <v>0.22700216619118674</v>
      </c>
      <c r="AW47" s="526">
        <f>AW9/AQ9-1</f>
        <v>0.15820164704430062</v>
      </c>
      <c r="AX47" s="141"/>
      <c r="AY47" s="434">
        <f t="shared" ref="AY47:BA49" si="22">AY9/AS9-1</f>
        <v>0.14990135431092533</v>
      </c>
      <c r="AZ47" s="103">
        <f t="shared" si="22"/>
        <v>6.1249216004730433E-2</v>
      </c>
      <c r="BA47" s="103">
        <f t="shared" si="22"/>
        <v>-9.7290260341433954E-2</v>
      </c>
      <c r="BB47" s="103">
        <f>IF(ISERROR(BB9/AV9-1),"NM",BB9/AV9-1)</f>
        <v>-5.0051576616396032E-2</v>
      </c>
      <c r="BC47" s="526">
        <f>BC9/AW9-1</f>
        <v>5.9438294283007398E-3</v>
      </c>
      <c r="BD47" s="141"/>
      <c r="BE47" s="434">
        <f t="shared" ref="BE47:BG49" si="23">BE9/AY9-1</f>
        <v>0.24157718798440864</v>
      </c>
      <c r="BF47" s="103">
        <f t="shared" si="23"/>
        <v>0.47205789691111688</v>
      </c>
      <c r="BG47" s="103">
        <f t="shared" si="23"/>
        <v>0.52400220630693517</v>
      </c>
      <c r="BH47" s="103">
        <f>IF(ISERROR(BH9/BB9-1),"NM",BH9/BB9-1)</f>
        <v>0.45948627449930246</v>
      </c>
      <c r="BI47" s="526">
        <f>BI9/BC9-1</f>
        <v>0.42579103509926619</v>
      </c>
      <c r="BJ47" s="141"/>
      <c r="BK47" s="434">
        <f t="shared" ref="BK47:BS49" si="24">BK9/BE9-1</f>
        <v>0.18795590117782512</v>
      </c>
      <c r="BL47" s="103">
        <f t="shared" si="24"/>
        <v>3.8712627951519085E-2</v>
      </c>
      <c r="BM47" s="103">
        <f t="shared" si="24"/>
        <v>6.2847022919181317E-3</v>
      </c>
      <c r="BN47" s="103">
        <f t="shared" si="24"/>
        <v>1.7894019333430489E-2</v>
      </c>
      <c r="BO47" s="526">
        <f t="shared" si="24"/>
        <v>5.60476186375094E-2</v>
      </c>
      <c r="BP47" s="141"/>
      <c r="BQ47" s="434">
        <f t="shared" si="24"/>
        <v>-1.0037842597645175E-2</v>
      </c>
      <c r="BR47" s="103">
        <f t="shared" si="24"/>
        <v>-2.6641959608143639E-2</v>
      </c>
      <c r="BS47" s="103">
        <f t="shared" si="24"/>
        <v>1.2016031365878588E-2</v>
      </c>
      <c r="BT47" s="103">
        <f t="shared" ref="BS47:BU49" si="25">BT9/BN9-1</f>
        <v>2.783447533827843E-2</v>
      </c>
      <c r="BU47" s="526">
        <f t="shared" si="25"/>
        <v>9.8661769495778096E-4</v>
      </c>
      <c r="BV47" s="141"/>
      <c r="BW47" s="434">
        <f t="shared" ref="BW47:CA49" si="26">BW9/BQ9-1</f>
        <v>2.3253122262317794E-2</v>
      </c>
      <c r="BX47" s="103">
        <f t="shared" si="26"/>
        <v>5.7208021546914845E-2</v>
      </c>
      <c r="BY47" s="103">
        <f t="shared" si="26"/>
        <v>2.8901178405588146E-2</v>
      </c>
      <c r="BZ47" s="103">
        <f t="shared" si="26"/>
        <v>3.4053527495417235E-2</v>
      </c>
      <c r="CA47" s="526">
        <f t="shared" si="26"/>
        <v>3.5997909986991816E-2</v>
      </c>
      <c r="CB47" s="141"/>
      <c r="CC47" s="434">
        <f t="shared" ref="CC47:CG49" si="27">CC9/BW9-1</f>
        <v>2.5930168936601605E-2</v>
      </c>
      <c r="CD47" s="103">
        <f t="shared" si="27"/>
        <v>2.5521278721650775E-2</v>
      </c>
      <c r="CE47" s="103">
        <f t="shared" si="27"/>
        <v>2.7838578604847397E-2</v>
      </c>
      <c r="CF47" s="103">
        <f t="shared" si="27"/>
        <v>2.7921869113598063E-2</v>
      </c>
      <c r="CG47" s="526">
        <f t="shared" si="27"/>
        <v>2.6830670828100978E-2</v>
      </c>
      <c r="CH47" s="141"/>
      <c r="CI47" s="434">
        <f t="shared" ref="CI47:CI49" si="28">CI9/CC9-1</f>
        <v>3.1877898813141403E-2</v>
      </c>
      <c r="CJ47" s="103">
        <f t="shared" ref="CJ47:CJ49" si="29">CJ9/CD9-1</f>
        <v>3.1915106714165642E-2</v>
      </c>
      <c r="CK47" s="103">
        <f t="shared" ref="CK47:CK49" si="30">CK9/CE9-1</f>
        <v>3.1802231826129734E-2</v>
      </c>
      <c r="CL47" s="103">
        <f t="shared" ref="CL47:CL49" si="31">CL9/CF9-1</f>
        <v>3.1881155205775391E-2</v>
      </c>
      <c r="CM47" s="526">
        <f t="shared" ref="CM47:CM49" si="32">CM9/CG9-1</f>
        <v>3.186928825439117E-2</v>
      </c>
      <c r="CN47" s="141"/>
      <c r="CO47" s="17"/>
      <c r="CP47" s="17"/>
      <c r="CQ47"/>
      <c r="CR47"/>
      <c r="CS47"/>
      <c r="CT47"/>
      <c r="CU47"/>
      <c r="CV47"/>
    </row>
    <row r="48" spans="1:100" s="16" customFormat="1" ht="11.25" customHeight="1" x14ac:dyDescent="0.2">
      <c r="A48"/>
      <c r="B48" s="530" t="str">
        <f>+B10</f>
        <v>Gross Profit</v>
      </c>
      <c r="C48" s="434"/>
      <c r="D48" s="103"/>
      <c r="E48" s="103"/>
      <c r="F48" s="103"/>
      <c r="G48" s="526"/>
      <c r="H48" s="141"/>
      <c r="I48" s="434">
        <f t="shared" si="15"/>
        <v>6.618288417096041E-2</v>
      </c>
      <c r="J48" s="103">
        <f t="shared" si="15"/>
        <v>7.0746809603231986E-2</v>
      </c>
      <c r="K48" s="103">
        <f t="shared" si="15"/>
        <v>7.5407766136830423E-2</v>
      </c>
      <c r="L48" s="103">
        <f>IF(ISERROR(L10/F10-1),"NM",L10/F10-1)</f>
        <v>4.8322286740634768E-2</v>
      </c>
      <c r="M48" s="526">
        <f>M10/G10-1</f>
        <v>6.4872346398698877E-2</v>
      </c>
      <c r="N48" s="141"/>
      <c r="O48" s="434">
        <f t="shared" si="16"/>
        <v>6.1551696509146714E-2</v>
      </c>
      <c r="P48" s="103">
        <f t="shared" si="16"/>
        <v>5.0574913099141749E-3</v>
      </c>
      <c r="Q48" s="103">
        <f t="shared" si="16"/>
        <v>-1.0775141377283859E-4</v>
      </c>
      <c r="R48" s="103">
        <f>IF(ISERROR(R10/L10-1),"NM",R10/L10-1)</f>
        <v>-1.4804835367594804E-2</v>
      </c>
      <c r="S48" s="526">
        <f>S10/M10-1</f>
        <v>1.1436186968427187E-2</v>
      </c>
      <c r="T48" s="141"/>
      <c r="U48" s="434">
        <f t="shared" si="17"/>
        <v>2.7624836133952835E-2</v>
      </c>
      <c r="V48" s="103">
        <f t="shared" si="17"/>
        <v>5.111702652075345E-2</v>
      </c>
      <c r="W48" s="103">
        <f t="shared" si="17"/>
        <v>2.5863126093887301E-2</v>
      </c>
      <c r="X48" s="103">
        <f>IF(ISERROR(X10/R10-1),"NM",X10/R10-1)</f>
        <v>7.0606815057039807E-2</v>
      </c>
      <c r="Y48" s="526">
        <f>Y10/S10-1</f>
        <v>4.3963531265212907E-2</v>
      </c>
      <c r="Z48" s="141"/>
      <c r="AA48" s="434">
        <f t="shared" si="18"/>
        <v>8.3174838799462192E-2</v>
      </c>
      <c r="AB48" s="103">
        <f t="shared" si="18"/>
        <v>4.7513103246453525E-2</v>
      </c>
      <c r="AC48" s="103">
        <f t="shared" si="18"/>
        <v>1.7408691305434765E-2</v>
      </c>
      <c r="AD48" s="103">
        <f>IF(ISERROR(AD10/X10-1),"NM",AD10/X10-1)</f>
        <v>5.4971868481245245E-2</v>
      </c>
      <c r="AE48" s="526">
        <f>AE10/Y10-1</f>
        <v>5.0324903318429204E-2</v>
      </c>
      <c r="AF48" s="141"/>
      <c r="AG48" s="434">
        <f t="shared" si="19"/>
        <v>-6.8665239114916732E-3</v>
      </c>
      <c r="AH48" s="103">
        <f t="shared" si="19"/>
        <v>6.3824986300189401E-3</v>
      </c>
      <c r="AI48" s="103">
        <f t="shared" si="19"/>
        <v>3.0828660436136968E-2</v>
      </c>
      <c r="AJ48" s="103">
        <f>IF(ISERROR(AJ10/AD10-1),"NM",AJ10/AD10-1)</f>
        <v>3.2150130449515979E-2</v>
      </c>
      <c r="AK48" s="526">
        <f>AK10/AE10-1</f>
        <v>1.5983744455854154E-2</v>
      </c>
      <c r="AL48" s="141"/>
      <c r="AM48" s="434">
        <f t="shared" si="20"/>
        <v>2.6678549353878367E-2</v>
      </c>
      <c r="AN48" s="103">
        <f t="shared" si="20"/>
        <v>-1.3666307214316165E-3</v>
      </c>
      <c r="AO48" s="103">
        <f t="shared" si="20"/>
        <v>3.7159711812775109E-2</v>
      </c>
      <c r="AP48" s="103">
        <f>IF(ISERROR(AP10/AJ10-1),"NM",AP10/AJ10-1)</f>
        <v>3.3328977020983697E-2</v>
      </c>
      <c r="AQ48" s="526">
        <f>AQ10/AK10-1</f>
        <v>2.4305083637702118E-2</v>
      </c>
      <c r="AR48" s="141"/>
      <c r="AS48" s="434">
        <f t="shared" si="21"/>
        <v>-1.4637731886594008E-2</v>
      </c>
      <c r="AT48" s="103">
        <f t="shared" si="21"/>
        <v>0.14538429573875877</v>
      </c>
      <c r="AU48" s="103">
        <f t="shared" si="21"/>
        <v>3.719034409726496E-2</v>
      </c>
      <c r="AV48" s="103">
        <f>IF(ISERROR(AV10/AP10-1),"NM",AV10/AP10-1)</f>
        <v>-2.5631059575479065E-2</v>
      </c>
      <c r="AW48" s="526">
        <f>AW10/AQ10-1</f>
        <v>3.3148064821976408E-2</v>
      </c>
      <c r="AX48" s="141"/>
      <c r="AY48" s="434">
        <f t="shared" si="22"/>
        <v>-0.10976562777513366</v>
      </c>
      <c r="AZ48" s="103">
        <f t="shared" si="22"/>
        <v>-0.19324177891135141</v>
      </c>
      <c r="BA48" s="103">
        <f t="shared" si="22"/>
        <v>-0.15738407055779058</v>
      </c>
      <c r="BB48" s="103">
        <f>IF(ISERROR(BB10/AV10-1),"NM",BB10/AV10-1)</f>
        <v>-8.7584054098547415E-2</v>
      </c>
      <c r="BC48" s="526">
        <f>BC10/AW10-1</f>
        <v>-0.13793373089933103</v>
      </c>
      <c r="BD48" s="141"/>
      <c r="BE48" s="434">
        <f t="shared" si="23"/>
        <v>0.15013746074687662</v>
      </c>
      <c r="BF48" s="103">
        <f t="shared" si="23"/>
        <v>0.2761881621523643</v>
      </c>
      <c r="BG48" s="103">
        <f t="shared" si="23"/>
        <v>0.29500613468880754</v>
      </c>
      <c r="BH48" s="103">
        <f>IF(ISERROR(BH10/BB10-1),"NM",BH10/BB10-1)</f>
        <v>0.26209997814040809</v>
      </c>
      <c r="BI48" s="526">
        <f>BI10/BC10-1</f>
        <v>0.24722950094715057</v>
      </c>
      <c r="BJ48" s="141"/>
      <c r="BK48" s="434">
        <f t="shared" si="24"/>
        <v>0.10038023341335811</v>
      </c>
      <c r="BL48" s="103">
        <f t="shared" si="24"/>
        <v>-3.6080495861275153E-2</v>
      </c>
      <c r="BM48" s="103">
        <f t="shared" si="24"/>
        <v>-2.9726596520961546E-2</v>
      </c>
      <c r="BN48" s="103">
        <f t="shared" si="24"/>
        <v>-7.7645907390148428E-2</v>
      </c>
      <c r="BO48" s="526">
        <f t="shared" si="24"/>
        <v>-1.6141396547187825E-2</v>
      </c>
      <c r="BP48" s="141"/>
      <c r="BQ48" s="434">
        <f t="shared" si="24"/>
        <v>-5.7160332683855453E-2</v>
      </c>
      <c r="BR48" s="103">
        <f t="shared" si="24"/>
        <v>-1.0085904188613104E-2</v>
      </c>
      <c r="BS48" s="103">
        <f t="shared" si="24"/>
        <v>-0.10621328780541051</v>
      </c>
      <c r="BT48" s="103">
        <f t="shared" si="25"/>
        <v>-0.10239262932662363</v>
      </c>
      <c r="BU48" s="526">
        <f t="shared" si="25"/>
        <v>-6.9713179263379055E-2</v>
      </c>
      <c r="BV48" s="141"/>
      <c r="BW48" s="434">
        <f t="shared" si="26"/>
        <v>-5.5904991281736649E-2</v>
      </c>
      <c r="BX48" s="103">
        <f t="shared" si="26"/>
        <v>-4.6173184542712575E-2</v>
      </c>
      <c r="BY48" s="103">
        <f t="shared" si="26"/>
        <v>2.0457023740771296E-2</v>
      </c>
      <c r="BZ48" s="103">
        <f t="shared" si="26"/>
        <v>5.2364433174387992E-2</v>
      </c>
      <c r="CA48" s="526">
        <f t="shared" si="26"/>
        <v>-7.8455587502287427E-3</v>
      </c>
      <c r="CB48" s="141"/>
      <c r="CC48" s="434">
        <f t="shared" si="27"/>
        <v>2.0910240114312639E-2</v>
      </c>
      <c r="CD48" s="103">
        <f t="shared" si="27"/>
        <v>2.0267303930351588E-2</v>
      </c>
      <c r="CE48" s="103">
        <f t="shared" si="27"/>
        <v>2.2331361639096103E-2</v>
      </c>
      <c r="CF48" s="103">
        <f t="shared" si="27"/>
        <v>2.2691670825099708E-2</v>
      </c>
      <c r="CG48" s="526">
        <f t="shared" si="27"/>
        <v>2.1574887018350086E-2</v>
      </c>
      <c r="CH48" s="141"/>
      <c r="CI48" s="434">
        <f t="shared" si="28"/>
        <v>9.2406928881343386E-3</v>
      </c>
      <c r="CJ48" s="103">
        <f t="shared" si="29"/>
        <v>8.7897246964667719E-3</v>
      </c>
      <c r="CK48" s="103">
        <f t="shared" si="30"/>
        <v>8.0818017283359467E-3</v>
      </c>
      <c r="CL48" s="103">
        <f t="shared" si="31"/>
        <v>8.3689083384255181E-3</v>
      </c>
      <c r="CM48" s="526">
        <f t="shared" si="32"/>
        <v>8.6071148219388771E-3</v>
      </c>
      <c r="CN48" s="141"/>
      <c r="CO48" s="17"/>
      <c r="CP48" s="17"/>
      <c r="CQ48"/>
      <c r="CR48"/>
      <c r="CS48"/>
      <c r="CT48"/>
      <c r="CU48"/>
      <c r="CV48"/>
    </row>
    <row r="49" spans="1:100" s="16" customFormat="1" ht="11.25" customHeight="1" x14ac:dyDescent="0.2">
      <c r="A49" s="128"/>
      <c r="B49" s="1082" t="s">
        <v>285</v>
      </c>
      <c r="C49" s="1083"/>
      <c r="D49" s="103"/>
      <c r="E49" s="103"/>
      <c r="F49" s="103"/>
      <c r="G49" s="526"/>
      <c r="H49" s="141"/>
      <c r="I49" s="434">
        <f t="shared" si="15"/>
        <v>5.231451094055628E-2</v>
      </c>
      <c r="J49" s="103">
        <f t="shared" si="15"/>
        <v>5.7598599055885602E-2</v>
      </c>
      <c r="K49" s="103">
        <f t="shared" si="15"/>
        <v>9.1661378347505984E-2</v>
      </c>
      <c r="L49" s="103">
        <f>IF(ISERROR(L11/F11-1),"NM",L11/F11-1)</f>
        <v>4.7332086255537309E-2</v>
      </c>
      <c r="M49" s="526">
        <f>M11/G11-1</f>
        <v>6.2130635425517333E-2</v>
      </c>
      <c r="N49" s="141"/>
      <c r="O49" s="434">
        <f t="shared" si="16"/>
        <v>6.3046928554225001E-2</v>
      </c>
      <c r="P49" s="103">
        <f t="shared" si="16"/>
        <v>2.571901659407505E-2</v>
      </c>
      <c r="Q49" s="103">
        <f t="shared" si="16"/>
        <v>3.2222248058410452E-2</v>
      </c>
      <c r="R49" s="103">
        <f>IF(ISERROR(R11/L11-1),"NM",R11/L11-1)</f>
        <v>2.755912383279524E-2</v>
      </c>
      <c r="S49" s="526">
        <f>S11/M11-1</f>
        <v>3.6840430498928045E-2</v>
      </c>
      <c r="T49" s="141"/>
      <c r="U49" s="434">
        <f t="shared" si="17"/>
        <v>5.6687735279081775E-2</v>
      </c>
      <c r="V49" s="103">
        <f t="shared" si="17"/>
        <v>6.4793856339889766E-2</v>
      </c>
      <c r="W49" s="103">
        <f t="shared" si="17"/>
        <v>2.6665990865419653E-2</v>
      </c>
      <c r="X49" s="103">
        <f>IF(ISERROR(X11/R11-1),"NM",X11/R11-1)</f>
        <v>6.3644393110710906E-2</v>
      </c>
      <c r="Y49" s="526">
        <f>Y11/S11-1</f>
        <v>5.2792349899182023E-2</v>
      </c>
      <c r="Z49" s="141"/>
      <c r="AA49" s="434">
        <f t="shared" si="18"/>
        <v>5.1029720606506901E-2</v>
      </c>
      <c r="AB49" s="103">
        <f t="shared" si="18"/>
        <v>3.8439777864444746E-2</v>
      </c>
      <c r="AC49" s="103">
        <f t="shared" si="18"/>
        <v>3.2177376002457514E-2</v>
      </c>
      <c r="AD49" s="103">
        <f>IF(ISERROR(AD11/X11-1),"NM",AD11/X11-1)</f>
        <v>6.3668737324539704E-2</v>
      </c>
      <c r="AE49" s="526">
        <f>AE11/Y11-1</f>
        <v>4.6460339731103195E-2</v>
      </c>
      <c r="AF49" s="141"/>
      <c r="AG49" s="434">
        <f t="shared" si="19"/>
        <v>2.6713604218102649E-2</v>
      </c>
      <c r="AH49" s="103">
        <f t="shared" si="19"/>
        <v>4.5887574120994978E-2</v>
      </c>
      <c r="AI49" s="103">
        <f t="shared" si="19"/>
        <v>6.0903022830661957E-2</v>
      </c>
      <c r="AJ49" s="103">
        <f>IF(ISERROR(AJ11/AD11-1),"NM",AJ11/AD11-1)</f>
        <v>5.5278645207782917E-2</v>
      </c>
      <c r="AK49" s="526">
        <f>AK11/AE11-1</f>
        <v>4.7236653185232624E-2</v>
      </c>
      <c r="AL49" s="141"/>
      <c r="AM49" s="434">
        <f t="shared" si="20"/>
        <v>3.4771223182853417E-2</v>
      </c>
      <c r="AN49" s="103">
        <f t="shared" si="20"/>
        <v>2.5318120207966643E-2</v>
      </c>
      <c r="AO49" s="103">
        <f t="shared" si="20"/>
        <v>5.5738673933516392E-2</v>
      </c>
      <c r="AP49" s="103">
        <f>IF(ISERROR(AP11/AJ11-1),"NM",AP11/AJ11-1)</f>
        <v>4.1973727889220935E-2</v>
      </c>
      <c r="AQ49" s="526">
        <f>AQ11/AK11-1</f>
        <v>3.9538598268500369E-2</v>
      </c>
      <c r="AR49" s="141"/>
      <c r="AS49" s="434">
        <f t="shared" si="21"/>
        <v>-1.4135336865116144E-2</v>
      </c>
      <c r="AT49" s="103">
        <f t="shared" si="21"/>
        <v>0.14530169190549014</v>
      </c>
      <c r="AU49" s="103">
        <f t="shared" si="21"/>
        <v>1.4103205143413122E-2</v>
      </c>
      <c r="AV49" s="103">
        <f>IF(ISERROR(AV11/AP11-1),"NM",AV11/AP11-1)</f>
        <v>-1.3956162588009358E-2</v>
      </c>
      <c r="AW49" s="526">
        <f>AW11/AQ11-1</f>
        <v>3.167694310988467E-2</v>
      </c>
      <c r="AX49" s="141"/>
      <c r="AY49" s="434">
        <f t="shared" si="22"/>
        <v>-9.1636410853139005E-2</v>
      </c>
      <c r="AZ49" s="103">
        <f t="shared" si="22"/>
        <v>-0.20576522169982525</v>
      </c>
      <c r="BA49" s="103">
        <f t="shared" si="22"/>
        <v>-0.14707207694799118</v>
      </c>
      <c r="BB49" s="103">
        <f>IF(ISERROR(BB11/AV11-1),"NM",BB11/AV11-1)</f>
        <v>-0.10079427923176021</v>
      </c>
      <c r="BC49" s="526">
        <f>BC11/AW11-1</f>
        <v>-0.1383809209151754</v>
      </c>
      <c r="BD49" s="141"/>
      <c r="BE49" s="434">
        <f t="shared" si="23"/>
        <v>0.12854064039408875</v>
      </c>
      <c r="BF49" s="103">
        <f t="shared" si="23"/>
        <v>0.26710445689248474</v>
      </c>
      <c r="BG49" s="103">
        <f t="shared" si="23"/>
        <v>0.27007648633526049</v>
      </c>
      <c r="BH49" s="103">
        <f>IF(ISERROR(BH11/BB11-1),"NM",BH11/BB11-1)</f>
        <v>0.25296596292931306</v>
      </c>
      <c r="BI49" s="526">
        <f>BI11/BC11-1</f>
        <v>0.23022611075987687</v>
      </c>
      <c r="BJ49" s="141"/>
      <c r="BK49" s="434">
        <f t="shared" si="24"/>
        <v>0.15227897188066319</v>
      </c>
      <c r="BL49" s="103">
        <f t="shared" si="24"/>
        <v>-2.7637502781724499E-2</v>
      </c>
      <c r="BM49" s="103">
        <f t="shared" si="24"/>
        <v>1.9676627971895844E-2</v>
      </c>
      <c r="BN49" s="103">
        <f t="shared" si="24"/>
        <v>-6.1188557580330039E-2</v>
      </c>
      <c r="BO49" s="526">
        <f t="shared" si="24"/>
        <v>1.5766673887278371E-2</v>
      </c>
      <c r="BP49" s="141"/>
      <c r="BQ49" s="434">
        <f t="shared" si="24"/>
        <v>-4.5859651793037526E-2</v>
      </c>
      <c r="BR49" s="103">
        <f t="shared" si="24"/>
        <v>2.3880991153558462E-2</v>
      </c>
      <c r="BS49" s="103">
        <f t="shared" si="24"/>
        <v>-4.595841293104419E-3</v>
      </c>
      <c r="BT49" s="103">
        <f t="shared" si="25"/>
        <v>6.9394586600135533E-2</v>
      </c>
      <c r="BU49" s="526">
        <f t="shared" si="25"/>
        <v>1.0115020150064158E-2</v>
      </c>
      <c r="BV49" s="141"/>
      <c r="BW49" s="434">
        <f t="shared" si="26"/>
        <v>1.641863997093207E-2</v>
      </c>
      <c r="BX49" s="103">
        <f t="shared" si="26"/>
        <v>4.6712308499114563E-2</v>
      </c>
      <c r="BY49" s="103">
        <f t="shared" si="26"/>
        <v>2.1080837889643655E-2</v>
      </c>
      <c r="BZ49" s="103">
        <f t="shared" si="26"/>
        <v>3.1773545071126286E-2</v>
      </c>
      <c r="CA49" s="526">
        <f t="shared" si="26"/>
        <v>2.9106444531523001E-2</v>
      </c>
      <c r="CB49" s="141"/>
      <c r="CC49" s="434">
        <f t="shared" si="27"/>
        <v>1.8992633652613611E-2</v>
      </c>
      <c r="CD49" s="103">
        <f t="shared" si="27"/>
        <v>1.8390620194116414E-2</v>
      </c>
      <c r="CE49" s="103">
        <f t="shared" si="27"/>
        <v>2.062242674077619E-2</v>
      </c>
      <c r="CF49" s="103">
        <f t="shared" si="27"/>
        <v>2.0738197692675042E-2</v>
      </c>
      <c r="CG49" s="526">
        <f t="shared" si="27"/>
        <v>1.9702849896655161E-2</v>
      </c>
      <c r="CH49" s="141"/>
      <c r="CI49" s="434">
        <f t="shared" si="28"/>
        <v>2.111833178659972E-2</v>
      </c>
      <c r="CJ49" s="103">
        <f t="shared" si="29"/>
        <v>2.0995203296027221E-2</v>
      </c>
      <c r="CK49" s="103">
        <f t="shared" si="30"/>
        <v>2.069276587646196E-2</v>
      </c>
      <c r="CL49" s="103">
        <f t="shared" si="31"/>
        <v>2.080821447009007E-2</v>
      </c>
      <c r="CM49" s="526">
        <f t="shared" si="32"/>
        <v>2.0900203628826386E-2</v>
      </c>
      <c r="CN49" s="141"/>
      <c r="CO49" s="17"/>
      <c r="CP49" s="17"/>
      <c r="CQ49"/>
      <c r="CR49"/>
      <c r="CS49"/>
      <c r="CT49"/>
      <c r="CU49"/>
      <c r="CV49"/>
    </row>
    <row r="50" spans="1:100" s="16" customFormat="1" ht="11.25" customHeight="1" x14ac:dyDescent="0.2">
      <c r="A50"/>
      <c r="B50" s="530" t="str">
        <f>+B13</f>
        <v>Operating Income / Loss</v>
      </c>
      <c r="C50" s="434"/>
      <c r="D50" s="103"/>
      <c r="E50" s="103"/>
      <c r="F50" s="103"/>
      <c r="G50" s="526"/>
      <c r="H50" s="141"/>
      <c r="I50" s="434">
        <f t="shared" ref="I50:BK50" si="33">I13/C13-1</f>
        <v>9.7319695930665029E-2</v>
      </c>
      <c r="J50" s="103">
        <f t="shared" si="33"/>
        <v>9.7307135258455579E-2</v>
      </c>
      <c r="K50" s="103">
        <f t="shared" si="33"/>
        <v>4.7774205381611257E-2</v>
      </c>
      <c r="L50" s="103">
        <f t="shared" si="33"/>
        <v>5.0007257947452644E-2</v>
      </c>
      <c r="M50" s="526">
        <f t="shared" si="33"/>
        <v>7.0043790401859374E-2</v>
      </c>
      <c r="N50" s="141"/>
      <c r="O50" s="434">
        <f t="shared" si="33"/>
        <v>5.8332336085736625E-2</v>
      </c>
      <c r="P50" s="103">
        <f t="shared" si="33"/>
        <v>-3.5169892422879712E-2</v>
      </c>
      <c r="Q50" s="103">
        <f t="shared" si="33"/>
        <v>-5.7375867537121317E-2</v>
      </c>
      <c r="R50" s="103">
        <f t="shared" si="33"/>
        <v>-8.6709654484590559E-2</v>
      </c>
      <c r="S50" s="526">
        <f t="shared" si="33"/>
        <v>-3.6127203837383437E-2</v>
      </c>
      <c r="T50" s="141"/>
      <c r="U50" s="434">
        <f t="shared" si="33"/>
        <v>-3.5228786089404496E-2</v>
      </c>
      <c r="V50" s="103">
        <f t="shared" si="33"/>
        <v>2.2808164451224799E-2</v>
      </c>
      <c r="W50" s="103">
        <f t="shared" si="33"/>
        <v>2.4305783137793968E-2</v>
      </c>
      <c r="X50" s="103">
        <f t="shared" si="33"/>
        <v>8.3902776576420646E-2</v>
      </c>
      <c r="Y50" s="526">
        <f t="shared" si="33"/>
        <v>2.6182320218585575E-2</v>
      </c>
      <c r="Z50" s="141"/>
      <c r="AA50" s="434">
        <f t="shared" si="33"/>
        <v>0.15931761948170475</v>
      </c>
      <c r="AB50" s="103">
        <f t="shared" si="33"/>
        <v>6.7064365693723982E-2</v>
      </c>
      <c r="AC50" s="103">
        <f t="shared" si="33"/>
        <v>-1.130461676282668E-2</v>
      </c>
      <c r="AD50" s="103">
        <f t="shared" si="33"/>
        <v>3.8674088261113182E-2</v>
      </c>
      <c r="AE50" s="526">
        <f t="shared" si="33"/>
        <v>5.8309948746238627E-2</v>
      </c>
      <c r="AF50" s="141"/>
      <c r="AG50" s="434">
        <f t="shared" si="33"/>
        <v>-7.8978702372393683E-2</v>
      </c>
      <c r="AH50" s="103">
        <f t="shared" si="33"/>
        <v>-7.6459756855089767E-2</v>
      </c>
      <c r="AI50" s="103">
        <f t="shared" si="33"/>
        <v>-3.0213468238644237E-2</v>
      </c>
      <c r="AJ50" s="103">
        <f t="shared" si="33"/>
        <v>-1.2235294117647566E-2</v>
      </c>
      <c r="AK50" s="526">
        <f t="shared" si="33"/>
        <v>-4.7868662368886095E-2</v>
      </c>
      <c r="AL50" s="141"/>
      <c r="AM50" s="434">
        <f t="shared" si="33"/>
        <v>7.3055016891667712E-3</v>
      </c>
      <c r="AN50" s="103">
        <f t="shared" si="33"/>
        <v>-6.4737746069494229E-2</v>
      </c>
      <c r="AO50" s="103">
        <f t="shared" si="33"/>
        <v>-4.0931639712588064E-3</v>
      </c>
      <c r="AP50" s="103">
        <f t="shared" si="33"/>
        <v>1.5605098637835546E-2</v>
      </c>
      <c r="AQ50" s="526">
        <f t="shared" si="33"/>
        <v>-9.9271247370884552E-3</v>
      </c>
      <c r="AR50" s="141"/>
      <c r="AS50" s="434">
        <f t="shared" si="33"/>
        <v>-1.5873208058890587E-2</v>
      </c>
      <c r="AT50" s="103">
        <f t="shared" si="33"/>
        <v>0.14559935275912061</v>
      </c>
      <c r="AU50" s="103">
        <f t="shared" si="33"/>
        <v>9.1532969242109408E-2</v>
      </c>
      <c r="AV50" s="103">
        <f t="shared" si="33"/>
        <v>-5.0188959944857947E-2</v>
      </c>
      <c r="AW50" s="526">
        <f t="shared" si="33"/>
        <v>3.6619082817282989E-2</v>
      </c>
      <c r="AX50" s="141"/>
      <c r="AY50" s="434">
        <f t="shared" si="33"/>
        <v>-0.15442723391690649</v>
      </c>
      <c r="AZ50" s="103">
        <f t="shared" si="33"/>
        <v>-0.16064577947058456</v>
      </c>
      <c r="BA50" s="103">
        <f t="shared" si="33"/>
        <v>-0.17993468761162668</v>
      </c>
      <c r="BB50" s="103">
        <f t="shared" si="33"/>
        <v>-5.8736605723928581E-2</v>
      </c>
      <c r="BC50" s="526">
        <f t="shared" si="33"/>
        <v>-0.1368836448615588</v>
      </c>
      <c r="BD50" s="141"/>
      <c r="BE50" s="434">
        <f t="shared" si="33"/>
        <v>0.20729240931775483</v>
      </c>
      <c r="BF50" s="103">
        <f t="shared" si="33"/>
        <v>0.29856028634008314</v>
      </c>
      <c r="BG50" s="103">
        <f t="shared" si="33"/>
        <v>0.35170780306433147</v>
      </c>
      <c r="BH50" s="103">
        <f t="shared" si="33"/>
        <v>0.28115488402972666</v>
      </c>
      <c r="BI50" s="526">
        <f t="shared" si="33"/>
        <v>0.28708738754930652</v>
      </c>
      <c r="BJ50" s="141"/>
      <c r="BK50" s="434">
        <f t="shared" si="33"/>
        <v>-2.8008098727343E-2</v>
      </c>
      <c r="BL50" s="103">
        <f>BL13/BF13-1</f>
        <v>-5.6370910512080208E-2</v>
      </c>
      <c r="BM50" s="103">
        <f>BM13/BG13-1</f>
        <v>-0.13530668842648774</v>
      </c>
      <c r="BN50" s="103">
        <f>BN13/BH13-1</f>
        <v>-0.11122296338750126</v>
      </c>
      <c r="BO50" s="526">
        <f>BO13/BI13-1</f>
        <v>-8.7633190358913482E-2</v>
      </c>
      <c r="BP50" s="141"/>
      <c r="BQ50" s="434">
        <f t="shared" ref="BQ50" si="34">BQ13/BK13-1</f>
        <v>-9.0301542429200854E-2</v>
      </c>
      <c r="BR50" s="103">
        <f>BR13/BL13-1</f>
        <v>-9.4201634877384754E-2</v>
      </c>
      <c r="BS50" s="103">
        <f>BS13/BM13-1</f>
        <v>-0.36230491684280197</v>
      </c>
      <c r="BT50" s="103">
        <f>BT13/BN13-1</f>
        <v>-0.47261197162618551</v>
      </c>
      <c r="BU50" s="526">
        <f>BU13/BO13-1</f>
        <v>-0.26884307560885212</v>
      </c>
      <c r="BV50" s="141"/>
      <c r="BW50" s="434">
        <f>BW13/BQ13-1</f>
        <v>-0.27836849463425672</v>
      </c>
      <c r="BX50" s="103">
        <f>BX13/BR13-1</f>
        <v>-0.30618148178937676</v>
      </c>
      <c r="BY50" s="103">
        <f>BY13/BS13-1</f>
        <v>1.8003056795832917E-2</v>
      </c>
      <c r="BZ50" s="103">
        <f>BZ13/BT13-1</f>
        <v>0.14234548309339901</v>
      </c>
      <c r="CA50" s="526">
        <f>CA13/BU13-1</f>
        <v>-0.1351895195403876</v>
      </c>
      <c r="CB50" s="141"/>
      <c r="CC50" s="434">
        <f>CC13/BW13-1</f>
        <v>2.9218214879689342E-2</v>
      </c>
      <c r="CD50" s="103">
        <f>CD13/BX13-1</f>
        <v>2.8192533492370719E-2</v>
      </c>
      <c r="CE50" s="103">
        <f>CE13/BY13-1</f>
        <v>2.9074313361126203E-2</v>
      </c>
      <c r="CF50" s="103">
        <f>CF13/BZ13-1</f>
        <v>3.0401954195633296E-2</v>
      </c>
      <c r="CG50" s="526">
        <f>CG13/CA13-1</f>
        <v>2.9251933603498426E-2</v>
      </c>
      <c r="CH50" s="141"/>
      <c r="CI50" s="434">
        <f>CI13/CC13-1</f>
        <v>-4.1707570218001311E-2</v>
      </c>
      <c r="CJ50" s="103">
        <f>CJ13/CD13-1</f>
        <v>-4.2262599555567659E-2</v>
      </c>
      <c r="CK50" s="103">
        <f>CK13/CE13-1</f>
        <v>-4.1268656757462274E-2</v>
      </c>
      <c r="CL50" s="103">
        <f>CL13/CF13-1</f>
        <v>-4.0268088012103909E-2</v>
      </c>
      <c r="CM50" s="526">
        <f>CM13/CG13-1</f>
        <v>-4.1337961389701139E-2</v>
      </c>
      <c r="CN50" s="141"/>
      <c r="CO50" s="17"/>
      <c r="CP50" s="17"/>
      <c r="CQ50"/>
      <c r="CR50"/>
      <c r="CS50"/>
      <c r="CT50"/>
      <c r="CU50"/>
      <c r="CV50"/>
    </row>
    <row r="51" spans="1:100" s="16" customFormat="1" ht="11.25" customHeight="1" x14ac:dyDescent="0.2">
      <c r="A51"/>
      <c r="B51" s="530" t="s">
        <v>102</v>
      </c>
      <c r="C51" s="434"/>
      <c r="D51" s="103"/>
      <c r="E51" s="103"/>
      <c r="F51" s="103"/>
      <c r="G51" s="526"/>
      <c r="H51" s="141"/>
      <c r="I51" s="434">
        <f>I12/C12-1</f>
        <v>8.7040825878230921E-2</v>
      </c>
      <c r="J51" s="103">
        <f>J12/D12-1</f>
        <v>8.5321328559780918E-2</v>
      </c>
      <c r="K51" s="103">
        <f>K12/E12-1</f>
        <v>5.1630078554358194E-2</v>
      </c>
      <c r="L51" s="103">
        <f>L12/F12-1</f>
        <v>5.3035766494493819E-2</v>
      </c>
      <c r="M51" s="526">
        <f>M12/G12-1</f>
        <v>6.7255274909951313E-2</v>
      </c>
      <c r="N51" s="141"/>
      <c r="O51" s="434">
        <f>O12/I12-1</f>
        <v>5.7657768483208471E-2</v>
      </c>
      <c r="P51" s="103">
        <f>P12/J12-1</f>
        <v>-1.9280597469897853E-2</v>
      </c>
      <c r="Q51" s="103">
        <f>Q12/K12-1</f>
        <v>-4.8845973131838027E-2</v>
      </c>
      <c r="R51" s="103">
        <f>R12/L12-1</f>
        <v>-6.2312590234331666E-2</v>
      </c>
      <c r="S51" s="526">
        <f>S12/M12-1</f>
        <v>-2.3116453903284095E-2</v>
      </c>
      <c r="T51" s="141"/>
      <c r="U51" s="434">
        <f>U12/O12-1</f>
        <v>-3.8382358072516221E-3</v>
      </c>
      <c r="V51" s="103">
        <f>V12/P12-1</f>
        <v>4.6790182387354884E-2</v>
      </c>
      <c r="W51" s="103">
        <f>W12/Q12-1</f>
        <v>4.1726734749427008E-2</v>
      </c>
      <c r="X51" s="103">
        <f>X12/R12-1</f>
        <v>0.10036617021486571</v>
      </c>
      <c r="Y51" s="526">
        <f>Y12/S12-1</f>
        <v>4.8312142166703875E-2</v>
      </c>
      <c r="Z51" s="141"/>
      <c r="AA51" s="434">
        <f>AA12/U12-1</f>
        <v>0.1506182353147234</v>
      </c>
      <c r="AB51" s="103">
        <f>AB12/V12-1</f>
        <v>7.8304948143120168E-2</v>
      </c>
      <c r="AC51" s="103">
        <f>AC12/W12-1</f>
        <v>-8.158169782835567E-3</v>
      </c>
      <c r="AD51" s="103">
        <f>AD12/X12-1</f>
        <v>2.8173435706085437E-2</v>
      </c>
      <c r="AE51" s="526">
        <f>AE12/Y12-1</f>
        <v>5.7203652806099514E-2</v>
      </c>
      <c r="AF51" s="141"/>
      <c r="AG51" s="434">
        <f>AG12/AA12-1</f>
        <v>-7.5821689143251159E-2</v>
      </c>
      <c r="AH51" s="103">
        <f>AH12/AB12-1</f>
        <v>-7.8342282803249841E-2</v>
      </c>
      <c r="AI51" s="103">
        <f>AI12/AC12-1</f>
        <v>-1.6489574490920922E-2</v>
      </c>
      <c r="AJ51" s="103">
        <f>AJ12/AD12-1</f>
        <v>-8.723795898446518E-6</v>
      </c>
      <c r="AK51" s="526">
        <f>AK12/AE12-1</f>
        <v>-4.104258566612462E-2</v>
      </c>
      <c r="AL51" s="141"/>
      <c r="AM51" s="434">
        <f>AM12/AG12-1</f>
        <v>3.2961844633542015E-2</v>
      </c>
      <c r="AN51" s="103">
        <f>AN12/AH12-1</f>
        <v>-5.7898331128089287E-2</v>
      </c>
      <c r="AO51" s="103">
        <f>AO12/AI12-1</f>
        <v>1.3889026676854321E-3</v>
      </c>
      <c r="AP51" s="103">
        <f>AP12/AJ12-1</f>
        <v>2.2010329064451994E-2</v>
      </c>
      <c r="AQ51" s="526">
        <f>AQ12/AK12-1</f>
        <v>5.9717453987495617E-4</v>
      </c>
      <c r="AR51" s="141"/>
      <c r="AS51" s="434">
        <f>AS12/AM12-1</f>
        <v>-1.9345854991123179E-2</v>
      </c>
      <c r="AT51" s="103">
        <f>AT12/AN12-1</f>
        <v>0.14703449994336792</v>
      </c>
      <c r="AU51" s="103">
        <f>AU12/AO12-1</f>
        <v>0.10339590247575225</v>
      </c>
      <c r="AV51" s="103">
        <f>AV12/AP12-1</f>
        <v>-3.9560379339485419E-2</v>
      </c>
      <c r="AW51" s="526">
        <f>AW12/AQ12-1</f>
        <v>4.2361144891960967E-2</v>
      </c>
      <c r="AX51" s="141"/>
      <c r="AY51" s="434">
        <f>AY12/AS12-1</f>
        <v>-0.15036257411361831</v>
      </c>
      <c r="AZ51" s="103">
        <f>AZ12/AT12-1</f>
        <v>-0.14848846779231617</v>
      </c>
      <c r="BA51" s="103">
        <f>BA12/AU12-1</f>
        <v>-0.18633043754552558</v>
      </c>
      <c r="BB51" s="103">
        <f>BB12/AV12-1</f>
        <v>-5.418284481785407E-2</v>
      </c>
      <c r="BC51" s="526">
        <f>BC12/AW12-1</f>
        <v>-0.13357938734521668</v>
      </c>
      <c r="BD51" s="141"/>
      <c r="BE51" s="434">
        <f>BE12/AY12-1</f>
        <v>0.25308413599540702</v>
      </c>
      <c r="BF51" s="103">
        <f>BF12/AZ12-1</f>
        <v>0.39601549272908643</v>
      </c>
      <c r="BG51" s="103">
        <f>BG12/BA12-1</f>
        <v>0.4207615837039167</v>
      </c>
      <c r="BH51" s="103">
        <f>BH12/BB12-1</f>
        <v>0.34568624318737107</v>
      </c>
      <c r="BI51" s="526">
        <f>BI12/BC12-1</f>
        <v>0.35642839723277397</v>
      </c>
      <c r="BJ51" s="141"/>
      <c r="BK51" s="434">
        <f>BK12/BE12-1</f>
        <v>2.8384390621341016E-2</v>
      </c>
      <c r="BL51" s="103">
        <f>BL12/BF12-1</f>
        <v>-5.8030967570441794E-2</v>
      </c>
      <c r="BM51" s="103">
        <f>BM12/BG12-1</f>
        <v>-0.10894195278011387</v>
      </c>
      <c r="BN51" s="103">
        <f>BN12/BH12-1</f>
        <v>-0.11250026447557759</v>
      </c>
      <c r="BO51" s="526">
        <f>BO12/BI12-1</f>
        <v>-6.9991447699790488E-2</v>
      </c>
      <c r="BP51" s="141"/>
      <c r="BQ51" s="434">
        <f>BQ12/BK12-1</f>
        <v>-6.4725623941946142E-2</v>
      </c>
      <c r="BR51" s="103">
        <f>BR12/BL12-1</f>
        <v>-8.4322474823189442E-2</v>
      </c>
      <c r="BS51" s="103">
        <f>BS12/BM12-1</f>
        <v>-0.29666076860721535</v>
      </c>
      <c r="BT51" s="103">
        <f>BT12/BN12-1</f>
        <v>-0.39703206638609678</v>
      </c>
      <c r="BU51" s="526">
        <f>BU12/BO12-1</f>
        <v>-0.22049388041082951</v>
      </c>
      <c r="BV51" s="141"/>
      <c r="BW51" s="434">
        <f>BW12/BQ12-1</f>
        <v>-0.21162440219126222</v>
      </c>
      <c r="BX51" s="103">
        <f>BX12/BR12-1</f>
        <v>-0.23523945725350948</v>
      </c>
      <c r="BY51" s="103">
        <f>BY12/BS12-1</f>
        <v>2.6067812540465418E-2</v>
      </c>
      <c r="BZ51" s="103">
        <f>BZ12/BT12-1</f>
        <v>0.12578191756934443</v>
      </c>
      <c r="CA51" s="526">
        <f>CA12/BU12-1</f>
        <v>-9.1881206680841321E-2</v>
      </c>
      <c r="CB51" s="141"/>
      <c r="CC51" s="434">
        <f>CC12/BW12-1</f>
        <v>2.3070458357763224E-2</v>
      </c>
      <c r="CD51" s="103">
        <f>CD12/BX12-1</f>
        <v>2.2695561557154686E-2</v>
      </c>
      <c r="CE51" s="103">
        <f>CE12/BY12-1</f>
        <v>2.3557372097892548E-2</v>
      </c>
      <c r="CF51" s="103">
        <f>CF12/BZ12-1</f>
        <v>2.4759259580898973E-2</v>
      </c>
      <c r="CG51" s="526">
        <f>CG12/CA12-1</f>
        <v>2.3554247959692853E-2</v>
      </c>
      <c r="CH51" s="141"/>
      <c r="CI51" s="434">
        <f>CI12/CC12-1</f>
        <v>-1.7424621159213727E-2</v>
      </c>
      <c r="CJ51" s="103">
        <f>CJ12/CD12-1</f>
        <v>-1.914353385651546E-2</v>
      </c>
      <c r="CK51" s="103">
        <f>CK12/CE12-1</f>
        <v>-1.9177931457369901E-2</v>
      </c>
      <c r="CL51" s="103">
        <f>CL12/CF12-1</f>
        <v>-1.9164689622474751E-2</v>
      </c>
      <c r="CM51" s="526">
        <f>CM12/CG12-1</f>
        <v>-1.8761786616408371E-2</v>
      </c>
      <c r="CN51" s="141"/>
      <c r="CO51" s="17"/>
      <c r="CP51" s="17"/>
      <c r="CQ51"/>
      <c r="CR51"/>
      <c r="CS51"/>
      <c r="CT51"/>
      <c r="CU51"/>
      <c r="CV51"/>
    </row>
    <row r="52" spans="1:100" s="16" customFormat="1" ht="11.25" hidden="1" customHeight="1" outlineLevel="1" x14ac:dyDescent="0.2">
      <c r="A52"/>
      <c r="B52" s="529" t="s">
        <v>16</v>
      </c>
      <c r="C52" s="434"/>
      <c r="D52" s="103"/>
      <c r="E52" s="103"/>
      <c r="F52" s="103"/>
      <c r="G52" s="526"/>
      <c r="H52" s="141"/>
      <c r="I52" s="434">
        <f>I23/C23-1</f>
        <v>0.1433243555213537</v>
      </c>
      <c r="J52" s="103">
        <f>J23/D23-1</f>
        <v>0.11410328171320638</v>
      </c>
      <c r="K52" s="103">
        <f>K23/E23-1</f>
        <v>3.0260620231776558E-2</v>
      </c>
      <c r="L52" s="103">
        <f>IF(ISERROR(L23/F23-1),"NM",L23/F23-1)</f>
        <v>5.4819437954742645E-2</v>
      </c>
      <c r="M52" s="526">
        <f>M23/G23-1</f>
        <v>7.930458490131409E-2</v>
      </c>
      <c r="N52" s="141"/>
      <c r="O52" s="434">
        <f>O23/I23-1</f>
        <v>-3.3232374221773719E-2</v>
      </c>
      <c r="P52" s="103">
        <f>P23/J23-1</f>
        <v>-0.12723990993840817</v>
      </c>
      <c r="Q52" s="103">
        <f>Q23/K23-1</f>
        <v>-0.12519051090053668</v>
      </c>
      <c r="R52" s="103">
        <f>IF(ISERROR(R23/L23-1),"NM",R23/L23-1)</f>
        <v>-0.14630827888433595</v>
      </c>
      <c r="S52" s="526">
        <f>S23/M23-1</f>
        <v>-0.11217301585889605</v>
      </c>
      <c r="T52" s="141"/>
      <c r="U52" s="434">
        <f>U23/O23-1</f>
        <v>-1.9732834392134135E-2</v>
      </c>
      <c r="V52" s="103">
        <f>V23/P23-1</f>
        <v>5.202225870413546E-2</v>
      </c>
      <c r="W52" s="103">
        <f>W23/Q23-1</f>
        <v>6.1393375878196821E-2</v>
      </c>
      <c r="X52" s="103">
        <f>IF(ISERROR(X23/R23-1),"NM",X23/R23-1)</f>
        <v>0.1453642445469876</v>
      </c>
      <c r="Y52" s="526">
        <f>Y23/S23-1</f>
        <v>6.3210358905001707E-2</v>
      </c>
      <c r="Z52" s="141"/>
      <c r="AA52" s="434">
        <f>AA23/U23-1</f>
        <v>0.19681736467141842</v>
      </c>
      <c r="AB52" s="103">
        <f>AB23/V23-1</f>
        <v>8.1348924872828299E-2</v>
      </c>
      <c r="AC52" s="103">
        <f>AC23/W23-1</f>
        <v>-1.1650520080643489E-2</v>
      </c>
      <c r="AD52" s="103">
        <f>IF(ISERROR(AD23/X23-1),"NM",AD23/X23-1)</f>
        <v>1.4594288487987273E-2</v>
      </c>
      <c r="AE52" s="526">
        <f>AE23/Y23-1</f>
        <v>6.1864558500663414E-2</v>
      </c>
      <c r="AF52" s="141"/>
      <c r="AG52" s="434">
        <f>AG23/AA23-1</f>
        <v>-9.8562818729716839E-2</v>
      </c>
      <c r="AH52" s="103">
        <f>AH23/AB23-1</f>
        <v>-8.2519631913339664E-2</v>
      </c>
      <c r="AI52" s="103">
        <f>AI23/AC23-1</f>
        <v>-4.1302621127878969E-2</v>
      </c>
      <c r="AJ52" s="103">
        <f>IF(ISERROR(AJ23/AD23-1),"NM",AJ23/AD23-1)</f>
        <v>-8.994211172597244E-3</v>
      </c>
      <c r="AK52" s="526">
        <f>AK23/AE23-1</f>
        <v>-5.577123588526367E-2</v>
      </c>
      <c r="AL52" s="141"/>
      <c r="AM52" s="434">
        <f>AM23/AG23-1</f>
        <v>-2.2053075498871255E-2</v>
      </c>
      <c r="AN52" s="103">
        <f>AN23/AH23-1</f>
        <v>-6.9698083915512687E-2</v>
      </c>
      <c r="AO52" s="103">
        <f>AO23/AI23-1</f>
        <v>9.8290276417867251E-3</v>
      </c>
      <c r="AP52" s="103">
        <f>IF(ISERROR(AP23/AJ23-1),"NM",AP23/AJ23-1)</f>
        <v>2.2834430265677774E-2</v>
      </c>
      <c r="AQ52" s="526">
        <f>AQ23/AK23-1</f>
        <v>-1.1949345675823175E-2</v>
      </c>
      <c r="AR52" s="141"/>
      <c r="AS52" s="434">
        <f>AS23/AM23-1</f>
        <v>-3.4624931633638445E-2</v>
      </c>
      <c r="AT52" s="103">
        <f>AT23/AN23-1</f>
        <v>6.8859514294496549E-2</v>
      </c>
      <c r="AU52" s="103">
        <f>AU23/AO23-1</f>
        <v>8.0309528249113749E-2</v>
      </c>
      <c r="AV52" s="103">
        <f>IF(ISERROR(AV23/AP23-1),"NM",AV23/AP23-1)</f>
        <v>-3.4470280985495649E-2</v>
      </c>
      <c r="AW52" s="526">
        <f>AW23/AQ23-1</f>
        <v>1.7149216253234068E-2</v>
      </c>
      <c r="AX52" s="141"/>
      <c r="AY52" s="434">
        <f>AY23/AS23-1</f>
        <v>-0.12304976902292508</v>
      </c>
      <c r="AZ52" s="103">
        <f>AZ23/AT23-1</f>
        <v>-0.10057931714531976</v>
      </c>
      <c r="BA52" s="103">
        <f>BA23/AU23-1</f>
        <v>-0.16523119940625153</v>
      </c>
      <c r="BB52" s="103">
        <f>IF(ISERROR(BB23/AV23-1),"NM",BB23/AV23-1)</f>
        <v>-8.1960535106157306E-2</v>
      </c>
      <c r="BC52" s="526">
        <f>BC23/AW23-1</f>
        <v>-0.11757169975406456</v>
      </c>
      <c r="BD52" s="141"/>
      <c r="BE52" s="434">
        <f>BE23/AY23-1</f>
        <v>0.16526276556093844</v>
      </c>
      <c r="BF52" s="103">
        <f>BF23/AZ23-1</f>
        <v>0.26255081997167928</v>
      </c>
      <c r="BG52" s="103">
        <f>BG23/BA23-1</f>
        <v>0.34689024894549769</v>
      </c>
      <c r="BH52" s="103">
        <f>IF(ISERROR(BH23/BB23-1),"NM",BH23/BB23-1)</f>
        <v>0.3189151772244021</v>
      </c>
      <c r="BI52" s="526">
        <f>BI23/BC23-1</f>
        <v>0.28024394379331263</v>
      </c>
      <c r="BJ52" s="141"/>
      <c r="BK52" s="434">
        <f>BK23/BE23-1</f>
        <v>4.0408563630160099E-2</v>
      </c>
      <c r="BL52" s="103">
        <f>BL23/BF23-1</f>
        <v>-3.1713009027264039E-2</v>
      </c>
      <c r="BM52" s="103">
        <f>BM23/BG23-1</f>
        <v>-0.1492454828756089</v>
      </c>
      <c r="BN52" s="103">
        <f>BN23/BH23-1</f>
        <v>-0.11701139835013241</v>
      </c>
      <c r="BO52" s="526">
        <f>BO23/BI23-1</f>
        <v>-7.5634356000875869E-2</v>
      </c>
      <c r="BP52" s="141"/>
      <c r="BQ52" s="434">
        <f>BQ23/BK23-1</f>
        <v>-0.15092947469820095</v>
      </c>
      <c r="BR52" s="103">
        <f>BR23/BL23-1</f>
        <v>-0.1105298557656389</v>
      </c>
      <c r="BS52" s="103">
        <f>BS23/BM23-1</f>
        <v>-0.28630974936393627</v>
      </c>
      <c r="BT52" s="103">
        <f>BT23/BN23-1</f>
        <v>-0.45692196552416897</v>
      </c>
      <c r="BU52" s="526">
        <f>BU23/BO23-1</f>
        <v>-0.26473251538363007</v>
      </c>
      <c r="BV52" s="141"/>
      <c r="BW52" s="434">
        <f>BW23/BQ23-1</f>
        <v>-0.22355609516920527</v>
      </c>
      <c r="BX52" s="103">
        <f>BX23/BR23-1</f>
        <v>-0.24795928755838892</v>
      </c>
      <c r="BY52" s="103">
        <f>BY23/BS23-1</f>
        <v>-3.9104120578390522E-2</v>
      </c>
      <c r="BZ52" s="103">
        <f>BZ23/BT23-1</f>
        <v>0.13617641275068881</v>
      </c>
      <c r="CA52" s="526">
        <f>CA23/BU23-1</f>
        <v>-0.10814912070787486</v>
      </c>
      <c r="CB52" s="141"/>
      <c r="CC52" s="434">
        <f>CC23/BW23-1</f>
        <v>8.1161489518853269E-2</v>
      </c>
      <c r="CD52" s="103">
        <f>CD23/BX23-1</f>
        <v>7.4510441412843686E-2</v>
      </c>
      <c r="CE52" s="103">
        <f>CE23/BY23-1</f>
        <v>6.00321039228775E-2</v>
      </c>
      <c r="CF52" s="103">
        <f>CF23/BZ23-1</f>
        <v>6.2390954407806065E-2</v>
      </c>
      <c r="CG52" s="526">
        <f>CG23/CA23-1</f>
        <v>6.8863941523724437E-2</v>
      </c>
      <c r="CH52" s="141"/>
      <c r="CI52" s="434">
        <f>CI23/CC23-1</f>
        <v>-9.0792877434437091E-2</v>
      </c>
      <c r="CJ52" s="103">
        <f>CJ23/CD23-1</f>
        <v>-8.8800801732275669E-2</v>
      </c>
      <c r="CK52" s="103">
        <f>CK23/CE23-1</f>
        <v>-7.4646883755007054E-2</v>
      </c>
      <c r="CL52" s="103">
        <f>CL23/CF23-1</f>
        <v>-7.405874326083306E-2</v>
      </c>
      <c r="CM52" s="526">
        <f>CM23/CG23-1</f>
        <v>-8.1550381656533943E-2</v>
      </c>
      <c r="CN52" s="141"/>
      <c r="CO52" s="17"/>
      <c r="CP52" s="17"/>
      <c r="CQ52"/>
      <c r="CR52"/>
      <c r="CS52"/>
      <c r="CT52"/>
      <c r="CU52"/>
      <c r="CV52"/>
    </row>
    <row r="53" spans="1:100" s="16" customFormat="1" ht="11.25" customHeight="1" collapsed="1" x14ac:dyDescent="0.2">
      <c r="B53" s="531" t="s">
        <v>189</v>
      </c>
      <c r="C53" s="436"/>
      <c r="D53" s="437"/>
      <c r="E53" s="437"/>
      <c r="F53" s="437"/>
      <c r="G53" s="534"/>
      <c r="H53" s="141"/>
      <c r="I53" s="436">
        <f>I29/C29-1</f>
        <v>0.16358304807631563</v>
      </c>
      <c r="J53" s="437">
        <f>J29/D29-1</f>
        <v>0.1287900503604924</v>
      </c>
      <c r="K53" s="437">
        <f>K29/E29-1</f>
        <v>4.272132599542755E-2</v>
      </c>
      <c r="L53" s="437">
        <f>IF(ISERROR(L29/F29-1),"NM",L29/F29-1)</f>
        <v>0.17121951524259993</v>
      </c>
      <c r="M53" s="534">
        <f>M29/G29-1</f>
        <v>0.11884660163483174</v>
      </c>
      <c r="N53" s="141"/>
      <c r="O53" s="436">
        <f>O29/I29-1</f>
        <v>0.11362489880587923</v>
      </c>
      <c r="P53" s="437">
        <f>P29/J29-1</f>
        <v>9.9125296760136372E-3</v>
      </c>
      <c r="Q53" s="437">
        <f>Q29/K29-1</f>
        <v>-7.7523480423857816E-4</v>
      </c>
      <c r="R53" s="437">
        <f>IF(ISERROR(R29/L29-1),"NM",R29/L29-1)</f>
        <v>-0.1117410090110893</v>
      </c>
      <c r="S53" s="534">
        <f>S29/M29-1</f>
        <v>-3.065301910754048E-3</v>
      </c>
      <c r="T53" s="141"/>
      <c r="U53" s="436">
        <f>U29/O29-1</f>
        <v>-1.9162733885345284E-2</v>
      </c>
      <c r="V53" s="437">
        <f>V29/P29-1</f>
        <v>4.4186097738080132E-2</v>
      </c>
      <c r="W53" s="437">
        <f>W29/Q29-1</f>
        <v>4.9840456369165453E-2</v>
      </c>
      <c r="X53" s="437">
        <f>IF(ISERROR(X29/R29-1),"NM",X29/R29-1)</f>
        <v>0.13318400429180222</v>
      </c>
      <c r="Y53" s="534">
        <f>Y29/S29-1</f>
        <v>5.5655626820032333E-2</v>
      </c>
      <c r="Z53" s="141"/>
      <c r="AA53" s="436">
        <f>AA29/U29-1</f>
        <v>0.18541710576296588</v>
      </c>
      <c r="AB53" s="437">
        <f>AB29/V29-1</f>
        <v>7.9926729056311707E-2</v>
      </c>
      <c r="AC53" s="437">
        <f>AC29/W29-1</f>
        <v>-6.6853607488541744E-3</v>
      </c>
      <c r="AD53" s="437">
        <f>IF(ISERROR(AD29/X29-1),"NM",AD29/X29-1)</f>
        <v>2.5309084980064789E-2</v>
      </c>
      <c r="AE53" s="534">
        <f>AE29/Y29-1</f>
        <v>6.3077445302572421E-2</v>
      </c>
      <c r="AF53" s="141"/>
      <c r="AG53" s="436">
        <f>AG29/AA29-1</f>
        <v>-7.1438695263536967E-2</v>
      </c>
      <c r="AH53" s="437">
        <f>AH29/AB29-1</f>
        <v>-3.2368102242248065E-2</v>
      </c>
      <c r="AI53" s="437">
        <f>AI29/AC29-1</f>
        <v>6.2708434350934095E-2</v>
      </c>
      <c r="AJ53" s="437">
        <f>IF(ISERROR(AJ29/AD29-1),"NM",AJ29/AD29-1)</f>
        <v>9.8373726794880323E-2</v>
      </c>
      <c r="AK53" s="534">
        <f>AK29/AE29-1</f>
        <v>1.424987846277892E-2</v>
      </c>
      <c r="AL53" s="141"/>
      <c r="AM53" s="436">
        <f>AM29/AG29-1</f>
        <v>7.5036235648580307E-2</v>
      </c>
      <c r="AN53" s="437">
        <f>AN29/AH29-1</f>
        <v>8.4485243876719629E-3</v>
      </c>
      <c r="AO53" s="437">
        <f>AO29/AI29-1</f>
        <v>5.2127689486135331E-2</v>
      </c>
      <c r="AP53" s="437">
        <f>IF(ISERROR(AP29/AJ29-1),"NM",AP29/AJ29-1)</f>
        <v>6.8641357283470095E-2</v>
      </c>
      <c r="AQ53" s="534">
        <f>AQ29/AK29-1</f>
        <v>5.5048916057854447E-2</v>
      </c>
      <c r="AR53" s="141"/>
      <c r="AS53" s="436">
        <f>AS29/AM29-1</f>
        <v>1.9748119290694532E-3</v>
      </c>
      <c r="AT53" s="437">
        <f>AT29/AN29-1</f>
        <v>9.4509710743172937E-2</v>
      </c>
      <c r="AU53" s="437">
        <f>AU29/AO29-1</f>
        <v>8.9809990477561996E-2</v>
      </c>
      <c r="AV53" s="437">
        <f>IF(ISERROR(AV29/AP29-1),"NM",AV29/AP29-1)</f>
        <v>-2.0565210740262629E-2</v>
      </c>
      <c r="AW53" s="534">
        <f>AW29/AQ29-1</f>
        <v>3.8804528512533576E-2</v>
      </c>
      <c r="AX53" s="141"/>
      <c r="AY53" s="436">
        <f>AY29/AS29-1</f>
        <v>-0.1078448165244007</v>
      </c>
      <c r="AZ53" s="437">
        <f>AZ29/AT29-1</f>
        <v>-7.7119946573357301E-2</v>
      </c>
      <c r="BA53" s="437">
        <f>BA29/AU29-1</f>
        <v>-0.14460937420371978</v>
      </c>
      <c r="BB53" s="437">
        <f>IF(ISERROR(BB29/AV29-1),"NM",BB29/AV29-1)</f>
        <v>-7.2685920690112593E-2</v>
      </c>
      <c r="BC53" s="534">
        <f>BC29/AW29-1</f>
        <v>-0.10032038315347347</v>
      </c>
      <c r="BD53" s="141"/>
      <c r="BE53" s="436">
        <f>BE29/AY29-1</f>
        <v>0.1654954411795484</v>
      </c>
      <c r="BF53" s="437">
        <f>BF29/AZ29-1</f>
        <v>0.26498210702732861</v>
      </c>
      <c r="BG53" s="437">
        <f>BG29/BA29-1</f>
        <v>0.39757589263040582</v>
      </c>
      <c r="BH53" s="437">
        <f>IF(ISERROR(BH29/BB29-1),"NM",BH29/BB29-1)</f>
        <v>0.3677084936714845</v>
      </c>
      <c r="BI53" s="534">
        <f>BI29/BC29-1</f>
        <v>0.3036775523741142</v>
      </c>
      <c r="BJ53" s="141"/>
      <c r="BK53" s="436">
        <f>BK29/BE29-1</f>
        <v>8.4497893124405143E-2</v>
      </c>
      <c r="BL53" s="437">
        <f>BL29/BF29-1</f>
        <v>1.4133425053266535E-3</v>
      </c>
      <c r="BM53" s="437">
        <f>BM29/BG29-1</f>
        <v>-0.1441512512951808</v>
      </c>
      <c r="BN53" s="437">
        <f>BN29/BH29-1</f>
        <v>-0.10189361841225253</v>
      </c>
      <c r="BO53" s="534">
        <f>BO29/BI29-1</f>
        <v>-5.3049219094433608E-2</v>
      </c>
      <c r="BP53" s="141"/>
      <c r="BQ53" s="436">
        <f>BQ29/BK29-1</f>
        <v>-0.13222660551324872</v>
      </c>
      <c r="BR53" s="437">
        <f>BR29/BL29-1</f>
        <v>-8.620427512664941E-2</v>
      </c>
      <c r="BS53" s="437">
        <f>BS29/BM29-1</f>
        <v>-0.26511690429219192</v>
      </c>
      <c r="BT53" s="437">
        <f>BT29/BN29-1</f>
        <v>-0.44292210174177504</v>
      </c>
      <c r="BU53" s="534">
        <f>BU29/BO29-1</f>
        <v>-0.24465492738069239</v>
      </c>
      <c r="BV53" s="141"/>
      <c r="BW53" s="436">
        <f>BW29/BQ29-1</f>
        <v>-0.20052888182264528</v>
      </c>
      <c r="BX53" s="437">
        <f>BX29/BR29-1</f>
        <v>-0.22545477062455954</v>
      </c>
      <c r="BY53" s="437">
        <f>BY29/BS29-1</f>
        <v>-1.0879355534526791E-2</v>
      </c>
      <c r="BZ53" s="437">
        <f>BZ29/BT29-1</f>
        <v>0.17223571859132525</v>
      </c>
      <c r="CA53" s="534">
        <f>CA29/BU29-1</f>
        <v>-8.1243874002318917E-2</v>
      </c>
      <c r="CB53" s="141"/>
      <c r="CC53" s="436">
        <f>CC29/BW29-1</f>
        <v>0.1139685595346307</v>
      </c>
      <c r="CD53" s="437">
        <f>CD29/BX29-1</f>
        <v>0.10736492659138896</v>
      </c>
      <c r="CE53" s="437">
        <f>CE29/BY29-1</f>
        <v>9.269356214916713E-2</v>
      </c>
      <c r="CF53" s="437">
        <f>CF29/BZ29-1</f>
        <v>9.5379199476077092E-2</v>
      </c>
      <c r="CG53" s="534">
        <f>CG29/CA29-1</f>
        <v>0.10167116817668131</v>
      </c>
      <c r="CH53" s="141"/>
      <c r="CI53" s="436">
        <f>CI29/CC29-1</f>
        <v>-6.2340265251058624E-2</v>
      </c>
      <c r="CJ53" s="437">
        <f>CJ29/CD29-1</f>
        <v>-6.0061004897229764E-2</v>
      </c>
      <c r="CK53" s="437">
        <f>CK29/CE29-1</f>
        <v>-4.5228696387671352E-2</v>
      </c>
      <c r="CL53" s="437">
        <f>CL29/CF29-1</f>
        <v>-4.4386024490030485E-2</v>
      </c>
      <c r="CM53" s="534">
        <f>CM29/CG29-1</f>
        <v>-5.2467239425199264E-2</v>
      </c>
      <c r="CN53" s="141"/>
      <c r="CO53" s="17"/>
      <c r="CP53" s="17"/>
      <c r="CQ53"/>
      <c r="CR53"/>
      <c r="CS53"/>
      <c r="CT53"/>
      <c r="CU53"/>
      <c r="CV53"/>
    </row>
    <row r="54" spans="1:100" s="16" customFormat="1" ht="11.25" customHeight="1" x14ac:dyDescent="0.2">
      <c r="A54"/>
      <c r="B54" s="261"/>
      <c r="C54" s="50"/>
      <c r="D54" s="26"/>
      <c r="E54" s="26"/>
      <c r="F54" s="26"/>
      <c r="G54" s="26"/>
      <c r="H54" s="473"/>
      <c r="I54" s="103"/>
      <c r="J54" s="103"/>
      <c r="K54" s="103"/>
      <c r="L54" s="103"/>
      <c r="M54" s="103"/>
      <c r="N54" s="473"/>
      <c r="O54" s="103"/>
      <c r="P54" s="103"/>
      <c r="Q54" s="103"/>
      <c r="R54" s="103"/>
      <c r="S54" s="103"/>
      <c r="T54" s="473"/>
      <c r="U54" s="103"/>
      <c r="V54" s="103"/>
      <c r="W54" s="103"/>
      <c r="X54" s="103"/>
      <c r="Y54" s="103"/>
      <c r="Z54" s="473"/>
      <c r="AA54" s="103"/>
      <c r="AB54" s="103"/>
      <c r="AC54" s="103"/>
      <c r="AD54" s="103"/>
      <c r="AE54" s="103"/>
      <c r="AF54" s="473"/>
      <c r="AG54" s="103"/>
      <c r="AH54" s="103"/>
      <c r="AI54" s="103"/>
      <c r="AJ54" s="103"/>
      <c r="AK54" s="103"/>
      <c r="AL54" s="473"/>
      <c r="AM54" s="103"/>
      <c r="AN54" s="103"/>
      <c r="AO54" s="103"/>
      <c r="AP54" s="103"/>
      <c r="AQ54" s="103"/>
      <c r="AR54" s="473"/>
      <c r="AS54" s="103"/>
      <c r="AT54" s="103"/>
      <c r="AU54" s="103"/>
      <c r="AV54" s="103"/>
      <c r="AW54" s="103"/>
      <c r="AX54" s="473"/>
      <c r="AY54" s="103"/>
      <c r="AZ54" s="103"/>
      <c r="BA54" s="103"/>
      <c r="BB54" s="103"/>
      <c r="BC54" s="103"/>
      <c r="BD54" s="473"/>
      <c r="BE54" s="14"/>
      <c r="BF54" s="14"/>
      <c r="BG54" s="14"/>
      <c r="BH54" s="14"/>
      <c r="BI54" s="14"/>
      <c r="BJ54" s="473"/>
      <c r="BK54" s="14"/>
      <c r="BL54" s="14"/>
      <c r="BM54" s="14"/>
      <c r="BN54" s="14"/>
      <c r="BO54" s="14"/>
      <c r="BP54" s="473"/>
      <c r="BQ54" s="14"/>
      <c r="BR54" s="244"/>
      <c r="BS54" s="244"/>
      <c r="BT54" s="14"/>
      <c r="BU54" s="14"/>
      <c r="BV54" s="473"/>
      <c r="BW54" s="14"/>
      <c r="BX54" s="14"/>
      <c r="BY54" s="14"/>
      <c r="BZ54" s="14"/>
      <c r="CA54" s="14"/>
      <c r="CB54" s="473"/>
      <c r="CC54" s="14"/>
      <c r="CD54" s="14"/>
      <c r="CE54" s="14"/>
      <c r="CF54" s="14"/>
      <c r="CG54" s="14"/>
      <c r="CH54" s="473"/>
      <c r="CI54" s="14"/>
      <c r="CJ54" s="14"/>
      <c r="CK54" s="14"/>
      <c r="CL54" s="14"/>
      <c r="CM54" s="14"/>
      <c r="CN54" s="473"/>
      <c r="CO54" s="17"/>
      <c r="CP54" s="17"/>
      <c r="CQ54"/>
      <c r="CR54"/>
      <c r="CS54"/>
      <c r="CT54"/>
      <c r="CU54"/>
      <c r="CV54"/>
    </row>
    <row r="55" spans="1:100" s="16" customFormat="1" ht="11.25" customHeight="1" x14ac:dyDescent="0.2">
      <c r="B55" s="1039" t="s">
        <v>178</v>
      </c>
      <c r="C55" s="1040"/>
      <c r="D55" s="1040"/>
      <c r="E55" s="1040"/>
      <c r="F55" s="1040"/>
      <c r="G55" s="1040"/>
      <c r="H55" s="1041"/>
      <c r="I55" s="1040"/>
      <c r="J55" s="1040"/>
      <c r="K55" s="1040"/>
      <c r="L55" s="1040"/>
      <c r="M55" s="1040"/>
      <c r="N55" s="1041"/>
      <c r="O55" s="1040"/>
      <c r="P55" s="1044"/>
      <c r="Q55" s="1040"/>
      <c r="R55" s="1040"/>
      <c r="S55" s="1040"/>
      <c r="T55" s="1041"/>
      <c r="U55" s="1040"/>
      <c r="V55" s="1040"/>
      <c r="W55" s="1040"/>
      <c r="X55" s="1040"/>
      <c r="Y55" s="1040"/>
      <c r="Z55" s="1041"/>
      <c r="AA55" s="1040"/>
      <c r="AB55" s="1040"/>
      <c r="AC55" s="1040"/>
      <c r="AD55" s="1040"/>
      <c r="AE55" s="1040"/>
      <c r="AF55" s="1041"/>
      <c r="AG55" s="1040"/>
      <c r="AH55" s="1040"/>
      <c r="AI55" s="1040"/>
      <c r="AJ55" s="1040"/>
      <c r="AK55" s="1040"/>
      <c r="AL55" s="1041"/>
      <c r="AM55" s="1040"/>
      <c r="AN55" s="1040"/>
      <c r="AO55" s="1040"/>
      <c r="AP55" s="1040"/>
      <c r="AQ55" s="1040"/>
      <c r="AR55" s="1041"/>
      <c r="AS55" s="1040"/>
      <c r="AT55" s="1040"/>
      <c r="AU55" s="1040"/>
      <c r="AV55" s="1040"/>
      <c r="AW55" s="1040"/>
      <c r="AX55" s="1041"/>
      <c r="AY55" s="1040"/>
      <c r="AZ55" s="1040"/>
      <c r="BA55" s="1040"/>
      <c r="BB55" s="1040"/>
      <c r="BC55" s="1040"/>
      <c r="BD55" s="1041"/>
      <c r="BE55" s="1041"/>
      <c r="BF55" s="1041"/>
      <c r="BG55" s="1041"/>
      <c r="BH55" s="1041"/>
      <c r="BI55" s="1045"/>
      <c r="BJ55" s="1041"/>
      <c r="BK55" s="1041"/>
      <c r="BL55" s="1041"/>
      <c r="BM55" s="1041"/>
      <c r="BN55" s="1041"/>
      <c r="BO55" s="1045"/>
      <c r="BP55" s="1041"/>
      <c r="BQ55" s="1041"/>
      <c r="BR55" s="1041"/>
      <c r="BS55" s="1041"/>
      <c r="BT55" s="1041"/>
      <c r="BU55" s="1045"/>
      <c r="BV55" s="1041"/>
      <c r="BW55" s="1041"/>
      <c r="BX55" s="1041"/>
      <c r="BY55" s="1041"/>
      <c r="BZ55" s="1041"/>
      <c r="CA55" s="1041"/>
      <c r="CB55" s="1041"/>
      <c r="CC55" s="1041"/>
      <c r="CD55" s="1041"/>
      <c r="CE55" s="1041"/>
      <c r="CF55" s="1041"/>
      <c r="CG55" s="1041"/>
      <c r="CH55" s="1041"/>
      <c r="CI55" s="1041"/>
      <c r="CJ55" s="1041"/>
      <c r="CK55" s="1041"/>
      <c r="CL55" s="1041"/>
      <c r="CM55" s="1041"/>
      <c r="CN55" s="200"/>
      <c r="CO55" s="17"/>
      <c r="CP55" s="17"/>
      <c r="CQ55"/>
      <c r="CR55"/>
      <c r="CS55"/>
      <c r="CT55"/>
      <c r="CU55"/>
      <c r="CV55"/>
    </row>
    <row r="56" spans="1:100" s="16" customFormat="1" ht="11.25" customHeight="1" x14ac:dyDescent="0.2">
      <c r="A56" s="21"/>
      <c r="B56" s="538" t="s">
        <v>188</v>
      </c>
      <c r="C56" s="238">
        <f>-SUM(C57:C63)</f>
        <v>0</v>
      </c>
      <c r="D56" s="234">
        <f>-SUM(D57:D63)</f>
        <v>0</v>
      </c>
      <c r="E56" s="234">
        <f>-SUM(E57:E63)</f>
        <v>0</v>
      </c>
      <c r="F56" s="234">
        <f>-SUM(F57:F63)</f>
        <v>0</v>
      </c>
      <c r="G56" s="540">
        <f t="shared" ref="G56:G63" si="35">SUM(C56:F56)</f>
        <v>0</v>
      </c>
      <c r="H56" s="126"/>
      <c r="I56" s="238">
        <f>-SUM(I57:I63)</f>
        <v>0</v>
      </c>
      <c r="J56" s="234">
        <f>-SUM(J57:J63)</f>
        <v>0</v>
      </c>
      <c r="K56" s="234">
        <f>-SUM(K57:K63)</f>
        <v>0</v>
      </c>
      <c r="L56" s="234">
        <f>-SUM(L57:L63)</f>
        <v>0</v>
      </c>
      <c r="M56" s="540">
        <f t="shared" ref="M56:M63" si="36">SUM(I56:L56)</f>
        <v>0</v>
      </c>
      <c r="N56" s="126"/>
      <c r="O56" s="238">
        <f>-SUM(O57:O63)</f>
        <v>0</v>
      </c>
      <c r="P56" s="234">
        <f>-SUM(P57:P63)</f>
        <v>0</v>
      </c>
      <c r="Q56" s="234">
        <f>-SUM(Q57:Q63)</f>
        <v>0</v>
      </c>
      <c r="R56" s="234">
        <f>-SUM(R57:R63)</f>
        <v>0</v>
      </c>
      <c r="S56" s="540">
        <f t="shared" ref="S56:S63" si="37">SUM(O56:R56)</f>
        <v>0</v>
      </c>
      <c r="T56" s="126"/>
      <c r="U56" s="238">
        <f>-SUM(U57:U63)</f>
        <v>0</v>
      </c>
      <c r="V56" s="234">
        <f>-SUM(V57:V63)</f>
        <v>0</v>
      </c>
      <c r="W56" s="234">
        <f>-SUM(W57:W63)</f>
        <v>0</v>
      </c>
      <c r="X56" s="234">
        <f>-SUM(X57:X63)</f>
        <v>0</v>
      </c>
      <c r="Y56" s="540">
        <f t="shared" ref="Y56:Y63" si="38">SUM(U56:X56)</f>
        <v>0</v>
      </c>
      <c r="Z56" s="126"/>
      <c r="AA56" s="238">
        <f>-SUM(AA57:AA63)</f>
        <v>0</v>
      </c>
      <c r="AB56" s="234">
        <f>-SUM(AB57:AB63)</f>
        <v>0</v>
      </c>
      <c r="AC56" s="234">
        <f>-SUM(AC57:AC62)</f>
        <v>0</v>
      </c>
      <c r="AD56" s="234">
        <f>-SUM(AD57:AD62)</f>
        <v>0</v>
      </c>
      <c r="AE56" s="540">
        <f t="shared" ref="AE56:AE63" si="39">SUM(AA56:AD56)</f>
        <v>0</v>
      </c>
      <c r="AF56" s="126"/>
      <c r="AG56" s="238">
        <f>-SUM(AG57:AG63)</f>
        <v>0</v>
      </c>
      <c r="AH56" s="234">
        <f>-SUM(AH57:AH63)</f>
        <v>0</v>
      </c>
      <c r="AI56" s="234">
        <f>-SUM(AI57:AI63)</f>
        <v>0</v>
      </c>
      <c r="AJ56" s="234">
        <f>-SUM(AJ57:AJ62)</f>
        <v>0</v>
      </c>
      <c r="AK56" s="540">
        <f t="shared" ref="AK56:AK63" si="40">SUM(AG56:AJ56)</f>
        <v>0</v>
      </c>
      <c r="AL56" s="126"/>
      <c r="AM56" s="238">
        <f>-SUM(AM57:AM63)</f>
        <v>0</v>
      </c>
      <c r="AN56" s="234">
        <f>-SUM(AN57:AN63)</f>
        <v>0</v>
      </c>
      <c r="AO56" s="234">
        <f>-SUM(AO57:AO62)</f>
        <v>0</v>
      </c>
      <c r="AP56" s="234">
        <f>-SUM(AP57:AP62)</f>
        <v>0</v>
      </c>
      <c r="AQ56" s="540">
        <f t="shared" ref="AQ56:AQ63" si="41">SUM(AM56:AP56)</f>
        <v>0</v>
      </c>
      <c r="AR56" s="126"/>
      <c r="AS56" s="238">
        <f>-SUM(AS57:AS63)</f>
        <v>0</v>
      </c>
      <c r="AT56" s="234">
        <f>-SUM(AT57:AT63)</f>
        <v>-6.65</v>
      </c>
      <c r="AU56" s="234">
        <f>-SUM(AU57:AU62)</f>
        <v>-0.91600000000000004</v>
      </c>
      <c r="AV56" s="234">
        <f>-SUM(AV57:AV62)</f>
        <v>-5.7009999999999996</v>
      </c>
      <c r="AW56" s="540">
        <f t="shared" ref="AW56:AW63" si="42">SUM(AS56:AV56)</f>
        <v>-13.266999999999999</v>
      </c>
      <c r="AX56" s="126"/>
      <c r="AY56" s="238">
        <f>-SUM(AY57:AY63)</f>
        <v>-1.9200000000000002</v>
      </c>
      <c r="AZ56" s="234">
        <f>-SUM(AZ57:AZ63)</f>
        <v>-1.9170000000000003</v>
      </c>
      <c r="BA56" s="234">
        <f>-SUM(BA57:BA63)</f>
        <v>-1.93</v>
      </c>
      <c r="BB56" s="234">
        <f>-SUM(BB57:BB63)</f>
        <v>-2.8819999999999997</v>
      </c>
      <c r="BC56" s="540">
        <f t="shared" ref="BC56:BC63" si="43">SUM(AY56:BB56)</f>
        <v>-8.6490000000000009</v>
      </c>
      <c r="BD56" s="126"/>
      <c r="BE56" s="238">
        <f>-SUM(BE57:BE63)</f>
        <v>-26.585000000000001</v>
      </c>
      <c r="BF56" s="234">
        <f>-SUM(BF57:BF63)</f>
        <v>-12.714</v>
      </c>
      <c r="BG56" s="234">
        <f>-SUM(BG57:BG62)</f>
        <v>-7.9509999999999996</v>
      </c>
      <c r="BH56" s="234">
        <f>-SUM(BH57:BH62)</f>
        <v>-8.6890000000000001</v>
      </c>
      <c r="BI56" s="540">
        <f t="shared" ref="BI56:BI65" si="44">SUM(BE56:BH56)</f>
        <v>-55.939</v>
      </c>
      <c r="BJ56" s="126"/>
      <c r="BK56" s="238">
        <f>-SUM(BK57:BK63)</f>
        <v>-9.8849999999999998</v>
      </c>
      <c r="BL56" s="234">
        <f>-SUM(BL57:BL63)</f>
        <v>-7.7680000000000007</v>
      </c>
      <c r="BM56" s="234">
        <f>-SUM(BM57:BM63)</f>
        <v>-27.649999999999995</v>
      </c>
      <c r="BN56" s="234">
        <f>-SUM(BN57:BN63)</f>
        <v>-3.5570000000000004</v>
      </c>
      <c r="BO56" s="540">
        <f t="shared" ref="BO56:BO65" si="45">SUM(BK56:BN56)</f>
        <v>-48.86</v>
      </c>
      <c r="BP56" s="126"/>
      <c r="BQ56" s="238">
        <f>-SUM(BQ57:BQ63)</f>
        <v>-10.580000000000002</v>
      </c>
      <c r="BR56" s="234">
        <f>-SUM(BR57:BR63)</f>
        <v>-7.3640000000000008</v>
      </c>
      <c r="BS56" s="234">
        <f>-SUM(BS57:BS63)</f>
        <v>69.402999999999992</v>
      </c>
      <c r="BT56" s="234">
        <f>-SUM(BT57:BT62)</f>
        <v>-9.6920000000000002</v>
      </c>
      <c r="BU56" s="540">
        <f t="shared" ref="BU56:BU65" si="46">SUM(BQ56:BT56)</f>
        <v>41.766999999999989</v>
      </c>
      <c r="BV56" s="126"/>
      <c r="BW56" s="238">
        <f>-SUM(BW57:BW62)</f>
        <v>0</v>
      </c>
      <c r="BX56" s="234">
        <f t="shared" ref="BX56:BZ56" si="47">-SUM(BX57:BX62)</f>
        <v>0</v>
      </c>
      <c r="BY56" s="234">
        <f t="shared" si="47"/>
        <v>0</v>
      </c>
      <c r="BZ56" s="234">
        <f t="shared" si="47"/>
        <v>0</v>
      </c>
      <c r="CA56" s="540">
        <f t="shared" ref="CA56:CA63" si="48">SUM(BW56:BZ56)</f>
        <v>0</v>
      </c>
      <c r="CB56" s="126"/>
      <c r="CC56" s="238">
        <f t="shared" ref="CC56" si="49">-SUM(CC57:CC62)</f>
        <v>0</v>
      </c>
      <c r="CD56" s="234">
        <f t="shared" ref="CD56" si="50">-SUM(CD57:CD62)</f>
        <v>0</v>
      </c>
      <c r="CE56" s="234">
        <f t="shared" ref="CE56" si="51">-SUM(CE57:CE62)</f>
        <v>0</v>
      </c>
      <c r="CF56" s="234">
        <f t="shared" ref="CF56" si="52">-SUM(CF57:CF62)</f>
        <v>0</v>
      </c>
      <c r="CG56" s="540">
        <f t="shared" ref="CG56" si="53">SUM(CC56:CF56)</f>
        <v>0</v>
      </c>
      <c r="CH56" s="126"/>
      <c r="CI56" s="238">
        <f t="shared" ref="CI56" si="54">-SUM(CI57:CI62)</f>
        <v>0</v>
      </c>
      <c r="CJ56" s="234">
        <f t="shared" ref="CJ56" si="55">-SUM(CJ57:CJ62)</f>
        <v>0</v>
      </c>
      <c r="CK56" s="234">
        <f t="shared" ref="CK56" si="56">-SUM(CK57:CK62)</f>
        <v>0</v>
      </c>
      <c r="CL56" s="234">
        <f t="shared" ref="CL56" si="57">-SUM(CL57:CL62)</f>
        <v>0</v>
      </c>
      <c r="CM56" s="540">
        <f t="shared" ref="CM56" si="58">SUM(CI56:CL56)</f>
        <v>0</v>
      </c>
      <c r="CN56" s="126"/>
      <c r="CO56" s="17"/>
      <c r="CP56" s="17"/>
      <c r="CQ56"/>
      <c r="CR56"/>
      <c r="CS56"/>
      <c r="CT56"/>
      <c r="CU56"/>
      <c r="CV56"/>
    </row>
    <row r="57" spans="1:100" s="16" customFormat="1" ht="11.25" customHeight="1" x14ac:dyDescent="0.2">
      <c r="A57" s="74"/>
      <c r="B57" s="490" t="s">
        <v>286</v>
      </c>
      <c r="C57" s="235">
        <v>0</v>
      </c>
      <c r="D57" s="226">
        <v>0</v>
      </c>
      <c r="E57" s="226">
        <v>0</v>
      </c>
      <c r="F57" s="226">
        <v>0</v>
      </c>
      <c r="G57" s="493">
        <f t="shared" si="35"/>
        <v>0</v>
      </c>
      <c r="H57" s="199"/>
      <c r="I57" s="235">
        <v>0</v>
      </c>
      <c r="J57" s="226">
        <v>0</v>
      </c>
      <c r="K57" s="226">
        <v>0</v>
      </c>
      <c r="L57" s="226">
        <v>0</v>
      </c>
      <c r="M57" s="493">
        <f t="shared" si="36"/>
        <v>0</v>
      </c>
      <c r="N57" s="199"/>
      <c r="O57" s="235">
        <v>0</v>
      </c>
      <c r="P57" s="226">
        <v>0</v>
      </c>
      <c r="Q57" s="226">
        <v>0</v>
      </c>
      <c r="R57" s="226">
        <v>0</v>
      </c>
      <c r="S57" s="493">
        <f t="shared" si="37"/>
        <v>0</v>
      </c>
      <c r="T57" s="199"/>
      <c r="U57" s="235">
        <v>0</v>
      </c>
      <c r="V57" s="226">
        <v>0</v>
      </c>
      <c r="W57" s="226">
        <v>0</v>
      </c>
      <c r="X57" s="226">
        <v>0</v>
      </c>
      <c r="Y57" s="493">
        <f t="shared" si="38"/>
        <v>0</v>
      </c>
      <c r="Z57" s="199"/>
      <c r="AA57" s="235">
        <v>0</v>
      </c>
      <c r="AB57" s="226">
        <v>0</v>
      </c>
      <c r="AC57" s="226">
        <v>0</v>
      </c>
      <c r="AD57" s="226">
        <v>0</v>
      </c>
      <c r="AE57" s="493">
        <f t="shared" si="39"/>
        <v>0</v>
      </c>
      <c r="AF57" s="199"/>
      <c r="AG57" s="235">
        <v>0</v>
      </c>
      <c r="AH57" s="226">
        <v>0</v>
      </c>
      <c r="AI57" s="226">
        <v>0</v>
      </c>
      <c r="AJ57" s="226">
        <v>0</v>
      </c>
      <c r="AK57" s="493">
        <f t="shared" si="40"/>
        <v>0</v>
      </c>
      <c r="AL57" s="199"/>
      <c r="AM57" s="235">
        <v>0</v>
      </c>
      <c r="AN57" s="226">
        <v>0</v>
      </c>
      <c r="AO57" s="226">
        <v>0</v>
      </c>
      <c r="AP57" s="226">
        <v>0</v>
      </c>
      <c r="AQ57" s="493">
        <f t="shared" si="41"/>
        <v>0</v>
      </c>
      <c r="AR57" s="199"/>
      <c r="AS57" s="235">
        <v>0</v>
      </c>
      <c r="AT57" s="226">
        <v>0</v>
      </c>
      <c r="AU57" s="226">
        <v>0</v>
      </c>
      <c r="AV57" s="226">
        <v>0</v>
      </c>
      <c r="AW57" s="493">
        <f t="shared" si="42"/>
        <v>0</v>
      </c>
      <c r="AX57" s="199"/>
      <c r="AY57" s="235">
        <v>0</v>
      </c>
      <c r="AZ57" s="226">
        <v>0</v>
      </c>
      <c r="BA57" s="226">
        <v>0</v>
      </c>
      <c r="BB57" s="226">
        <v>0</v>
      </c>
      <c r="BC57" s="493">
        <f t="shared" si="43"/>
        <v>0</v>
      </c>
      <c r="BD57" s="199"/>
      <c r="BE57" s="235">
        <f>13.088-BF57</f>
        <v>12.364999999999998</v>
      </c>
      <c r="BF57" s="226">
        <v>0.72299999999999998</v>
      </c>
      <c r="BG57" s="226">
        <v>2.8000000000000001E-2</v>
      </c>
      <c r="BH57" s="226">
        <v>0.56699999999999995</v>
      </c>
      <c r="BI57" s="493">
        <f t="shared" si="44"/>
        <v>13.683</v>
      </c>
      <c r="BJ57" s="199"/>
      <c r="BK57" s="1274">
        <f>1.243-BL57</f>
        <v>0.34700000000000009</v>
      </c>
      <c r="BL57" s="1277">
        <v>0.89600000000000002</v>
      </c>
      <c r="BM57" s="1277">
        <v>0.23599999999999999</v>
      </c>
      <c r="BN57" s="1277">
        <v>0.17799999999999999</v>
      </c>
      <c r="BO57" s="493">
        <f t="shared" si="45"/>
        <v>1.657</v>
      </c>
      <c r="BP57" s="199"/>
      <c r="BQ57" s="1274">
        <v>0</v>
      </c>
      <c r="BR57" s="1277">
        <v>0</v>
      </c>
      <c r="BS57" s="1277">
        <v>0</v>
      </c>
      <c r="BT57" s="1277">
        <v>0</v>
      </c>
      <c r="BU57" s="493">
        <f t="shared" si="46"/>
        <v>0</v>
      </c>
      <c r="BV57" s="199"/>
      <c r="BW57" s="235">
        <v>0</v>
      </c>
      <c r="BX57" s="226">
        <v>0</v>
      </c>
      <c r="BY57" s="226">
        <v>0</v>
      </c>
      <c r="BZ57" s="226">
        <v>0</v>
      </c>
      <c r="CA57" s="493">
        <f t="shared" si="48"/>
        <v>0</v>
      </c>
      <c r="CB57" s="199"/>
      <c r="CC57" s="235">
        <v>0</v>
      </c>
      <c r="CD57" s="226">
        <v>0</v>
      </c>
      <c r="CE57" s="226">
        <v>0</v>
      </c>
      <c r="CF57" s="226">
        <v>0</v>
      </c>
      <c r="CG57" s="493">
        <f t="shared" ref="CG57:CG63" si="59">SUM(CC57:CF57)</f>
        <v>0</v>
      </c>
      <c r="CH57" s="199"/>
      <c r="CI57" s="235">
        <v>0</v>
      </c>
      <c r="CJ57" s="226">
        <v>0</v>
      </c>
      <c r="CK57" s="226">
        <v>0</v>
      </c>
      <c r="CL57" s="226">
        <v>0</v>
      </c>
      <c r="CM57" s="493">
        <f t="shared" ref="CM57:CM63" si="60">SUM(CI57:CL57)</f>
        <v>0</v>
      </c>
      <c r="CN57" s="199"/>
      <c r="CO57" s="62"/>
      <c r="CP57" s="62"/>
      <c r="CQ57"/>
      <c r="CR57"/>
      <c r="CS57"/>
      <c r="CT57"/>
      <c r="CU57"/>
      <c r="CV57"/>
    </row>
    <row r="58" spans="1:100" s="16" customFormat="1" ht="11.25" customHeight="1" x14ac:dyDescent="0.2">
      <c r="A58" s="74"/>
      <c r="B58" s="490" t="s">
        <v>287</v>
      </c>
      <c r="C58" s="235">
        <v>0</v>
      </c>
      <c r="D58" s="226">
        <v>0</v>
      </c>
      <c r="E58" s="226">
        <v>0</v>
      </c>
      <c r="F58" s="226">
        <v>0</v>
      </c>
      <c r="G58" s="493">
        <f t="shared" si="35"/>
        <v>0</v>
      </c>
      <c r="H58" s="199"/>
      <c r="I58" s="235">
        <v>0</v>
      </c>
      <c r="J58" s="226">
        <v>0</v>
      </c>
      <c r="K58" s="226">
        <v>0</v>
      </c>
      <c r="L58" s="226">
        <v>0</v>
      </c>
      <c r="M58" s="493">
        <f t="shared" si="36"/>
        <v>0</v>
      </c>
      <c r="N58" s="199"/>
      <c r="O58" s="235">
        <v>0</v>
      </c>
      <c r="P58" s="226">
        <v>0</v>
      </c>
      <c r="Q58" s="226">
        <v>0</v>
      </c>
      <c r="R58" s="226">
        <v>0</v>
      </c>
      <c r="S58" s="493">
        <f t="shared" si="37"/>
        <v>0</v>
      </c>
      <c r="T58" s="199"/>
      <c r="U58" s="235">
        <v>0</v>
      </c>
      <c r="V58" s="226">
        <v>0</v>
      </c>
      <c r="W58" s="226">
        <v>0</v>
      </c>
      <c r="X58" s="226">
        <v>0</v>
      </c>
      <c r="Y58" s="493">
        <f t="shared" si="38"/>
        <v>0</v>
      </c>
      <c r="Z58" s="199"/>
      <c r="AA58" s="235">
        <v>0</v>
      </c>
      <c r="AB58" s="226">
        <v>0</v>
      </c>
      <c r="AC58" s="226">
        <v>0</v>
      </c>
      <c r="AD58" s="226">
        <v>0</v>
      </c>
      <c r="AE58" s="493">
        <f t="shared" si="39"/>
        <v>0</v>
      </c>
      <c r="AF58" s="199"/>
      <c r="AG58" s="235">
        <v>0</v>
      </c>
      <c r="AH58" s="226">
        <v>0</v>
      </c>
      <c r="AI58" s="226">
        <v>0</v>
      </c>
      <c r="AJ58" s="226">
        <v>0</v>
      </c>
      <c r="AK58" s="493">
        <f t="shared" si="40"/>
        <v>0</v>
      </c>
      <c r="AL58" s="199"/>
      <c r="AM58" s="235">
        <v>0</v>
      </c>
      <c r="AN58" s="226">
        <v>0</v>
      </c>
      <c r="AO58" s="226">
        <v>0</v>
      </c>
      <c r="AP58" s="226">
        <v>0</v>
      </c>
      <c r="AQ58" s="493">
        <f t="shared" si="41"/>
        <v>0</v>
      </c>
      <c r="AR58" s="199"/>
      <c r="AS58" s="235">
        <v>0</v>
      </c>
      <c r="AT58" s="226">
        <v>0</v>
      </c>
      <c r="AU58" s="226">
        <v>0</v>
      </c>
      <c r="AV58" s="226">
        <v>0</v>
      </c>
      <c r="AW58" s="493">
        <f t="shared" si="42"/>
        <v>0</v>
      </c>
      <c r="AX58" s="199"/>
      <c r="AY58" s="235">
        <v>2.7330000000000001</v>
      </c>
      <c r="AZ58" s="226">
        <v>2.7360000000000002</v>
      </c>
      <c r="BA58" s="226">
        <v>2.7709999999999999</v>
      </c>
      <c r="BB58" s="226">
        <v>4.3129999999999997</v>
      </c>
      <c r="BC58" s="493">
        <f t="shared" si="43"/>
        <v>12.553000000000001</v>
      </c>
      <c r="BD58" s="199"/>
      <c r="BE58" s="235">
        <f>17.896-BF58</f>
        <v>7.0340000000000007</v>
      </c>
      <c r="BF58" s="226">
        <v>10.862</v>
      </c>
      <c r="BG58" s="226">
        <v>6.9210000000000003</v>
      </c>
      <c r="BH58" s="226">
        <v>6.91</v>
      </c>
      <c r="BI58" s="493">
        <f t="shared" si="44"/>
        <v>31.727</v>
      </c>
      <c r="BJ58" s="199"/>
      <c r="BK58" s="1274">
        <f>20.261-BL58</f>
        <v>10.013999999999999</v>
      </c>
      <c r="BL58" s="1277">
        <v>10.247</v>
      </c>
      <c r="BM58" s="1277">
        <v>9.9510000000000005</v>
      </c>
      <c r="BN58" s="1277">
        <v>9.7449999999999992</v>
      </c>
      <c r="BO58" s="493">
        <f t="shared" si="45"/>
        <v>39.957000000000001</v>
      </c>
      <c r="BP58" s="199"/>
      <c r="BQ58" s="1274">
        <v>9.6300000000000008</v>
      </c>
      <c r="BR58" s="1277">
        <v>9.66</v>
      </c>
      <c r="BS58" s="1277">
        <v>9.6920000000000002</v>
      </c>
      <c r="BT58" s="1277">
        <f t="shared" ref="BT58:BT59" si="61">+BS58</f>
        <v>9.6920000000000002</v>
      </c>
      <c r="BU58" s="493">
        <f t="shared" si="46"/>
        <v>38.673999999999999</v>
      </c>
      <c r="BV58" s="199"/>
      <c r="BW58" s="235">
        <v>0</v>
      </c>
      <c r="BX58" s="226">
        <f>+BW58</f>
        <v>0</v>
      </c>
      <c r="BY58" s="226">
        <f>+BX58</f>
        <v>0</v>
      </c>
      <c r="BZ58" s="226">
        <f>+BY58</f>
        <v>0</v>
      </c>
      <c r="CA58" s="493">
        <f t="shared" si="48"/>
        <v>0</v>
      </c>
      <c r="CB58" s="199"/>
      <c r="CC58" s="235">
        <v>0</v>
      </c>
      <c r="CD58" s="226">
        <f t="shared" ref="CD58:CF58" si="62">+CC58</f>
        <v>0</v>
      </c>
      <c r="CE58" s="226">
        <f t="shared" si="62"/>
        <v>0</v>
      </c>
      <c r="CF58" s="226">
        <f t="shared" si="62"/>
        <v>0</v>
      </c>
      <c r="CG58" s="493">
        <f t="shared" si="59"/>
        <v>0</v>
      </c>
      <c r="CH58" s="199"/>
      <c r="CI58" s="235">
        <v>0</v>
      </c>
      <c r="CJ58" s="226">
        <f t="shared" ref="CJ58:CL58" si="63">+CI58</f>
        <v>0</v>
      </c>
      <c r="CK58" s="226">
        <f t="shared" si="63"/>
        <v>0</v>
      </c>
      <c r="CL58" s="226">
        <f t="shared" si="63"/>
        <v>0</v>
      </c>
      <c r="CM58" s="493">
        <f t="shared" si="60"/>
        <v>0</v>
      </c>
      <c r="CN58" s="199"/>
      <c r="CO58" s="62"/>
      <c r="CP58" s="62"/>
      <c r="CQ58"/>
      <c r="CR58"/>
      <c r="CS58"/>
      <c r="CT58"/>
      <c r="CU58"/>
      <c r="CV58"/>
    </row>
    <row r="59" spans="1:100" s="16" customFormat="1" ht="11.25" customHeight="1" x14ac:dyDescent="0.2">
      <c r="A59" s="74"/>
      <c r="B59" s="490" t="s">
        <v>288</v>
      </c>
      <c r="C59" s="235">
        <v>0</v>
      </c>
      <c r="D59" s="226">
        <v>0</v>
      </c>
      <c r="E59" s="226">
        <v>0</v>
      </c>
      <c r="F59" s="226">
        <v>0</v>
      </c>
      <c r="G59" s="493">
        <f t="shared" si="35"/>
        <v>0</v>
      </c>
      <c r="H59" s="199"/>
      <c r="I59" s="235">
        <v>0</v>
      </c>
      <c r="J59" s="226">
        <v>0</v>
      </c>
      <c r="K59" s="226">
        <v>0</v>
      </c>
      <c r="L59" s="226">
        <v>0</v>
      </c>
      <c r="M59" s="493">
        <f t="shared" si="36"/>
        <v>0</v>
      </c>
      <c r="N59" s="199"/>
      <c r="O59" s="235">
        <v>0</v>
      </c>
      <c r="P59" s="226">
        <v>0</v>
      </c>
      <c r="Q59" s="226">
        <v>0</v>
      </c>
      <c r="R59" s="226">
        <v>0</v>
      </c>
      <c r="S59" s="493">
        <f t="shared" si="37"/>
        <v>0</v>
      </c>
      <c r="T59" s="199"/>
      <c r="U59" s="235">
        <v>0</v>
      </c>
      <c r="V59" s="226">
        <v>0</v>
      </c>
      <c r="W59" s="226">
        <v>0</v>
      </c>
      <c r="X59" s="226">
        <v>0</v>
      </c>
      <c r="Y59" s="493">
        <f t="shared" si="38"/>
        <v>0</v>
      </c>
      <c r="Z59" s="199"/>
      <c r="AA59" s="235">
        <v>0</v>
      </c>
      <c r="AB59" s="226">
        <v>0</v>
      </c>
      <c r="AC59" s="226">
        <v>0</v>
      </c>
      <c r="AD59" s="226">
        <v>0</v>
      </c>
      <c r="AE59" s="493">
        <f t="shared" si="39"/>
        <v>0</v>
      </c>
      <c r="AF59" s="199"/>
      <c r="AG59" s="235">
        <v>0</v>
      </c>
      <c r="AH59" s="226">
        <v>0</v>
      </c>
      <c r="AI59" s="226">
        <v>0</v>
      </c>
      <c r="AJ59" s="226">
        <v>0</v>
      </c>
      <c r="AK59" s="493">
        <f t="shared" si="40"/>
        <v>0</v>
      </c>
      <c r="AL59" s="199"/>
      <c r="AM59" s="235">
        <v>0</v>
      </c>
      <c r="AN59" s="226">
        <v>0</v>
      </c>
      <c r="AO59" s="226">
        <v>0</v>
      </c>
      <c r="AP59" s="226">
        <v>0</v>
      </c>
      <c r="AQ59" s="493">
        <f t="shared" si="41"/>
        <v>0</v>
      </c>
      <c r="AR59" s="199"/>
      <c r="AS59" s="235">
        <v>0</v>
      </c>
      <c r="AT59" s="226">
        <f>-(-(3.2%*998.834)-((-2.4+0.6)%*998.834))</f>
        <v>13.983676000000003</v>
      </c>
      <c r="AU59" s="226">
        <v>0.91600000000000004</v>
      </c>
      <c r="AV59" s="226">
        <v>5.7009999999999996</v>
      </c>
      <c r="AW59" s="493">
        <f t="shared" si="42"/>
        <v>20.600676000000004</v>
      </c>
      <c r="AX59" s="199"/>
      <c r="AY59" s="235">
        <v>0</v>
      </c>
      <c r="AZ59" s="226">
        <v>0</v>
      </c>
      <c r="BA59" s="226">
        <v>0</v>
      </c>
      <c r="BB59" s="226">
        <v>0</v>
      </c>
      <c r="BC59" s="493">
        <f t="shared" si="43"/>
        <v>0</v>
      </c>
      <c r="BD59" s="199"/>
      <c r="BE59" s="235">
        <f>3.583-BF59</f>
        <v>1.4000000000000004</v>
      </c>
      <c r="BF59" s="226">
        <v>2.1829999999999998</v>
      </c>
      <c r="BG59" s="226">
        <v>0.92500000000000004</v>
      </c>
      <c r="BH59" s="226">
        <v>0.86299999999999999</v>
      </c>
      <c r="BI59" s="493">
        <f t="shared" si="44"/>
        <v>5.3710000000000004</v>
      </c>
      <c r="BJ59" s="199"/>
      <c r="BK59" s="1274">
        <f>5.679-BL59</f>
        <v>4.875</v>
      </c>
      <c r="BL59" s="1277">
        <v>0.80400000000000005</v>
      </c>
      <c r="BM59" s="1277">
        <v>0.625</v>
      </c>
      <c r="BN59" s="1277">
        <v>0.25700000000000001</v>
      </c>
      <c r="BO59" s="493">
        <f t="shared" si="45"/>
        <v>6.5609999999999999</v>
      </c>
      <c r="BP59" s="199"/>
      <c r="BQ59" s="1274">
        <v>6.9059999999999997</v>
      </c>
      <c r="BR59" s="1277">
        <v>1.6879999999999999</v>
      </c>
      <c r="BS59" s="1277">
        <v>0</v>
      </c>
      <c r="BT59" s="1277">
        <f t="shared" si="61"/>
        <v>0</v>
      </c>
      <c r="BU59" s="493">
        <f t="shared" si="46"/>
        <v>8.5939999999999994</v>
      </c>
      <c r="BV59" s="199"/>
      <c r="BW59" s="235">
        <v>0</v>
      </c>
      <c r="BX59" s="226">
        <v>0</v>
      </c>
      <c r="BY59" s="226">
        <v>0</v>
      </c>
      <c r="BZ59" s="226">
        <v>0</v>
      </c>
      <c r="CA59" s="493">
        <f t="shared" si="48"/>
        <v>0</v>
      </c>
      <c r="CB59" s="199"/>
      <c r="CC59" s="235">
        <v>0</v>
      </c>
      <c r="CD59" s="226">
        <v>0</v>
      </c>
      <c r="CE59" s="226">
        <v>0</v>
      </c>
      <c r="CF59" s="226">
        <v>0</v>
      </c>
      <c r="CG59" s="493">
        <f t="shared" si="59"/>
        <v>0</v>
      </c>
      <c r="CH59" s="199"/>
      <c r="CI59" s="235">
        <v>0</v>
      </c>
      <c r="CJ59" s="226">
        <v>0</v>
      </c>
      <c r="CK59" s="226">
        <v>0</v>
      </c>
      <c r="CL59" s="226">
        <v>0</v>
      </c>
      <c r="CM59" s="493">
        <f t="shared" si="60"/>
        <v>0</v>
      </c>
      <c r="CN59" s="199"/>
      <c r="CO59" s="62"/>
      <c r="CP59" s="62"/>
      <c r="CQ59"/>
      <c r="CR59"/>
      <c r="CS59"/>
      <c r="CT59"/>
      <c r="CU59"/>
      <c r="CV59"/>
    </row>
    <row r="60" spans="1:100" s="16" customFormat="1" ht="11.25" customHeight="1" x14ac:dyDescent="0.2">
      <c r="A60" s="74"/>
      <c r="B60" s="490" t="s">
        <v>289</v>
      </c>
      <c r="C60" s="235">
        <v>0</v>
      </c>
      <c r="D60" s="226">
        <v>0</v>
      </c>
      <c r="E60" s="226">
        <v>0</v>
      </c>
      <c r="F60" s="226">
        <v>0</v>
      </c>
      <c r="G60" s="493">
        <f t="shared" si="35"/>
        <v>0</v>
      </c>
      <c r="H60" s="199"/>
      <c r="I60" s="235">
        <v>0</v>
      </c>
      <c r="J60" s="226">
        <v>0</v>
      </c>
      <c r="K60" s="226">
        <v>0</v>
      </c>
      <c r="L60" s="226">
        <v>0</v>
      </c>
      <c r="M60" s="493">
        <f t="shared" si="36"/>
        <v>0</v>
      </c>
      <c r="N60" s="199"/>
      <c r="O60" s="235">
        <v>0</v>
      </c>
      <c r="P60" s="226">
        <v>0</v>
      </c>
      <c r="Q60" s="226">
        <v>0</v>
      </c>
      <c r="R60" s="226">
        <v>0</v>
      </c>
      <c r="S60" s="493">
        <f t="shared" si="37"/>
        <v>0</v>
      </c>
      <c r="T60" s="199"/>
      <c r="U60" s="235">
        <v>0</v>
      </c>
      <c r="V60" s="226">
        <v>0</v>
      </c>
      <c r="W60" s="226">
        <v>0</v>
      </c>
      <c r="X60" s="226">
        <v>0</v>
      </c>
      <c r="Y60" s="493">
        <f t="shared" si="38"/>
        <v>0</v>
      </c>
      <c r="Z60" s="199"/>
      <c r="AA60" s="235">
        <v>0</v>
      </c>
      <c r="AB60" s="226">
        <v>0</v>
      </c>
      <c r="AC60" s="226">
        <v>0</v>
      </c>
      <c r="AD60" s="226">
        <v>0</v>
      </c>
      <c r="AE60" s="493">
        <f t="shared" si="39"/>
        <v>0</v>
      </c>
      <c r="AF60" s="199"/>
      <c r="AG60" s="235">
        <v>0</v>
      </c>
      <c r="AH60" s="226">
        <v>0</v>
      </c>
      <c r="AI60" s="226">
        <v>0</v>
      </c>
      <c r="AJ60" s="226">
        <v>0</v>
      </c>
      <c r="AK60" s="493">
        <f t="shared" si="40"/>
        <v>0</v>
      </c>
      <c r="AL60" s="199"/>
      <c r="AM60" s="235">
        <v>0</v>
      </c>
      <c r="AN60" s="226">
        <v>0</v>
      </c>
      <c r="AO60" s="226">
        <v>0</v>
      </c>
      <c r="AP60" s="226">
        <v>0</v>
      </c>
      <c r="AQ60" s="493">
        <f t="shared" si="41"/>
        <v>0</v>
      </c>
      <c r="AR60" s="199"/>
      <c r="AS60" s="235">
        <v>0</v>
      </c>
      <c r="AT60" s="226">
        <v>0</v>
      </c>
      <c r="AU60" s="226">
        <v>0</v>
      </c>
      <c r="AV60" s="226">
        <v>0</v>
      </c>
      <c r="AW60" s="493">
        <f t="shared" si="42"/>
        <v>0</v>
      </c>
      <c r="AX60" s="199"/>
      <c r="AY60" s="235">
        <v>0</v>
      </c>
      <c r="AZ60" s="226">
        <v>0</v>
      </c>
      <c r="BA60" s="226">
        <v>0</v>
      </c>
      <c r="BB60" s="226">
        <v>0</v>
      </c>
      <c r="BC60" s="493">
        <f t="shared" si="43"/>
        <v>0</v>
      </c>
      <c r="BD60" s="199"/>
      <c r="BE60" s="235">
        <v>0</v>
      </c>
      <c r="BF60" s="226">
        <v>5.1529999999999996</v>
      </c>
      <c r="BG60" s="226">
        <v>0</v>
      </c>
      <c r="BH60" s="226">
        <v>0</v>
      </c>
      <c r="BI60" s="493">
        <f t="shared" si="44"/>
        <v>5.1529999999999996</v>
      </c>
      <c r="BJ60" s="199"/>
      <c r="BK60" s="1274">
        <v>0</v>
      </c>
      <c r="BL60" s="1277">
        <v>0</v>
      </c>
      <c r="BM60" s="1277">
        <v>0</v>
      </c>
      <c r="BN60" s="1277">
        <v>0</v>
      </c>
      <c r="BO60" s="493">
        <f t="shared" si="45"/>
        <v>0</v>
      </c>
      <c r="BP60" s="199"/>
      <c r="BQ60" s="1274">
        <v>0</v>
      </c>
      <c r="BR60" s="1277">
        <v>0</v>
      </c>
      <c r="BS60" s="1277">
        <v>0</v>
      </c>
      <c r="BT60" s="1277">
        <v>0</v>
      </c>
      <c r="BU60" s="493">
        <f t="shared" si="46"/>
        <v>0</v>
      </c>
      <c r="BV60" s="199"/>
      <c r="BW60" s="235">
        <v>0</v>
      </c>
      <c r="BX60" s="226">
        <v>0</v>
      </c>
      <c r="BY60" s="226">
        <v>0</v>
      </c>
      <c r="BZ60" s="226">
        <v>0</v>
      </c>
      <c r="CA60" s="493">
        <f t="shared" si="48"/>
        <v>0</v>
      </c>
      <c r="CB60" s="199"/>
      <c r="CC60" s="235">
        <v>0</v>
      </c>
      <c r="CD60" s="226">
        <v>0</v>
      </c>
      <c r="CE60" s="226">
        <v>0</v>
      </c>
      <c r="CF60" s="226">
        <v>0</v>
      </c>
      <c r="CG60" s="493">
        <f t="shared" si="59"/>
        <v>0</v>
      </c>
      <c r="CH60" s="199"/>
      <c r="CI60" s="235">
        <v>0</v>
      </c>
      <c r="CJ60" s="226">
        <v>0</v>
      </c>
      <c r="CK60" s="226">
        <v>0</v>
      </c>
      <c r="CL60" s="226">
        <v>0</v>
      </c>
      <c r="CM60" s="493">
        <f t="shared" si="60"/>
        <v>0</v>
      </c>
      <c r="CN60" s="199"/>
      <c r="CO60" s="62"/>
      <c r="CP60" s="62"/>
      <c r="CQ60"/>
      <c r="CR60"/>
      <c r="CS60"/>
      <c r="CT60"/>
      <c r="CU60"/>
      <c r="CV60"/>
    </row>
    <row r="61" spans="1:100" s="16" customFormat="1" ht="11.25" customHeight="1" x14ac:dyDescent="0.2">
      <c r="A61" s="74"/>
      <c r="B61" s="490" t="s">
        <v>143</v>
      </c>
      <c r="C61" s="235">
        <v>0</v>
      </c>
      <c r="D61" s="226">
        <v>0</v>
      </c>
      <c r="E61" s="226">
        <v>0</v>
      </c>
      <c r="F61" s="226">
        <v>0</v>
      </c>
      <c r="G61" s="493">
        <f t="shared" si="35"/>
        <v>0</v>
      </c>
      <c r="H61" s="199"/>
      <c r="I61" s="235">
        <v>0</v>
      </c>
      <c r="J61" s="226">
        <v>0</v>
      </c>
      <c r="K61" s="226">
        <v>0</v>
      </c>
      <c r="L61" s="226">
        <v>0</v>
      </c>
      <c r="M61" s="493">
        <f t="shared" si="36"/>
        <v>0</v>
      </c>
      <c r="N61" s="199"/>
      <c r="O61" s="235">
        <v>0</v>
      </c>
      <c r="P61" s="226">
        <v>0</v>
      </c>
      <c r="Q61" s="226">
        <v>0</v>
      </c>
      <c r="R61" s="226">
        <v>0</v>
      </c>
      <c r="S61" s="493">
        <f t="shared" si="37"/>
        <v>0</v>
      </c>
      <c r="T61" s="199"/>
      <c r="U61" s="235">
        <v>0</v>
      </c>
      <c r="V61" s="226">
        <v>0</v>
      </c>
      <c r="W61" s="226">
        <v>0</v>
      </c>
      <c r="X61" s="226">
        <v>0</v>
      </c>
      <c r="Y61" s="493">
        <f t="shared" si="38"/>
        <v>0</v>
      </c>
      <c r="Z61" s="199"/>
      <c r="AA61" s="235">
        <v>0</v>
      </c>
      <c r="AB61" s="226">
        <v>0</v>
      </c>
      <c r="AC61" s="226">
        <v>0</v>
      </c>
      <c r="AD61" s="226">
        <v>0</v>
      </c>
      <c r="AE61" s="493">
        <f t="shared" si="39"/>
        <v>0</v>
      </c>
      <c r="AF61" s="199"/>
      <c r="AG61" s="235">
        <v>0</v>
      </c>
      <c r="AH61" s="226">
        <v>0</v>
      </c>
      <c r="AI61" s="226">
        <v>0</v>
      </c>
      <c r="AJ61" s="226">
        <v>0</v>
      </c>
      <c r="AK61" s="493">
        <f t="shared" si="40"/>
        <v>0</v>
      </c>
      <c r="AL61" s="199"/>
      <c r="AM61" s="235">
        <v>0</v>
      </c>
      <c r="AN61" s="226">
        <v>0</v>
      </c>
      <c r="AO61" s="226">
        <v>0</v>
      </c>
      <c r="AP61" s="226">
        <v>0</v>
      </c>
      <c r="AQ61" s="493">
        <f t="shared" si="41"/>
        <v>0</v>
      </c>
      <c r="AR61" s="199"/>
      <c r="AS61" s="235">
        <v>0</v>
      </c>
      <c r="AT61" s="226">
        <v>0</v>
      </c>
      <c r="AU61" s="226">
        <v>0</v>
      </c>
      <c r="AV61" s="226">
        <v>0</v>
      </c>
      <c r="AW61" s="493">
        <f t="shared" si="42"/>
        <v>0</v>
      </c>
      <c r="AX61" s="199"/>
      <c r="AY61" s="235">
        <v>0</v>
      </c>
      <c r="AZ61" s="226">
        <v>0</v>
      </c>
      <c r="BA61" s="226">
        <v>0</v>
      </c>
      <c r="BB61" s="226">
        <v>0</v>
      </c>
      <c r="BC61" s="493">
        <f t="shared" si="43"/>
        <v>0</v>
      </c>
      <c r="BD61" s="199"/>
      <c r="BE61" s="235">
        <v>0</v>
      </c>
      <c r="BF61" s="226">
        <v>0</v>
      </c>
      <c r="BG61" s="226">
        <v>7.6999999999999999E-2</v>
      </c>
      <c r="BH61" s="226">
        <v>0.34899999999999998</v>
      </c>
      <c r="BI61" s="493">
        <f t="shared" si="44"/>
        <v>0.42599999999999999</v>
      </c>
      <c r="BJ61" s="199"/>
      <c r="BK61" s="1274">
        <v>0</v>
      </c>
      <c r="BL61" s="1277">
        <v>0</v>
      </c>
      <c r="BM61" s="1277">
        <v>36.311999999999998</v>
      </c>
      <c r="BN61" s="1277">
        <v>0</v>
      </c>
      <c r="BO61" s="493">
        <f t="shared" si="45"/>
        <v>36.311999999999998</v>
      </c>
      <c r="BP61" s="199"/>
      <c r="BQ61" s="1274">
        <v>0</v>
      </c>
      <c r="BR61" s="1277">
        <v>0</v>
      </c>
      <c r="BS61" s="1277">
        <v>0</v>
      </c>
      <c r="BT61" s="1277">
        <v>0</v>
      </c>
      <c r="BU61" s="493">
        <f t="shared" si="46"/>
        <v>0</v>
      </c>
      <c r="BV61" s="199"/>
      <c r="BW61" s="235">
        <v>0</v>
      </c>
      <c r="BX61" s="226">
        <v>0</v>
      </c>
      <c r="BY61" s="226">
        <v>0</v>
      </c>
      <c r="BZ61" s="226">
        <v>0</v>
      </c>
      <c r="CA61" s="493">
        <f t="shared" si="48"/>
        <v>0</v>
      </c>
      <c r="CB61" s="199"/>
      <c r="CC61" s="235">
        <v>0</v>
      </c>
      <c r="CD61" s="226">
        <v>0</v>
      </c>
      <c r="CE61" s="226">
        <v>0</v>
      </c>
      <c r="CF61" s="226">
        <v>0</v>
      </c>
      <c r="CG61" s="493">
        <f t="shared" si="59"/>
        <v>0</v>
      </c>
      <c r="CH61" s="199"/>
      <c r="CI61" s="235">
        <v>0</v>
      </c>
      <c r="CJ61" s="226">
        <v>0</v>
      </c>
      <c r="CK61" s="226">
        <v>0</v>
      </c>
      <c r="CL61" s="226">
        <v>0</v>
      </c>
      <c r="CM61" s="493">
        <f t="shared" si="60"/>
        <v>0</v>
      </c>
      <c r="CN61" s="199"/>
      <c r="CO61" s="62"/>
      <c r="CP61" s="62"/>
      <c r="CQ61"/>
      <c r="CR61"/>
      <c r="CS61"/>
      <c r="CT61"/>
      <c r="CU61"/>
      <c r="CV61"/>
    </row>
    <row r="62" spans="1:100" s="16" customFormat="1" ht="11.25" customHeight="1" x14ac:dyDescent="0.2">
      <c r="A62" s="74"/>
      <c r="B62" s="490" t="s">
        <v>290</v>
      </c>
      <c r="C62" s="235">
        <v>0</v>
      </c>
      <c r="D62" s="226">
        <v>0</v>
      </c>
      <c r="E62" s="226">
        <v>0</v>
      </c>
      <c r="F62" s="226">
        <v>0</v>
      </c>
      <c r="G62" s="493">
        <f t="shared" si="35"/>
        <v>0</v>
      </c>
      <c r="H62" s="199"/>
      <c r="I62" s="235">
        <v>0</v>
      </c>
      <c r="J62" s="226">
        <v>0</v>
      </c>
      <c r="K62" s="226">
        <v>0</v>
      </c>
      <c r="L62" s="226">
        <v>0</v>
      </c>
      <c r="M62" s="493">
        <f t="shared" si="36"/>
        <v>0</v>
      </c>
      <c r="N62" s="199"/>
      <c r="O62" s="235">
        <v>0</v>
      </c>
      <c r="P62" s="226">
        <v>0</v>
      </c>
      <c r="Q62" s="226">
        <v>0</v>
      </c>
      <c r="R62" s="226">
        <v>0</v>
      </c>
      <c r="S62" s="493">
        <f t="shared" si="37"/>
        <v>0</v>
      </c>
      <c r="T62" s="199"/>
      <c r="U62" s="235">
        <v>0</v>
      </c>
      <c r="V62" s="226">
        <v>0</v>
      </c>
      <c r="W62" s="226">
        <v>0</v>
      </c>
      <c r="X62" s="226">
        <v>0</v>
      </c>
      <c r="Y62" s="493">
        <f t="shared" si="38"/>
        <v>0</v>
      </c>
      <c r="Z62" s="199"/>
      <c r="AA62" s="235">
        <v>0</v>
      </c>
      <c r="AB62" s="226">
        <v>0</v>
      </c>
      <c r="AC62" s="226">
        <v>0</v>
      </c>
      <c r="AD62" s="226">
        <v>0</v>
      </c>
      <c r="AE62" s="493">
        <f t="shared" si="39"/>
        <v>0</v>
      </c>
      <c r="AF62" s="199"/>
      <c r="AG62" s="235">
        <v>0</v>
      </c>
      <c r="AH62" s="226">
        <v>0</v>
      </c>
      <c r="AI62" s="226">
        <v>0</v>
      </c>
      <c r="AJ62" s="226">
        <v>0</v>
      </c>
      <c r="AK62" s="493">
        <f t="shared" si="40"/>
        <v>0</v>
      </c>
      <c r="AL62" s="199"/>
      <c r="AM62" s="235">
        <v>0</v>
      </c>
      <c r="AN62" s="226">
        <v>0</v>
      </c>
      <c r="AO62" s="226">
        <v>0</v>
      </c>
      <c r="AP62" s="226">
        <v>0</v>
      </c>
      <c r="AQ62" s="493">
        <f t="shared" si="41"/>
        <v>0</v>
      </c>
      <c r="AR62" s="199"/>
      <c r="AS62" s="235">
        <v>0</v>
      </c>
      <c r="AT62" s="226">
        <v>0</v>
      </c>
      <c r="AU62" s="226">
        <v>0</v>
      </c>
      <c r="AV62" s="226">
        <v>0</v>
      </c>
      <c r="AW62" s="493">
        <f t="shared" si="42"/>
        <v>0</v>
      </c>
      <c r="AX62" s="199"/>
      <c r="AY62" s="235">
        <v>0</v>
      </c>
      <c r="AZ62" s="226">
        <v>0</v>
      </c>
      <c r="BA62" s="226">
        <v>0</v>
      </c>
      <c r="BB62" s="226">
        <v>0</v>
      </c>
      <c r="BC62" s="493">
        <f t="shared" si="43"/>
        <v>0</v>
      </c>
      <c r="BD62" s="199"/>
      <c r="BE62" s="235">
        <f>12.3-BF62</f>
        <v>11.8</v>
      </c>
      <c r="BF62" s="226">
        <v>0.5</v>
      </c>
      <c r="BG62" s="226">
        <v>0</v>
      </c>
      <c r="BH62" s="226">
        <v>0</v>
      </c>
      <c r="BI62" s="493">
        <f t="shared" si="44"/>
        <v>12.3</v>
      </c>
      <c r="BJ62" s="199"/>
      <c r="BK62" s="1274">
        <v>0</v>
      </c>
      <c r="BL62" s="1277">
        <v>0</v>
      </c>
      <c r="BM62" s="1277">
        <v>-2.4060000000000001</v>
      </c>
      <c r="BN62" s="1277">
        <v>-0.7</v>
      </c>
      <c r="BO62" s="493">
        <f t="shared" si="45"/>
        <v>-3.1059999999999999</v>
      </c>
      <c r="BP62" s="199"/>
      <c r="BQ62" s="1274">
        <v>0</v>
      </c>
      <c r="BR62" s="1277">
        <v>0</v>
      </c>
      <c r="BS62" s="1277">
        <v>-77.256</v>
      </c>
      <c r="BT62" s="1277">
        <v>0</v>
      </c>
      <c r="BU62" s="493">
        <f t="shared" si="46"/>
        <v>-77.256</v>
      </c>
      <c r="BV62" s="199"/>
      <c r="BW62" s="235">
        <v>0</v>
      </c>
      <c r="BX62" s="226">
        <v>0</v>
      </c>
      <c r="BY62" s="226">
        <v>0</v>
      </c>
      <c r="BZ62" s="226">
        <v>0</v>
      </c>
      <c r="CA62" s="493">
        <f t="shared" si="48"/>
        <v>0</v>
      </c>
      <c r="CB62" s="199"/>
      <c r="CC62" s="235">
        <v>0</v>
      </c>
      <c r="CD62" s="226">
        <v>0</v>
      </c>
      <c r="CE62" s="226">
        <v>0</v>
      </c>
      <c r="CF62" s="226">
        <v>0</v>
      </c>
      <c r="CG62" s="493">
        <f t="shared" si="59"/>
        <v>0</v>
      </c>
      <c r="CH62" s="199"/>
      <c r="CI62" s="235">
        <v>0</v>
      </c>
      <c r="CJ62" s="226">
        <v>0</v>
      </c>
      <c r="CK62" s="226">
        <v>0</v>
      </c>
      <c r="CL62" s="226">
        <v>0</v>
      </c>
      <c r="CM62" s="493">
        <f t="shared" si="60"/>
        <v>0</v>
      </c>
      <c r="CN62" s="199"/>
      <c r="CO62" s="62"/>
      <c r="CP62" s="62"/>
      <c r="CQ62"/>
      <c r="CR62"/>
      <c r="CS62"/>
      <c r="CT62"/>
      <c r="CU62"/>
      <c r="CV62"/>
    </row>
    <row r="63" spans="1:100" s="16" customFormat="1" ht="11.25" customHeight="1" x14ac:dyDescent="0.2">
      <c r="A63" s="74"/>
      <c r="B63" s="490" t="s">
        <v>291</v>
      </c>
      <c r="C63" s="235">
        <v>0</v>
      </c>
      <c r="D63" s="226">
        <v>0</v>
      </c>
      <c r="E63" s="226">
        <v>0</v>
      </c>
      <c r="F63" s="226">
        <v>0</v>
      </c>
      <c r="G63" s="493">
        <f t="shared" si="35"/>
        <v>0</v>
      </c>
      <c r="H63" s="199"/>
      <c r="I63" s="235">
        <v>0</v>
      </c>
      <c r="J63" s="226">
        <v>0</v>
      </c>
      <c r="K63" s="226">
        <v>0</v>
      </c>
      <c r="L63" s="226">
        <v>0</v>
      </c>
      <c r="M63" s="493">
        <f t="shared" si="36"/>
        <v>0</v>
      </c>
      <c r="N63" s="199"/>
      <c r="O63" s="235">
        <v>0</v>
      </c>
      <c r="P63" s="226">
        <v>0</v>
      </c>
      <c r="Q63" s="226">
        <v>0</v>
      </c>
      <c r="R63" s="226">
        <v>0</v>
      </c>
      <c r="S63" s="493">
        <f t="shared" si="37"/>
        <v>0</v>
      </c>
      <c r="T63" s="199"/>
      <c r="U63" s="235">
        <v>0</v>
      </c>
      <c r="V63" s="226">
        <v>0</v>
      </c>
      <c r="W63" s="226">
        <v>0</v>
      </c>
      <c r="X63" s="226">
        <v>0</v>
      </c>
      <c r="Y63" s="493">
        <f t="shared" si="38"/>
        <v>0</v>
      </c>
      <c r="Z63" s="199"/>
      <c r="AA63" s="235">
        <v>0</v>
      </c>
      <c r="AB63" s="226">
        <v>0</v>
      </c>
      <c r="AC63" s="226">
        <v>0</v>
      </c>
      <c r="AD63" s="226">
        <v>0</v>
      </c>
      <c r="AE63" s="493">
        <f t="shared" si="39"/>
        <v>0</v>
      </c>
      <c r="AF63" s="199"/>
      <c r="AG63" s="235">
        <v>0</v>
      </c>
      <c r="AH63" s="226">
        <v>0</v>
      </c>
      <c r="AI63" s="226">
        <v>0</v>
      </c>
      <c r="AJ63" s="226">
        <v>0</v>
      </c>
      <c r="AK63" s="493">
        <f t="shared" si="40"/>
        <v>0</v>
      </c>
      <c r="AL63" s="199"/>
      <c r="AM63" s="235">
        <v>0</v>
      </c>
      <c r="AN63" s="226">
        <v>0</v>
      </c>
      <c r="AO63" s="226">
        <v>0</v>
      </c>
      <c r="AP63" s="226">
        <v>0</v>
      </c>
      <c r="AQ63" s="493">
        <f t="shared" si="41"/>
        <v>0</v>
      </c>
      <c r="AR63" s="199"/>
      <c r="AS63" s="235">
        <v>0</v>
      </c>
      <c r="AT63" s="226">
        <f>(-(3.2%*998.834)-((-2.4+0.6)%*998.834))+6.65</f>
        <v>-7.3336760000000023</v>
      </c>
      <c r="AU63" s="226">
        <f>-((0.1%*1082.679)-(0.916))</f>
        <v>-0.16667900000000013</v>
      </c>
      <c r="AV63" s="226">
        <f>-((0.6%*1102.077)-(5.701))</f>
        <v>-0.91146200000000022</v>
      </c>
      <c r="AW63" s="493">
        <f t="shared" si="42"/>
        <v>-8.4118170000000028</v>
      </c>
      <c r="AX63" s="199"/>
      <c r="AY63" s="235">
        <v>-0.81299999999999994</v>
      </c>
      <c r="AZ63" s="226">
        <v>-0.81899999999999995</v>
      </c>
      <c r="BA63" s="226">
        <v>-0.84099999999999997</v>
      </c>
      <c r="BB63" s="226">
        <v>-1.431</v>
      </c>
      <c r="BC63" s="493">
        <f t="shared" si="43"/>
        <v>-3.9039999999999999</v>
      </c>
      <c r="BD63" s="199"/>
      <c r="BE63" s="235">
        <f>-(3.109+6.31+1.354+1.948)-BF63</f>
        <v>-6.0140000000000011</v>
      </c>
      <c r="BF63" s="226">
        <f>-(0.046+3.888+0.825+1.948)</f>
        <v>-6.706999999999999</v>
      </c>
      <c r="BG63" s="226">
        <f>-((0.9%*1400.853)-(0.028+6.921+0.925+0.077))</f>
        <v>-4.6566770000000028</v>
      </c>
      <c r="BH63" s="226">
        <f>-((0.9%*1453.77)-(0.353+6.91+0.863+0.349))</f>
        <v>-4.6089300000000009</v>
      </c>
      <c r="BI63" s="493">
        <f t="shared" si="44"/>
        <v>-21.986607000000003</v>
      </c>
      <c r="BJ63" s="199"/>
      <c r="BK63" s="1274">
        <f>-(0.469+6.914+2.147)-BL63</f>
        <v>-5.3509999999999991</v>
      </c>
      <c r="BL63" s="1277">
        <f>-(0.338+3.537+0.304)</f>
        <v>-4.1790000000000003</v>
      </c>
      <c r="BM63" s="1277">
        <f>-(0.089+3.48+13.263+0.236)</f>
        <v>-17.068000000000001</v>
      </c>
      <c r="BN63" s="1277">
        <f>-(0.067+3.375+0.098+2.383)</f>
        <v>-5.923</v>
      </c>
      <c r="BO63" s="493">
        <f t="shared" si="45"/>
        <v>-32.521000000000001</v>
      </c>
      <c r="BP63" s="199"/>
      <c r="BQ63" s="1274">
        <f>-(3.345+2.611)</f>
        <v>-5.9560000000000004</v>
      </c>
      <c r="BR63" s="1277">
        <f>-(3.346+0.638)</f>
        <v>-3.984</v>
      </c>
      <c r="BS63" s="1277">
        <f>-(2.209-0.37)</f>
        <v>-1.839</v>
      </c>
      <c r="BT63" s="1277">
        <f>BT56*(35%)</f>
        <v>-3.3921999999999999</v>
      </c>
      <c r="BU63" s="493">
        <f t="shared" si="46"/>
        <v>-15.171200000000002</v>
      </c>
      <c r="BV63" s="199"/>
      <c r="BW63" s="235">
        <f>BW56*(1-35%)</f>
        <v>0</v>
      </c>
      <c r="BX63" s="226">
        <f>BX56*(1-35%)</f>
        <v>0</v>
      </c>
      <c r="BY63" s="226">
        <f t="shared" ref="BY63:BZ63" si="64">BY56*(1-35%)</f>
        <v>0</v>
      </c>
      <c r="BZ63" s="226">
        <f t="shared" si="64"/>
        <v>0</v>
      </c>
      <c r="CA63" s="493">
        <f t="shared" si="48"/>
        <v>0</v>
      </c>
      <c r="CB63" s="199"/>
      <c r="CC63" s="235">
        <f t="shared" ref="CC63:CL63" si="65">CC56*(1-35%)</f>
        <v>0</v>
      </c>
      <c r="CD63" s="226">
        <f t="shared" si="65"/>
        <v>0</v>
      </c>
      <c r="CE63" s="226">
        <f t="shared" si="65"/>
        <v>0</v>
      </c>
      <c r="CF63" s="226">
        <f t="shared" si="65"/>
        <v>0</v>
      </c>
      <c r="CG63" s="493">
        <f t="shared" si="59"/>
        <v>0</v>
      </c>
      <c r="CH63" s="199"/>
      <c r="CI63" s="235">
        <f t="shared" ref="CI63:CJ63" si="66">CI56*(1-35%)</f>
        <v>0</v>
      </c>
      <c r="CJ63" s="235">
        <f t="shared" si="66"/>
        <v>0</v>
      </c>
      <c r="CK63" s="226">
        <f t="shared" si="65"/>
        <v>0</v>
      </c>
      <c r="CL63" s="226">
        <f t="shared" si="65"/>
        <v>0</v>
      </c>
      <c r="CM63" s="493">
        <f t="shared" si="60"/>
        <v>0</v>
      </c>
      <c r="CN63" s="199"/>
      <c r="CO63" s="62"/>
      <c r="CP63" s="62"/>
      <c r="CQ63"/>
      <c r="CR63"/>
      <c r="CS63"/>
      <c r="CT63"/>
      <c r="CU63"/>
      <c r="CV63"/>
    </row>
    <row r="64" spans="1:100" s="16" customFormat="1" ht="11.25" customHeight="1" x14ac:dyDescent="0.2">
      <c r="A64" s="72"/>
      <c r="B64" s="276" t="s">
        <v>297</v>
      </c>
      <c r="C64" s="223">
        <f>C23+C56</f>
        <v>41.584000000000046</v>
      </c>
      <c r="D64" s="211">
        <f>D23+D56</f>
        <v>48.237000000000023</v>
      </c>
      <c r="E64" s="211">
        <f>E23+E56</f>
        <v>58.591000000000015</v>
      </c>
      <c r="F64" s="211">
        <f>F23+F56</f>
        <v>59.923999999999999</v>
      </c>
      <c r="G64" s="492">
        <f>G23+G56</f>
        <v>208.33599999999984</v>
      </c>
      <c r="H64" s="211"/>
      <c r="I64" s="223">
        <f>I23+I56</f>
        <v>47.544000000000025</v>
      </c>
      <c r="J64" s="211">
        <f>J23+J56</f>
        <v>53.740999999999964</v>
      </c>
      <c r="K64" s="211">
        <f>K23+K56</f>
        <v>60.364000000000033</v>
      </c>
      <c r="L64" s="211">
        <f>L23+L56</f>
        <v>63.208999999999996</v>
      </c>
      <c r="M64" s="492">
        <f>M23+M56</f>
        <v>224.858</v>
      </c>
      <c r="N64" s="211"/>
      <c r="O64" s="223">
        <f>O23+O56</f>
        <v>45.964000000000013</v>
      </c>
      <c r="P64" s="211">
        <f>P23+P56</f>
        <v>46.902999999999977</v>
      </c>
      <c r="Q64" s="211">
        <f>Q23+Q56</f>
        <v>52.807000000000031</v>
      </c>
      <c r="R64" s="211">
        <f>R23+R56</f>
        <v>53.961000000000006</v>
      </c>
      <c r="S64" s="492">
        <f>S23+S56</f>
        <v>199.63500000000036</v>
      </c>
      <c r="T64" s="211"/>
      <c r="U64" s="223">
        <f>U23+U56</f>
        <v>45.05699999999996</v>
      </c>
      <c r="V64" s="211">
        <f>V23+V56</f>
        <v>49.343000000000046</v>
      </c>
      <c r="W64" s="211">
        <f>W23+W56</f>
        <v>56.048999999999971</v>
      </c>
      <c r="X64" s="211">
        <f>X23+X56</f>
        <v>61.805</v>
      </c>
      <c r="Y64" s="492">
        <f>Y23+Y56</f>
        <v>212.25400000000042</v>
      </c>
      <c r="Z64" s="211"/>
      <c r="AA64" s="223">
        <f>AA23+AA56</f>
        <v>53.925000000000054</v>
      </c>
      <c r="AB64" s="211">
        <f>AB23+AB56</f>
        <v>53.357000000000014</v>
      </c>
      <c r="AC64" s="211">
        <f>AC23+AC56</f>
        <v>55.395999999999987</v>
      </c>
      <c r="AD64" s="211">
        <f>AD23+AD56</f>
        <v>62.707000000000058</v>
      </c>
      <c r="AE64" s="492">
        <f>AE23+AE56</f>
        <v>225.38500000000028</v>
      </c>
      <c r="AF64" s="211"/>
      <c r="AG64" s="223">
        <f>AG23+AG56</f>
        <v>48.61000000000007</v>
      </c>
      <c r="AH64" s="211">
        <f>AH23+AH56</f>
        <v>48.953999999999951</v>
      </c>
      <c r="AI64" s="211">
        <f>AI23+AI56</f>
        <v>53.108000000000004</v>
      </c>
      <c r="AJ64" s="211">
        <f>AJ23+AJ56</f>
        <v>62.143000000000001</v>
      </c>
      <c r="AK64" s="492">
        <f>AK23+AK56</f>
        <v>212.81500000000011</v>
      </c>
      <c r="AL64" s="211"/>
      <c r="AM64" s="223">
        <f>AM23+AM56</f>
        <v>47.53799999999994</v>
      </c>
      <c r="AN64" s="211">
        <f>AN23+AN56</f>
        <v>45.541999999999945</v>
      </c>
      <c r="AO64" s="211">
        <f>AO23+AO56</f>
        <v>53.63000000000001</v>
      </c>
      <c r="AP64" s="211">
        <f>AP23+AP56</f>
        <v>63.562000000000012</v>
      </c>
      <c r="AQ64" s="492">
        <f>AQ23+AQ56</f>
        <v>210.27199999999979</v>
      </c>
      <c r="AR64" s="211"/>
      <c r="AS64" s="223">
        <f>AS23+AS56</f>
        <v>45.892000000000039</v>
      </c>
      <c r="AT64" s="211">
        <f>AT23+AT56</f>
        <v>42.027999999999906</v>
      </c>
      <c r="AU64" s="211">
        <f>AU23+AU56</f>
        <v>57.020999999999987</v>
      </c>
      <c r="AV64" s="211">
        <f>AV23+AV56</f>
        <v>55.669999999999938</v>
      </c>
      <c r="AW64" s="492">
        <f>AW23+AW56</f>
        <v>200.61099999999982</v>
      </c>
      <c r="AX64" s="211"/>
      <c r="AY64" s="223">
        <f>AY23+AY56</f>
        <v>38.324999999999953</v>
      </c>
      <c r="AZ64" s="211">
        <f>AZ23+AZ56</f>
        <v>41.865000000000038</v>
      </c>
      <c r="BA64" s="211">
        <f>BA23+BA56</f>
        <v>46.43399999999999</v>
      </c>
      <c r="BB64" s="211">
        <f>BB23+BB56</f>
        <v>53.458999999999968</v>
      </c>
      <c r="BC64" s="492">
        <f>BC23+BC56</f>
        <v>180.08300000000003</v>
      </c>
      <c r="BD64" s="211"/>
      <c r="BE64" s="223">
        <f>BE23+BE56</f>
        <v>20.310999999999915</v>
      </c>
      <c r="BF64" s="211">
        <f>BF23+BF56</f>
        <v>42.563000000000116</v>
      </c>
      <c r="BG64" s="211">
        <f>BG23+BG56</f>
        <v>57.190000000000033</v>
      </c>
      <c r="BH64" s="211">
        <f>BH23+BH56</f>
        <v>65.62</v>
      </c>
      <c r="BI64" s="492">
        <f>BI23+BI56</f>
        <v>185.68399999999954</v>
      </c>
      <c r="BJ64" s="211"/>
      <c r="BK64" s="223">
        <f>BK23+BK56</f>
        <v>38.905999999999899</v>
      </c>
      <c r="BL64" s="211">
        <f>BL23+BL56</f>
        <v>45.756000000000036</v>
      </c>
      <c r="BM64" s="211">
        <f>BM23+BM56</f>
        <v>27.768999999999995</v>
      </c>
      <c r="BN64" s="211">
        <f>BN23+BN56</f>
        <v>62.057000000000002</v>
      </c>
      <c r="BO64" s="492">
        <f>BO23+BO56</f>
        <v>174.48799999999994</v>
      </c>
      <c r="BP64" s="211"/>
      <c r="BQ64" s="223">
        <f>BQ23+BQ56</f>
        <v>30.846999999999991</v>
      </c>
      <c r="BR64" s="211">
        <f>BR23+BR56</f>
        <v>40.243999999999971</v>
      </c>
      <c r="BS64" s="211">
        <f>BS23+BS56</f>
        <v>108.955</v>
      </c>
      <c r="BT64" s="1400">
        <f>BT23+BT56</f>
        <v>25.941522154097179</v>
      </c>
      <c r="BU64" s="492">
        <f>BU23+BU56</f>
        <v>205.98752215409692</v>
      </c>
      <c r="BV64" s="211"/>
      <c r="BW64" s="223">
        <f>BW23+BW56+BW63</f>
        <v>32.165741645425328</v>
      </c>
      <c r="BX64" s="211">
        <f t="shared" ref="BX64:BZ64" si="67">BX23+BX56+BX63</f>
        <v>35.803154237920204</v>
      </c>
      <c r="BY64" s="211">
        <f t="shared" si="67"/>
        <v>38.005353822883507</v>
      </c>
      <c r="BZ64" s="211">
        <f t="shared" si="67"/>
        <v>40.485967374714328</v>
      </c>
      <c r="CA64" s="492">
        <f>CA23+CA56</f>
        <v>146.46021708094327</v>
      </c>
      <c r="CB64" s="211"/>
      <c r="CC64" s="223">
        <f t="shared" ref="CC64" si="68">CC23+CC56+CC63</f>
        <v>34.776361148846661</v>
      </c>
      <c r="CD64" s="211">
        <f t="shared" ref="CD64" si="69">CD23+CD56+CD63</f>
        <v>38.470863064159765</v>
      </c>
      <c r="CE64" s="211">
        <f t="shared" ref="CE64" si="70">CE23+CE56+CE63</f>
        <v>40.286895173204577</v>
      </c>
      <c r="CF64" s="211">
        <f t="shared" ref="CF64" si="71">CF23+CF56+CF63</f>
        <v>43.011925519346057</v>
      </c>
      <c r="CG64" s="492">
        <f t="shared" ref="CG64" si="72">CG23+CG56</f>
        <v>156.54604490555732</v>
      </c>
      <c r="CH64" s="211"/>
      <c r="CI64" s="223">
        <f t="shared" ref="CI64" si="73">CI23+CI56+CI63</f>
        <v>31.618915253443706</v>
      </c>
      <c r="CJ64" s="211">
        <f t="shared" ref="CJ64" si="74">CJ23+CJ56+CJ63</f>
        <v>35.054619580729785</v>
      </c>
      <c r="CK64" s="211">
        <f t="shared" ref="CK64" si="75">CK23+CK56+CK63</f>
        <v>37.279603992360222</v>
      </c>
      <c r="CL64" s="211">
        <f t="shared" ref="CL64" si="76">CL23+CL56+CL63</f>
        <v>39.826516370154735</v>
      </c>
      <c r="CM64" s="492">
        <f t="shared" ref="CM64" si="77">CM23+CM56</f>
        <v>143.77965519668822</v>
      </c>
      <c r="CN64" s="211"/>
      <c r="CO64" s="97"/>
      <c r="CP64" s="97"/>
      <c r="CQ64"/>
      <c r="CR64"/>
      <c r="CS64"/>
      <c r="CT64"/>
      <c r="CU64"/>
      <c r="CV64"/>
    </row>
    <row r="65" spans="1:100" s="16" customFormat="1" ht="11.25" customHeight="1" x14ac:dyDescent="0.2">
      <c r="A65" s="74"/>
      <c r="B65" s="490" t="s">
        <v>298</v>
      </c>
      <c r="C65" s="235">
        <v>0</v>
      </c>
      <c r="D65" s="226"/>
      <c r="E65" s="226"/>
      <c r="F65" s="226"/>
      <c r="G65" s="493">
        <f>SUM(C65:F65)</f>
        <v>0</v>
      </c>
      <c r="H65" s="199"/>
      <c r="I65" s="235">
        <v>0</v>
      </c>
      <c r="J65" s="226"/>
      <c r="K65" s="226"/>
      <c r="L65" s="226"/>
      <c r="M65" s="493">
        <f>SUM(I65:L65)</f>
        <v>0</v>
      </c>
      <c r="N65" s="199"/>
      <c r="O65" s="235">
        <v>0</v>
      </c>
      <c r="P65" s="226"/>
      <c r="Q65" s="226"/>
      <c r="R65" s="226"/>
      <c r="S65" s="493">
        <f>SUM(O65:R65)</f>
        <v>0</v>
      </c>
      <c r="T65" s="199"/>
      <c r="U65" s="235">
        <v>0</v>
      </c>
      <c r="V65" s="226"/>
      <c r="W65" s="226"/>
      <c r="X65" s="226"/>
      <c r="Y65" s="493">
        <f>SUM(U65:X65)</f>
        <v>0</v>
      </c>
      <c r="Z65" s="199"/>
      <c r="AA65" s="235">
        <v>0</v>
      </c>
      <c r="AB65" s="226">
        <v>0</v>
      </c>
      <c r="AC65" s="226">
        <v>0</v>
      </c>
      <c r="AD65" s="226">
        <v>0</v>
      </c>
      <c r="AE65" s="493">
        <f>SUM(AA65:AD65)</f>
        <v>0</v>
      </c>
      <c r="AF65" s="199"/>
      <c r="AG65" s="235">
        <v>0</v>
      </c>
      <c r="AH65" s="226">
        <v>0</v>
      </c>
      <c r="AI65" s="226">
        <v>0</v>
      </c>
      <c r="AJ65" s="226">
        <v>0</v>
      </c>
      <c r="AK65" s="493">
        <f>SUM(AG65:AJ65)</f>
        <v>0</v>
      </c>
      <c r="AL65" s="199"/>
      <c r="AM65" s="235">
        <v>0</v>
      </c>
      <c r="AN65" s="226">
        <v>0</v>
      </c>
      <c r="AO65" s="226">
        <v>0</v>
      </c>
      <c r="AP65" s="226">
        <v>0</v>
      </c>
      <c r="AQ65" s="493">
        <f>SUM(AM65:AP65)</f>
        <v>0</v>
      </c>
      <c r="AR65" s="199"/>
      <c r="AS65" s="235">
        <v>0</v>
      </c>
      <c r="AT65" s="226">
        <v>0</v>
      </c>
      <c r="AU65" s="226">
        <v>0</v>
      </c>
      <c r="AV65" s="226">
        <v>0</v>
      </c>
      <c r="AW65" s="493">
        <f>SUM(AS65:AV65)</f>
        <v>0</v>
      </c>
      <c r="AX65" s="199"/>
      <c r="AY65" s="235">
        <v>11.964</v>
      </c>
      <c r="AZ65" s="226">
        <v>11.913</v>
      </c>
      <c r="BA65" s="226">
        <v>8.2420000000000009</v>
      </c>
      <c r="BB65" s="226">
        <v>11.058999999999999</v>
      </c>
      <c r="BC65" s="493">
        <f>SUM(AY65:BB65)</f>
        <v>43.177999999999997</v>
      </c>
      <c r="BD65" s="199"/>
      <c r="BE65" s="235">
        <v>9.3919999999999995</v>
      </c>
      <c r="BF65" s="226">
        <v>-7.1420000000000003</v>
      </c>
      <c r="BG65" s="226">
        <v>-0.75</v>
      </c>
      <c r="BH65" s="226">
        <v>0</v>
      </c>
      <c r="BI65" s="493">
        <f t="shared" si="44"/>
        <v>1.4999999999999991</v>
      </c>
      <c r="BJ65" s="199"/>
      <c r="BK65" s="1274">
        <v>0</v>
      </c>
      <c r="BL65" s="1277">
        <v>0</v>
      </c>
      <c r="BM65" s="1277">
        <v>-3.2290000000000001</v>
      </c>
      <c r="BN65" s="1277">
        <v>0.33400000000000002</v>
      </c>
      <c r="BO65" s="493">
        <f t="shared" si="45"/>
        <v>-2.895</v>
      </c>
      <c r="BP65" s="199"/>
      <c r="BQ65" s="1274">
        <v>0</v>
      </c>
      <c r="BR65" s="1277">
        <v>0</v>
      </c>
      <c r="BS65" s="1277">
        <v>0</v>
      </c>
      <c r="BT65" s="1277">
        <v>0</v>
      </c>
      <c r="BU65" s="493">
        <f t="shared" si="46"/>
        <v>0</v>
      </c>
      <c r="BV65" s="199"/>
      <c r="BW65" s="235">
        <v>0</v>
      </c>
      <c r="BX65" s="226">
        <v>0</v>
      </c>
      <c r="BY65" s="226">
        <v>0</v>
      </c>
      <c r="BZ65" s="226">
        <v>0</v>
      </c>
      <c r="CA65" s="493">
        <f>SUM(BW65:BZ65)</f>
        <v>0</v>
      </c>
      <c r="CB65" s="199"/>
      <c r="CC65" s="235">
        <v>0</v>
      </c>
      <c r="CD65" s="226">
        <v>0</v>
      </c>
      <c r="CE65" s="226">
        <v>0</v>
      </c>
      <c r="CF65" s="226">
        <v>0</v>
      </c>
      <c r="CG65" s="493">
        <f>SUM(CC65:CF65)</f>
        <v>0</v>
      </c>
      <c r="CH65" s="199"/>
      <c r="CI65" s="235">
        <v>0</v>
      </c>
      <c r="CJ65" s="226">
        <v>0</v>
      </c>
      <c r="CK65" s="226">
        <v>0</v>
      </c>
      <c r="CL65" s="226">
        <v>0</v>
      </c>
      <c r="CM65" s="493">
        <f>SUM(CI65:CL65)</f>
        <v>0</v>
      </c>
      <c r="CN65" s="199"/>
      <c r="CO65" s="62"/>
      <c r="CP65" s="62"/>
      <c r="CQ65"/>
      <c r="CR65"/>
      <c r="CS65"/>
      <c r="CT65"/>
      <c r="CU65"/>
      <c r="CV65"/>
    </row>
    <row r="66" spans="1:100" s="16" customFormat="1" ht="11.25" customHeight="1" x14ac:dyDescent="0.2">
      <c r="A66" s="72"/>
      <c r="B66" s="276" t="s">
        <v>190</v>
      </c>
      <c r="C66" s="233">
        <f>+C64+C65</f>
        <v>41.584000000000046</v>
      </c>
      <c r="D66" s="220">
        <f>+D64+D65</f>
        <v>48.237000000000023</v>
      </c>
      <c r="E66" s="220">
        <f>+E64+E65</f>
        <v>58.591000000000015</v>
      </c>
      <c r="F66" s="211">
        <f>+F64+F65</f>
        <v>59.923999999999999</v>
      </c>
      <c r="G66" s="541">
        <f>+G64+G65</f>
        <v>208.33599999999984</v>
      </c>
      <c r="H66" s="211"/>
      <c r="I66" s="233">
        <f>+I64+I65</f>
        <v>47.544000000000025</v>
      </c>
      <c r="J66" s="220">
        <f>+J64+J65</f>
        <v>53.740999999999964</v>
      </c>
      <c r="K66" s="220">
        <f>+K64+K65</f>
        <v>60.364000000000033</v>
      </c>
      <c r="L66" s="211">
        <f>+L64+L65</f>
        <v>63.208999999999996</v>
      </c>
      <c r="M66" s="541">
        <f>+M64+M65</f>
        <v>224.858</v>
      </c>
      <c r="N66" s="211"/>
      <c r="O66" s="233">
        <f>+O64+O65</f>
        <v>45.964000000000013</v>
      </c>
      <c r="P66" s="220">
        <f>+P64+P65</f>
        <v>46.902999999999977</v>
      </c>
      <c r="Q66" s="220">
        <f>+Q64+Q65</f>
        <v>52.807000000000031</v>
      </c>
      <c r="R66" s="211">
        <f>+R64+R65</f>
        <v>53.961000000000006</v>
      </c>
      <c r="S66" s="541">
        <f>+S64+S65</f>
        <v>199.63500000000036</v>
      </c>
      <c r="T66" s="211"/>
      <c r="U66" s="233">
        <f>+U64+U65</f>
        <v>45.05699999999996</v>
      </c>
      <c r="V66" s="220">
        <f>+V64+V65</f>
        <v>49.343000000000046</v>
      </c>
      <c r="W66" s="220">
        <f>+W64+W65</f>
        <v>56.048999999999971</v>
      </c>
      <c r="X66" s="211">
        <f>+X64+X65</f>
        <v>61.805</v>
      </c>
      <c r="Y66" s="541">
        <f>+Y64+Y65</f>
        <v>212.25400000000042</v>
      </c>
      <c r="Z66" s="211"/>
      <c r="AA66" s="233">
        <f>+AA64+AA65</f>
        <v>53.925000000000054</v>
      </c>
      <c r="AB66" s="220">
        <f>+AB64+AB65</f>
        <v>53.357000000000014</v>
      </c>
      <c r="AC66" s="220">
        <f>+AC64+AC65</f>
        <v>55.395999999999987</v>
      </c>
      <c r="AD66" s="211">
        <f>+AD64+AD65</f>
        <v>62.707000000000058</v>
      </c>
      <c r="AE66" s="541">
        <f>+AE64+AE65</f>
        <v>225.38500000000028</v>
      </c>
      <c r="AF66" s="211"/>
      <c r="AG66" s="233">
        <f>+AG64+AG65</f>
        <v>48.61000000000007</v>
      </c>
      <c r="AH66" s="220">
        <f>+AH64+AH65</f>
        <v>48.953999999999951</v>
      </c>
      <c r="AI66" s="220">
        <f>+AI64+AI65</f>
        <v>53.108000000000004</v>
      </c>
      <c r="AJ66" s="211">
        <f>+AJ64+AJ65</f>
        <v>62.143000000000001</v>
      </c>
      <c r="AK66" s="541">
        <f>+AK64+AK65</f>
        <v>212.81500000000011</v>
      </c>
      <c r="AL66" s="211"/>
      <c r="AM66" s="233">
        <f>+AM64+AM65</f>
        <v>47.53799999999994</v>
      </c>
      <c r="AN66" s="220">
        <f>+AN64+AN65</f>
        <v>45.541999999999945</v>
      </c>
      <c r="AO66" s="220">
        <f>+AO64+AO65</f>
        <v>53.63000000000001</v>
      </c>
      <c r="AP66" s="211">
        <f>+AP64+AP65</f>
        <v>63.562000000000012</v>
      </c>
      <c r="AQ66" s="541">
        <f>+AQ64+AQ65</f>
        <v>210.27199999999979</v>
      </c>
      <c r="AR66" s="211"/>
      <c r="AS66" s="233">
        <f>+AS64+AS65</f>
        <v>45.892000000000039</v>
      </c>
      <c r="AT66" s="220">
        <f>+AT64+AT65</f>
        <v>42.027999999999906</v>
      </c>
      <c r="AU66" s="220">
        <f>+AU64+AU65</f>
        <v>57.020999999999987</v>
      </c>
      <c r="AV66" s="211">
        <f>+AV64+AV65</f>
        <v>55.669999999999938</v>
      </c>
      <c r="AW66" s="541">
        <f>+AW64+AW65</f>
        <v>200.61099999999982</v>
      </c>
      <c r="AX66" s="211"/>
      <c r="AY66" s="233">
        <f>+AY64+AY65</f>
        <v>50.288999999999952</v>
      </c>
      <c r="AZ66" s="220">
        <f>+AZ64+AZ65</f>
        <v>53.778000000000034</v>
      </c>
      <c r="BA66" s="220">
        <f>+BA64+BA65</f>
        <v>54.675999999999988</v>
      </c>
      <c r="BB66" s="211">
        <f>+BB64+BB65</f>
        <v>64.517999999999972</v>
      </c>
      <c r="BC66" s="541">
        <f>+BC64+BC65</f>
        <v>223.26100000000002</v>
      </c>
      <c r="BD66" s="211"/>
      <c r="BE66" s="233">
        <f>+BE64+BE65</f>
        <v>29.702999999999914</v>
      </c>
      <c r="BF66" s="220">
        <f>+BF64+BF65</f>
        <v>35.421000000000113</v>
      </c>
      <c r="BG66" s="220">
        <f>+BG64+BG65</f>
        <v>56.440000000000033</v>
      </c>
      <c r="BH66" s="211">
        <f>+BH64+BH65</f>
        <v>65.62</v>
      </c>
      <c r="BI66" s="541">
        <f>+BI64+BI65</f>
        <v>187.18399999999954</v>
      </c>
      <c r="BJ66" s="211"/>
      <c r="BK66" s="233">
        <f>+BK64+BK65</f>
        <v>38.905999999999899</v>
      </c>
      <c r="BL66" s="220">
        <f>+BL64+BL65</f>
        <v>45.756000000000036</v>
      </c>
      <c r="BM66" s="220">
        <f>+BM64+BM65</f>
        <v>24.539999999999996</v>
      </c>
      <c r="BN66" s="211">
        <f>+BN64+BN65</f>
        <v>62.391000000000005</v>
      </c>
      <c r="BO66" s="541">
        <f>+BO64+BO65</f>
        <v>171.59299999999993</v>
      </c>
      <c r="BP66" s="211"/>
      <c r="BQ66" s="233">
        <f>+BQ64+BQ65</f>
        <v>30.846999999999991</v>
      </c>
      <c r="BR66" s="220">
        <f>+BR64+BR65</f>
        <v>40.243999999999971</v>
      </c>
      <c r="BS66" s="220">
        <f>+BS64+BS65</f>
        <v>108.955</v>
      </c>
      <c r="BT66" s="211">
        <f>+BT64+BT65</f>
        <v>25.941522154097179</v>
      </c>
      <c r="BU66" s="541">
        <f>+BU64+BU65</f>
        <v>205.98752215409692</v>
      </c>
      <c r="BV66" s="211"/>
      <c r="BW66" s="233">
        <f>+BW64+BW65</f>
        <v>32.165741645425328</v>
      </c>
      <c r="BX66" s="220">
        <f>+BX64+BX65</f>
        <v>35.803154237920204</v>
      </c>
      <c r="BY66" s="220">
        <f>+BY64+BY65</f>
        <v>38.005353822883507</v>
      </c>
      <c r="BZ66" s="211">
        <f>+BZ64+BZ65</f>
        <v>40.485967374714328</v>
      </c>
      <c r="CA66" s="541">
        <f>+CA64+CA65</f>
        <v>146.46021708094327</v>
      </c>
      <c r="CB66" s="211"/>
      <c r="CC66" s="233">
        <f>+CC64+CC65</f>
        <v>34.776361148846661</v>
      </c>
      <c r="CD66" s="220">
        <f>+CD64+CD65</f>
        <v>38.470863064159765</v>
      </c>
      <c r="CE66" s="220">
        <f>+CE64+CE65</f>
        <v>40.286895173204577</v>
      </c>
      <c r="CF66" s="211">
        <f>+CF64+CF65</f>
        <v>43.011925519346057</v>
      </c>
      <c r="CG66" s="541">
        <f>+CG64+CG65</f>
        <v>156.54604490555732</v>
      </c>
      <c r="CH66" s="211"/>
      <c r="CI66" s="233">
        <f>+CI64+CI65</f>
        <v>31.618915253443706</v>
      </c>
      <c r="CJ66" s="220">
        <f>+CJ64+CJ65</f>
        <v>35.054619580729785</v>
      </c>
      <c r="CK66" s="220">
        <f>+CK64+CK65</f>
        <v>37.279603992360222</v>
      </c>
      <c r="CL66" s="211">
        <f>+CL64+CL65</f>
        <v>39.826516370154735</v>
      </c>
      <c r="CM66" s="541">
        <f>+CM64+CM65</f>
        <v>143.77965519668822</v>
      </c>
      <c r="CN66" s="211"/>
      <c r="CO66" s="97"/>
      <c r="CP66" s="97"/>
      <c r="CQ66"/>
      <c r="CR66"/>
      <c r="CS66"/>
      <c r="CT66"/>
      <c r="CU66"/>
      <c r="CV66"/>
    </row>
    <row r="67" spans="1:100" s="16" customFormat="1" ht="11.25" customHeight="1" x14ac:dyDescent="0.2">
      <c r="A67" s="83"/>
      <c r="B67" s="539" t="s">
        <v>179</v>
      </c>
      <c r="C67" s="442">
        <f t="shared" ref="C67:AH67" si="78">C66/C26</f>
        <v>0.29880432283283542</v>
      </c>
      <c r="D67" s="443">
        <f t="shared" si="78"/>
        <v>0.34770918632143488</v>
      </c>
      <c r="E67" s="443">
        <f t="shared" si="78"/>
        <v>0.42902751030629666</v>
      </c>
      <c r="F67" s="82">
        <f t="shared" si="78"/>
        <v>0.43864375018300006</v>
      </c>
      <c r="G67" s="542">
        <f t="shared" si="78"/>
        <v>1.5122124716010121</v>
      </c>
      <c r="H67" s="480"/>
      <c r="I67" s="442">
        <f t="shared" si="78"/>
        <v>0.34768364474021007</v>
      </c>
      <c r="J67" s="443">
        <f t="shared" si="78"/>
        <v>0.39249066993857834</v>
      </c>
      <c r="K67" s="443">
        <f t="shared" si="78"/>
        <v>0.44735613443509864</v>
      </c>
      <c r="L67" s="82">
        <f t="shared" si="78"/>
        <v>0.51374812045352947</v>
      </c>
      <c r="M67" s="542">
        <f t="shared" si="78"/>
        <v>1.691933784800602</v>
      </c>
      <c r="N67" s="480"/>
      <c r="O67" s="442">
        <f t="shared" si="78"/>
        <v>0.38718916369027573</v>
      </c>
      <c r="P67" s="443">
        <f t="shared" si="78"/>
        <v>0.396381245351903</v>
      </c>
      <c r="Q67" s="443">
        <f t="shared" si="78"/>
        <v>0.4470093283897949</v>
      </c>
      <c r="R67" s="82">
        <f t="shared" si="78"/>
        <v>0.45634138709650146</v>
      </c>
      <c r="S67" s="542">
        <f t="shared" si="78"/>
        <v>1.6867474969371834</v>
      </c>
      <c r="T67" s="480"/>
      <c r="U67" s="442">
        <f t="shared" si="78"/>
        <v>0.37976956078318957</v>
      </c>
      <c r="V67" s="443">
        <f t="shared" si="78"/>
        <v>0.41389578580056408</v>
      </c>
      <c r="W67" s="443">
        <f t="shared" si="78"/>
        <v>0.46928847731801643</v>
      </c>
      <c r="X67" s="82">
        <f t="shared" si="78"/>
        <v>0.51711876035408888</v>
      </c>
      <c r="Y67" s="542">
        <f t="shared" si="78"/>
        <v>1.7806244861663429</v>
      </c>
      <c r="Z67" s="480"/>
      <c r="AA67" s="442">
        <f t="shared" si="78"/>
        <v>0.4501853336004813</v>
      </c>
      <c r="AB67" s="443">
        <f t="shared" si="78"/>
        <v>0.44697712212979496</v>
      </c>
      <c r="AC67" s="443">
        <f t="shared" si="78"/>
        <v>0.46615111455186503</v>
      </c>
      <c r="AD67" s="82">
        <f t="shared" si="78"/>
        <v>0.53020656300467628</v>
      </c>
      <c r="AE67" s="542">
        <f t="shared" si="78"/>
        <v>1.8929417297969215</v>
      </c>
      <c r="AF67" s="480"/>
      <c r="AG67" s="442">
        <f t="shared" si="78"/>
        <v>0.41802468074128279</v>
      </c>
      <c r="AH67" s="443">
        <f t="shared" si="78"/>
        <v>0.43250932094075195</v>
      </c>
      <c r="AI67" s="443">
        <f t="shared" ref="AI67:BC67" si="79">AI66/AI26</f>
        <v>0.49538272111635545</v>
      </c>
      <c r="AJ67" s="82">
        <f t="shared" si="79"/>
        <v>0.58236495857855086</v>
      </c>
      <c r="AK67" s="542">
        <f t="shared" si="79"/>
        <v>1.9199159193836504</v>
      </c>
      <c r="AL67" s="480"/>
      <c r="AM67" s="442">
        <f t="shared" si="79"/>
        <v>0.44939167919230821</v>
      </c>
      <c r="AN67" s="443">
        <f t="shared" si="79"/>
        <v>0.43616338648661535</v>
      </c>
      <c r="AO67" s="443">
        <f t="shared" si="79"/>
        <v>0.52120587777950556</v>
      </c>
      <c r="AP67" s="82">
        <f t="shared" si="79"/>
        <v>0.62233927976971437</v>
      </c>
      <c r="AQ67" s="542">
        <f t="shared" si="79"/>
        <v>2.0256052096679396</v>
      </c>
      <c r="AR67" s="480"/>
      <c r="AS67" s="442">
        <f t="shared" si="79"/>
        <v>0.45027914324120172</v>
      </c>
      <c r="AT67" s="443">
        <f t="shared" si="79"/>
        <v>0.41216852345833893</v>
      </c>
      <c r="AU67" s="443">
        <f t="shared" si="79"/>
        <v>0.559034892498946</v>
      </c>
      <c r="AV67" s="82">
        <f t="shared" si="79"/>
        <v>0.55291804060227978</v>
      </c>
      <c r="AW67" s="542">
        <f t="shared" si="79"/>
        <v>1.9736823981976115</v>
      </c>
      <c r="AX67" s="480"/>
      <c r="AY67" s="442">
        <f t="shared" si="79"/>
        <v>0.50197640294663659</v>
      </c>
      <c r="AZ67" s="443">
        <f t="shared" si="79"/>
        <v>0.54115681854773823</v>
      </c>
      <c r="BA67" s="443">
        <f t="shared" si="79"/>
        <v>0.54928671890697189</v>
      </c>
      <c r="BB67" s="82">
        <f t="shared" si="79"/>
        <v>0.64727068431032198</v>
      </c>
      <c r="BC67" s="542">
        <f t="shared" si="79"/>
        <v>2.2394627560334626</v>
      </c>
      <c r="BD67" s="480"/>
      <c r="BE67" s="442">
        <f>BE66/BE26</f>
        <v>0.29654958966474226</v>
      </c>
      <c r="BF67" s="443">
        <f>BF66/BF26</f>
        <v>0.35712053233856039</v>
      </c>
      <c r="BG67" s="443">
        <f>BG66/BG26</f>
        <v>0.58834566871677296</v>
      </c>
      <c r="BH67" s="82">
        <f>BH66/BH26</f>
        <v>0.68268120389925202</v>
      </c>
      <c r="BI67" s="542">
        <f>BI66/BI26</f>
        <v>1.9119527690956215</v>
      </c>
      <c r="BJ67" s="480"/>
      <c r="BK67" s="442">
        <f t="shared" ref="BK67:BT67" si="80">BK66/BK26</f>
        <v>0.40489124778853053</v>
      </c>
      <c r="BL67" s="443">
        <f t="shared" si="80"/>
        <v>0.47710210210210247</v>
      </c>
      <c r="BM67" s="443">
        <f>BM66/BM26</f>
        <v>0.2573433026772512</v>
      </c>
      <c r="BN67" s="82">
        <f>BN66/BN26</f>
        <v>0.66020126345195396</v>
      </c>
      <c r="BO67" s="542">
        <f>BO66/BO26</f>
        <v>1.7955256521602641</v>
      </c>
      <c r="BP67" s="480"/>
      <c r="BQ67" s="442">
        <f t="shared" ref="BQ67:BR67" si="81">BQ66/BQ26</f>
        <v>0.32809325774577469</v>
      </c>
      <c r="BR67" s="443">
        <f t="shared" si="81"/>
        <v>0.43110411243586005</v>
      </c>
      <c r="BS67" s="443">
        <f>BS66/BS26</f>
        <v>1.1765055232212853</v>
      </c>
      <c r="BT67" s="82">
        <f t="shared" si="80"/>
        <v>0.28158113217249281</v>
      </c>
      <c r="BU67" s="542">
        <f>BU66/BU26</f>
        <v>2.2142823592911407</v>
      </c>
      <c r="BV67" s="480"/>
      <c r="BW67" s="442">
        <f>BW66/BW26</f>
        <v>0.35226592510804483</v>
      </c>
      <c r="BX67" s="443">
        <f>BX66/BX26</f>
        <v>0.39500968688183252</v>
      </c>
      <c r="BY67" s="443">
        <f>BY66/BY26</f>
        <v>0.4224395008033604</v>
      </c>
      <c r="BZ67" s="82">
        <f>BZ66/BZ26</f>
        <v>0.45340029431040085</v>
      </c>
      <c r="CA67" s="542">
        <f>CA66/CA26</f>
        <v>1.6218839018511662</v>
      </c>
      <c r="CB67" s="480"/>
      <c r="CC67" s="442">
        <f>CC66/CC26</f>
        <v>0.39241316516574276</v>
      </c>
      <c r="CD67" s="443">
        <f>CD66/CD26</f>
        <v>0.43741987291678802</v>
      </c>
      <c r="CE67" s="443">
        <f>CE66/CE26</f>
        <v>0.46159692292533983</v>
      </c>
      <c r="CF67" s="82">
        <f>CF66/CF26</f>
        <v>0.49664525142394461</v>
      </c>
      <c r="CG67" s="542">
        <f>CG66/CG26</f>
        <v>1.7867827327993282</v>
      </c>
      <c r="CH67" s="480"/>
      <c r="CI67" s="442">
        <f>CI66/CI26</f>
        <v>0.36795002436130286</v>
      </c>
      <c r="CJ67" s="443">
        <f>CJ66/CJ26</f>
        <v>0.4111479957873872</v>
      </c>
      <c r="CK67" s="443">
        <f>CK66/CK26</f>
        <v>0.4407194958448663</v>
      </c>
      <c r="CL67" s="82">
        <f>CL66/CL26</f>
        <v>0.47460114313138407</v>
      </c>
      <c r="CM67" s="542">
        <f>CM66/CM26</f>
        <v>1.6930351753567341</v>
      </c>
      <c r="CN67" s="480"/>
      <c r="CO67" s="3"/>
      <c r="CP67" s="3"/>
      <c r="CQ67"/>
      <c r="CR67"/>
      <c r="CS67"/>
      <c r="CT67"/>
      <c r="CU67"/>
      <c r="CV67"/>
    </row>
    <row r="68" spans="1:100" s="16" customFormat="1" ht="11.25" customHeight="1" x14ac:dyDescent="0.2">
      <c r="A68" s="86"/>
      <c r="B68" s="444"/>
      <c r="C68" s="177"/>
      <c r="D68" s="177"/>
      <c r="E68" s="177"/>
      <c r="F68" s="177"/>
      <c r="G68" s="177"/>
      <c r="H68" s="141"/>
      <c r="I68" s="103"/>
      <c r="J68" s="177"/>
      <c r="K68" s="177"/>
      <c r="L68" s="177"/>
      <c r="M68" s="177"/>
      <c r="N68" s="141"/>
      <c r="O68" s="177"/>
      <c r="P68" s="177"/>
      <c r="Q68" s="177"/>
      <c r="R68" s="177"/>
      <c r="S68" s="177"/>
      <c r="T68" s="141"/>
      <c r="U68" s="177"/>
      <c r="V68" s="177"/>
      <c r="W68" s="177"/>
      <c r="X68" s="177"/>
      <c r="Y68" s="177"/>
      <c r="Z68" s="141"/>
      <c r="AA68" s="177"/>
      <c r="AB68" s="177"/>
      <c r="AC68" s="177"/>
      <c r="AD68" s="177"/>
      <c r="AE68" s="177"/>
      <c r="AF68" s="141"/>
      <c r="AG68" s="177"/>
      <c r="AH68" s="177"/>
      <c r="AI68" s="177"/>
      <c r="AJ68" s="177"/>
      <c r="AK68" s="177"/>
      <c r="AL68" s="141"/>
      <c r="AM68" s="177"/>
      <c r="AN68" s="177"/>
      <c r="AO68" s="177"/>
      <c r="AP68" s="177"/>
      <c r="AQ68" s="177"/>
      <c r="AR68" s="141"/>
      <c r="AS68" s="177"/>
      <c r="AT68" s="177"/>
      <c r="AU68" s="177"/>
      <c r="AV68" s="177"/>
      <c r="AW68" s="177"/>
      <c r="AX68" s="141"/>
      <c r="AY68" s="177"/>
      <c r="AZ68" s="177"/>
      <c r="BA68" s="177"/>
      <c r="BB68" s="177"/>
      <c r="BC68" s="177"/>
      <c r="BD68" s="141"/>
      <c r="BE68" s="14"/>
      <c r="BF68" s="14"/>
      <c r="BG68" s="14"/>
      <c r="BH68" s="177"/>
      <c r="BI68" s="14"/>
      <c r="BJ68" s="141"/>
      <c r="BK68" s="14"/>
      <c r="BL68" s="14"/>
      <c r="BM68" s="14"/>
      <c r="BN68" s="14"/>
      <c r="BO68" s="14"/>
      <c r="BP68" s="141"/>
      <c r="BQ68" s="14"/>
      <c r="BR68" s="244"/>
      <c r="BS68" s="244"/>
      <c r="BT68" s="14"/>
      <c r="BU68" s="14"/>
      <c r="BV68" s="141"/>
      <c r="BW68" s="14"/>
      <c r="BX68" s="14"/>
      <c r="BY68" s="14"/>
      <c r="BZ68" s="14"/>
      <c r="CA68" s="14"/>
      <c r="CB68" s="141"/>
      <c r="CC68" s="14"/>
      <c r="CD68" s="14"/>
      <c r="CE68" s="14"/>
      <c r="CF68" s="14"/>
      <c r="CG68" s="14"/>
      <c r="CH68" s="141"/>
      <c r="CI68" s="14"/>
      <c r="CJ68" s="14"/>
      <c r="CK68" s="14"/>
      <c r="CL68" s="14"/>
      <c r="CM68" s="14"/>
      <c r="CN68" s="141"/>
      <c r="CO68" s="487"/>
      <c r="CP68" s="487"/>
      <c r="CQ68"/>
      <c r="CR68"/>
      <c r="CS68"/>
      <c r="CT68"/>
      <c r="CU68"/>
      <c r="CV68"/>
    </row>
    <row r="69" spans="1:100" s="16" customFormat="1" ht="11.25" hidden="1" customHeight="1" outlineLevel="1" x14ac:dyDescent="0.2">
      <c r="A69" s="6"/>
      <c r="B69" s="1039" t="s">
        <v>268</v>
      </c>
      <c r="C69" s="1040"/>
      <c r="D69" s="1040"/>
      <c r="E69" s="1040"/>
      <c r="F69" s="1040"/>
      <c r="G69" s="1040"/>
      <c r="H69" s="1041"/>
      <c r="I69" s="1040"/>
      <c r="J69" s="1040"/>
      <c r="K69" s="1040"/>
      <c r="L69" s="1040"/>
      <c r="M69" s="1040"/>
      <c r="N69" s="1041"/>
      <c r="O69" s="1040"/>
      <c r="P69" s="1040"/>
      <c r="Q69" s="1040"/>
      <c r="R69" s="1040"/>
      <c r="S69" s="1040"/>
      <c r="T69" s="1041"/>
      <c r="U69" s="1040"/>
      <c r="V69" s="1040"/>
      <c r="W69" s="1040"/>
      <c r="X69" s="1040"/>
      <c r="Y69" s="1042"/>
      <c r="Z69" s="1041"/>
      <c r="AA69" s="1040"/>
      <c r="AB69" s="1043"/>
      <c r="AC69" s="1043"/>
      <c r="AD69" s="1040"/>
      <c r="AE69" s="1040"/>
      <c r="AF69" s="1041"/>
      <c r="AG69" s="1043"/>
      <c r="AH69" s="1043"/>
      <c r="AI69" s="1043"/>
      <c r="AJ69" s="1040"/>
      <c r="AK69" s="1040"/>
      <c r="AL69" s="1041"/>
      <c r="AM69" s="1040"/>
      <c r="AN69" s="1040"/>
      <c r="AO69" s="1040"/>
      <c r="AP69" s="1040"/>
      <c r="AQ69" s="1040"/>
      <c r="AR69" s="1041"/>
      <c r="AS69" s="1040"/>
      <c r="AT69" s="1040"/>
      <c r="AU69" s="1040"/>
      <c r="AV69" s="1040"/>
      <c r="AW69" s="1040"/>
      <c r="AX69" s="1041"/>
      <c r="AY69" s="1040"/>
      <c r="AZ69" s="1040"/>
      <c r="BA69" s="1040"/>
      <c r="BB69" s="1040"/>
      <c r="BC69" s="1040"/>
      <c r="BD69" s="1041"/>
      <c r="BE69" s="1041"/>
      <c r="BF69" s="1041"/>
      <c r="BG69" s="1041"/>
      <c r="BH69" s="1041"/>
      <c r="BI69" s="1041"/>
      <c r="BJ69" s="1041"/>
      <c r="BK69" s="1041"/>
      <c r="BL69" s="1041"/>
      <c r="BM69" s="1041"/>
      <c r="BN69" s="1041"/>
      <c r="BO69" s="1041"/>
      <c r="BP69" s="1041"/>
      <c r="BQ69" s="1041"/>
      <c r="BR69" s="1041"/>
      <c r="BS69" s="1041"/>
      <c r="BT69" s="1041"/>
      <c r="BU69" s="1041"/>
      <c r="BV69" s="1041"/>
      <c r="BW69" s="1041"/>
      <c r="BX69" s="1041"/>
      <c r="BY69" s="1041"/>
      <c r="BZ69" s="1041"/>
      <c r="CA69" s="1041"/>
      <c r="CB69" s="1041"/>
      <c r="CC69" s="1041"/>
      <c r="CD69" s="1041"/>
      <c r="CE69" s="1041"/>
      <c r="CF69" s="1041"/>
      <c r="CG69" s="1041"/>
      <c r="CH69" s="1041"/>
      <c r="CI69" s="1041"/>
      <c r="CJ69" s="1041"/>
      <c r="CK69" s="1041"/>
      <c r="CL69" s="1041"/>
      <c r="CM69" s="1041"/>
      <c r="CN69" s="42"/>
      <c r="CO69" s="17"/>
      <c r="CP69" s="17"/>
      <c r="CQ69"/>
      <c r="CR69"/>
      <c r="CS69"/>
      <c r="CT69"/>
      <c r="CU69"/>
      <c r="CV69"/>
    </row>
    <row r="70" spans="1:100" s="16" customFormat="1" ht="11.25" hidden="1" customHeight="1" outlineLevel="1" x14ac:dyDescent="0.2">
      <c r="A70" s="69"/>
      <c r="B70" s="543" t="s">
        <v>137</v>
      </c>
      <c r="C70" s="545">
        <f>162.8-11</f>
        <v>151.80000000000001</v>
      </c>
      <c r="D70" s="234">
        <f>+C71</f>
        <v>138.95400000000001</v>
      </c>
      <c r="E70" s="234">
        <f>+D71</f>
        <v>139.15600000000001</v>
      </c>
      <c r="F70" s="234">
        <f>+E71</f>
        <v>139.13499999999999</v>
      </c>
      <c r="G70" s="540">
        <f>+C70</f>
        <v>151.80000000000001</v>
      </c>
      <c r="H70" s="199"/>
      <c r="I70" s="238">
        <f>+G71</f>
        <v>139.49</v>
      </c>
      <c r="J70" s="234">
        <f>+I71</f>
        <v>139.947</v>
      </c>
      <c r="K70" s="234">
        <f>+J71</f>
        <v>139.82300000000001</v>
      </c>
      <c r="L70" s="234">
        <f>+K71</f>
        <v>129.346</v>
      </c>
      <c r="M70" s="540">
        <f>+I70</f>
        <v>139.49</v>
      </c>
      <c r="N70" s="199"/>
      <c r="O70" s="238">
        <f>+M71</f>
        <v>122.357</v>
      </c>
      <c r="P70" s="234">
        <f>+O71</f>
        <v>121.44</v>
      </c>
      <c r="Q70" s="234">
        <f>+P71</f>
        <v>121.57299999999999</v>
      </c>
      <c r="R70" s="234">
        <f>+Q71</f>
        <v>121.961</v>
      </c>
      <c r="S70" s="540">
        <f>+O70</f>
        <v>122.357</v>
      </c>
      <c r="T70" s="199"/>
      <c r="U70" s="238">
        <f>+S71</f>
        <v>122.042</v>
      </c>
      <c r="V70" s="234">
        <f>+U71</f>
        <v>122.316</v>
      </c>
      <c r="W70" s="234">
        <f>+V71</f>
        <v>122.46899999999999</v>
      </c>
      <c r="X70" s="234">
        <f>+W71</f>
        <v>122.75700000000001</v>
      </c>
      <c r="Y70" s="540">
        <f>+U70</f>
        <v>122.042</v>
      </c>
      <c r="Z70" s="199"/>
      <c r="AA70" s="238">
        <f>+Y71</f>
        <v>123.437</v>
      </c>
      <c r="AB70" s="234">
        <f>+AA71</f>
        <v>123.986</v>
      </c>
      <c r="AC70" s="234">
        <f>+AB71</f>
        <v>122.75700000000001</v>
      </c>
      <c r="AD70" s="234">
        <f>+AC71</f>
        <v>122.876</v>
      </c>
      <c r="AE70" s="540">
        <f>+AA70</f>
        <v>123.437</v>
      </c>
      <c r="AF70" s="199"/>
      <c r="AG70" s="238">
        <f>+AE71</f>
        <v>121.1</v>
      </c>
      <c r="AH70" s="234">
        <f>+AG71</f>
        <v>118.458</v>
      </c>
      <c r="AI70" s="234">
        <f>+AH71</f>
        <v>110.82599999999999</v>
      </c>
      <c r="AJ70" s="234">
        <f>+AI71</f>
        <v>110.973</v>
      </c>
      <c r="AK70" s="540">
        <f>+AG70</f>
        <v>121.1</v>
      </c>
      <c r="AL70" s="199"/>
      <c r="AM70" s="238">
        <f>+AK71</f>
        <v>109.92</v>
      </c>
      <c r="AN70" s="234">
        <f>+AM71</f>
        <v>110.34399999999999</v>
      </c>
      <c r="AO70" s="234">
        <f>+AN71</f>
        <v>108.633</v>
      </c>
      <c r="AP70" s="234">
        <f>+AO71</f>
        <v>106.21599999999999</v>
      </c>
      <c r="AQ70" s="540">
        <f>+AM70</f>
        <v>109.92</v>
      </c>
      <c r="AR70" s="199"/>
      <c r="AS70" s="238">
        <f>+AQ71</f>
        <v>105.57</v>
      </c>
      <c r="AT70" s="234">
        <f>+AS71</f>
        <v>105.28400000000001</v>
      </c>
      <c r="AU70" s="234">
        <f>+AT71</f>
        <v>105.533</v>
      </c>
      <c r="AV70" s="234">
        <f>+AU71</f>
        <v>103.922</v>
      </c>
      <c r="AW70" s="540">
        <f>+AS70</f>
        <v>105.57</v>
      </c>
      <c r="AX70" s="199"/>
      <c r="AY70" s="238">
        <f>+AW71</f>
        <v>103.965</v>
      </c>
      <c r="AZ70" s="234">
        <f>+AY71</f>
        <v>104.259</v>
      </c>
      <c r="BA70" s="234">
        <f>+AZ71</f>
        <v>103.11499999999999</v>
      </c>
      <c r="BB70" s="234">
        <f>+BA71</f>
        <v>103.232</v>
      </c>
      <c r="BC70" s="540">
        <f>+AY70</f>
        <v>103.965</v>
      </c>
      <c r="BD70" s="199"/>
      <c r="BE70" s="238">
        <f>+BC71</f>
        <v>103.27800000000001</v>
      </c>
      <c r="BF70" s="234">
        <f>+BE71</f>
        <v>103.248</v>
      </c>
      <c r="BG70" s="234">
        <f>+BF71</f>
        <v>99.43</v>
      </c>
      <c r="BH70" s="234">
        <f>+BG71</f>
        <v>99.088999999999999</v>
      </c>
      <c r="BI70" s="540">
        <f>+BE70</f>
        <v>103.27800000000001</v>
      </c>
      <c r="BJ70" s="199"/>
      <c r="BK70" s="238">
        <f>+BI71</f>
        <v>99.106999999999999</v>
      </c>
      <c r="BL70" s="234">
        <f>+BK71</f>
        <v>99.072999999999993</v>
      </c>
      <c r="BM70" s="234">
        <f>+BL71</f>
        <v>97.909000000000006</v>
      </c>
      <c r="BN70" s="234">
        <f>+BM71</f>
        <v>97.134</v>
      </c>
      <c r="BO70" s="540">
        <f>+BK70</f>
        <v>99.106999999999999</v>
      </c>
      <c r="BP70" s="199"/>
      <c r="BQ70" s="238">
        <f>+BO71</f>
        <v>96.534000000000006</v>
      </c>
      <c r="BR70" s="234">
        <f>+BQ71</f>
        <v>93.35</v>
      </c>
      <c r="BS70" s="234">
        <f>+BR71</f>
        <v>92.721999999999994</v>
      </c>
      <c r="BT70" s="234">
        <f>+BS71</f>
        <v>91.948999999999998</v>
      </c>
      <c r="BU70" s="540">
        <f>+BQ70</f>
        <v>96.534000000000006</v>
      </c>
      <c r="BV70" s="199"/>
      <c r="BW70" s="238">
        <f>+BU71</f>
        <v>90.993966</v>
      </c>
      <c r="BX70" s="234">
        <f>+BW71</f>
        <v>90.326465999999996</v>
      </c>
      <c r="BY70" s="234">
        <f>+BX71</f>
        <v>89.658965999999992</v>
      </c>
      <c r="BZ70" s="234">
        <f>+BY71</f>
        <v>88.991465999999988</v>
      </c>
      <c r="CA70" s="540">
        <f>+BW70</f>
        <v>90.993966</v>
      </c>
      <c r="CB70" s="199"/>
      <c r="CC70" s="238">
        <f>+CA71</f>
        <v>88.323965999999984</v>
      </c>
      <c r="CD70" s="234">
        <f>+CC71</f>
        <v>87.65646599999998</v>
      </c>
      <c r="CE70" s="234">
        <f>+CD71</f>
        <v>86.988965999999976</v>
      </c>
      <c r="CF70" s="234">
        <f>+CE71</f>
        <v>86.321465999999972</v>
      </c>
      <c r="CG70" s="540">
        <f>+CC70</f>
        <v>88.323965999999984</v>
      </c>
      <c r="CH70" s="199"/>
      <c r="CI70" s="238">
        <f>+CG71</f>
        <v>85.653965999999969</v>
      </c>
      <c r="CJ70" s="234">
        <f>+CI71</f>
        <v>84.986465999999965</v>
      </c>
      <c r="CK70" s="234">
        <f>+CJ71</f>
        <v>84.318965999999961</v>
      </c>
      <c r="CL70" s="234">
        <f>+CK71</f>
        <v>83.651465999999957</v>
      </c>
      <c r="CM70" s="540">
        <f>+CI70</f>
        <v>85.653965999999969</v>
      </c>
      <c r="CN70" s="199"/>
      <c r="CO70" s="62"/>
      <c r="CP70" s="62"/>
      <c r="CQ70"/>
      <c r="CR70"/>
      <c r="CS70"/>
      <c r="CT70"/>
      <c r="CU70"/>
      <c r="CV70"/>
    </row>
    <row r="71" spans="1:100" s="16" customFormat="1" ht="11.25" hidden="1" customHeight="1" outlineLevel="1" x14ac:dyDescent="0.2">
      <c r="A71" s="76"/>
      <c r="B71" s="544" t="s">
        <v>138</v>
      </c>
      <c r="C71" s="546">
        <f>+C28</f>
        <v>138.95400000000001</v>
      </c>
      <c r="D71" s="547">
        <f>+D28</f>
        <v>139.15600000000001</v>
      </c>
      <c r="E71" s="547">
        <f>+E28</f>
        <v>139.13499999999999</v>
      </c>
      <c r="F71" s="547">
        <f>+F28</f>
        <v>139.49</v>
      </c>
      <c r="G71" s="548">
        <f>+F71</f>
        <v>139.49</v>
      </c>
      <c r="H71" s="203"/>
      <c r="I71" s="546">
        <f>+I28</f>
        <v>139.947</v>
      </c>
      <c r="J71" s="547">
        <f>+J28</f>
        <v>139.82300000000001</v>
      </c>
      <c r="K71" s="547">
        <f>+K28</f>
        <v>129.346</v>
      </c>
      <c r="L71" s="547">
        <f>+L28</f>
        <v>122.357</v>
      </c>
      <c r="M71" s="548">
        <f>+L71</f>
        <v>122.357</v>
      </c>
      <c r="N71" s="203"/>
      <c r="O71" s="546">
        <f>+O28</f>
        <v>121.44</v>
      </c>
      <c r="P71" s="547">
        <f>+P28</f>
        <v>121.57299999999999</v>
      </c>
      <c r="Q71" s="547">
        <f>+Q28</f>
        <v>121.961</v>
      </c>
      <c r="R71" s="547">
        <f>+R28</f>
        <v>122.042</v>
      </c>
      <c r="S71" s="548">
        <f>+R71</f>
        <v>122.042</v>
      </c>
      <c r="T71" s="203"/>
      <c r="U71" s="546">
        <f>+U28</f>
        <v>122.316</v>
      </c>
      <c r="V71" s="547">
        <f>+V28</f>
        <v>122.46899999999999</v>
      </c>
      <c r="W71" s="547">
        <f>+W28</f>
        <v>122.75700000000001</v>
      </c>
      <c r="X71" s="547">
        <f>+X28</f>
        <v>123.437</v>
      </c>
      <c r="Y71" s="548">
        <f>+X71</f>
        <v>123.437</v>
      </c>
      <c r="Z71" s="203"/>
      <c r="AA71" s="546">
        <f>+AA28</f>
        <v>123.986</v>
      </c>
      <c r="AB71" s="547">
        <f>+AB28</f>
        <v>122.75700000000001</v>
      </c>
      <c r="AC71" s="547">
        <f>+AC28</f>
        <v>122.876</v>
      </c>
      <c r="AD71" s="547">
        <f>+AD28</f>
        <v>121.1</v>
      </c>
      <c r="AE71" s="548">
        <f>+AD71</f>
        <v>121.1</v>
      </c>
      <c r="AF71" s="203"/>
      <c r="AG71" s="546">
        <f>+AG28</f>
        <v>118.458</v>
      </c>
      <c r="AH71" s="547">
        <f>+AH28</f>
        <v>110.82599999999999</v>
      </c>
      <c r="AI71" s="547">
        <f>+AI28</f>
        <v>110.973</v>
      </c>
      <c r="AJ71" s="547">
        <f>+AJ28</f>
        <v>109.92</v>
      </c>
      <c r="AK71" s="548">
        <f>+AJ71</f>
        <v>109.92</v>
      </c>
      <c r="AL71" s="203"/>
      <c r="AM71" s="546">
        <f>+AM28</f>
        <v>110.34399999999999</v>
      </c>
      <c r="AN71" s="547">
        <f>+AN28</f>
        <v>108.633</v>
      </c>
      <c r="AO71" s="547">
        <f>+AO28</f>
        <v>106.21599999999999</v>
      </c>
      <c r="AP71" s="547">
        <f>+AP28</f>
        <v>105.57</v>
      </c>
      <c r="AQ71" s="548">
        <f>+AP71</f>
        <v>105.57</v>
      </c>
      <c r="AR71" s="203"/>
      <c r="AS71" s="546">
        <f>+AS28</f>
        <v>105.28400000000001</v>
      </c>
      <c r="AT71" s="547">
        <f>+AT28</f>
        <v>105.533</v>
      </c>
      <c r="AU71" s="547">
        <f>+AU28</f>
        <v>103.922</v>
      </c>
      <c r="AV71" s="547">
        <f>+AV28</f>
        <v>103.965</v>
      </c>
      <c r="AW71" s="548">
        <f>+AV71</f>
        <v>103.965</v>
      </c>
      <c r="AX71" s="203"/>
      <c r="AY71" s="546">
        <f>+AY28</f>
        <v>104.259</v>
      </c>
      <c r="AZ71" s="547">
        <f>+AZ28</f>
        <v>103.11499999999999</v>
      </c>
      <c r="BA71" s="547">
        <f>+BA28</f>
        <v>103.232</v>
      </c>
      <c r="BB71" s="547">
        <f>+BB28</f>
        <v>103.27800000000001</v>
      </c>
      <c r="BC71" s="548">
        <f>+BB71</f>
        <v>103.27800000000001</v>
      </c>
      <c r="BD71" s="203"/>
      <c r="BE71" s="546">
        <f>+BE28</f>
        <v>103.248</v>
      </c>
      <c r="BF71" s="547">
        <f>+BF28</f>
        <v>99.43</v>
      </c>
      <c r="BG71" s="547">
        <f>+BG28</f>
        <v>99.088999999999999</v>
      </c>
      <c r="BH71" s="547">
        <f>+BH28</f>
        <v>99.106999999999999</v>
      </c>
      <c r="BI71" s="548">
        <f>+BH71</f>
        <v>99.106999999999999</v>
      </c>
      <c r="BJ71" s="203"/>
      <c r="BK71" s="546">
        <f>+BK28</f>
        <v>99.072999999999993</v>
      </c>
      <c r="BL71" s="547">
        <f>+BL28</f>
        <v>97.909000000000006</v>
      </c>
      <c r="BM71" s="547">
        <f>+BM28</f>
        <v>97.134</v>
      </c>
      <c r="BN71" s="547">
        <f>+BN28</f>
        <v>96.534000000000006</v>
      </c>
      <c r="BO71" s="548">
        <f>+BN71</f>
        <v>96.534000000000006</v>
      </c>
      <c r="BP71" s="203"/>
      <c r="BQ71" s="546">
        <f>+BQ28</f>
        <v>93.35</v>
      </c>
      <c r="BR71" s="547">
        <f>+BR28</f>
        <v>92.721999999999994</v>
      </c>
      <c r="BS71" s="547">
        <f>+BS28</f>
        <v>91.948999999999998</v>
      </c>
      <c r="BT71" s="547">
        <f>+BT70+('Cash Flow'!BT37+'Cash Flow'!BU42)/'Cash Flow'!BT87</f>
        <v>90.993966</v>
      </c>
      <c r="BU71" s="548">
        <f>+BT71</f>
        <v>90.993966</v>
      </c>
      <c r="BV71" s="203"/>
      <c r="BW71" s="546">
        <f>+BW70+('Cash Flow'!BW37+'Cash Flow'!BX42)/'Cash Flow'!BW87</f>
        <v>90.326465999999996</v>
      </c>
      <c r="BX71" s="547">
        <f>+BX70+('Cash Flow'!BX37+'Cash Flow'!BY42)/'Cash Flow'!BX87</f>
        <v>89.658965999999992</v>
      </c>
      <c r="BY71" s="547">
        <f>+BY70+('Cash Flow'!BY37+'Cash Flow'!BZ42)/'Cash Flow'!BY87</f>
        <v>88.991465999999988</v>
      </c>
      <c r="BZ71" s="547">
        <f>+BZ70+('Cash Flow'!BZ37+'Cash Flow'!CA42)/'Cash Flow'!BZ87</f>
        <v>88.323965999999984</v>
      </c>
      <c r="CA71" s="548">
        <f>+BZ71</f>
        <v>88.323965999999984</v>
      </c>
      <c r="CB71" s="203"/>
      <c r="CC71" s="546">
        <f>+CC70+('Cash Flow'!CC37+'Cash Flow'!CD42)/'Cash Flow'!CC87</f>
        <v>87.65646599999998</v>
      </c>
      <c r="CD71" s="547">
        <f>+CD70+('Cash Flow'!CD37+'Cash Flow'!CE42)/'Cash Flow'!CD87</f>
        <v>86.988965999999976</v>
      </c>
      <c r="CE71" s="547">
        <f>+CE70+('Cash Flow'!CE37+'Cash Flow'!CF42)/'Cash Flow'!CE87</f>
        <v>86.321465999999972</v>
      </c>
      <c r="CF71" s="547">
        <f>+CF70+('Cash Flow'!CF37+'Cash Flow'!CG42)/'Cash Flow'!CF87</f>
        <v>85.653965999999969</v>
      </c>
      <c r="CG71" s="548">
        <f>+CF71</f>
        <v>85.653965999999969</v>
      </c>
      <c r="CH71" s="203"/>
      <c r="CI71" s="546">
        <f>+CI70+('Cash Flow'!CI37+'Cash Flow'!CJ42)/'Cash Flow'!CI87</f>
        <v>84.986465999999965</v>
      </c>
      <c r="CJ71" s="547">
        <f>+CJ70+('Cash Flow'!CJ37+'Cash Flow'!CK42)/'Cash Flow'!CJ87</f>
        <v>84.318965999999961</v>
      </c>
      <c r="CK71" s="547">
        <f>+CK70+('Cash Flow'!CK37+'Cash Flow'!CL42)/'Cash Flow'!CK87</f>
        <v>83.651465999999957</v>
      </c>
      <c r="CL71" s="547">
        <f>+CL70+('Cash Flow'!CL37+'Cash Flow'!CM42)/'Cash Flow'!CL87</f>
        <v>82.983965999999953</v>
      </c>
      <c r="CM71" s="548">
        <f>+CL71</f>
        <v>82.983965999999953</v>
      </c>
      <c r="CN71" s="203"/>
      <c r="CO71" s="62"/>
      <c r="CP71" s="62"/>
      <c r="CQ71"/>
      <c r="CR71"/>
      <c r="CS71"/>
      <c r="CT71"/>
      <c r="CU71"/>
      <c r="CV71"/>
    </row>
    <row r="72" spans="1:100" s="16" customFormat="1" ht="11.25" hidden="1" customHeight="1" outlineLevel="1" x14ac:dyDescent="0.2">
      <c r="A72"/>
      <c r="B72" s="14"/>
      <c r="C72" s="14"/>
      <c r="D72" s="14"/>
      <c r="E72" s="14"/>
      <c r="F72" s="14"/>
      <c r="G72" s="14"/>
      <c r="H72" s="17"/>
      <c r="I72" s="24"/>
      <c r="J72" s="14"/>
      <c r="K72" s="14"/>
      <c r="L72" s="14"/>
      <c r="M72" s="14"/>
      <c r="N72" s="17"/>
      <c r="O72" s="14"/>
      <c r="P72" s="14"/>
      <c r="Q72" s="14"/>
      <c r="R72" s="14"/>
      <c r="S72" s="14"/>
      <c r="T72" s="17"/>
      <c r="U72" s="14"/>
      <c r="V72" s="14"/>
      <c r="W72" s="14"/>
      <c r="X72" s="14"/>
      <c r="Y72" s="14"/>
      <c r="Z72" s="17"/>
      <c r="AA72" s="14"/>
      <c r="AB72" s="14"/>
      <c r="AC72" s="14"/>
      <c r="AD72" s="14"/>
      <c r="AE72" s="14"/>
      <c r="AF72" s="17"/>
      <c r="AG72" s="14"/>
      <c r="AH72" s="14"/>
      <c r="AI72" s="14"/>
      <c r="AJ72" s="14"/>
      <c r="AK72" s="14"/>
      <c r="AL72" s="17"/>
      <c r="AM72" s="14"/>
      <c r="AN72" s="14"/>
      <c r="AO72" s="14"/>
      <c r="AP72" s="14"/>
      <c r="AQ72" s="14"/>
      <c r="AR72" s="17"/>
      <c r="AS72" s="14"/>
      <c r="AT72" s="14"/>
      <c r="AU72" s="14"/>
      <c r="AV72" s="14"/>
      <c r="AW72" s="14"/>
      <c r="AX72" s="17"/>
      <c r="AY72" s="14"/>
      <c r="AZ72" s="14"/>
      <c r="BA72" s="14"/>
      <c r="BB72" s="14"/>
      <c r="BC72" s="14"/>
      <c r="BD72" s="17"/>
      <c r="BE72" s="14"/>
      <c r="BF72" s="14"/>
      <c r="BG72" s="14"/>
      <c r="BH72" s="14"/>
      <c r="BI72" s="14"/>
      <c r="BJ72" s="17"/>
      <c r="BK72" s="14"/>
      <c r="BL72" s="14"/>
      <c r="BM72" s="14"/>
      <c r="BN72" s="14"/>
      <c r="BO72" s="14"/>
      <c r="BP72" s="17"/>
      <c r="BQ72" s="14"/>
      <c r="BR72" s="244"/>
      <c r="BS72" s="244"/>
      <c r="BT72" s="14"/>
      <c r="BU72" s="14"/>
      <c r="BV72" s="17"/>
      <c r="BW72" s="14"/>
      <c r="BX72" s="14"/>
      <c r="BY72" s="14"/>
      <c r="BZ72" s="14"/>
      <c r="CA72" s="14"/>
      <c r="CB72" s="17"/>
      <c r="CC72" s="14"/>
      <c r="CD72" s="14"/>
      <c r="CE72" s="14"/>
      <c r="CF72" s="14"/>
      <c r="CG72" s="14"/>
      <c r="CH72" s="17"/>
      <c r="CI72" s="14"/>
      <c r="CJ72" s="14"/>
      <c r="CK72" s="14"/>
      <c r="CL72" s="14"/>
      <c r="CM72" s="14"/>
      <c r="CN72" s="17"/>
      <c r="CO72" s="24"/>
      <c r="CP72" s="24"/>
      <c r="CQ72"/>
      <c r="CR72"/>
      <c r="CS72"/>
      <c r="CT72"/>
      <c r="CU72"/>
      <c r="CV72"/>
    </row>
    <row r="73" spans="1:100" s="16" customFormat="1" ht="11.25" hidden="1" customHeight="1" outlineLevel="1" x14ac:dyDescent="0.2">
      <c r="A73"/>
      <c r="B73" s="1036" t="s">
        <v>257</v>
      </c>
      <c r="C73" s="1037"/>
      <c r="D73" s="1037"/>
      <c r="E73" s="1037"/>
      <c r="F73" s="1037"/>
      <c r="G73" s="1037"/>
      <c r="H73" s="1038"/>
      <c r="I73" s="1037"/>
      <c r="J73" s="1037"/>
      <c r="K73" s="1037"/>
      <c r="L73" s="1037"/>
      <c r="M73" s="1037"/>
      <c r="N73" s="1038"/>
      <c r="O73" s="1037"/>
      <c r="P73" s="1037"/>
      <c r="Q73" s="1037"/>
      <c r="R73" s="1037"/>
      <c r="S73" s="1037"/>
      <c r="T73" s="1038"/>
      <c r="U73" s="1037"/>
      <c r="V73" s="1037"/>
      <c r="W73" s="1037"/>
      <c r="X73" s="1037"/>
      <c r="Y73" s="1037"/>
      <c r="Z73" s="1038"/>
      <c r="AA73" s="1037"/>
      <c r="AB73" s="1037"/>
      <c r="AC73" s="1037"/>
      <c r="AD73" s="1037"/>
      <c r="AE73" s="1037"/>
      <c r="AF73" s="1038"/>
      <c r="AG73" s="1037"/>
      <c r="AH73" s="1037"/>
      <c r="AI73" s="1037"/>
      <c r="AJ73" s="1037"/>
      <c r="AK73" s="1037"/>
      <c r="AL73" s="1038"/>
      <c r="AM73" s="1037"/>
      <c r="AN73" s="1037"/>
      <c r="AO73" s="1037"/>
      <c r="AP73" s="1037"/>
      <c r="AQ73" s="1037"/>
      <c r="AR73" s="1038"/>
      <c r="AS73" s="1037"/>
      <c r="AT73" s="1037"/>
      <c r="AU73" s="1037"/>
      <c r="AV73" s="1037"/>
      <c r="AW73" s="1037"/>
      <c r="AX73" s="1038"/>
      <c r="AY73" s="1037"/>
      <c r="AZ73" s="1037"/>
      <c r="BA73" s="1037"/>
      <c r="BB73" s="1037"/>
      <c r="BC73" s="1037"/>
      <c r="BD73" s="1038"/>
      <c r="BE73" s="1037"/>
      <c r="BF73" s="1037"/>
      <c r="BG73" s="1037"/>
      <c r="BH73" s="1037"/>
      <c r="BI73" s="1037"/>
      <c r="BJ73" s="1038"/>
      <c r="BK73" s="1037"/>
      <c r="BL73" s="1037"/>
      <c r="BM73" s="1037"/>
      <c r="BN73" s="1037"/>
      <c r="BO73" s="1037"/>
      <c r="BP73" s="1038"/>
      <c r="BQ73" s="1037"/>
      <c r="BR73" s="1037"/>
      <c r="BS73" s="1037"/>
      <c r="BT73" s="1037"/>
      <c r="BU73" s="1037"/>
      <c r="BV73" s="1038"/>
      <c r="BW73" s="1037"/>
      <c r="BX73" s="1037"/>
      <c r="BY73" s="1037"/>
      <c r="BZ73" s="1037"/>
      <c r="CA73" s="1037"/>
      <c r="CB73" s="1038"/>
      <c r="CC73" s="1037"/>
      <c r="CD73" s="1037"/>
      <c r="CE73" s="1037"/>
      <c r="CF73" s="1037"/>
      <c r="CG73" s="1037"/>
      <c r="CH73" s="1038"/>
      <c r="CI73" s="1037"/>
      <c r="CJ73" s="1037"/>
      <c r="CK73" s="1037"/>
      <c r="CL73" s="1037"/>
      <c r="CM73" s="1037"/>
      <c r="CN73" s="17"/>
      <c r="CO73" s="24"/>
      <c r="CP73" s="24"/>
      <c r="CQ73"/>
      <c r="CR73"/>
      <c r="CS73"/>
      <c r="CT73"/>
      <c r="CU73"/>
      <c r="CV73"/>
    </row>
    <row r="74" spans="1:100" s="16" customFormat="1" ht="11.25" hidden="1" customHeight="1" outlineLevel="1" x14ac:dyDescent="0.2">
      <c r="A74"/>
      <c r="B74" s="549" t="s">
        <v>213</v>
      </c>
      <c r="C74" s="251">
        <f>SUM(C75:C77)</f>
        <v>0.37264872211839511</v>
      </c>
      <c r="D74" s="252">
        <f>SUM(D75:D77)</f>
        <v>0.37264872211839511</v>
      </c>
      <c r="E74" s="252">
        <f>SUM(E75:E77)</f>
        <v>0.37264872211839511</v>
      </c>
      <c r="F74" s="252">
        <f>SUM(F75:F77)</f>
        <v>0.37264872211839511</v>
      </c>
      <c r="G74" s="253">
        <f>SUM(G75:G77)</f>
        <v>0.37264872211839511</v>
      </c>
      <c r="H74" s="212"/>
      <c r="I74" s="251">
        <f>SUM(I75:I77)</f>
        <v>0.3718902827982139</v>
      </c>
      <c r="J74" s="252">
        <f>SUM(J75:J77)</f>
        <v>0.3718902827982139</v>
      </c>
      <c r="K74" s="252">
        <f>SUM(K75:K77)</f>
        <v>0.3718902827982139</v>
      </c>
      <c r="L74" s="252">
        <f>SUM(L75:L77)</f>
        <v>0.3718902827982139</v>
      </c>
      <c r="M74" s="253">
        <f>SUM(M75:M77)</f>
        <v>0.3718902827982139</v>
      </c>
      <c r="N74" s="212"/>
      <c r="O74" s="251">
        <f>SUM(O75:O77)</f>
        <v>0.37463358475337166</v>
      </c>
      <c r="P74" s="252">
        <f>SUM(P75:P77)</f>
        <v>0.37463358475337166</v>
      </c>
      <c r="Q74" s="252">
        <f>SUM(Q75:Q77)</f>
        <v>0.37463358475337166</v>
      </c>
      <c r="R74" s="252">
        <f>SUM(R75:R77)</f>
        <v>0.37463358475337166</v>
      </c>
      <c r="S74" s="253">
        <f>SUM(S75:S77)</f>
        <v>0.37463358475337166</v>
      </c>
      <c r="T74" s="212"/>
      <c r="U74" s="251">
        <f>SUM(U75:U77)</f>
        <v>0.36973699346096783</v>
      </c>
      <c r="V74" s="252">
        <f>SUM(V75:V77)</f>
        <v>0.36973699346096783</v>
      </c>
      <c r="W74" s="252">
        <f>SUM(W75:W77)</f>
        <v>0.36973699346096783</v>
      </c>
      <c r="X74" s="252">
        <f>SUM(X75:X77)</f>
        <v>0.36973699346096783</v>
      </c>
      <c r="Y74" s="253">
        <f>SUM(Y75:Y77)</f>
        <v>0.36973699346096783</v>
      </c>
      <c r="Z74" s="212"/>
      <c r="AA74" s="251">
        <f>SUM(AA75:AA77)</f>
        <v>0.37025516526313124</v>
      </c>
      <c r="AB74" s="252">
        <f>SUM(AB75:AB77)</f>
        <v>0.37025516526313124</v>
      </c>
      <c r="AC74" s="252">
        <f>SUM(AC75:AC77)</f>
        <v>0.37025516526313124</v>
      </c>
      <c r="AD74" s="252">
        <f>SUM(AD75:AD77)</f>
        <v>0.37025516526313124</v>
      </c>
      <c r="AE74" s="253">
        <f>SUM(AE75:AE77)</f>
        <v>0.37025516526313124</v>
      </c>
      <c r="AF74" s="212"/>
      <c r="AG74" s="251">
        <f>SUM(AG75:AG77)</f>
        <v>0.36010515081319056</v>
      </c>
      <c r="AH74" s="252">
        <f>SUM(AH75:AH77)</f>
        <v>0.36010515081319056</v>
      </c>
      <c r="AI74" s="252">
        <f>SUM(AI75:AI77)</f>
        <v>0.36010515081319056</v>
      </c>
      <c r="AJ74" s="252">
        <f>SUM(AJ75:AJ77)</f>
        <v>0.36010515081319056</v>
      </c>
      <c r="AK74" s="253">
        <f>SUM(AK75:AK77)</f>
        <v>0.36010515081319056</v>
      </c>
      <c r="AL74" s="212"/>
      <c r="AM74" s="251">
        <f>SUM(AM75:AM77)</f>
        <v>0.36158160421279467</v>
      </c>
      <c r="AN74" s="252">
        <f>SUM(AN75:AN77)</f>
        <v>0.36158160421279467</v>
      </c>
      <c r="AO74" s="252">
        <f>SUM(AO75:AO77)</f>
        <v>0.36158160421279467</v>
      </c>
      <c r="AP74" s="252">
        <f>SUM(AP75:AP77)</f>
        <v>0.36158160421279467</v>
      </c>
      <c r="AQ74" s="253">
        <f>SUM(AQ75:AQ77)</f>
        <v>0.36158160421279467</v>
      </c>
      <c r="AR74" s="212"/>
      <c r="AS74" s="251">
        <f>SUM(AS75:AS77)</f>
        <v>0.36713197046654145</v>
      </c>
      <c r="AT74" s="252">
        <f>SUM(AT75:AT77)</f>
        <v>0.36713197046654145</v>
      </c>
      <c r="AU74" s="252">
        <f>SUM(AU75:AU77)</f>
        <v>0.36713197046654145</v>
      </c>
      <c r="AV74" s="252">
        <f>SUM(AV75:AV77)</f>
        <v>0.36713197046654145</v>
      </c>
      <c r="AW74" s="253">
        <f>SUM(AW75:AW77)</f>
        <v>0.36713197046654145</v>
      </c>
      <c r="AX74" s="212"/>
      <c r="AY74" s="251">
        <f>SUM(AY75:AY77)</f>
        <v>0.367037525791235</v>
      </c>
      <c r="AZ74" s="252">
        <f>SUM(AZ75:AZ77)</f>
        <v>0.367037525791235</v>
      </c>
      <c r="BA74" s="252">
        <f>SUM(BA75:BA77)</f>
        <v>0.367037525791235</v>
      </c>
      <c r="BB74" s="252">
        <f>SUM(BB75:BB77)</f>
        <v>0.367037525791235</v>
      </c>
      <c r="BC74" s="253">
        <f>SUM(BC75:BC77)</f>
        <v>0.367037525791235</v>
      </c>
      <c r="BD74" s="212"/>
      <c r="BE74" s="251">
        <f>SUM(BE75:BE77)</f>
        <v>0.37044943038121536</v>
      </c>
      <c r="BF74" s="252">
        <f>SUM(BF75:BF77)</f>
        <v>0.37044943038121536</v>
      </c>
      <c r="BG74" s="252">
        <f>SUM(BG75:BG77)</f>
        <v>0.37044943038121536</v>
      </c>
      <c r="BH74" s="252">
        <f>SUM(BH75:BH77)</f>
        <v>0.37044943038121536</v>
      </c>
      <c r="BI74" s="253">
        <f>SUM(BI75:BI77)</f>
        <v>0.37044943038121536</v>
      </c>
      <c r="BJ74" s="212"/>
      <c r="BK74" s="251">
        <f>SUM(BK75:BK77)</f>
        <v>0.36041788736492603</v>
      </c>
      <c r="BL74" s="252">
        <f>SUM(BL75:BL77)</f>
        <v>0.36041788736492603</v>
      </c>
      <c r="BM74" s="252">
        <f>SUM(BM75:BM77)</f>
        <v>0.36041788736492603</v>
      </c>
      <c r="BN74" s="252">
        <f>SUM(BN75:BN77)</f>
        <v>0.36041788736492603</v>
      </c>
      <c r="BO74" s="253">
        <f>SUM(BO75:BO77)</f>
        <v>0.36041788736492603</v>
      </c>
      <c r="BP74" s="212"/>
      <c r="BQ74" s="251">
        <f>SUM(BQ75:BQ77)</f>
        <v>0.36041788736492603</v>
      </c>
      <c r="BR74" s="252">
        <f>SUM(BR75:BR77)</f>
        <v>0.36041788736492603</v>
      </c>
      <c r="BS74" s="252">
        <f>SUM(BS75:BS77)</f>
        <v>0.36041788736492603</v>
      </c>
      <c r="BT74" s="252">
        <f>SUM(BT75:BT77)</f>
        <v>0.36041788736492603</v>
      </c>
      <c r="BU74" s="253">
        <f>SUM(BU75:BU77)</f>
        <v>0.36041788736492603</v>
      </c>
      <c r="BV74" s="212"/>
      <c r="BW74" s="251">
        <f>SUM(BW75:BW77)</f>
        <v>0.36041788736492603</v>
      </c>
      <c r="BX74" s="252">
        <f>SUM(BX75:BX77)</f>
        <v>0.36041788736492603</v>
      </c>
      <c r="BY74" s="252">
        <f>SUM(BY75:BY77)</f>
        <v>0.36041788736492603</v>
      </c>
      <c r="BZ74" s="252">
        <f>SUM(BZ75:BZ77)</f>
        <v>0.36041788736492603</v>
      </c>
      <c r="CA74" s="253">
        <f>SUM(CA75:CA77)</f>
        <v>0.36041788736492603</v>
      </c>
      <c r="CB74" s="212"/>
      <c r="CC74" s="251">
        <f>SUM(CC75:CC77)</f>
        <v>0.36041788736492603</v>
      </c>
      <c r="CD74" s="252">
        <f>SUM(CD75:CD77)</f>
        <v>0.36041788736492603</v>
      </c>
      <c r="CE74" s="252">
        <f>SUM(CE75:CE77)</f>
        <v>0.36041788736492603</v>
      </c>
      <c r="CF74" s="252">
        <f>SUM(CF75:CF77)</f>
        <v>0.36041788736492603</v>
      </c>
      <c r="CG74" s="253">
        <f>SUM(CG75:CG77)</f>
        <v>0.36041788736492603</v>
      </c>
      <c r="CH74" s="212"/>
      <c r="CI74" s="251">
        <f>SUM(CI75:CI77)</f>
        <v>0.36041788736492603</v>
      </c>
      <c r="CJ74" s="252">
        <f>SUM(CJ75:CJ77)</f>
        <v>0.36041788736492603</v>
      </c>
      <c r="CK74" s="252">
        <f>SUM(CK75:CK77)</f>
        <v>0.36041788736492603</v>
      </c>
      <c r="CL74" s="252">
        <f>SUM(CL75:CL77)</f>
        <v>0.36041788736492603</v>
      </c>
      <c r="CM74" s="253">
        <f>SUM(CM75:CM77)</f>
        <v>0.36041788736492603</v>
      </c>
      <c r="CN74" s="212"/>
      <c r="CO74" s="24"/>
      <c r="CP74" s="24"/>
      <c r="CQ74"/>
      <c r="CR74"/>
      <c r="CS74"/>
      <c r="CT74"/>
      <c r="CU74"/>
      <c r="CV74"/>
    </row>
    <row r="75" spans="1:100" s="16" customFormat="1" ht="11.25" hidden="1" customHeight="1" outlineLevel="1" x14ac:dyDescent="0.2">
      <c r="A75"/>
      <c r="B75" s="267" t="s">
        <v>215</v>
      </c>
      <c r="C75" s="254">
        <f>G75</f>
        <v>0.35000060678138878</v>
      </c>
      <c r="D75" s="212">
        <f>G75</f>
        <v>0.35000060678138878</v>
      </c>
      <c r="E75" s="212">
        <f>G75</f>
        <v>0.35000060678138878</v>
      </c>
      <c r="F75" s="212">
        <f>G75</f>
        <v>0.35000060678138878</v>
      </c>
      <c r="G75" s="553">
        <f>(115.363/329.608)</f>
        <v>0.35000060678138878</v>
      </c>
      <c r="H75" s="212"/>
      <c r="I75" s="254">
        <f>M75</f>
        <v>0.35000055955325265</v>
      </c>
      <c r="J75" s="212">
        <f>M75</f>
        <v>0.35000055955325265</v>
      </c>
      <c r="K75" s="212">
        <f>M75</f>
        <v>0.35000055955325265</v>
      </c>
      <c r="L75" s="212">
        <f>M75</f>
        <v>0.35000055955325265</v>
      </c>
      <c r="M75" s="553">
        <f>(125.1/357.428)</f>
        <v>0.35000055955325265</v>
      </c>
      <c r="N75" s="212"/>
      <c r="O75" s="254">
        <f>S75</f>
        <v>0.35000046926178863</v>
      </c>
      <c r="P75" s="212">
        <f>S75</f>
        <v>0.35000046926178863</v>
      </c>
      <c r="Q75" s="212">
        <f>S75</f>
        <v>0.35000046926178863</v>
      </c>
      <c r="R75" s="212">
        <f>S75</f>
        <v>0.35000046926178863</v>
      </c>
      <c r="S75" s="553">
        <f>(111.878/319.651)</f>
        <v>0.35000046926178863</v>
      </c>
      <c r="T75" s="212"/>
      <c r="U75" s="254">
        <f>Y75</f>
        <v>0.3499989676764757</v>
      </c>
      <c r="V75" s="212">
        <f>Y75</f>
        <v>0.3499989676764757</v>
      </c>
      <c r="W75" s="212">
        <f>Y75</f>
        <v>0.3499989676764757</v>
      </c>
      <c r="X75" s="212">
        <f>Y75</f>
        <v>0.3499989676764757</v>
      </c>
      <c r="Y75" s="553">
        <f>(118.664/339.041)</f>
        <v>0.3499989676764757</v>
      </c>
      <c r="Z75" s="212"/>
      <c r="AA75" s="254">
        <f>AE75</f>
        <v>0.3500015454343654</v>
      </c>
      <c r="AB75" s="212">
        <f>AE75</f>
        <v>0.3500015454343654</v>
      </c>
      <c r="AC75" s="212">
        <f>AE75</f>
        <v>0.3500015454343654</v>
      </c>
      <c r="AD75" s="212">
        <f>AE75</f>
        <v>0.3500015454343654</v>
      </c>
      <c r="AE75" s="553">
        <f>(124.561/355.887)</f>
        <v>0.3500015454343654</v>
      </c>
      <c r="AF75" s="212"/>
      <c r="AG75" s="254">
        <f>AK75</f>
        <v>0.34999939359392623</v>
      </c>
      <c r="AH75" s="212">
        <f>AK75</f>
        <v>0.34999939359392623</v>
      </c>
      <c r="AI75" s="212">
        <f>AK75</f>
        <v>0.34999939359392623</v>
      </c>
      <c r="AJ75" s="212">
        <f>AK75</f>
        <v>0.34999939359392623</v>
      </c>
      <c r="AK75" s="553">
        <f>(115.434/329.812)</f>
        <v>0.34999939359392623</v>
      </c>
      <c r="AL75" s="212"/>
      <c r="AM75" s="254">
        <f>AQ75</f>
        <v>0.35000015570648702</v>
      </c>
      <c r="AN75" s="212">
        <f>AQ75</f>
        <v>0.35000015570648702</v>
      </c>
      <c r="AO75" s="212">
        <f>AQ75</f>
        <v>0.35000015570648702</v>
      </c>
      <c r="AP75" s="212">
        <f>AQ75</f>
        <v>0.35000015570648702</v>
      </c>
      <c r="AQ75" s="553">
        <f>(112.391/321.117)</f>
        <v>0.35000015570648702</v>
      </c>
      <c r="AR75" s="212"/>
      <c r="AS75" s="254">
        <f>AW75</f>
        <v>0.34999980862196334</v>
      </c>
      <c r="AT75" s="212">
        <f>AW75</f>
        <v>0.34999980862196334</v>
      </c>
      <c r="AU75" s="212">
        <f>AW75</f>
        <v>0.34999980862196334</v>
      </c>
      <c r="AV75" s="212">
        <f>AW75</f>
        <v>0.34999980862196334</v>
      </c>
      <c r="AW75" s="553">
        <f>(91.442/261.263)</f>
        <v>0.34999980862196334</v>
      </c>
      <c r="AX75" s="212"/>
      <c r="AY75" s="254">
        <f>BC75</f>
        <v>0.35000255178296724</v>
      </c>
      <c r="AZ75" s="212">
        <f>BC75</f>
        <v>0.35000255178296724</v>
      </c>
      <c r="BA75" s="212">
        <f>BC75</f>
        <v>0.35000255178296724</v>
      </c>
      <c r="BB75" s="212">
        <f>BC75</f>
        <v>0.35000255178296724</v>
      </c>
      <c r="BC75" s="553">
        <f>(96.012/274.318)</f>
        <v>0.35000255178296724</v>
      </c>
      <c r="BD75" s="212"/>
      <c r="BE75" s="254">
        <f>BI75</f>
        <v>0.35000149158250277</v>
      </c>
      <c r="BF75" s="212">
        <f>BI75</f>
        <v>0.35000149158250277</v>
      </c>
      <c r="BG75" s="212">
        <f>BI75</f>
        <v>0.35000149158250277</v>
      </c>
      <c r="BH75" s="212">
        <f>BI75</f>
        <v>0.35000149158250277</v>
      </c>
      <c r="BI75" s="553">
        <f>(105.593/301.693)</f>
        <v>0.35000149158250277</v>
      </c>
      <c r="BJ75" s="212"/>
      <c r="BK75" s="254">
        <f>BO75</f>
        <v>0.34999461896277517</v>
      </c>
      <c r="BL75" s="212">
        <f>BO75</f>
        <v>0.34999461896277517</v>
      </c>
      <c r="BM75" s="212">
        <f>BO75</f>
        <v>0.34999461896277517</v>
      </c>
      <c r="BN75" s="212">
        <f>BO75</f>
        <v>0.34999461896277517</v>
      </c>
      <c r="BO75" s="1279">
        <f>(87.807/250.881)</f>
        <v>0.34999461896277517</v>
      </c>
      <c r="BP75" s="212"/>
      <c r="BQ75" s="254">
        <f>BU75</f>
        <v>0.34999461896277517</v>
      </c>
      <c r="BR75" s="212">
        <f>BU75</f>
        <v>0.34999461896277517</v>
      </c>
      <c r="BS75" s="212">
        <f>BU75</f>
        <v>0.34999461896277517</v>
      </c>
      <c r="BT75" s="212">
        <f>BU75</f>
        <v>0.34999461896277517</v>
      </c>
      <c r="BU75" s="558">
        <f>BO75</f>
        <v>0.34999461896277517</v>
      </c>
      <c r="BV75" s="212"/>
      <c r="BW75" s="254">
        <f>CA75</f>
        <v>0.34999461896277517</v>
      </c>
      <c r="BX75" s="212">
        <f>CA75</f>
        <v>0.34999461896277517</v>
      </c>
      <c r="BY75" s="212">
        <f>CA75</f>
        <v>0.34999461896277517</v>
      </c>
      <c r="BZ75" s="212">
        <f>CA75</f>
        <v>0.34999461896277517</v>
      </c>
      <c r="CA75" s="558">
        <f>BU75</f>
        <v>0.34999461896277517</v>
      </c>
      <c r="CB75" s="212"/>
      <c r="CC75" s="254">
        <f>CG75</f>
        <v>0.34999461896277517</v>
      </c>
      <c r="CD75" s="212">
        <f>CG75</f>
        <v>0.34999461896277517</v>
      </c>
      <c r="CE75" s="212">
        <f>CG75</f>
        <v>0.34999461896277517</v>
      </c>
      <c r="CF75" s="212">
        <f>CG75</f>
        <v>0.34999461896277517</v>
      </c>
      <c r="CG75" s="558">
        <f>CA75</f>
        <v>0.34999461896277517</v>
      </c>
      <c r="CH75" s="212"/>
      <c r="CI75" s="254">
        <f>CM75</f>
        <v>0.34999461896277517</v>
      </c>
      <c r="CJ75" s="212">
        <f>CM75</f>
        <v>0.34999461896277517</v>
      </c>
      <c r="CK75" s="212">
        <f>CM75</f>
        <v>0.34999461896277517</v>
      </c>
      <c r="CL75" s="212">
        <f>CM75</f>
        <v>0.34999461896277517</v>
      </c>
      <c r="CM75" s="558">
        <f>CG75</f>
        <v>0.34999461896277517</v>
      </c>
      <c r="CN75" s="212"/>
      <c r="CO75" s="24"/>
      <c r="CP75" s="24"/>
      <c r="CQ75"/>
      <c r="CR75"/>
      <c r="CS75"/>
      <c r="CT75"/>
      <c r="CU75"/>
      <c r="CV75"/>
    </row>
    <row r="76" spans="1:100" s="16" customFormat="1" ht="11.25" hidden="1" customHeight="1" outlineLevel="1" x14ac:dyDescent="0.2">
      <c r="A76"/>
      <c r="B76" s="267" t="s">
        <v>214</v>
      </c>
      <c r="C76" s="254">
        <f>G76</f>
        <v>1.7023251862818861E-2</v>
      </c>
      <c r="D76" s="212">
        <f>G76</f>
        <v>1.7023251862818861E-2</v>
      </c>
      <c r="E76" s="212">
        <f>G76</f>
        <v>1.7023251862818861E-2</v>
      </c>
      <c r="F76" s="212">
        <f>G76</f>
        <v>1.7023251862818861E-2</v>
      </c>
      <c r="G76" s="553">
        <f>(5.611/329.608)</f>
        <v>1.7023251862818861E-2</v>
      </c>
      <c r="H76" s="212"/>
      <c r="I76" s="254">
        <f>M76</f>
        <v>1.6867732802130778E-2</v>
      </c>
      <c r="J76" s="212">
        <f>M76</f>
        <v>1.6867732802130778E-2</v>
      </c>
      <c r="K76" s="212">
        <f>M76</f>
        <v>1.6867732802130778E-2</v>
      </c>
      <c r="L76" s="212">
        <f>M76</f>
        <v>1.6867732802130778E-2</v>
      </c>
      <c r="M76" s="553">
        <f>(6.029/357.428)</f>
        <v>1.6867732802130778E-2</v>
      </c>
      <c r="N76" s="212"/>
      <c r="O76" s="254">
        <f>S76</f>
        <v>2.2893718461697285E-2</v>
      </c>
      <c r="P76" s="212">
        <f>S76</f>
        <v>2.2893718461697285E-2</v>
      </c>
      <c r="Q76" s="212">
        <f>S76</f>
        <v>2.2893718461697285E-2</v>
      </c>
      <c r="R76" s="212">
        <f>S76</f>
        <v>2.2893718461697285E-2</v>
      </c>
      <c r="S76" s="553">
        <f>(7.318/319.651)</f>
        <v>2.2893718461697285E-2</v>
      </c>
      <c r="T76" s="212"/>
      <c r="U76" s="254">
        <f>Y76</f>
        <v>2.3899764335286882E-2</v>
      </c>
      <c r="V76" s="212">
        <f>Y76</f>
        <v>2.3899764335286882E-2</v>
      </c>
      <c r="W76" s="212">
        <f>Y76</f>
        <v>2.3899764335286882E-2</v>
      </c>
      <c r="X76" s="212">
        <f>Y76</f>
        <v>2.3899764335286882E-2</v>
      </c>
      <c r="Y76" s="553">
        <f>(8.103/339.041)</f>
        <v>2.3899764335286882E-2</v>
      </c>
      <c r="Z76" s="212"/>
      <c r="AA76" s="254">
        <f>AE76</f>
        <v>2.5148431946095246E-2</v>
      </c>
      <c r="AB76" s="212">
        <f>AE76</f>
        <v>2.5148431946095246E-2</v>
      </c>
      <c r="AC76" s="212">
        <f>AE76</f>
        <v>2.5148431946095246E-2</v>
      </c>
      <c r="AD76" s="212">
        <f>AE76</f>
        <v>2.5148431946095246E-2</v>
      </c>
      <c r="AE76" s="553">
        <f>(8.95/355.887)</f>
        <v>2.5148431946095246E-2</v>
      </c>
      <c r="AF76" s="212"/>
      <c r="AG76" s="254">
        <f>AK76</f>
        <v>2.2064084993875299E-2</v>
      </c>
      <c r="AH76" s="212">
        <f>AK76</f>
        <v>2.2064084993875299E-2</v>
      </c>
      <c r="AI76" s="212">
        <f>AK76</f>
        <v>2.2064084993875299E-2</v>
      </c>
      <c r="AJ76" s="212">
        <f>AK76</f>
        <v>2.2064084993875299E-2</v>
      </c>
      <c r="AK76" s="553">
        <f>(7.277/329.812)</f>
        <v>2.2064084993875299E-2</v>
      </c>
      <c r="AL76" s="212"/>
      <c r="AM76" s="254">
        <f>AQ76</f>
        <v>2.5915787703547299E-2</v>
      </c>
      <c r="AN76" s="212">
        <f>AQ76</f>
        <v>2.5915787703547299E-2</v>
      </c>
      <c r="AO76" s="212">
        <f>AQ76</f>
        <v>2.5915787703547299E-2</v>
      </c>
      <c r="AP76" s="212">
        <f>AQ76</f>
        <v>2.5915787703547299E-2</v>
      </c>
      <c r="AQ76" s="553">
        <f>(8.322/321.117)</f>
        <v>2.5915787703547299E-2</v>
      </c>
      <c r="AR76" s="212"/>
      <c r="AS76" s="254">
        <f>AW76</f>
        <v>2.5085833049455917E-2</v>
      </c>
      <c r="AT76" s="212">
        <f>AW76</f>
        <v>2.5085833049455917E-2</v>
      </c>
      <c r="AU76" s="212">
        <f>AW76</f>
        <v>2.5085833049455917E-2</v>
      </c>
      <c r="AV76" s="212">
        <f>AW76</f>
        <v>2.5085833049455917E-2</v>
      </c>
      <c r="AW76" s="553">
        <f>(6.554/261.263)</f>
        <v>2.5085833049455917E-2</v>
      </c>
      <c r="AX76" s="212"/>
      <c r="AY76" s="254">
        <f>BC76</f>
        <v>2.3618574063677924E-2</v>
      </c>
      <c r="AZ76" s="212">
        <f>BC76</f>
        <v>2.3618574063677924E-2</v>
      </c>
      <c r="BA76" s="212">
        <f>BC76</f>
        <v>2.3618574063677924E-2</v>
      </c>
      <c r="BB76" s="212">
        <f>BC76</f>
        <v>2.3618574063677924E-2</v>
      </c>
      <c r="BC76" s="553">
        <f>(6.479/274.318)</f>
        <v>2.3618574063677924E-2</v>
      </c>
      <c r="BD76" s="212"/>
      <c r="BE76" s="254">
        <f>BI76</f>
        <v>2.4408919000440846E-2</v>
      </c>
      <c r="BF76" s="212">
        <f>BI76</f>
        <v>2.4408919000440846E-2</v>
      </c>
      <c r="BG76" s="212">
        <f>BI76</f>
        <v>2.4408919000440846E-2</v>
      </c>
      <c r="BH76" s="212">
        <f>BI76</f>
        <v>2.4408919000440846E-2</v>
      </c>
      <c r="BI76" s="553">
        <f>(7.364/301.693)</f>
        <v>2.4408919000440846E-2</v>
      </c>
      <c r="BJ76" s="212"/>
      <c r="BK76" s="254">
        <f>BO76</f>
        <v>2.0794719408803376E-2</v>
      </c>
      <c r="BL76" s="212">
        <f>BO76</f>
        <v>2.0794719408803376E-2</v>
      </c>
      <c r="BM76" s="212">
        <f>BO76</f>
        <v>2.0794719408803376E-2</v>
      </c>
      <c r="BN76" s="212">
        <f>BO76</f>
        <v>2.0794719408803376E-2</v>
      </c>
      <c r="BO76" s="558">
        <f>(5.217/250.881)</f>
        <v>2.0794719408803376E-2</v>
      </c>
      <c r="BP76" s="212"/>
      <c r="BQ76" s="254">
        <f>BU76</f>
        <v>2.0794719408803376E-2</v>
      </c>
      <c r="BR76" s="212">
        <f>BU76</f>
        <v>2.0794719408803376E-2</v>
      </c>
      <c r="BS76" s="212">
        <f>BU76</f>
        <v>2.0794719408803376E-2</v>
      </c>
      <c r="BT76" s="212">
        <f>BU76</f>
        <v>2.0794719408803376E-2</v>
      </c>
      <c r="BU76" s="558">
        <f>BO76</f>
        <v>2.0794719408803376E-2</v>
      </c>
      <c r="BV76" s="212"/>
      <c r="BW76" s="254">
        <f>CA76</f>
        <v>2.0794719408803376E-2</v>
      </c>
      <c r="BX76" s="212">
        <f>CA76</f>
        <v>2.0794719408803376E-2</v>
      </c>
      <c r="BY76" s="212">
        <f>CA76</f>
        <v>2.0794719408803376E-2</v>
      </c>
      <c r="BZ76" s="212">
        <f>CA76</f>
        <v>2.0794719408803376E-2</v>
      </c>
      <c r="CA76" s="558">
        <f>BU76</f>
        <v>2.0794719408803376E-2</v>
      </c>
      <c r="CB76" s="212"/>
      <c r="CC76" s="254">
        <f>CG76</f>
        <v>2.0794719408803376E-2</v>
      </c>
      <c r="CD76" s="212">
        <f>CG76</f>
        <v>2.0794719408803376E-2</v>
      </c>
      <c r="CE76" s="212">
        <f>CG76</f>
        <v>2.0794719408803376E-2</v>
      </c>
      <c r="CF76" s="212">
        <f>CG76</f>
        <v>2.0794719408803376E-2</v>
      </c>
      <c r="CG76" s="558">
        <f>CA76</f>
        <v>2.0794719408803376E-2</v>
      </c>
      <c r="CH76" s="212"/>
      <c r="CI76" s="254">
        <f>CM76</f>
        <v>2.0794719408803376E-2</v>
      </c>
      <c r="CJ76" s="212">
        <f>CM76</f>
        <v>2.0794719408803376E-2</v>
      </c>
      <c r="CK76" s="212">
        <f>CM76</f>
        <v>2.0794719408803376E-2</v>
      </c>
      <c r="CL76" s="212">
        <f>CM76</f>
        <v>2.0794719408803376E-2</v>
      </c>
      <c r="CM76" s="558">
        <f>CG76</f>
        <v>2.0794719408803376E-2</v>
      </c>
      <c r="CN76" s="212"/>
      <c r="CO76" s="24"/>
      <c r="CP76" s="24"/>
      <c r="CQ76"/>
      <c r="CR76"/>
      <c r="CS76"/>
      <c r="CT76"/>
      <c r="CU76"/>
      <c r="CV76"/>
    </row>
    <row r="77" spans="1:100" s="16" customFormat="1" ht="11.25" hidden="1" customHeight="1" outlineLevel="1" x14ac:dyDescent="0.2">
      <c r="A77"/>
      <c r="B77" s="267" t="s">
        <v>216</v>
      </c>
      <c r="C77" s="254">
        <f>G77</f>
        <v>5.6248634741875199E-3</v>
      </c>
      <c r="D77" s="212">
        <f>G77</f>
        <v>5.6248634741875199E-3</v>
      </c>
      <c r="E77" s="212">
        <f>G77</f>
        <v>5.6248634741875199E-3</v>
      </c>
      <c r="F77" s="212">
        <f>G77</f>
        <v>5.6248634741875199E-3</v>
      </c>
      <c r="G77" s="553">
        <f>(1.854/329.608)</f>
        <v>5.6248634741875199E-3</v>
      </c>
      <c r="H77" s="212"/>
      <c r="I77" s="254">
        <f>M77</f>
        <v>5.0219904428304438E-3</v>
      </c>
      <c r="J77" s="212">
        <f>M77</f>
        <v>5.0219904428304438E-3</v>
      </c>
      <c r="K77" s="212">
        <f>M77</f>
        <v>5.0219904428304438E-3</v>
      </c>
      <c r="L77" s="212">
        <f>M77</f>
        <v>5.0219904428304438E-3</v>
      </c>
      <c r="M77" s="553">
        <f>(1.795/357.428)</f>
        <v>5.0219904428304438E-3</v>
      </c>
      <c r="N77" s="212"/>
      <c r="O77" s="254">
        <f>S77</f>
        <v>1.7393970298857193E-3</v>
      </c>
      <c r="P77" s="212">
        <f>S77</f>
        <v>1.7393970298857193E-3</v>
      </c>
      <c r="Q77" s="212">
        <f>S77</f>
        <v>1.7393970298857193E-3</v>
      </c>
      <c r="R77" s="212">
        <f>S77</f>
        <v>1.7393970298857193E-3</v>
      </c>
      <c r="S77" s="553">
        <f>(0.556/319.651)</f>
        <v>1.7393970298857193E-3</v>
      </c>
      <c r="T77" s="212"/>
      <c r="U77" s="254">
        <f>Y77</f>
        <v>-4.1617385507947422E-3</v>
      </c>
      <c r="V77" s="212">
        <f>Y77</f>
        <v>-4.1617385507947422E-3</v>
      </c>
      <c r="W77" s="212">
        <f>Y77</f>
        <v>-4.1617385507947422E-3</v>
      </c>
      <c r="X77" s="212">
        <f>Y77</f>
        <v>-4.1617385507947422E-3</v>
      </c>
      <c r="Y77" s="553">
        <f>(-1.411/339.041)</f>
        <v>-4.1617385507947422E-3</v>
      </c>
      <c r="Z77" s="212"/>
      <c r="AA77" s="254">
        <f>AE77</f>
        <v>-4.8948121173293772E-3</v>
      </c>
      <c r="AB77" s="212">
        <f>AE77</f>
        <v>-4.8948121173293772E-3</v>
      </c>
      <c r="AC77" s="212">
        <f>AE77</f>
        <v>-4.8948121173293772E-3</v>
      </c>
      <c r="AD77" s="212">
        <f>AE77</f>
        <v>-4.8948121173293772E-3</v>
      </c>
      <c r="AE77" s="553">
        <f>(-1.742/355.887)</f>
        <v>-4.8948121173293772E-3</v>
      </c>
      <c r="AF77" s="212"/>
      <c r="AG77" s="254">
        <f>AK77</f>
        <v>-1.1958327774610989E-2</v>
      </c>
      <c r="AH77" s="212">
        <f>AK77</f>
        <v>-1.1958327774610989E-2</v>
      </c>
      <c r="AI77" s="212">
        <f>AK77</f>
        <v>-1.1958327774610989E-2</v>
      </c>
      <c r="AJ77" s="212">
        <f>AK77</f>
        <v>-1.1958327774610989E-2</v>
      </c>
      <c r="AK77" s="553">
        <f>(-3.944/329.812)</f>
        <v>-1.1958327774610989E-2</v>
      </c>
      <c r="AL77" s="212"/>
      <c r="AM77" s="254">
        <f>AQ77</f>
        <v>-1.4334339197239634E-2</v>
      </c>
      <c r="AN77" s="212">
        <f>AQ77</f>
        <v>-1.4334339197239634E-2</v>
      </c>
      <c r="AO77" s="212">
        <f>AQ77</f>
        <v>-1.4334339197239634E-2</v>
      </c>
      <c r="AP77" s="212">
        <f>AQ77</f>
        <v>-1.4334339197239634E-2</v>
      </c>
      <c r="AQ77" s="553">
        <f>(-4.603/321.117)</f>
        <v>-1.4334339197239634E-2</v>
      </c>
      <c r="AR77" s="212"/>
      <c r="AS77" s="254">
        <f>AW77</f>
        <v>-7.9536712048778428E-3</v>
      </c>
      <c r="AT77" s="212">
        <f>AW77</f>
        <v>-7.9536712048778428E-3</v>
      </c>
      <c r="AU77" s="212">
        <f>AW77</f>
        <v>-7.9536712048778428E-3</v>
      </c>
      <c r="AV77" s="212">
        <f>AW77</f>
        <v>-7.9536712048778428E-3</v>
      </c>
      <c r="AW77" s="553">
        <f>(-2.078/261.263)</f>
        <v>-7.9536712048778428E-3</v>
      </c>
      <c r="AX77" s="212"/>
      <c r="AY77" s="254">
        <f>BC77</f>
        <v>-6.5836000554101454E-3</v>
      </c>
      <c r="AZ77" s="212">
        <f>BC77</f>
        <v>-6.5836000554101454E-3</v>
      </c>
      <c r="BA77" s="212">
        <f>BC77</f>
        <v>-6.5836000554101454E-3</v>
      </c>
      <c r="BB77" s="212">
        <f>BC77</f>
        <v>-6.5836000554101454E-3</v>
      </c>
      <c r="BC77" s="553">
        <f>(-1.806/274.318)</f>
        <v>-6.5836000554101454E-3</v>
      </c>
      <c r="BD77" s="212"/>
      <c r="BE77" s="254">
        <f>BI77</f>
        <v>-3.9609802017282472E-3</v>
      </c>
      <c r="BF77" s="212">
        <f>BI77</f>
        <v>-3.9609802017282472E-3</v>
      </c>
      <c r="BG77" s="212">
        <f>BI77</f>
        <v>-3.9609802017282472E-3</v>
      </c>
      <c r="BH77" s="212">
        <f>BI77</f>
        <v>-3.9609802017282472E-3</v>
      </c>
      <c r="BI77" s="553">
        <f>(-1.195/301.693)</f>
        <v>-3.9609802017282472E-3</v>
      </c>
      <c r="BJ77" s="212"/>
      <c r="BK77" s="254">
        <f>BO77</f>
        <v>-1.0371451006652556E-2</v>
      </c>
      <c r="BL77" s="212">
        <f>BO77</f>
        <v>-1.0371451006652556E-2</v>
      </c>
      <c r="BM77" s="212">
        <f>BO77</f>
        <v>-1.0371451006652556E-2</v>
      </c>
      <c r="BN77" s="212">
        <f>BO77</f>
        <v>-1.0371451006652556E-2</v>
      </c>
      <c r="BO77" s="558">
        <f>(-2.602/250.881)</f>
        <v>-1.0371451006652556E-2</v>
      </c>
      <c r="BP77" s="212"/>
      <c r="BQ77" s="254">
        <f>BU77</f>
        <v>-1.0371451006652556E-2</v>
      </c>
      <c r="BR77" s="212">
        <f>BU77</f>
        <v>-1.0371451006652556E-2</v>
      </c>
      <c r="BS77" s="212">
        <f>BU77</f>
        <v>-1.0371451006652556E-2</v>
      </c>
      <c r="BT77" s="212">
        <f>BU77</f>
        <v>-1.0371451006652556E-2</v>
      </c>
      <c r="BU77" s="558">
        <f>BO77</f>
        <v>-1.0371451006652556E-2</v>
      </c>
      <c r="BV77" s="212"/>
      <c r="BW77" s="254">
        <f>CA77</f>
        <v>-1.0371451006652556E-2</v>
      </c>
      <c r="BX77" s="212">
        <f>CA77</f>
        <v>-1.0371451006652556E-2</v>
      </c>
      <c r="BY77" s="212">
        <f>CA77</f>
        <v>-1.0371451006652556E-2</v>
      </c>
      <c r="BZ77" s="212">
        <f>CA77</f>
        <v>-1.0371451006652556E-2</v>
      </c>
      <c r="CA77" s="558">
        <f>BU77</f>
        <v>-1.0371451006652556E-2</v>
      </c>
      <c r="CB77" s="212"/>
      <c r="CC77" s="254">
        <f>CG77</f>
        <v>-1.0371451006652556E-2</v>
      </c>
      <c r="CD77" s="212">
        <f>CG77</f>
        <v>-1.0371451006652556E-2</v>
      </c>
      <c r="CE77" s="212">
        <f>CG77</f>
        <v>-1.0371451006652556E-2</v>
      </c>
      <c r="CF77" s="212">
        <f>CG77</f>
        <v>-1.0371451006652556E-2</v>
      </c>
      <c r="CG77" s="558">
        <f>CA77</f>
        <v>-1.0371451006652556E-2</v>
      </c>
      <c r="CH77" s="212"/>
      <c r="CI77" s="254">
        <f>CM77</f>
        <v>-1.0371451006652556E-2</v>
      </c>
      <c r="CJ77" s="212">
        <f>CM77</f>
        <v>-1.0371451006652556E-2</v>
      </c>
      <c r="CK77" s="212">
        <f>CM77</f>
        <v>-1.0371451006652556E-2</v>
      </c>
      <c r="CL77" s="212">
        <f>CM77</f>
        <v>-1.0371451006652556E-2</v>
      </c>
      <c r="CM77" s="558">
        <f>CG77</f>
        <v>-1.0371451006652556E-2</v>
      </c>
      <c r="CN77" s="212"/>
      <c r="CO77" s="24"/>
      <c r="CP77" s="24"/>
      <c r="CQ77"/>
      <c r="CR77"/>
      <c r="CS77"/>
      <c r="CT77"/>
      <c r="CU77"/>
      <c r="CV77"/>
    </row>
    <row r="78" spans="1:100" ht="11.25" hidden="1" customHeight="1" outlineLevel="1" x14ac:dyDescent="0.2">
      <c r="B78" s="262" t="s">
        <v>144</v>
      </c>
      <c r="C78" s="425">
        <v>0</v>
      </c>
      <c r="D78" s="200">
        <v>0</v>
      </c>
      <c r="E78" s="200">
        <v>0</v>
      </c>
      <c r="F78" s="200">
        <v>0</v>
      </c>
      <c r="G78" s="554">
        <v>0</v>
      </c>
      <c r="H78" s="187"/>
      <c r="I78" s="425">
        <v>0</v>
      </c>
      <c r="J78" s="200">
        <v>0</v>
      </c>
      <c r="K78" s="200">
        <v>0</v>
      </c>
      <c r="L78" s="200">
        <v>0</v>
      </c>
      <c r="M78" s="554">
        <v>0</v>
      </c>
      <c r="N78" s="187"/>
      <c r="O78" s="425">
        <v>0</v>
      </c>
      <c r="P78" s="200">
        <v>0</v>
      </c>
      <c r="Q78" s="200">
        <v>0</v>
      </c>
      <c r="R78" s="200">
        <v>0</v>
      </c>
      <c r="S78" s="554">
        <v>0</v>
      </c>
      <c r="T78" s="187"/>
      <c r="U78" s="425">
        <v>0</v>
      </c>
      <c r="V78" s="200">
        <v>0</v>
      </c>
      <c r="W78" s="200">
        <v>0</v>
      </c>
      <c r="X78" s="200">
        <v>0</v>
      </c>
      <c r="Y78" s="554">
        <v>0</v>
      </c>
      <c r="Z78" s="187"/>
      <c r="AA78" s="425">
        <v>0</v>
      </c>
      <c r="AB78" s="200">
        <v>0</v>
      </c>
      <c r="AC78" s="200">
        <v>0</v>
      </c>
      <c r="AD78" s="200">
        <v>0</v>
      </c>
      <c r="AE78" s="554">
        <v>0</v>
      </c>
      <c r="AF78" s="187"/>
      <c r="AG78" s="425">
        <v>0</v>
      </c>
      <c r="AH78" s="200">
        <v>0</v>
      </c>
      <c r="AI78" s="200">
        <v>0</v>
      </c>
      <c r="AJ78" s="200">
        <v>0</v>
      </c>
      <c r="AK78" s="554">
        <v>0</v>
      </c>
      <c r="AL78" s="187"/>
      <c r="AM78" s="425">
        <v>0</v>
      </c>
      <c r="AN78" s="200">
        <v>0</v>
      </c>
      <c r="AO78" s="200">
        <v>0</v>
      </c>
      <c r="AP78" s="200">
        <v>0</v>
      </c>
      <c r="AQ78" s="554">
        <v>0</v>
      </c>
      <c r="AR78" s="187"/>
      <c r="AS78" s="425">
        <v>0</v>
      </c>
      <c r="AT78" s="200">
        <v>0</v>
      </c>
      <c r="AU78" s="200">
        <v>0</v>
      </c>
      <c r="AV78" s="200">
        <v>0</v>
      </c>
      <c r="AW78" s="554">
        <v>0</v>
      </c>
      <c r="AX78" s="187"/>
      <c r="AY78" s="425">
        <v>0</v>
      </c>
      <c r="AZ78" s="200">
        <v>0</v>
      </c>
      <c r="BA78" s="200">
        <v>0</v>
      </c>
      <c r="BB78" s="200">
        <v>0</v>
      </c>
      <c r="BC78" s="554">
        <v>0</v>
      </c>
      <c r="BD78" s="187"/>
      <c r="BE78" s="425">
        <v>0</v>
      </c>
      <c r="BF78" s="200">
        <v>0</v>
      </c>
      <c r="BG78" s="200">
        <v>0</v>
      </c>
      <c r="BH78" s="200">
        <v>0</v>
      </c>
      <c r="BI78" s="554">
        <v>0</v>
      </c>
      <c r="BJ78" s="187"/>
      <c r="BK78" s="852">
        <v>0</v>
      </c>
      <c r="BL78" s="847">
        <v>0</v>
      </c>
      <c r="BM78" s="847">
        <v>0</v>
      </c>
      <c r="BN78" s="847">
        <v>0</v>
      </c>
      <c r="BO78" s="1275">
        <v>0</v>
      </c>
      <c r="BP78" s="187"/>
      <c r="BQ78" s="425">
        <v>0</v>
      </c>
      <c r="BR78" s="847">
        <v>0</v>
      </c>
      <c r="BS78" s="847">
        <v>0</v>
      </c>
      <c r="BT78" s="189">
        <v>0</v>
      </c>
      <c r="BU78" s="559">
        <v>0</v>
      </c>
      <c r="BV78" s="187"/>
      <c r="BW78" s="560">
        <v>0</v>
      </c>
      <c r="BX78" s="189">
        <v>0</v>
      </c>
      <c r="BY78" s="189">
        <v>0</v>
      </c>
      <c r="BZ78" s="189">
        <v>0</v>
      </c>
      <c r="CA78" s="559">
        <v>0</v>
      </c>
      <c r="CB78" s="187"/>
      <c r="CC78" s="560">
        <v>0</v>
      </c>
      <c r="CD78" s="189">
        <v>0</v>
      </c>
      <c r="CE78" s="189">
        <v>0</v>
      </c>
      <c r="CF78" s="189">
        <v>0</v>
      </c>
      <c r="CG78" s="559">
        <v>0</v>
      </c>
      <c r="CH78" s="187"/>
      <c r="CI78" s="560">
        <v>0</v>
      </c>
      <c r="CJ78" s="189">
        <v>0</v>
      </c>
      <c r="CK78" s="189">
        <v>0</v>
      </c>
      <c r="CL78" s="189">
        <v>0</v>
      </c>
      <c r="CM78" s="559">
        <v>0</v>
      </c>
      <c r="CN78" s="187"/>
      <c r="CO78" s="17"/>
      <c r="CP78" s="17"/>
    </row>
    <row r="79" spans="1:100" ht="11.25" hidden="1" customHeight="1" outlineLevel="1" x14ac:dyDescent="0.2">
      <c r="B79" s="550" t="s">
        <v>211</v>
      </c>
      <c r="C79" s="223">
        <f>C66</f>
        <v>41.584000000000046</v>
      </c>
      <c r="D79" s="211">
        <f>D66</f>
        <v>48.237000000000023</v>
      </c>
      <c r="E79" s="211">
        <f>E66</f>
        <v>58.591000000000015</v>
      </c>
      <c r="F79" s="211">
        <f>F66</f>
        <v>59.923999999999999</v>
      </c>
      <c r="G79" s="492">
        <f>G66</f>
        <v>208.33599999999984</v>
      </c>
      <c r="H79" s="187"/>
      <c r="I79" s="223">
        <f>I66</f>
        <v>47.544000000000025</v>
      </c>
      <c r="J79" s="211">
        <f>J66</f>
        <v>53.740999999999964</v>
      </c>
      <c r="K79" s="211">
        <f>K66</f>
        <v>60.364000000000033</v>
      </c>
      <c r="L79" s="211">
        <f>L66</f>
        <v>63.208999999999996</v>
      </c>
      <c r="M79" s="492">
        <f>M66</f>
        <v>224.858</v>
      </c>
      <c r="N79" s="187"/>
      <c r="O79" s="223">
        <f>O66</f>
        <v>45.964000000000013</v>
      </c>
      <c r="P79" s="211">
        <f>P66</f>
        <v>46.902999999999977</v>
      </c>
      <c r="Q79" s="211">
        <f>Q66</f>
        <v>52.807000000000031</v>
      </c>
      <c r="R79" s="211">
        <f>R66</f>
        <v>53.961000000000006</v>
      </c>
      <c r="S79" s="492">
        <f>S66</f>
        <v>199.63500000000036</v>
      </c>
      <c r="T79" s="187"/>
      <c r="U79" s="223">
        <f>U66</f>
        <v>45.05699999999996</v>
      </c>
      <c r="V79" s="211">
        <f>V66</f>
        <v>49.343000000000046</v>
      </c>
      <c r="W79" s="211">
        <f>W66</f>
        <v>56.048999999999971</v>
      </c>
      <c r="X79" s="211">
        <f>X66</f>
        <v>61.805</v>
      </c>
      <c r="Y79" s="492">
        <f>Y66</f>
        <v>212.25400000000042</v>
      </c>
      <c r="Z79" s="187"/>
      <c r="AA79" s="223">
        <f>AA66</f>
        <v>53.925000000000054</v>
      </c>
      <c r="AB79" s="211">
        <f>AB66</f>
        <v>53.357000000000014</v>
      </c>
      <c r="AC79" s="211">
        <f>AC66</f>
        <v>55.395999999999987</v>
      </c>
      <c r="AD79" s="211">
        <f>AD66</f>
        <v>62.707000000000058</v>
      </c>
      <c r="AE79" s="492">
        <f>AE66</f>
        <v>225.38500000000028</v>
      </c>
      <c r="AF79" s="187"/>
      <c r="AG79" s="223">
        <f>AG66</f>
        <v>48.61000000000007</v>
      </c>
      <c r="AH79" s="211">
        <f>AH66</f>
        <v>48.953999999999951</v>
      </c>
      <c r="AI79" s="211">
        <f>AI66</f>
        <v>53.108000000000004</v>
      </c>
      <c r="AJ79" s="211">
        <f>AJ66</f>
        <v>62.143000000000001</v>
      </c>
      <c r="AK79" s="492">
        <f>AK66</f>
        <v>212.81500000000011</v>
      </c>
      <c r="AL79" s="187"/>
      <c r="AM79" s="223">
        <f>AM66</f>
        <v>47.53799999999994</v>
      </c>
      <c r="AN79" s="211">
        <f>AN66</f>
        <v>45.541999999999945</v>
      </c>
      <c r="AO79" s="211">
        <f>AO66</f>
        <v>53.63000000000001</v>
      </c>
      <c r="AP79" s="211">
        <f>AP66</f>
        <v>63.562000000000012</v>
      </c>
      <c r="AQ79" s="492">
        <f>AQ66</f>
        <v>210.27199999999979</v>
      </c>
      <c r="AR79" s="187"/>
      <c r="AS79" s="223">
        <f>AS66</f>
        <v>45.892000000000039</v>
      </c>
      <c r="AT79" s="211">
        <f>AT66</f>
        <v>42.027999999999906</v>
      </c>
      <c r="AU79" s="211">
        <f>AU66</f>
        <v>57.020999999999987</v>
      </c>
      <c r="AV79" s="211">
        <f>AV66</f>
        <v>55.669999999999938</v>
      </c>
      <c r="AW79" s="492">
        <f>AW66</f>
        <v>200.61099999999982</v>
      </c>
      <c r="AX79" s="187"/>
      <c r="AY79" s="223">
        <f>AY66</f>
        <v>50.288999999999952</v>
      </c>
      <c r="AZ79" s="211">
        <f>AZ66</f>
        <v>53.778000000000034</v>
      </c>
      <c r="BA79" s="211">
        <f>BA66</f>
        <v>54.675999999999988</v>
      </c>
      <c r="BB79" s="211">
        <f>BB66</f>
        <v>64.517999999999972</v>
      </c>
      <c r="BC79" s="492">
        <f>BC66</f>
        <v>223.26100000000002</v>
      </c>
      <c r="BD79" s="187"/>
      <c r="BE79" s="223">
        <f>BE66</f>
        <v>29.702999999999914</v>
      </c>
      <c r="BF79" s="211">
        <f>BF66</f>
        <v>35.421000000000113</v>
      </c>
      <c r="BG79" s="211">
        <f>BG66</f>
        <v>56.440000000000033</v>
      </c>
      <c r="BH79" s="211">
        <f>BH66</f>
        <v>65.62</v>
      </c>
      <c r="BI79" s="492">
        <f>BI66</f>
        <v>187.18399999999954</v>
      </c>
      <c r="BJ79" s="187"/>
      <c r="BK79" s="223">
        <f>BK66</f>
        <v>38.905999999999899</v>
      </c>
      <c r="BL79" s="211">
        <f>BL66</f>
        <v>45.756000000000036</v>
      </c>
      <c r="BM79" s="211">
        <f>BM66</f>
        <v>24.539999999999996</v>
      </c>
      <c r="BN79" s="211">
        <f>BN66</f>
        <v>62.391000000000005</v>
      </c>
      <c r="BO79" s="492">
        <f>BO66</f>
        <v>171.59299999999993</v>
      </c>
      <c r="BP79" s="187"/>
      <c r="BQ79" s="223">
        <f>BQ66</f>
        <v>30.846999999999991</v>
      </c>
      <c r="BR79" s="211">
        <f>BR66</f>
        <v>40.243999999999971</v>
      </c>
      <c r="BS79" s="211">
        <f>BS66</f>
        <v>108.955</v>
      </c>
      <c r="BT79" s="211">
        <f>BT66</f>
        <v>25.941522154097179</v>
      </c>
      <c r="BU79" s="492">
        <f>BU66</f>
        <v>205.98752215409692</v>
      </c>
      <c r="BV79" s="187"/>
      <c r="BW79" s="223">
        <f>BW66</f>
        <v>32.165741645425328</v>
      </c>
      <c r="BX79" s="211">
        <f>BX66</f>
        <v>35.803154237920204</v>
      </c>
      <c r="BY79" s="211">
        <f>BY66</f>
        <v>38.005353822883507</v>
      </c>
      <c r="BZ79" s="211">
        <f>BZ66</f>
        <v>40.485967374714328</v>
      </c>
      <c r="CA79" s="492">
        <f>CA66</f>
        <v>146.46021708094327</v>
      </c>
      <c r="CB79" s="187"/>
      <c r="CC79" s="223">
        <f>CC66</f>
        <v>34.776361148846661</v>
      </c>
      <c r="CD79" s="211">
        <f>CD66</f>
        <v>38.470863064159765</v>
      </c>
      <c r="CE79" s="211">
        <f>CE66</f>
        <v>40.286895173204577</v>
      </c>
      <c r="CF79" s="211">
        <f>CF66</f>
        <v>43.011925519346057</v>
      </c>
      <c r="CG79" s="492">
        <f>CG66</f>
        <v>156.54604490555732</v>
      </c>
      <c r="CH79" s="187"/>
      <c r="CI79" s="223">
        <f>CI66</f>
        <v>31.618915253443706</v>
      </c>
      <c r="CJ79" s="211">
        <f>CJ66</f>
        <v>35.054619580729785</v>
      </c>
      <c r="CK79" s="211">
        <f>CK66</f>
        <v>37.279603992360222</v>
      </c>
      <c r="CL79" s="211">
        <f>CL66</f>
        <v>39.826516370154735</v>
      </c>
      <c r="CM79" s="492">
        <f>CM66</f>
        <v>143.77965519668822</v>
      </c>
      <c r="CN79" s="187"/>
      <c r="CO79" s="17"/>
      <c r="CP79" s="17"/>
    </row>
    <row r="80" spans="1:100" ht="11.25" hidden="1" customHeight="1" outlineLevel="1" x14ac:dyDescent="0.2">
      <c r="B80" s="551" t="s">
        <v>370</v>
      </c>
      <c r="C80" s="475">
        <f>'Cash Flow'!C14+'Cash Flow'!C37+'Cash Flow'!C42+'Cash Flow'!C43</f>
        <v>6.1859999999999999</v>
      </c>
      <c r="D80" s="185">
        <f>'Cash Flow'!D14+'Cash Flow'!D37+'Cash Flow'!D42+'Cash Flow'!D43</f>
        <v>-99.423000000000002</v>
      </c>
      <c r="E80" s="185">
        <f>'Cash Flow'!E14+'Cash Flow'!E37+'Cash Flow'!E42+'Cash Flow'!E43</f>
        <v>14.435000000000002</v>
      </c>
      <c r="F80" s="185">
        <f>'Cash Flow'!F14+'Cash Flow'!F37+'Cash Flow'!F42+'Cash Flow'!F43</f>
        <v>1.965999999999994</v>
      </c>
      <c r="G80" s="555">
        <f>'Cash Flow'!G14+'Cash Flow'!G37+'Cash Flow'!G42+'Cash Flow'!G43</f>
        <v>-76.836000000000013</v>
      </c>
      <c r="H80" s="185"/>
      <c r="I80" s="475">
        <f>'Cash Flow'!I14+'Cash Flow'!I37+'Cash Flow'!I42+'Cash Flow'!I43</f>
        <v>5.4560000000000004</v>
      </c>
      <c r="J80" s="185">
        <f>'Cash Flow'!J14+'Cash Flow'!J37+'Cash Flow'!J42+'Cash Flow'!J43</f>
        <v>5.12</v>
      </c>
      <c r="K80" s="185">
        <f>'Cash Flow'!K14+'Cash Flow'!K37+'Cash Flow'!K42+'Cash Flow'!K43</f>
        <v>-231.048</v>
      </c>
      <c r="L80" s="185">
        <f>'Cash Flow'!L14+'Cash Flow'!L37+'Cash Flow'!L42+'Cash Flow'!L43</f>
        <v>-392.99099999999999</v>
      </c>
      <c r="M80" s="555">
        <f>'Cash Flow'!M14+'Cash Flow'!M37+'Cash Flow'!M42+'Cash Flow'!M43</f>
        <v>-613.46300000000008</v>
      </c>
      <c r="N80" s="185"/>
      <c r="O80" s="475">
        <f>'Cash Flow'!O14+'Cash Flow'!O37+'Cash Flow'!O42+'Cash Flow'!O43</f>
        <v>4.3209999999999997</v>
      </c>
      <c r="P80" s="185">
        <f>'Cash Flow'!P14+'Cash Flow'!P37+'Cash Flow'!P42+'Cash Flow'!P43</f>
        <v>4.9800000000000004</v>
      </c>
      <c r="Q80" s="185">
        <f>'Cash Flow'!Q14+'Cash Flow'!Q37+'Cash Flow'!Q42+'Cash Flow'!Q43</f>
        <v>6.774</v>
      </c>
      <c r="R80" s="185">
        <f>'Cash Flow'!R14+'Cash Flow'!R37+'Cash Flow'!R42+'Cash Flow'!R43</f>
        <v>5.7</v>
      </c>
      <c r="S80" s="555">
        <f>'Cash Flow'!S14+'Cash Flow'!S37+'Cash Flow'!S42+'Cash Flow'!S43</f>
        <v>21.774999999999999</v>
      </c>
      <c r="T80" s="185"/>
      <c r="U80" s="475">
        <f>'Cash Flow'!U14+'Cash Flow'!U37+'Cash Flow'!U42+'Cash Flow'!U43</f>
        <v>5.35</v>
      </c>
      <c r="V80" s="185">
        <f>'Cash Flow'!V14+'Cash Flow'!V37+'Cash Flow'!V42+'Cash Flow'!V43</f>
        <v>4.6669999999999998</v>
      </c>
      <c r="W80" s="185">
        <f>'Cash Flow'!W14+'Cash Flow'!W37+'Cash Flow'!W42+'Cash Flow'!W43</f>
        <v>6.5960000000000001</v>
      </c>
      <c r="X80" s="185">
        <f>'Cash Flow'!X14+'Cash Flow'!X37+'Cash Flow'!X42+'Cash Flow'!X43</f>
        <v>5.7570000000000006</v>
      </c>
      <c r="Y80" s="555">
        <f>'Cash Flow'!Y14+'Cash Flow'!Y37+'Cash Flow'!Y42+'Cash Flow'!Y43</f>
        <v>22.369999999999997</v>
      </c>
      <c r="Z80" s="185"/>
      <c r="AA80" s="475">
        <f>'Cash Flow'!AA14+'Cash Flow'!AA37+'Cash Flow'!AA42+'Cash Flow'!AA43</f>
        <v>10.307</v>
      </c>
      <c r="AB80" s="185">
        <f>'Cash Flow'!AB14+'Cash Flow'!AB37+'Cash Flow'!AB42+'Cash Flow'!AB43</f>
        <v>-31.934000000000005</v>
      </c>
      <c r="AC80" s="185">
        <f>'Cash Flow'!AC14+'Cash Flow'!AC37+'Cash Flow'!AC42+'Cash Flow'!AC43</f>
        <v>4.4639999999999986</v>
      </c>
      <c r="AD80" s="185">
        <f>'Cash Flow'!AD14+'Cash Flow'!AD37+'Cash Flow'!AD42+'Cash Flow'!AD43</f>
        <v>-55.45600000000001</v>
      </c>
      <c r="AE80" s="555">
        <f>'Cash Flow'!AE14+'Cash Flow'!AE37+'Cash Flow'!AE42+'Cash Flow'!AE43</f>
        <v>-72.619000000000014</v>
      </c>
      <c r="AF80" s="185"/>
      <c r="AG80" s="475">
        <f>'Cash Flow'!AG14+'Cash Flow'!AG37+'Cash Flow'!AG42+'Cash Flow'!AG43</f>
        <v>-47.221999999999994</v>
      </c>
      <c r="AH80" s="185">
        <f>'Cash Flow'!AH14+'Cash Flow'!AH37+'Cash Flow'!AH42+'Cash Flow'!AH43</f>
        <v>-159.172</v>
      </c>
      <c r="AI80" s="185">
        <f>'Cash Flow'!AI14+'Cash Flow'!AI37+'Cash Flow'!AI42+'Cash Flow'!AI43</f>
        <v>-97.964000000000013</v>
      </c>
      <c r="AJ80" s="185">
        <f>'Cash Flow'!AJ14+'Cash Flow'!AJ37+'Cash Flow'!AJ42+'Cash Flow'!AJ43</f>
        <v>-30.098000000000027</v>
      </c>
      <c r="AK80" s="555">
        <f>'Cash Flow'!AK14+'Cash Flow'!AK37+'Cash Flow'!AK42+'Cash Flow'!AK43</f>
        <v>-334.45600000000007</v>
      </c>
      <c r="AL80" s="185"/>
      <c r="AM80" s="475">
        <f>'Cash Flow'!AM14+'Cash Flow'!AM37+'Cash Flow'!AM42+'Cash Flow'!AM43</f>
        <v>-21.351999999999997</v>
      </c>
      <c r="AN80" s="185">
        <f>'Cash Flow'!AN14+'Cash Flow'!AN37+'Cash Flow'!AN42+'Cash Flow'!AN43</f>
        <v>-40.355000000000011</v>
      </c>
      <c r="AO80" s="185">
        <f>'Cash Flow'!AO14+'Cash Flow'!AO37+'Cash Flow'!AO42+'Cash Flow'!AO43</f>
        <v>-42.314999999999991</v>
      </c>
      <c r="AP80" s="185">
        <f>'Cash Flow'!AP14+'Cash Flow'!AP37+'Cash Flow'!AP42+'Cash Flow'!AP43</f>
        <v>-25.594000000000026</v>
      </c>
      <c r="AQ80" s="555">
        <f>'Cash Flow'!AQ14+'Cash Flow'!AQ37+'Cash Flow'!AQ42+'Cash Flow'!AQ43</f>
        <v>-129.61600000000001</v>
      </c>
      <c r="AR80" s="185"/>
      <c r="AS80" s="475">
        <f>'Cash Flow'!AS14+'Cash Flow'!AS37+'Cash Flow'!AS42+'Cash Flow'!AS43</f>
        <v>-17.737000000000002</v>
      </c>
      <c r="AT80" s="185">
        <f>'Cash Flow'!AT14+'Cash Flow'!AT37+'Cash Flow'!AT42+'Cash Flow'!AT43</f>
        <v>16.788</v>
      </c>
      <c r="AU80" s="185">
        <f>'Cash Flow'!AU14+'Cash Flow'!AU37+'Cash Flow'!AU42+'Cash Flow'!AU43</f>
        <v>-14.284999999999998</v>
      </c>
      <c r="AV80" s="185">
        <f>'Cash Flow'!AV14+'Cash Flow'!AV37+'Cash Flow'!AV42+'Cash Flow'!AV43</f>
        <v>-40.582000000000001</v>
      </c>
      <c r="AW80" s="555">
        <f>'Cash Flow'!AW14+'Cash Flow'!AW37+'Cash Flow'!AW42+'Cash Flow'!AW43</f>
        <v>-55.816000000000017</v>
      </c>
      <c r="AX80" s="185"/>
      <c r="AY80" s="475">
        <f>'Cash Flow'!AY14+'Cash Flow'!AY37+'Cash Flow'!AY42+'Cash Flow'!AY43</f>
        <v>-36.465000000000003</v>
      </c>
      <c r="AZ80" s="185">
        <f>'Cash Flow'!AZ14+'Cash Flow'!AZ37+'Cash Flow'!AZ42+'Cash Flow'!AZ43</f>
        <v>0.86600000000000055</v>
      </c>
      <c r="BA80" s="185">
        <f>'Cash Flow'!BA14+'Cash Flow'!BA37+'Cash Flow'!BA42+'Cash Flow'!BA43</f>
        <v>6.0000000000000027</v>
      </c>
      <c r="BB80" s="185">
        <f>'Cash Flow'!BB14+'Cash Flow'!BB37+'Cash Flow'!BB42+'Cash Flow'!BB43</f>
        <v>12.241999999999997</v>
      </c>
      <c r="BC80" s="555">
        <f>'Cash Flow'!BC14+'Cash Flow'!BC37+'Cash Flow'!BC42+'Cash Flow'!BC43</f>
        <v>-17.356999999999999</v>
      </c>
      <c r="BD80" s="185"/>
      <c r="BE80" s="475">
        <f>'Cash Flow'!BE14+'Cash Flow'!BE37+'Cash Flow'!BE42+'Cash Flow'!BE43</f>
        <v>6.9649999999999999</v>
      </c>
      <c r="BF80" s="185">
        <f>'Cash Flow'!BF14+'Cash Flow'!BF37+'Cash Flow'!BF42+'Cash Flow'!BF43</f>
        <v>-154.00300000000001</v>
      </c>
      <c r="BG80" s="185">
        <f>'Cash Flow'!BG14+'Cash Flow'!BG37+'Cash Flow'!BG42+'Cash Flow'!BG43</f>
        <v>-32.374999999999993</v>
      </c>
      <c r="BH80" s="185">
        <f>'Cash Flow'!BH14+'Cash Flow'!BH37+'Cash Flow'!BH42+'Cash Flow'!BH43</f>
        <v>12.956</v>
      </c>
      <c r="BI80" s="555">
        <f>'Cash Flow'!BI14+'Cash Flow'!BI37+'Cash Flow'!BI42+'Cash Flow'!BI43</f>
        <v>-166.45700000000002</v>
      </c>
      <c r="BJ80" s="185"/>
      <c r="BK80" s="475">
        <f>'Cash Flow'!BK14+'Cash Flow'!BK37+'Cash Flow'!BK42+'Cash Flow'!BK43</f>
        <v>-15.816000000000001</v>
      </c>
      <c r="BL80" s="185">
        <f>'Cash Flow'!BL14+'Cash Flow'!BL37+'Cash Flow'!BL42+'Cash Flow'!BL43</f>
        <v>-19.491</v>
      </c>
      <c r="BM80" s="185">
        <f>'Cash Flow'!BM14+'Cash Flow'!BM37+'Cash Flow'!BM42+'Cash Flow'!BM43</f>
        <v>-32.089999999999996</v>
      </c>
      <c r="BN80" s="185">
        <f>'Cash Flow'!BN14+'Cash Flow'!BN37+'Cash Flow'!BN42+'Cash Flow'!BN43</f>
        <v>-31.327000000000002</v>
      </c>
      <c r="BO80" s="555">
        <f>'Cash Flow'!BO14+'Cash Flow'!BO37+'Cash Flow'!BO42+'Cash Flow'!BO43</f>
        <v>-98.724000000000004</v>
      </c>
      <c r="BP80" s="185"/>
      <c r="BQ80" s="475">
        <f>'Cash Flow'!BQ14+'Cash Flow'!BQ37+'Cash Flow'!BQ42+'Cash Flow'!BQ43</f>
        <v>-28.844000000000001</v>
      </c>
      <c r="BR80" s="185">
        <f>'Cash Flow'!BR14+'Cash Flow'!BR37+'Cash Flow'!BR42+'Cash Flow'!BR43</f>
        <v>-25.775000000000006</v>
      </c>
      <c r="BS80" s="185">
        <f>'Cash Flow'!BS14+'Cash Flow'!BS37+'Cash Flow'!BS42+'Cash Flow'!BS43</f>
        <v>-9.8819999999999979</v>
      </c>
      <c r="BT80" s="185">
        <f>'Cash Flow'!BT14+'Cash Flow'!BT37+'Cash Flow'!BT42+'Cash Flow'!BT43</f>
        <v>-26.722408407110606</v>
      </c>
      <c r="BU80" s="555">
        <f>'Cash Flow'!BU14+'Cash Flow'!BU37+'Cash Flow'!BU42+'Cash Flow'!BU43</f>
        <v>-91.223408407110611</v>
      </c>
      <c r="BV80" s="185"/>
      <c r="BW80" s="475">
        <f>'Cash Flow'!BW14+'Cash Flow'!BW37+'Cash Flow'!BW42+'Cash Flow'!BW43</f>
        <v>-17.447067521862074</v>
      </c>
      <c r="BX80" s="185">
        <f>'Cash Flow'!BX14+'Cash Flow'!BX37+'Cash Flow'!BX42+'Cash Flow'!BX43</f>
        <v>-16.745642261031065</v>
      </c>
      <c r="BY80" s="185">
        <f>'Cash Flow'!BY14+'Cash Flow'!BY37+'Cash Flow'!BY42+'Cash Flow'!BY43</f>
        <v>-16.883804610799658</v>
      </c>
      <c r="BZ80" s="185">
        <f>'Cash Flow'!BZ14+'Cash Flow'!BZ37+'Cash Flow'!BZ42+'Cash Flow'!BZ43</f>
        <v>-16.401068647829124</v>
      </c>
      <c r="CA80" s="555">
        <f>'Cash Flow'!CA14+'Cash Flow'!CA37+'Cash Flow'!CA42+'Cash Flow'!CA43</f>
        <v>-67.47758304152191</v>
      </c>
      <c r="CB80" s="185"/>
      <c r="CC80" s="475">
        <f>'Cash Flow'!CC14+'Cash Flow'!CC37+'Cash Flow'!CC42+'Cash Flow'!CC43</f>
        <v>-17.260758183040895</v>
      </c>
      <c r="CD80" s="185">
        <f>'Cash Flow'!CD14+'Cash Flow'!CD37+'Cash Flow'!CD42+'Cash Flow'!CD43</f>
        <v>-16.545405868529588</v>
      </c>
      <c r="CE80" s="185">
        <f>'Cash Flow'!CE14+'Cash Flow'!CE37+'Cash Flow'!CE42+'Cash Flow'!CE43</f>
        <v>-16.66828983658133</v>
      </c>
      <c r="CF80" s="185">
        <f>'Cash Flow'!CF14+'Cash Flow'!CF37+'Cash Flow'!CF42+'Cash Flow'!CF43</f>
        <v>-16.171925852583897</v>
      </c>
      <c r="CG80" s="555">
        <f>'Cash Flow'!CG14+'Cash Flow'!CG37+'Cash Flow'!CG42+'Cash Flow'!CG43</f>
        <v>-66.646379740735696</v>
      </c>
      <c r="CH80" s="185"/>
      <c r="CI80" s="475">
        <f>'Cash Flow'!CI14+'Cash Flow'!CI37+'Cash Flow'!CI42+'Cash Flow'!CI43</f>
        <v>-17.029190942413344</v>
      </c>
      <c r="CJ80" s="185">
        <f>'Cash Flow'!CJ14+'Cash Flow'!CJ37+'Cash Flow'!CJ42+'Cash Flow'!CJ43</f>
        <v>-16.29189043444563</v>
      </c>
      <c r="CK80" s="185">
        <f>'Cash Flow'!CK14+'Cash Flow'!CK37+'Cash Flow'!CK42+'Cash Flow'!CK43</f>
        <v>-16.41972441837563</v>
      </c>
      <c r="CL80" s="185">
        <f>'Cash Flow'!CL14+'Cash Flow'!CL37+'Cash Flow'!CL42+'Cash Flow'!CL43</f>
        <v>-15.907713011694538</v>
      </c>
      <c r="CM80" s="555">
        <f>'Cash Flow'!CM14+'Cash Flow'!CM37+'Cash Flow'!CM42+'Cash Flow'!CM43</f>
        <v>-65.648518806929147</v>
      </c>
      <c r="CN80" s="185"/>
      <c r="CO80" s="17"/>
      <c r="CP80" s="17"/>
    </row>
    <row r="81" spans="1:100" ht="11.25" hidden="1" customHeight="1" outlineLevel="1" x14ac:dyDescent="0.2">
      <c r="B81" s="551" t="s">
        <v>137</v>
      </c>
      <c r="C81" s="476">
        <f>+C70</f>
        <v>151.80000000000001</v>
      </c>
      <c r="D81" s="221">
        <f>C82</f>
        <v>138.95400000000001</v>
      </c>
      <c r="E81" s="221">
        <f>D82</f>
        <v>139.15600000000001</v>
      </c>
      <c r="F81" s="221">
        <f>E82</f>
        <v>139.13499999999999</v>
      </c>
      <c r="G81" s="556">
        <f>C81</f>
        <v>151.80000000000001</v>
      </c>
      <c r="H81" s="187"/>
      <c r="I81" s="476">
        <f>+G71</f>
        <v>139.49</v>
      </c>
      <c r="J81" s="221">
        <f>I82</f>
        <v>139.947</v>
      </c>
      <c r="K81" s="221">
        <f>J82</f>
        <v>139.82300000000001</v>
      </c>
      <c r="L81" s="221">
        <f>K82</f>
        <v>129.346</v>
      </c>
      <c r="M81" s="556">
        <f>I81</f>
        <v>139.49</v>
      </c>
      <c r="N81" s="187"/>
      <c r="O81" s="476">
        <f>+M71</f>
        <v>122.357</v>
      </c>
      <c r="P81" s="221">
        <f>O82</f>
        <v>121.44</v>
      </c>
      <c r="Q81" s="221">
        <f>P82</f>
        <v>121.57299999999999</v>
      </c>
      <c r="R81" s="221">
        <f>Q82</f>
        <v>121.961</v>
      </c>
      <c r="S81" s="556">
        <f>O81</f>
        <v>122.357</v>
      </c>
      <c r="T81" s="187"/>
      <c r="U81" s="476">
        <f>+S71</f>
        <v>122.042</v>
      </c>
      <c r="V81" s="221">
        <f>U82</f>
        <v>122.316</v>
      </c>
      <c r="W81" s="221">
        <f>V82</f>
        <v>122.46899999999999</v>
      </c>
      <c r="X81" s="221">
        <f>W82</f>
        <v>122.75700000000001</v>
      </c>
      <c r="Y81" s="556">
        <f>U81</f>
        <v>122.042</v>
      </c>
      <c r="Z81" s="187"/>
      <c r="AA81" s="476">
        <f>+Y71</f>
        <v>123.437</v>
      </c>
      <c r="AB81" s="221">
        <f>AA82</f>
        <v>123.986</v>
      </c>
      <c r="AC81" s="221">
        <f>AB82</f>
        <v>122.75700000000001</v>
      </c>
      <c r="AD81" s="221">
        <f>AC82</f>
        <v>122.876</v>
      </c>
      <c r="AE81" s="556">
        <f>AA81</f>
        <v>123.437</v>
      </c>
      <c r="AF81" s="187"/>
      <c r="AG81" s="476">
        <f>+AE71</f>
        <v>121.1</v>
      </c>
      <c r="AH81" s="221">
        <f>AG82</f>
        <v>118.458</v>
      </c>
      <c r="AI81" s="221">
        <f>AH82</f>
        <v>110.82599999999999</v>
      </c>
      <c r="AJ81" s="221">
        <f>AI82</f>
        <v>110.973</v>
      </c>
      <c r="AK81" s="556">
        <f>AG81</f>
        <v>121.1</v>
      </c>
      <c r="AL81" s="187"/>
      <c r="AM81" s="476">
        <f>+AK71</f>
        <v>109.92</v>
      </c>
      <c r="AN81" s="221">
        <f>AM82</f>
        <v>110.34399999999999</v>
      </c>
      <c r="AO81" s="221">
        <f>AN82</f>
        <v>108.633</v>
      </c>
      <c r="AP81" s="221">
        <f>AO82</f>
        <v>106.21599999999999</v>
      </c>
      <c r="AQ81" s="556">
        <f>AM81</f>
        <v>109.92</v>
      </c>
      <c r="AR81" s="187"/>
      <c r="AS81" s="476">
        <f>+AQ71</f>
        <v>105.57</v>
      </c>
      <c r="AT81" s="221">
        <f>AS82</f>
        <v>105.28400000000001</v>
      </c>
      <c r="AU81" s="221">
        <f>AT82</f>
        <v>105.533</v>
      </c>
      <c r="AV81" s="221">
        <f>AU82</f>
        <v>103.922</v>
      </c>
      <c r="AW81" s="556">
        <f>AS81</f>
        <v>105.57</v>
      </c>
      <c r="AX81" s="187"/>
      <c r="AY81" s="476">
        <f>+AW71</f>
        <v>103.965</v>
      </c>
      <c r="AZ81" s="221">
        <f>AY82</f>
        <v>104.259</v>
      </c>
      <c r="BA81" s="221">
        <f>AZ82</f>
        <v>103.11499999999999</v>
      </c>
      <c r="BB81" s="221">
        <f>BA82</f>
        <v>103.232</v>
      </c>
      <c r="BC81" s="556">
        <f>AY81</f>
        <v>103.965</v>
      </c>
      <c r="BD81" s="187"/>
      <c r="BE81" s="476">
        <f>+BC71</f>
        <v>103.27800000000001</v>
      </c>
      <c r="BF81" s="221">
        <f>BE82</f>
        <v>103.248</v>
      </c>
      <c r="BG81" s="221">
        <f>BF82</f>
        <v>99.43</v>
      </c>
      <c r="BH81" s="221">
        <f>BG82</f>
        <v>99.088999999999999</v>
      </c>
      <c r="BI81" s="556">
        <f>BE81</f>
        <v>103.27800000000001</v>
      </c>
      <c r="BJ81" s="187"/>
      <c r="BK81" s="476">
        <f>+BI71</f>
        <v>99.106999999999999</v>
      </c>
      <c r="BL81" s="221">
        <f>BK82</f>
        <v>99.072999999999993</v>
      </c>
      <c r="BM81" s="221">
        <f>BL82</f>
        <v>97.909000000000006</v>
      </c>
      <c r="BN81" s="221">
        <f>BM82</f>
        <v>97.134</v>
      </c>
      <c r="BO81" s="556">
        <f>BK81</f>
        <v>99.106999999999999</v>
      </c>
      <c r="BP81" s="187"/>
      <c r="BQ81" s="476">
        <f>+BO71</f>
        <v>96.534000000000006</v>
      </c>
      <c r="BR81" s="221">
        <f>BQ82</f>
        <v>93.35</v>
      </c>
      <c r="BS81" s="221">
        <f>BR82</f>
        <v>92.721999999999994</v>
      </c>
      <c r="BT81" s="221">
        <f>BS82</f>
        <v>91.948999999999998</v>
      </c>
      <c r="BU81" s="556">
        <f>BQ81</f>
        <v>96.534000000000006</v>
      </c>
      <c r="BV81" s="187"/>
      <c r="BW81" s="476">
        <f>+BU71</f>
        <v>90.993966</v>
      </c>
      <c r="BX81" s="221">
        <f>BW82</f>
        <v>90.326465999999996</v>
      </c>
      <c r="BY81" s="221">
        <f>BX82</f>
        <v>89.658965999999992</v>
      </c>
      <c r="BZ81" s="221">
        <f>BY82</f>
        <v>88.991465999999988</v>
      </c>
      <c r="CA81" s="556">
        <f>BW81</f>
        <v>90.993966</v>
      </c>
      <c r="CB81" s="187"/>
      <c r="CC81" s="476">
        <f>+CA71</f>
        <v>88.323965999999984</v>
      </c>
      <c r="CD81" s="221">
        <f>CC82</f>
        <v>87.65646599999998</v>
      </c>
      <c r="CE81" s="221">
        <f>CD82</f>
        <v>86.988965999999976</v>
      </c>
      <c r="CF81" s="221">
        <f>CE82</f>
        <v>86.321465999999972</v>
      </c>
      <c r="CG81" s="556">
        <f>CC81</f>
        <v>88.323965999999984</v>
      </c>
      <c r="CH81" s="187"/>
      <c r="CI81" s="476">
        <f>+CG71</f>
        <v>85.653965999999969</v>
      </c>
      <c r="CJ81" s="221">
        <f>CI82</f>
        <v>84.986465999999965</v>
      </c>
      <c r="CK81" s="221">
        <f>CJ82</f>
        <v>84.318965999999961</v>
      </c>
      <c r="CL81" s="221">
        <f>CK82</f>
        <v>83.651465999999957</v>
      </c>
      <c r="CM81" s="556">
        <f>CI81</f>
        <v>85.653965999999969</v>
      </c>
      <c r="CN81" s="187"/>
      <c r="CO81" s="17"/>
      <c r="CP81" s="17"/>
    </row>
    <row r="82" spans="1:100" ht="11.25" hidden="1" customHeight="1" outlineLevel="1" x14ac:dyDescent="0.2">
      <c r="B82" s="552" t="s">
        <v>138</v>
      </c>
      <c r="C82" s="477">
        <f>C71</f>
        <v>138.95400000000001</v>
      </c>
      <c r="D82" s="179">
        <f>D71</f>
        <v>139.15600000000001</v>
      </c>
      <c r="E82" s="179">
        <f>E71</f>
        <v>139.13499999999999</v>
      </c>
      <c r="F82" s="179">
        <f>F71</f>
        <v>139.49</v>
      </c>
      <c r="G82" s="557">
        <f>F82</f>
        <v>139.49</v>
      </c>
      <c r="H82" s="187"/>
      <c r="I82" s="477">
        <f>I71</f>
        <v>139.947</v>
      </c>
      <c r="J82" s="179">
        <f>J71</f>
        <v>139.82300000000001</v>
      </c>
      <c r="K82" s="179">
        <f>K71</f>
        <v>129.346</v>
      </c>
      <c r="L82" s="179">
        <f>L71</f>
        <v>122.357</v>
      </c>
      <c r="M82" s="557">
        <f>L82</f>
        <v>122.357</v>
      </c>
      <c r="N82" s="187"/>
      <c r="O82" s="477">
        <f>O71</f>
        <v>121.44</v>
      </c>
      <c r="P82" s="179">
        <f>P71</f>
        <v>121.57299999999999</v>
      </c>
      <c r="Q82" s="179">
        <f>Q71</f>
        <v>121.961</v>
      </c>
      <c r="R82" s="179">
        <f>R71</f>
        <v>122.042</v>
      </c>
      <c r="S82" s="557">
        <f>R82</f>
        <v>122.042</v>
      </c>
      <c r="T82" s="187"/>
      <c r="U82" s="477">
        <f>U71</f>
        <v>122.316</v>
      </c>
      <c r="V82" s="179">
        <f>V71</f>
        <v>122.46899999999999</v>
      </c>
      <c r="W82" s="179">
        <f>W71</f>
        <v>122.75700000000001</v>
      </c>
      <c r="X82" s="179">
        <f>X71</f>
        <v>123.437</v>
      </c>
      <c r="Y82" s="557">
        <f>X82</f>
        <v>123.437</v>
      </c>
      <c r="Z82" s="187"/>
      <c r="AA82" s="477">
        <f>AA71</f>
        <v>123.986</v>
      </c>
      <c r="AB82" s="179">
        <f>AB71</f>
        <v>122.75700000000001</v>
      </c>
      <c r="AC82" s="179">
        <f>AC71</f>
        <v>122.876</v>
      </c>
      <c r="AD82" s="179">
        <f>AD71</f>
        <v>121.1</v>
      </c>
      <c r="AE82" s="557">
        <f>AD82</f>
        <v>121.1</v>
      </c>
      <c r="AF82" s="187"/>
      <c r="AG82" s="477">
        <f>AG71</f>
        <v>118.458</v>
      </c>
      <c r="AH82" s="179">
        <f>AH71</f>
        <v>110.82599999999999</v>
      </c>
      <c r="AI82" s="179">
        <f>AI71</f>
        <v>110.973</v>
      </c>
      <c r="AJ82" s="179">
        <f>AJ71</f>
        <v>109.92</v>
      </c>
      <c r="AK82" s="557">
        <f>AJ82</f>
        <v>109.92</v>
      </c>
      <c r="AL82" s="187"/>
      <c r="AM82" s="477">
        <f>AM71</f>
        <v>110.34399999999999</v>
      </c>
      <c r="AN82" s="179">
        <f>AN71</f>
        <v>108.633</v>
      </c>
      <c r="AO82" s="179">
        <f>AO71</f>
        <v>106.21599999999999</v>
      </c>
      <c r="AP82" s="179">
        <f>AP71</f>
        <v>105.57</v>
      </c>
      <c r="AQ82" s="557">
        <f>AP82</f>
        <v>105.57</v>
      </c>
      <c r="AR82" s="187"/>
      <c r="AS82" s="477">
        <f>AS71</f>
        <v>105.28400000000001</v>
      </c>
      <c r="AT82" s="179">
        <f>AT71</f>
        <v>105.533</v>
      </c>
      <c r="AU82" s="179">
        <f>AU71</f>
        <v>103.922</v>
      </c>
      <c r="AV82" s="179">
        <f>AV71</f>
        <v>103.965</v>
      </c>
      <c r="AW82" s="557">
        <f>AV82</f>
        <v>103.965</v>
      </c>
      <c r="AX82" s="187"/>
      <c r="AY82" s="477">
        <f>AY71</f>
        <v>104.259</v>
      </c>
      <c r="AZ82" s="179">
        <f>AZ71</f>
        <v>103.11499999999999</v>
      </c>
      <c r="BA82" s="179">
        <f>BA71</f>
        <v>103.232</v>
      </c>
      <c r="BB82" s="179">
        <f>BB71</f>
        <v>103.27800000000001</v>
      </c>
      <c r="BC82" s="557">
        <f>BB82</f>
        <v>103.27800000000001</v>
      </c>
      <c r="BD82" s="187"/>
      <c r="BE82" s="477">
        <f>BE71</f>
        <v>103.248</v>
      </c>
      <c r="BF82" s="179">
        <f>BF71</f>
        <v>99.43</v>
      </c>
      <c r="BG82" s="179">
        <f>BG71</f>
        <v>99.088999999999999</v>
      </c>
      <c r="BH82" s="179">
        <f>BH71</f>
        <v>99.106999999999999</v>
      </c>
      <c r="BI82" s="557">
        <f>BH82</f>
        <v>99.106999999999999</v>
      </c>
      <c r="BJ82" s="187"/>
      <c r="BK82" s="477">
        <f>BK71</f>
        <v>99.072999999999993</v>
      </c>
      <c r="BL82" s="179">
        <f>BL71</f>
        <v>97.909000000000006</v>
      </c>
      <c r="BM82" s="179">
        <f>BM71</f>
        <v>97.134</v>
      </c>
      <c r="BN82" s="179">
        <f>BN71</f>
        <v>96.534000000000006</v>
      </c>
      <c r="BO82" s="557">
        <f>BN82</f>
        <v>96.534000000000006</v>
      </c>
      <c r="BP82" s="187"/>
      <c r="BQ82" s="477">
        <f>BQ71</f>
        <v>93.35</v>
      </c>
      <c r="BR82" s="179">
        <f>BR71</f>
        <v>92.721999999999994</v>
      </c>
      <c r="BS82" s="179">
        <f>BS71</f>
        <v>91.948999999999998</v>
      </c>
      <c r="BT82" s="179">
        <f>BT71</f>
        <v>90.993966</v>
      </c>
      <c r="BU82" s="557">
        <f>BT82</f>
        <v>90.993966</v>
      </c>
      <c r="BV82" s="187"/>
      <c r="BW82" s="477">
        <f>BW71</f>
        <v>90.326465999999996</v>
      </c>
      <c r="BX82" s="179">
        <f>BX71</f>
        <v>89.658965999999992</v>
      </c>
      <c r="BY82" s="179">
        <f>BY71</f>
        <v>88.991465999999988</v>
      </c>
      <c r="BZ82" s="179">
        <f>BZ71</f>
        <v>88.323965999999984</v>
      </c>
      <c r="CA82" s="557">
        <f>BZ82</f>
        <v>88.323965999999984</v>
      </c>
      <c r="CB82" s="187"/>
      <c r="CC82" s="477">
        <f>CC71</f>
        <v>87.65646599999998</v>
      </c>
      <c r="CD82" s="179">
        <f>CD71</f>
        <v>86.988965999999976</v>
      </c>
      <c r="CE82" s="179">
        <f>CE71</f>
        <v>86.321465999999972</v>
      </c>
      <c r="CF82" s="179">
        <f>CF71</f>
        <v>85.653965999999969</v>
      </c>
      <c r="CG82" s="557">
        <f>CF82</f>
        <v>85.653965999999969</v>
      </c>
      <c r="CH82" s="187"/>
      <c r="CI82" s="477">
        <f>CI71</f>
        <v>84.986465999999965</v>
      </c>
      <c r="CJ82" s="179">
        <f>CJ71</f>
        <v>84.318965999999961</v>
      </c>
      <c r="CK82" s="179">
        <f>CK71</f>
        <v>83.651465999999957</v>
      </c>
      <c r="CL82" s="179">
        <f>CL71</f>
        <v>82.983965999999953</v>
      </c>
      <c r="CM82" s="557">
        <f>CL82</f>
        <v>82.983965999999953</v>
      </c>
      <c r="CN82" s="187"/>
      <c r="CO82" s="17"/>
      <c r="CP82" s="17"/>
    </row>
    <row r="83" spans="1:100" s="16" customFormat="1" ht="11.25" hidden="1" customHeight="1" outlineLevel="1" x14ac:dyDescent="0.2">
      <c r="A83"/>
      <c r="B83" s="14"/>
      <c r="C83" s="14"/>
      <c r="D83" s="14"/>
      <c r="E83" s="14"/>
      <c r="F83" s="14"/>
      <c r="G83" s="14"/>
      <c r="H83" s="17"/>
      <c r="I83" s="24"/>
      <c r="J83" s="14"/>
      <c r="K83" s="14"/>
      <c r="L83" s="14"/>
      <c r="M83" s="14"/>
      <c r="N83" s="17"/>
      <c r="O83" s="14"/>
      <c r="P83" s="14"/>
      <c r="Q83" s="14"/>
      <c r="R83" s="14"/>
      <c r="S83" s="14"/>
      <c r="T83" s="17"/>
      <c r="U83" s="14"/>
      <c r="V83" s="14"/>
      <c r="W83" s="14"/>
      <c r="X83" s="14"/>
      <c r="Y83" s="14"/>
      <c r="Z83" s="17"/>
      <c r="AA83" s="14"/>
      <c r="AB83" s="14"/>
      <c r="AC83" s="14"/>
      <c r="AD83" s="14"/>
      <c r="AE83" s="14"/>
      <c r="AF83" s="17"/>
      <c r="AG83" s="14"/>
      <c r="AH83" s="14"/>
      <c r="AI83" s="14"/>
      <c r="AJ83" s="14"/>
      <c r="AK83" s="14"/>
      <c r="AL83" s="17"/>
      <c r="AM83" s="14"/>
      <c r="AN83" s="14"/>
      <c r="AO83" s="14"/>
      <c r="AP83" s="14"/>
      <c r="AQ83" s="14"/>
      <c r="AR83" s="17"/>
      <c r="AS83" s="14"/>
      <c r="AT83" s="14"/>
      <c r="AU83" s="14"/>
      <c r="AV83" s="14"/>
      <c r="AW83" s="14"/>
      <c r="AX83" s="17"/>
      <c r="AY83" s="14"/>
      <c r="AZ83" s="14"/>
      <c r="BA83" s="14"/>
      <c r="BB83" s="14"/>
      <c r="BC83" s="14"/>
      <c r="BD83" s="17"/>
      <c r="BE83" s="445"/>
      <c r="BF83" s="445"/>
      <c r="BG83" s="445"/>
      <c r="BH83" s="14"/>
      <c r="BI83" s="445"/>
      <c r="BJ83" s="17"/>
      <c r="BK83" s="445"/>
      <c r="BL83" s="445"/>
      <c r="BM83" s="445"/>
      <c r="BN83" s="445"/>
      <c r="BO83" s="445"/>
      <c r="BP83" s="17"/>
      <c r="BQ83" s="445"/>
      <c r="BR83" s="445"/>
      <c r="BS83" s="445"/>
      <c r="BT83" s="445"/>
      <c r="BU83" s="445"/>
      <c r="BV83" s="17"/>
      <c r="BW83" s="445"/>
      <c r="BX83" s="445"/>
      <c r="BY83" s="445"/>
      <c r="BZ83" s="445"/>
      <c r="CA83" s="445"/>
      <c r="CB83" s="17"/>
      <c r="CC83" s="445"/>
      <c r="CD83" s="445"/>
      <c r="CE83" s="445"/>
      <c r="CF83" s="445"/>
      <c r="CG83" s="445"/>
      <c r="CH83" s="17"/>
      <c r="CI83" s="445"/>
      <c r="CJ83" s="445"/>
      <c r="CK83" s="445"/>
      <c r="CL83" s="445"/>
      <c r="CM83" s="445"/>
      <c r="CN83" s="17"/>
      <c r="CO83" s="24"/>
      <c r="CP83" s="24"/>
      <c r="CQ83"/>
      <c r="CR83"/>
      <c r="CS83"/>
      <c r="CT83"/>
      <c r="CU83"/>
      <c r="CV83"/>
    </row>
    <row r="84" spans="1:100" s="16" customFormat="1" ht="11.25" hidden="1" customHeight="1" outlineLevel="1" x14ac:dyDescent="0.2">
      <c r="A84" s="128"/>
      <c r="B84" s="1036" t="s">
        <v>456</v>
      </c>
      <c r="C84" s="1037"/>
      <c r="D84" s="1037"/>
      <c r="E84" s="1037"/>
      <c r="F84" s="1037"/>
      <c r="G84" s="1037"/>
      <c r="H84" s="1038"/>
      <c r="I84" s="1037"/>
      <c r="J84" s="1037"/>
      <c r="K84" s="1037"/>
      <c r="L84" s="1037"/>
      <c r="M84" s="1037"/>
      <c r="N84" s="1038"/>
      <c r="O84" s="1037"/>
      <c r="P84" s="1037"/>
      <c r="Q84" s="1037"/>
      <c r="R84" s="1037"/>
      <c r="S84" s="1037"/>
      <c r="T84" s="1038"/>
      <c r="U84" s="1037"/>
      <c r="V84" s="1037"/>
      <c r="W84" s="1037"/>
      <c r="X84" s="1037"/>
      <c r="Y84" s="1037"/>
      <c r="Z84" s="1038"/>
      <c r="AA84" s="1037"/>
      <c r="AB84" s="1037"/>
      <c r="AC84" s="1037"/>
      <c r="AD84" s="1037"/>
      <c r="AE84" s="1037"/>
      <c r="AF84" s="1038"/>
      <c r="AG84" s="1037"/>
      <c r="AH84" s="1037"/>
      <c r="AI84" s="1037"/>
      <c r="AJ84" s="1037"/>
      <c r="AK84" s="1037"/>
      <c r="AL84" s="1038"/>
      <c r="AM84" s="1037"/>
      <c r="AN84" s="1037"/>
      <c r="AO84" s="1037"/>
      <c r="AP84" s="1037"/>
      <c r="AQ84" s="1037"/>
      <c r="AR84" s="1038"/>
      <c r="AS84" s="1037"/>
      <c r="AT84" s="1037"/>
      <c r="AU84" s="1037"/>
      <c r="AV84" s="1037"/>
      <c r="AW84" s="1037"/>
      <c r="AX84" s="1038"/>
      <c r="AY84" s="1037"/>
      <c r="AZ84" s="1037"/>
      <c r="BA84" s="1037"/>
      <c r="BB84" s="1037"/>
      <c r="BC84" s="1037"/>
      <c r="BD84" s="1038"/>
      <c r="BE84" s="1037"/>
      <c r="BF84" s="1037"/>
      <c r="BG84" s="1037"/>
      <c r="BH84" s="1037"/>
      <c r="BI84" s="1037"/>
      <c r="BJ84" s="1038"/>
      <c r="BK84" s="1037"/>
      <c r="BL84" s="1037"/>
      <c r="BM84" s="1037"/>
      <c r="BN84" s="1037"/>
      <c r="BO84" s="1037"/>
      <c r="BP84" s="1038"/>
      <c r="BQ84" s="1037"/>
      <c r="BR84" s="1037"/>
      <c r="BS84" s="1037"/>
      <c r="BT84" s="1037"/>
      <c r="BU84" s="1037"/>
      <c r="BV84" s="1038"/>
      <c r="BW84" s="1037"/>
      <c r="BX84" s="1037"/>
      <c r="BY84" s="1037"/>
      <c r="BZ84" s="1037"/>
      <c r="CA84" s="1037"/>
      <c r="CB84" s="1038"/>
      <c r="CC84" s="1037"/>
      <c r="CD84" s="1037"/>
      <c r="CE84" s="1037"/>
      <c r="CF84" s="1037"/>
      <c r="CG84" s="1037"/>
      <c r="CH84" s="1038"/>
      <c r="CI84" s="1037"/>
      <c r="CJ84" s="1037"/>
      <c r="CK84" s="1037"/>
      <c r="CL84" s="1037"/>
      <c r="CM84" s="1037"/>
      <c r="CN84" s="17"/>
      <c r="CO84" s="24"/>
      <c r="CP84" s="24"/>
      <c r="CQ84"/>
      <c r="CR84"/>
      <c r="CS84"/>
      <c r="CT84"/>
      <c r="CU84"/>
      <c r="CV84"/>
    </row>
    <row r="85" spans="1:100" ht="11.25" hidden="1" customHeight="1" outlineLevel="1" x14ac:dyDescent="0.2">
      <c r="A85" s="72"/>
      <c r="B85" s="565" t="s">
        <v>292</v>
      </c>
      <c r="C85" s="569">
        <v>41.584000000000003</v>
      </c>
      <c r="D85" s="570">
        <v>48.237000000000002</v>
      </c>
      <c r="E85" s="570">
        <v>58.591000000000001</v>
      </c>
      <c r="F85" s="570">
        <v>59.923999999999999</v>
      </c>
      <c r="G85" s="540">
        <v>208.33600000000001</v>
      </c>
      <c r="H85" s="215"/>
      <c r="I85" s="569">
        <v>47.543999999999997</v>
      </c>
      <c r="J85" s="570">
        <v>53.741</v>
      </c>
      <c r="K85" s="570">
        <v>60.363999999999997</v>
      </c>
      <c r="L85" s="570">
        <v>63.209000000000003</v>
      </c>
      <c r="M85" s="540">
        <v>224.858</v>
      </c>
      <c r="N85" s="215"/>
      <c r="O85" s="569">
        <v>45.963999999999999</v>
      </c>
      <c r="P85" s="570">
        <v>46.902999999999999</v>
      </c>
      <c r="Q85" s="570">
        <v>52.807000000000002</v>
      </c>
      <c r="R85" s="570">
        <v>53.960999999999999</v>
      </c>
      <c r="S85" s="540">
        <v>199.63499999999999</v>
      </c>
      <c r="T85" s="215"/>
      <c r="U85" s="569">
        <v>45.057000000000002</v>
      </c>
      <c r="V85" s="570">
        <v>49.343000000000004</v>
      </c>
      <c r="W85" s="570">
        <v>56.048999999999999</v>
      </c>
      <c r="X85" s="570">
        <v>61.805</v>
      </c>
      <c r="Y85" s="540">
        <v>212.25399999999999</v>
      </c>
      <c r="Z85" s="215"/>
      <c r="AA85" s="569">
        <v>53.924999999999997</v>
      </c>
      <c r="AB85" s="570">
        <v>53.356999999999999</v>
      </c>
      <c r="AC85" s="570">
        <v>55.396000000000001</v>
      </c>
      <c r="AD85" s="570">
        <v>62.707000000000001</v>
      </c>
      <c r="AE85" s="540">
        <v>225.38499999999999</v>
      </c>
      <c r="AF85" s="215"/>
      <c r="AG85" s="569">
        <v>48.61</v>
      </c>
      <c r="AH85" s="570">
        <v>48.954000000000001</v>
      </c>
      <c r="AI85" s="570">
        <v>53.107999999999997</v>
      </c>
      <c r="AJ85" s="570">
        <v>62.143000000000001</v>
      </c>
      <c r="AK85" s="540">
        <v>212.815</v>
      </c>
      <c r="AL85" s="215"/>
      <c r="AM85" s="569">
        <v>47.537999999999997</v>
      </c>
      <c r="AN85" s="570">
        <v>45.542000000000002</v>
      </c>
      <c r="AO85" s="570">
        <v>53.63</v>
      </c>
      <c r="AP85" s="570">
        <v>63.561999999999998</v>
      </c>
      <c r="AQ85" s="540">
        <v>210.27199999999999</v>
      </c>
      <c r="AR85" s="215"/>
      <c r="AS85" s="569">
        <v>45.892000000000003</v>
      </c>
      <c r="AT85" s="570">
        <v>42.027999999999999</v>
      </c>
      <c r="AU85" s="570">
        <v>57.021000000000001</v>
      </c>
      <c r="AV85" s="570">
        <v>55.67</v>
      </c>
      <c r="AW85" s="540">
        <v>200.61199999999999</v>
      </c>
      <c r="AX85" s="215"/>
      <c r="AY85" s="569">
        <v>50.289000000000001</v>
      </c>
      <c r="AZ85" s="570">
        <v>53.777999999999999</v>
      </c>
      <c r="BA85" s="570">
        <v>54.676000000000002</v>
      </c>
      <c r="BB85" s="570">
        <v>64.518000000000001</v>
      </c>
      <c r="BC85" s="540">
        <v>223.261</v>
      </c>
      <c r="BD85" s="215"/>
      <c r="BE85" s="569">
        <v>29.702999999999999</v>
      </c>
      <c r="BF85" s="570">
        <v>35.420999999999999</v>
      </c>
      <c r="BG85" s="570">
        <v>56.44</v>
      </c>
      <c r="BH85" s="570">
        <v>65.62</v>
      </c>
      <c r="BI85" s="1280">
        <v>187.184</v>
      </c>
      <c r="BJ85" s="847"/>
      <c r="BK85" s="1281">
        <v>38.905999999999999</v>
      </c>
      <c r="BL85" s="1282">
        <v>45.756</v>
      </c>
      <c r="BM85" s="1282">
        <v>27.768999999999998</v>
      </c>
      <c r="BN85" s="1282">
        <v>61.356999999999999</v>
      </c>
      <c r="BO85" s="1280">
        <v>173.78800000000001</v>
      </c>
      <c r="BP85" s="847"/>
      <c r="BQ85" s="1281">
        <v>30.847000000000001</v>
      </c>
      <c r="BR85" s="1282">
        <v>40.244</v>
      </c>
      <c r="BS85" s="1282">
        <v>108.955</v>
      </c>
      <c r="BT85" s="570"/>
      <c r="BU85" s="540"/>
      <c r="BV85" s="215"/>
      <c r="BW85" s="569"/>
      <c r="BX85" s="570"/>
      <c r="BY85" s="570"/>
      <c r="BZ85" s="570"/>
      <c r="CA85" s="540"/>
      <c r="CB85" s="215"/>
      <c r="CC85" s="569"/>
      <c r="CD85" s="570"/>
      <c r="CE85" s="570"/>
      <c r="CF85" s="570"/>
      <c r="CG85" s="540"/>
      <c r="CH85" s="215"/>
      <c r="CI85" s="569"/>
      <c r="CJ85" s="570"/>
      <c r="CK85" s="570"/>
      <c r="CL85" s="570"/>
      <c r="CM85" s="540"/>
      <c r="CN85" s="215"/>
      <c r="CO85" s="97"/>
      <c r="CP85" s="97"/>
    </row>
    <row r="86" spans="1:100" ht="11.25" hidden="1" customHeight="1" outlineLevel="1" x14ac:dyDescent="0.2">
      <c r="A86" s="72"/>
      <c r="B86" s="489" t="s">
        <v>293</v>
      </c>
      <c r="C86" s="235">
        <v>41.584000000000003</v>
      </c>
      <c r="D86" s="226">
        <v>48.237000000000002</v>
      </c>
      <c r="E86" s="226">
        <v>58.591000000000001</v>
      </c>
      <c r="F86" s="226">
        <v>59.923999999999999</v>
      </c>
      <c r="G86" s="493">
        <v>208.33600000000001</v>
      </c>
      <c r="H86" s="215"/>
      <c r="I86" s="235">
        <v>47.543999999999997</v>
      </c>
      <c r="J86" s="226">
        <v>53.741</v>
      </c>
      <c r="K86" s="226">
        <v>60.363999999999997</v>
      </c>
      <c r="L86" s="226">
        <v>63.209000000000003</v>
      </c>
      <c r="M86" s="493">
        <v>224.858</v>
      </c>
      <c r="N86" s="215"/>
      <c r="O86" s="235">
        <v>45.963999999999999</v>
      </c>
      <c r="P86" s="226">
        <v>46.902999999999999</v>
      </c>
      <c r="Q86" s="226">
        <v>52.807000000000002</v>
      </c>
      <c r="R86" s="226">
        <v>53.960999999999999</v>
      </c>
      <c r="S86" s="493">
        <v>199.63499999999999</v>
      </c>
      <c r="T86" s="215"/>
      <c r="U86" s="235">
        <v>45.057000000000002</v>
      </c>
      <c r="V86" s="226">
        <v>49.343000000000004</v>
      </c>
      <c r="W86" s="226">
        <v>56.048999999999999</v>
      </c>
      <c r="X86" s="226">
        <v>61.805</v>
      </c>
      <c r="Y86" s="493">
        <v>212.25399999999999</v>
      </c>
      <c r="Z86" s="215"/>
      <c r="AA86" s="235">
        <v>53.924999999999997</v>
      </c>
      <c r="AB86" s="226">
        <v>53.356999999999999</v>
      </c>
      <c r="AC86" s="226">
        <v>55.396000000000001</v>
      </c>
      <c r="AD86" s="226">
        <v>62.707000000000001</v>
      </c>
      <c r="AE86" s="493">
        <v>225.38499999999999</v>
      </c>
      <c r="AF86" s="215"/>
      <c r="AG86" s="235">
        <v>48.61</v>
      </c>
      <c r="AH86" s="226">
        <v>48.954000000000001</v>
      </c>
      <c r="AI86" s="226">
        <v>53.107999999999997</v>
      </c>
      <c r="AJ86" s="226">
        <v>62.143000000000001</v>
      </c>
      <c r="AK86" s="493">
        <v>212.815</v>
      </c>
      <c r="AL86" s="215"/>
      <c r="AM86" s="235">
        <v>47.537999999999997</v>
      </c>
      <c r="AN86" s="226">
        <v>45.542000000000002</v>
      </c>
      <c r="AO86" s="226">
        <v>53.63</v>
      </c>
      <c r="AP86" s="226">
        <v>63.561999999999998</v>
      </c>
      <c r="AQ86" s="493">
        <v>210.27199999999999</v>
      </c>
      <c r="AR86" s="215"/>
      <c r="AS86" s="235">
        <v>45.892000000000003</v>
      </c>
      <c r="AT86" s="226">
        <v>48.677999999999997</v>
      </c>
      <c r="AU86" s="226">
        <v>57.936999999999998</v>
      </c>
      <c r="AV86" s="226">
        <v>61.371000000000002</v>
      </c>
      <c r="AW86" s="493">
        <v>213.89699999999999</v>
      </c>
      <c r="AX86" s="215"/>
      <c r="AY86" s="235">
        <v>40.244999999999997</v>
      </c>
      <c r="AZ86" s="226">
        <v>43.781999999999996</v>
      </c>
      <c r="BA86" s="226">
        <v>48.363999999999997</v>
      </c>
      <c r="BB86" s="226">
        <v>56.341000000000001</v>
      </c>
      <c r="BC86" s="493">
        <v>188.732</v>
      </c>
      <c r="BD86" s="215"/>
      <c r="BE86" s="235">
        <v>46.896000000000001</v>
      </c>
      <c r="BF86" s="226">
        <v>55.277000000000001</v>
      </c>
      <c r="BG86" s="226">
        <v>65.141000000000005</v>
      </c>
      <c r="BH86" s="226">
        <v>74.094999999999999</v>
      </c>
      <c r="BI86" s="1283">
        <v>241.40899999999999</v>
      </c>
      <c r="BJ86" s="847"/>
      <c r="BK86" s="1274">
        <v>48.790999999999997</v>
      </c>
      <c r="BL86" s="1277">
        <v>53.524000000000001</v>
      </c>
      <c r="BM86" s="1277">
        <v>55.418999999999997</v>
      </c>
      <c r="BN86" s="1277">
        <v>65.614000000000004</v>
      </c>
      <c r="BO86" s="1283">
        <v>223.34800000000001</v>
      </c>
      <c r="BP86" s="847"/>
      <c r="BQ86" s="1274">
        <v>41.427</v>
      </c>
      <c r="BR86" s="1277">
        <v>47.607999999999997</v>
      </c>
      <c r="BS86" s="1277">
        <v>39.552</v>
      </c>
      <c r="BT86" s="226"/>
      <c r="BU86" s="493"/>
      <c r="BV86" s="215"/>
      <c r="BW86" s="235"/>
      <c r="BX86" s="226"/>
      <c r="BY86" s="226"/>
      <c r="BZ86" s="226"/>
      <c r="CA86" s="493"/>
      <c r="CB86" s="215"/>
      <c r="CC86" s="235"/>
      <c r="CD86" s="226"/>
      <c r="CE86" s="226"/>
      <c r="CF86" s="226"/>
      <c r="CG86" s="493"/>
      <c r="CH86" s="215"/>
      <c r="CI86" s="235"/>
      <c r="CJ86" s="226"/>
      <c r="CK86" s="226"/>
      <c r="CL86" s="226"/>
      <c r="CM86" s="493"/>
      <c r="CN86" s="215"/>
      <c r="CO86" s="97"/>
      <c r="CP86" s="97"/>
    </row>
    <row r="87" spans="1:100" ht="11.25" hidden="1" customHeight="1" outlineLevel="1" x14ac:dyDescent="0.2">
      <c r="A87" s="72"/>
      <c r="B87" s="489" t="s">
        <v>469</v>
      </c>
      <c r="C87" s="235" t="s">
        <v>254</v>
      </c>
      <c r="D87" s="226" t="s">
        <v>254</v>
      </c>
      <c r="E87" s="226" t="s">
        <v>254</v>
      </c>
      <c r="F87" s="226" t="s">
        <v>254</v>
      </c>
      <c r="G87" s="572" t="s">
        <v>254</v>
      </c>
      <c r="H87" s="215"/>
      <c r="I87" s="235" t="s">
        <v>254</v>
      </c>
      <c r="J87" s="226" t="s">
        <v>254</v>
      </c>
      <c r="K87" s="226" t="s">
        <v>254</v>
      </c>
      <c r="L87" s="226" t="s">
        <v>254</v>
      </c>
      <c r="M87" s="572" t="s">
        <v>254</v>
      </c>
      <c r="N87" s="215"/>
      <c r="O87" s="235" t="s">
        <v>254</v>
      </c>
      <c r="P87" s="226" t="s">
        <v>254</v>
      </c>
      <c r="Q87" s="226" t="s">
        <v>254</v>
      </c>
      <c r="R87" s="226" t="s">
        <v>254</v>
      </c>
      <c r="S87" s="572" t="s">
        <v>254</v>
      </c>
      <c r="T87" s="215"/>
      <c r="U87" s="235" t="s">
        <v>254</v>
      </c>
      <c r="V87" s="226" t="s">
        <v>254</v>
      </c>
      <c r="W87" s="226" t="s">
        <v>254</v>
      </c>
      <c r="X87" s="226" t="s">
        <v>254</v>
      </c>
      <c r="Y87" s="572" t="s">
        <v>254</v>
      </c>
      <c r="Z87" s="215"/>
      <c r="AA87" s="235" t="s">
        <v>254</v>
      </c>
      <c r="AB87" s="226" t="s">
        <v>254</v>
      </c>
      <c r="AC87" s="226" t="s">
        <v>254</v>
      </c>
      <c r="AD87" s="226" t="s">
        <v>254</v>
      </c>
      <c r="AE87" s="572" t="s">
        <v>254</v>
      </c>
      <c r="AF87" s="215"/>
      <c r="AG87" s="235" t="s">
        <v>254</v>
      </c>
      <c r="AH87" s="226" t="s">
        <v>254</v>
      </c>
      <c r="AI87" s="226" t="s">
        <v>254</v>
      </c>
      <c r="AJ87" s="226" t="s">
        <v>254</v>
      </c>
      <c r="AK87" s="572" t="s">
        <v>254</v>
      </c>
      <c r="AL87" s="215"/>
      <c r="AM87" s="235" t="s">
        <v>254</v>
      </c>
      <c r="AN87" s="226" t="s">
        <v>254</v>
      </c>
      <c r="AO87" s="226" t="s">
        <v>254</v>
      </c>
      <c r="AP87" s="226" t="s">
        <v>254</v>
      </c>
      <c r="AQ87" s="572" t="s">
        <v>254</v>
      </c>
      <c r="AR87" s="215"/>
      <c r="AS87" s="235" t="s">
        <v>254</v>
      </c>
      <c r="AT87" s="226" t="s">
        <v>254</v>
      </c>
      <c r="AU87" s="226" t="s">
        <v>254</v>
      </c>
      <c r="AV87" s="226" t="s">
        <v>254</v>
      </c>
      <c r="AW87" s="572" t="s">
        <v>254</v>
      </c>
      <c r="AX87" s="215"/>
      <c r="AY87" s="235">
        <v>68.728999999999999</v>
      </c>
      <c r="AZ87" s="226">
        <v>74.876000000000005</v>
      </c>
      <c r="BA87" s="226">
        <v>80.147999999999996</v>
      </c>
      <c r="BB87" s="226">
        <v>93.385999999999996</v>
      </c>
      <c r="BC87" s="572">
        <v>317.13900000000001</v>
      </c>
      <c r="BD87" s="215"/>
      <c r="BE87" s="235">
        <f>180.207-BF87</f>
        <v>82.975999999999999</v>
      </c>
      <c r="BF87" s="226">
        <v>97.230999999999995</v>
      </c>
      <c r="BG87" s="226" t="s">
        <v>254</v>
      </c>
      <c r="BH87" s="226" t="s">
        <v>254</v>
      </c>
      <c r="BI87" s="1283" t="s">
        <v>254</v>
      </c>
      <c r="BJ87" s="847"/>
      <c r="BK87" s="1274">
        <f>172.402-BL87</f>
        <v>80.651999999999987</v>
      </c>
      <c r="BL87" s="1277">
        <v>91.75</v>
      </c>
      <c r="BM87" s="1277">
        <v>93.677999999999997</v>
      </c>
      <c r="BN87" s="1277">
        <v>106.33499999999999</v>
      </c>
      <c r="BO87" s="1283">
        <v>372.41500000000002</v>
      </c>
      <c r="BP87" s="847"/>
      <c r="BQ87" s="1274">
        <v>73.369</v>
      </c>
      <c r="BR87" s="1277">
        <v>83.106999999999999</v>
      </c>
      <c r="BS87" s="1277">
        <v>59.738</v>
      </c>
      <c r="BT87" s="226"/>
      <c r="BU87" s="572"/>
      <c r="BV87" s="215"/>
      <c r="BW87" s="235"/>
      <c r="BX87" s="226"/>
      <c r="BY87" s="226"/>
      <c r="BZ87" s="226"/>
      <c r="CA87" s="572"/>
      <c r="CB87" s="215"/>
      <c r="CC87" s="235"/>
      <c r="CD87" s="226"/>
      <c r="CE87" s="226"/>
      <c r="CF87" s="226"/>
      <c r="CG87" s="572"/>
      <c r="CH87" s="215"/>
      <c r="CI87" s="235"/>
      <c r="CJ87" s="226"/>
      <c r="CK87" s="226"/>
      <c r="CL87" s="226"/>
      <c r="CM87" s="572"/>
      <c r="CN87" s="215"/>
      <c r="CO87" s="97"/>
      <c r="CP87" s="97"/>
    </row>
    <row r="88" spans="1:100" ht="11.25" hidden="1" customHeight="1" outlineLevel="1" x14ac:dyDescent="0.2">
      <c r="A88" s="72"/>
      <c r="B88" s="489" t="s">
        <v>295</v>
      </c>
      <c r="C88" s="235">
        <v>0.3</v>
      </c>
      <c r="D88" s="226">
        <v>0.35</v>
      </c>
      <c r="E88" s="226">
        <v>0.43</v>
      </c>
      <c r="F88" s="226">
        <v>0.44</v>
      </c>
      <c r="G88" s="493">
        <v>1.51</v>
      </c>
      <c r="H88" s="215"/>
      <c r="I88" s="235">
        <v>0.35</v>
      </c>
      <c r="J88" s="226">
        <v>0.39</v>
      </c>
      <c r="K88" s="226">
        <v>0.45</v>
      </c>
      <c r="L88" s="226">
        <v>0.51</v>
      </c>
      <c r="M88" s="493">
        <v>1.69</v>
      </c>
      <c r="N88" s="215"/>
      <c r="O88" s="235">
        <v>0.39</v>
      </c>
      <c r="P88" s="226">
        <v>0.4</v>
      </c>
      <c r="Q88" s="226">
        <v>0.45</v>
      </c>
      <c r="R88" s="226">
        <v>0.46</v>
      </c>
      <c r="S88" s="493">
        <v>1.69</v>
      </c>
      <c r="T88" s="215"/>
      <c r="U88" s="235">
        <v>0.38</v>
      </c>
      <c r="V88" s="226">
        <v>0.41</v>
      </c>
      <c r="W88" s="226">
        <v>0.47</v>
      </c>
      <c r="X88" s="226">
        <v>0.52</v>
      </c>
      <c r="Y88" s="493">
        <v>1.78</v>
      </c>
      <c r="Z88" s="215"/>
      <c r="AA88" s="235">
        <v>0.45</v>
      </c>
      <c r="AB88" s="226">
        <v>0.45</v>
      </c>
      <c r="AC88" s="226">
        <v>0.47</v>
      </c>
      <c r="AD88" s="226">
        <v>0.53</v>
      </c>
      <c r="AE88" s="493">
        <v>1.89</v>
      </c>
      <c r="AF88" s="215"/>
      <c r="AG88" s="235">
        <v>0.42</v>
      </c>
      <c r="AH88" s="226">
        <v>0.43</v>
      </c>
      <c r="AI88" s="226">
        <v>0.5</v>
      </c>
      <c r="AJ88" s="226">
        <v>0.57999999999999996</v>
      </c>
      <c r="AK88" s="1364">
        <v>1.92</v>
      </c>
      <c r="AL88" s="1365"/>
      <c r="AM88" s="1366">
        <v>0.45</v>
      </c>
      <c r="AN88" s="1367">
        <v>0.44</v>
      </c>
      <c r="AO88" s="1367">
        <v>0.52</v>
      </c>
      <c r="AP88" s="1367">
        <v>0.62</v>
      </c>
      <c r="AQ88" s="1364">
        <v>2.0299999999999998</v>
      </c>
      <c r="AR88" s="1365"/>
      <c r="AS88" s="1366">
        <v>0.45</v>
      </c>
      <c r="AT88" s="1367">
        <v>0.41</v>
      </c>
      <c r="AU88" s="1367">
        <v>0.56000000000000005</v>
      </c>
      <c r="AV88" s="1367">
        <v>0.55000000000000004</v>
      </c>
      <c r="AW88" s="1364">
        <v>1.97</v>
      </c>
      <c r="AX88" s="1365"/>
      <c r="AY88" s="1366">
        <v>0.5</v>
      </c>
      <c r="AZ88" s="1367">
        <v>0.54</v>
      </c>
      <c r="BA88" s="1367">
        <v>0.55000000000000004</v>
      </c>
      <c r="BB88" s="1367">
        <v>0.65</v>
      </c>
      <c r="BC88" s="1364">
        <v>2.2400000000000002</v>
      </c>
      <c r="BD88" s="1365"/>
      <c r="BE88" s="1366">
        <v>0.3</v>
      </c>
      <c r="BF88" s="1367">
        <v>0.36</v>
      </c>
      <c r="BG88" s="1367">
        <v>0.59</v>
      </c>
      <c r="BH88" s="1367">
        <v>0.68</v>
      </c>
      <c r="BI88" s="1368">
        <v>1.91</v>
      </c>
      <c r="BJ88" s="1369"/>
      <c r="BK88" s="1370">
        <v>0.4</v>
      </c>
      <c r="BL88" s="1371">
        <v>0.48</v>
      </c>
      <c r="BM88" s="1371">
        <v>0.28999999999999998</v>
      </c>
      <c r="BN88" s="1371">
        <v>0.65</v>
      </c>
      <c r="BO88" s="1368">
        <v>1.82</v>
      </c>
      <c r="BP88" s="1369"/>
      <c r="BQ88" s="1370">
        <v>0.33</v>
      </c>
      <c r="BR88" s="1371">
        <v>0.43</v>
      </c>
      <c r="BS88" s="1371">
        <v>1.18</v>
      </c>
      <c r="BT88" s="226"/>
      <c r="BU88" s="493"/>
      <c r="BV88" s="215"/>
      <c r="BW88" s="235"/>
      <c r="BX88" s="226"/>
      <c r="BY88" s="226"/>
      <c r="BZ88" s="226"/>
      <c r="CA88" s="493"/>
      <c r="CB88" s="215"/>
      <c r="CC88" s="235"/>
      <c r="CD88" s="226"/>
      <c r="CE88" s="226"/>
      <c r="CF88" s="226"/>
      <c r="CG88" s="493"/>
      <c r="CH88" s="215"/>
      <c r="CI88" s="235"/>
      <c r="CJ88" s="226"/>
      <c r="CK88" s="226"/>
      <c r="CL88" s="226"/>
      <c r="CM88" s="493"/>
      <c r="CN88" s="215"/>
      <c r="CO88" s="97"/>
      <c r="CP88" s="97"/>
    </row>
    <row r="89" spans="1:100" ht="11.25" hidden="1" customHeight="1" outlineLevel="1" x14ac:dyDescent="0.2">
      <c r="A89" s="72"/>
      <c r="B89" s="489" t="s">
        <v>296</v>
      </c>
      <c r="C89" s="235">
        <v>0.3</v>
      </c>
      <c r="D89" s="226">
        <v>0.35</v>
      </c>
      <c r="E89" s="226">
        <v>0.43</v>
      </c>
      <c r="F89" s="226">
        <v>0.44</v>
      </c>
      <c r="G89" s="493">
        <v>1.51</v>
      </c>
      <c r="H89" s="215"/>
      <c r="I89" s="235">
        <v>0.35</v>
      </c>
      <c r="J89" s="226">
        <v>0.39</v>
      </c>
      <c r="K89" s="226">
        <v>0.45</v>
      </c>
      <c r="L89" s="226">
        <v>0.51</v>
      </c>
      <c r="M89" s="493">
        <v>1.69</v>
      </c>
      <c r="N89" s="215"/>
      <c r="O89" s="235">
        <v>0.39</v>
      </c>
      <c r="P89" s="226">
        <v>0.4</v>
      </c>
      <c r="Q89" s="226">
        <v>0.45</v>
      </c>
      <c r="R89" s="226">
        <v>0.46</v>
      </c>
      <c r="S89" s="493">
        <v>1.69</v>
      </c>
      <c r="T89" s="215"/>
      <c r="U89" s="235">
        <v>0.38</v>
      </c>
      <c r="V89" s="226">
        <v>0.41</v>
      </c>
      <c r="W89" s="226">
        <v>0.47</v>
      </c>
      <c r="X89" s="226">
        <v>0.52</v>
      </c>
      <c r="Y89" s="493">
        <v>1.78</v>
      </c>
      <c r="Z89" s="215"/>
      <c r="AA89" s="235">
        <v>0.45</v>
      </c>
      <c r="AB89" s="226">
        <v>0.45</v>
      </c>
      <c r="AC89" s="226">
        <v>0.47</v>
      </c>
      <c r="AD89" s="226">
        <v>0.53</v>
      </c>
      <c r="AE89" s="493">
        <v>1.89</v>
      </c>
      <c r="AF89" s="215"/>
      <c r="AG89" s="235">
        <v>0.42</v>
      </c>
      <c r="AH89" s="226">
        <v>0.43</v>
      </c>
      <c r="AI89" s="226">
        <v>0.5</v>
      </c>
      <c r="AJ89" s="226">
        <v>0.57999999999999996</v>
      </c>
      <c r="AK89" s="1364">
        <v>1.92</v>
      </c>
      <c r="AL89" s="1365"/>
      <c r="AM89" s="1366">
        <v>0.45</v>
      </c>
      <c r="AN89" s="1367">
        <v>0.44</v>
      </c>
      <c r="AO89" s="1367">
        <v>0.52</v>
      </c>
      <c r="AP89" s="1367">
        <v>0.62</v>
      </c>
      <c r="AQ89" s="1364">
        <v>2.0299999999999998</v>
      </c>
      <c r="AR89" s="1365"/>
      <c r="AS89" s="1366">
        <v>0.45</v>
      </c>
      <c r="AT89" s="1367">
        <v>0.48</v>
      </c>
      <c r="AU89" s="1367">
        <v>0.56999999999999995</v>
      </c>
      <c r="AV89" s="1367">
        <v>0.61</v>
      </c>
      <c r="AW89" s="1364">
        <v>2.1</v>
      </c>
      <c r="AX89" s="1365"/>
      <c r="AY89" s="1366">
        <v>0.4</v>
      </c>
      <c r="AZ89" s="1367">
        <v>0.44</v>
      </c>
      <c r="BA89" s="1367">
        <v>0.49</v>
      </c>
      <c r="BB89" s="1367">
        <v>0.56999999999999995</v>
      </c>
      <c r="BC89" s="1364">
        <v>1.89</v>
      </c>
      <c r="BD89" s="1365"/>
      <c r="BE89" s="1366">
        <v>0.47</v>
      </c>
      <c r="BF89" s="1367">
        <v>0.56000000000000005</v>
      </c>
      <c r="BG89" s="1367">
        <v>0.68</v>
      </c>
      <c r="BH89" s="1367">
        <v>0.77</v>
      </c>
      <c r="BI89" s="1368">
        <v>2.4700000000000002</v>
      </c>
      <c r="BJ89" s="1369"/>
      <c r="BK89" s="1370">
        <v>0.51</v>
      </c>
      <c r="BL89" s="1371">
        <v>0.56000000000000005</v>
      </c>
      <c r="BM89" s="1371">
        <v>0.57999999999999996</v>
      </c>
      <c r="BN89" s="1371">
        <v>0.69</v>
      </c>
      <c r="BO89" s="1368">
        <v>2.34</v>
      </c>
      <c r="BP89" s="1369"/>
      <c r="BQ89" s="1370">
        <v>0.44</v>
      </c>
      <c r="BR89" s="1371">
        <v>0.51</v>
      </c>
      <c r="BS89" s="1371">
        <v>0.43</v>
      </c>
      <c r="BT89" s="226"/>
      <c r="BU89" s="493"/>
      <c r="BV89" s="215"/>
      <c r="BW89" s="235"/>
      <c r="BX89" s="226"/>
      <c r="BY89" s="226"/>
      <c r="BZ89" s="226"/>
      <c r="CA89" s="493"/>
      <c r="CB89" s="215"/>
      <c r="CC89" s="235"/>
      <c r="CD89" s="226"/>
      <c r="CE89" s="226"/>
      <c r="CF89" s="226"/>
      <c r="CG89" s="493"/>
      <c r="CH89" s="215"/>
      <c r="CI89" s="235"/>
      <c r="CJ89" s="226"/>
      <c r="CK89" s="226"/>
      <c r="CL89" s="226"/>
      <c r="CM89" s="493"/>
      <c r="CN89" s="215"/>
      <c r="CO89" s="97"/>
      <c r="CP89" s="97"/>
    </row>
    <row r="90" spans="1:100" ht="11.25" hidden="1" customHeight="1" outlineLevel="1" x14ac:dyDescent="0.2">
      <c r="A90" s="6"/>
      <c r="B90" s="566"/>
      <c r="C90" s="571"/>
      <c r="D90" s="17"/>
      <c r="E90" s="17"/>
      <c r="F90" s="17"/>
      <c r="G90" s="573"/>
      <c r="H90" s="17"/>
      <c r="I90" s="571"/>
      <c r="J90" s="17"/>
      <c r="K90" s="17"/>
      <c r="L90" s="17"/>
      <c r="M90" s="573"/>
      <c r="N90" s="17"/>
      <c r="O90" s="571"/>
      <c r="P90" s="17"/>
      <c r="Q90" s="17"/>
      <c r="R90" s="17"/>
      <c r="S90" s="573"/>
      <c r="T90" s="17"/>
      <c r="U90" s="571"/>
      <c r="V90" s="17"/>
      <c r="W90" s="17"/>
      <c r="X90" s="17"/>
      <c r="Y90" s="573"/>
      <c r="Z90" s="17"/>
      <c r="AA90" s="571"/>
      <c r="AB90" s="17"/>
      <c r="AC90" s="17"/>
      <c r="AD90" s="17"/>
      <c r="AE90" s="573"/>
      <c r="AF90" s="17"/>
      <c r="AG90" s="571"/>
      <c r="AH90" s="17"/>
      <c r="AI90" s="17"/>
      <c r="AJ90" s="17"/>
      <c r="AK90" s="573"/>
      <c r="AL90" s="17"/>
      <c r="AM90" s="571"/>
      <c r="AN90" s="17"/>
      <c r="AO90" s="17"/>
      <c r="AP90" s="17"/>
      <c r="AQ90" s="573"/>
      <c r="AR90" s="17"/>
      <c r="AS90" s="571"/>
      <c r="AT90" s="17"/>
      <c r="AU90" s="17"/>
      <c r="AV90" s="17"/>
      <c r="AW90" s="573"/>
      <c r="AX90" s="17"/>
      <c r="AY90" s="571"/>
      <c r="AZ90" s="17"/>
      <c r="BA90" s="17"/>
      <c r="BB90" s="17"/>
      <c r="BC90" s="573"/>
      <c r="BD90" s="17"/>
      <c r="BE90" s="571"/>
      <c r="BF90" s="17"/>
      <c r="BG90" s="17"/>
      <c r="BH90" s="17"/>
      <c r="BI90" s="573"/>
      <c r="BJ90" s="17"/>
      <c r="BK90" s="571"/>
      <c r="BL90" s="17"/>
      <c r="BM90" s="17"/>
      <c r="BN90" s="17"/>
      <c r="BO90" s="573"/>
      <c r="BP90" s="17"/>
      <c r="BQ90" s="571"/>
      <c r="BR90" s="17"/>
      <c r="BS90" s="17"/>
      <c r="BT90" s="17"/>
      <c r="BU90" s="573"/>
      <c r="BV90" s="17"/>
      <c r="BW90" s="571"/>
      <c r="BX90" s="17"/>
      <c r="BY90" s="17"/>
      <c r="BZ90" s="17"/>
      <c r="CA90" s="573"/>
      <c r="CB90" s="17"/>
      <c r="CC90" s="571"/>
      <c r="CD90" s="17"/>
      <c r="CE90" s="17"/>
      <c r="CF90" s="17"/>
      <c r="CG90" s="573"/>
      <c r="CH90" s="17"/>
      <c r="CI90" s="571"/>
      <c r="CJ90" s="17"/>
      <c r="CK90" s="17"/>
      <c r="CL90" s="17"/>
      <c r="CM90" s="573"/>
      <c r="CN90" s="17"/>
      <c r="CO90" s="17"/>
      <c r="CP90" s="17"/>
    </row>
    <row r="91" spans="1:100" s="488" customFormat="1" ht="11.25" hidden="1" customHeight="1" outlineLevel="1" x14ac:dyDescent="0.2">
      <c r="A91" s="72"/>
      <c r="B91" s="567" t="s">
        <v>44</v>
      </c>
      <c r="C91" s="562"/>
      <c r="D91" s="563"/>
      <c r="E91" s="563"/>
      <c r="F91" s="563"/>
      <c r="G91" s="564"/>
      <c r="H91" s="561"/>
      <c r="I91" s="562"/>
      <c r="J91" s="563"/>
      <c r="K91" s="563"/>
      <c r="L91" s="563"/>
      <c r="M91" s="564"/>
      <c r="N91" s="561"/>
      <c r="O91" s="562"/>
      <c r="P91" s="563"/>
      <c r="Q91" s="563"/>
      <c r="R91" s="563"/>
      <c r="S91" s="564"/>
      <c r="T91" s="561"/>
      <c r="U91" s="562"/>
      <c r="V91" s="563"/>
      <c r="W91" s="563"/>
      <c r="X91" s="563"/>
      <c r="Y91" s="564"/>
      <c r="Z91" s="561"/>
      <c r="AA91" s="562"/>
      <c r="AB91" s="563"/>
      <c r="AC91" s="563"/>
      <c r="AD91" s="563"/>
      <c r="AE91" s="564"/>
      <c r="AF91" s="561"/>
      <c r="AG91" s="562"/>
      <c r="AH91" s="563"/>
      <c r="AI91" s="563"/>
      <c r="AJ91" s="563"/>
      <c r="AK91" s="564"/>
      <c r="AL91" s="561"/>
      <c r="AM91" s="562"/>
      <c r="AN91" s="563"/>
      <c r="AO91" s="563"/>
      <c r="AP91" s="563"/>
      <c r="AQ91" s="564"/>
      <c r="AR91" s="561"/>
      <c r="AS91" s="562"/>
      <c r="AT91" s="563"/>
      <c r="AU91" s="563"/>
      <c r="AV91" s="563"/>
      <c r="AW91" s="564"/>
      <c r="AX91" s="561"/>
      <c r="AY91" s="562"/>
      <c r="AZ91" s="563"/>
      <c r="BA91" s="563"/>
      <c r="BB91" s="563"/>
      <c r="BC91" s="564"/>
      <c r="BD91" s="561"/>
      <c r="BE91" s="562"/>
      <c r="BF91" s="563"/>
      <c r="BG91" s="563"/>
      <c r="BH91" s="563"/>
      <c r="BI91" s="564"/>
      <c r="BJ91" s="561"/>
      <c r="BK91" s="562"/>
      <c r="BL91" s="563"/>
      <c r="BM91" s="563"/>
      <c r="BN91" s="563"/>
      <c r="BO91" s="564"/>
      <c r="BP91" s="561"/>
      <c r="BQ91" s="562"/>
      <c r="BR91" s="563"/>
      <c r="BS91" s="563"/>
      <c r="BT91" s="563"/>
      <c r="BU91" s="564"/>
      <c r="BV91" s="561"/>
      <c r="BW91" s="562"/>
      <c r="BX91" s="563"/>
      <c r="BY91" s="563"/>
      <c r="BZ91" s="563"/>
      <c r="CA91" s="564"/>
      <c r="CB91" s="561"/>
      <c r="CC91" s="562"/>
      <c r="CD91" s="563"/>
      <c r="CE91" s="563"/>
      <c r="CF91" s="563"/>
      <c r="CG91" s="564"/>
      <c r="CH91" s="561"/>
      <c r="CI91" s="562"/>
      <c r="CJ91" s="563"/>
      <c r="CK91" s="563"/>
      <c r="CL91" s="563"/>
      <c r="CM91" s="564"/>
      <c r="CN91" s="105"/>
      <c r="CO91" s="97"/>
      <c r="CP91" s="97"/>
      <c r="CQ91"/>
      <c r="CR91"/>
      <c r="CS91"/>
      <c r="CT91"/>
      <c r="CU91"/>
      <c r="CV91"/>
    </row>
    <row r="92" spans="1:100" s="114" customFormat="1" ht="11.25" hidden="1" customHeight="1" outlineLevel="1" x14ac:dyDescent="0.2">
      <c r="A92" s="72"/>
      <c r="B92" s="489" t="s">
        <v>292</v>
      </c>
      <c r="C92" s="227">
        <f>+C66-C85</f>
        <v>0</v>
      </c>
      <c r="D92" s="195">
        <f>+D66-D85</f>
        <v>0</v>
      </c>
      <c r="E92" s="195">
        <f>+E66-E85</f>
        <v>0</v>
      </c>
      <c r="F92" s="195">
        <f>+F66-F85</f>
        <v>0</v>
      </c>
      <c r="G92" s="493">
        <f>+G66-G85</f>
        <v>0</v>
      </c>
      <c r="H92" s="481"/>
      <c r="I92" s="227">
        <f>+I66-I85</f>
        <v>0</v>
      </c>
      <c r="J92" s="195">
        <f>+J66-J85</f>
        <v>0</v>
      </c>
      <c r="K92" s="195">
        <f>+K66-K85</f>
        <v>0</v>
      </c>
      <c r="L92" s="195">
        <f>+L66-L85</f>
        <v>0</v>
      </c>
      <c r="M92" s="493">
        <f>+M66-M85</f>
        <v>0</v>
      </c>
      <c r="N92" s="481"/>
      <c r="O92" s="227">
        <f>+O66-O85</f>
        <v>0</v>
      </c>
      <c r="P92" s="195">
        <f>+P66-P85</f>
        <v>0</v>
      </c>
      <c r="Q92" s="195">
        <f>+Q66-Q85</f>
        <v>0</v>
      </c>
      <c r="R92" s="195">
        <f>+R66-R85</f>
        <v>0</v>
      </c>
      <c r="S92" s="493">
        <f>+S66-S85</f>
        <v>3.694822225952521E-13</v>
      </c>
      <c r="T92" s="481"/>
      <c r="U92" s="227">
        <f>+U66-U85</f>
        <v>0</v>
      </c>
      <c r="V92" s="195">
        <f>+V66-V85</f>
        <v>0</v>
      </c>
      <c r="W92" s="195">
        <f>+W66-W85</f>
        <v>0</v>
      </c>
      <c r="X92" s="195">
        <f>+X66-X85</f>
        <v>0</v>
      </c>
      <c r="Y92" s="493">
        <f>+Y66-Y85</f>
        <v>4.2632564145606011E-13</v>
      </c>
      <c r="Z92" s="481"/>
      <c r="AA92" s="227">
        <f>+AA66-AA85</f>
        <v>5.6843418860808015E-14</v>
      </c>
      <c r="AB92" s="195">
        <f>+AB66-AB85</f>
        <v>0</v>
      </c>
      <c r="AC92" s="195">
        <f>+AC66-AC85</f>
        <v>0</v>
      </c>
      <c r="AD92" s="195">
        <f>+AD66-AD85</f>
        <v>5.6843418860808015E-14</v>
      </c>
      <c r="AE92" s="493">
        <f>+AE66-AE85</f>
        <v>2.8421709430404007E-13</v>
      </c>
      <c r="AF92" s="481"/>
      <c r="AG92" s="227">
        <f>+AG66-AG85</f>
        <v>7.1054273576010019E-14</v>
      </c>
      <c r="AH92" s="195">
        <f>+AH66-AH85</f>
        <v>0</v>
      </c>
      <c r="AI92" s="195">
        <f>+AI66-AI85</f>
        <v>0</v>
      </c>
      <c r="AJ92" s="195">
        <f>+AJ66-AJ85</f>
        <v>0</v>
      </c>
      <c r="AK92" s="493">
        <f>+AK66-AK85</f>
        <v>0</v>
      </c>
      <c r="AL92" s="481"/>
      <c r="AM92" s="227">
        <f>+AM66-AM85</f>
        <v>-5.6843418860808015E-14</v>
      </c>
      <c r="AN92" s="195">
        <f>+AN66-AN85</f>
        <v>-5.6843418860808015E-14</v>
      </c>
      <c r="AO92" s="195">
        <f>+AO66-AO85</f>
        <v>0</v>
      </c>
      <c r="AP92" s="195">
        <f>+AP66-AP85</f>
        <v>0</v>
      </c>
      <c r="AQ92" s="493">
        <f>+AQ66-AQ85</f>
        <v>0</v>
      </c>
      <c r="AR92" s="481"/>
      <c r="AS92" s="227">
        <f>+AS66-AS85</f>
        <v>0</v>
      </c>
      <c r="AT92" s="195">
        <f>+AT66-AT85</f>
        <v>-9.2370555648813024E-14</v>
      </c>
      <c r="AU92" s="195">
        <f>+AU66-AU85</f>
        <v>0</v>
      </c>
      <c r="AV92" s="195">
        <f>+AV66-AV85</f>
        <v>-6.3948846218409017E-14</v>
      </c>
      <c r="AW92" s="493">
        <f>+AW66-AW85</f>
        <v>-1.0000000001753051E-3</v>
      </c>
      <c r="AX92" s="481"/>
      <c r="AY92" s="227">
        <f>+AY66-AY85</f>
        <v>0</v>
      </c>
      <c r="AZ92" s="195">
        <f>+AZ66-AZ85</f>
        <v>0</v>
      </c>
      <c r="BA92" s="195">
        <f>+BA66-BA85</f>
        <v>0</v>
      </c>
      <c r="BB92" s="195">
        <f>+BB66-BB85</f>
        <v>0</v>
      </c>
      <c r="BC92" s="493">
        <f>+BC66-BC85</f>
        <v>0</v>
      </c>
      <c r="BD92" s="481"/>
      <c r="BE92" s="227">
        <f>+BE66-BE85</f>
        <v>-8.5265128291212022E-14</v>
      </c>
      <c r="BF92" s="195">
        <f>+BF66-BF85</f>
        <v>1.1368683772161603E-13</v>
      </c>
      <c r="BG92" s="195">
        <f>+BG66-BG85</f>
        <v>0</v>
      </c>
      <c r="BH92" s="195">
        <f>+BH66-BH85</f>
        <v>0</v>
      </c>
      <c r="BI92" s="493">
        <f>+BI66-BI85</f>
        <v>-4.5474735088646412E-13</v>
      </c>
      <c r="BJ92" s="481"/>
      <c r="BK92" s="227">
        <f>+BK66-BK85</f>
        <v>-9.9475983006414026E-14</v>
      </c>
      <c r="BL92" s="195">
        <f>+BL66-BL85</f>
        <v>0</v>
      </c>
      <c r="BM92" s="195">
        <f>+BM66-BM85</f>
        <v>-3.2290000000000028</v>
      </c>
      <c r="BN92" s="195">
        <f>+BN66-BN85</f>
        <v>1.034000000000006</v>
      </c>
      <c r="BO92" s="493">
        <f>+BO66-BO85</f>
        <v>-2.1950000000000784</v>
      </c>
      <c r="BP92" s="481"/>
      <c r="BQ92" s="227">
        <f>+BQ66-BQ85</f>
        <v>0</v>
      </c>
      <c r="BR92" s="195">
        <f>+BR66-BR85</f>
        <v>0</v>
      </c>
      <c r="BS92" s="195">
        <f>+BS66-BS85</f>
        <v>0</v>
      </c>
      <c r="BT92" s="195"/>
      <c r="BU92" s="493"/>
      <c r="BV92" s="481"/>
      <c r="BW92" s="227"/>
      <c r="BX92" s="195"/>
      <c r="BY92" s="195"/>
      <c r="BZ92" s="195"/>
      <c r="CA92" s="493"/>
      <c r="CB92" s="481"/>
      <c r="CC92" s="227"/>
      <c r="CD92" s="195"/>
      <c r="CE92" s="195"/>
      <c r="CF92" s="195"/>
      <c r="CG92" s="493"/>
      <c r="CH92" s="481"/>
      <c r="CI92" s="227"/>
      <c r="CJ92" s="195"/>
      <c r="CK92" s="195"/>
      <c r="CL92" s="195"/>
      <c r="CM92" s="493"/>
      <c r="CN92" s="481"/>
      <c r="CO92" s="97"/>
      <c r="CP92" s="97"/>
      <c r="CQ92"/>
      <c r="CR92"/>
      <c r="CS92"/>
      <c r="CT92"/>
      <c r="CU92"/>
      <c r="CV92"/>
    </row>
    <row r="93" spans="1:100" s="114" customFormat="1" ht="11.25" hidden="1" customHeight="1" outlineLevel="1" x14ac:dyDescent="0.2">
      <c r="A93" s="72"/>
      <c r="B93" s="489" t="s">
        <v>293</v>
      </c>
      <c r="C93" s="227">
        <f>+C23-C86</f>
        <v>0</v>
      </c>
      <c r="D93" s="195">
        <f>+D23-D86</f>
        <v>0</v>
      </c>
      <c r="E93" s="195">
        <f>+E23-E86</f>
        <v>0</v>
      </c>
      <c r="F93" s="195">
        <f>+F23-F86</f>
        <v>0</v>
      </c>
      <c r="G93" s="493">
        <f>+G23-G86</f>
        <v>0</v>
      </c>
      <c r="H93" s="481"/>
      <c r="I93" s="227">
        <f>+I23-I86</f>
        <v>0</v>
      </c>
      <c r="J93" s="195">
        <f>+J23-J86</f>
        <v>0</v>
      </c>
      <c r="K93" s="195">
        <f>+K23-K86</f>
        <v>0</v>
      </c>
      <c r="L93" s="195">
        <f>+L23-L86</f>
        <v>0</v>
      </c>
      <c r="M93" s="493">
        <f>+M23-M86</f>
        <v>0</v>
      </c>
      <c r="N93" s="481"/>
      <c r="O93" s="227">
        <f>+O23-O86</f>
        <v>0</v>
      </c>
      <c r="P93" s="195">
        <f>+P23-P86</f>
        <v>0</v>
      </c>
      <c r="Q93" s="195">
        <f>+Q23-Q86</f>
        <v>0</v>
      </c>
      <c r="R93" s="195">
        <f>+R23-R86</f>
        <v>0</v>
      </c>
      <c r="S93" s="493">
        <f>+S23-S86</f>
        <v>3.694822225952521E-13</v>
      </c>
      <c r="T93" s="481"/>
      <c r="U93" s="227">
        <f>+U23-U86</f>
        <v>0</v>
      </c>
      <c r="V93" s="195">
        <f>+V23-V86</f>
        <v>0</v>
      </c>
      <c r="W93" s="195">
        <f>+W23-W86</f>
        <v>0</v>
      </c>
      <c r="X93" s="195">
        <f>+X23-X86</f>
        <v>0</v>
      </c>
      <c r="Y93" s="493">
        <f>+Y23-Y86</f>
        <v>4.2632564145606011E-13</v>
      </c>
      <c r="Z93" s="481"/>
      <c r="AA93" s="227">
        <f>+AA23-AA86</f>
        <v>5.6843418860808015E-14</v>
      </c>
      <c r="AB93" s="195">
        <f>+AB23-AB86</f>
        <v>0</v>
      </c>
      <c r="AC93" s="195">
        <f>+AC23-AC86</f>
        <v>0</v>
      </c>
      <c r="AD93" s="195">
        <f>+AD23-AD86</f>
        <v>5.6843418860808015E-14</v>
      </c>
      <c r="AE93" s="493">
        <f>+AE23-AE86</f>
        <v>2.8421709430404007E-13</v>
      </c>
      <c r="AF93" s="481"/>
      <c r="AG93" s="227">
        <f>+AG23-AG86</f>
        <v>7.1054273576010019E-14</v>
      </c>
      <c r="AH93" s="195">
        <f>+AH23-AH86</f>
        <v>0</v>
      </c>
      <c r="AI93" s="195">
        <f>+AI23-AI86</f>
        <v>0</v>
      </c>
      <c r="AJ93" s="195">
        <f>+AJ23-AJ86</f>
        <v>0</v>
      </c>
      <c r="AK93" s="493">
        <f>+AK23-AK86</f>
        <v>0</v>
      </c>
      <c r="AL93" s="481"/>
      <c r="AM93" s="227">
        <f>+AM23-AM86</f>
        <v>-5.6843418860808015E-14</v>
      </c>
      <c r="AN93" s="195">
        <f>+AN23-AN86</f>
        <v>-5.6843418860808015E-14</v>
      </c>
      <c r="AO93" s="195">
        <f>+AO23-AO86</f>
        <v>0</v>
      </c>
      <c r="AP93" s="195">
        <f>+AP23-AP86</f>
        <v>0</v>
      </c>
      <c r="AQ93" s="493">
        <f>+AQ23-AQ86</f>
        <v>0</v>
      </c>
      <c r="AR93" s="481"/>
      <c r="AS93" s="227">
        <f>+AS23-AS86</f>
        <v>0</v>
      </c>
      <c r="AT93" s="195">
        <f>+AT23-AT86</f>
        <v>-9.2370555648813024E-14</v>
      </c>
      <c r="AU93" s="195">
        <f>+AU23-AU86</f>
        <v>0</v>
      </c>
      <c r="AV93" s="195">
        <f>+AV23-AV86</f>
        <v>-6.3948846218409017E-14</v>
      </c>
      <c r="AW93" s="493">
        <f>+AW23-AW86</f>
        <v>-1.9000000000175987E-2</v>
      </c>
      <c r="AX93" s="481"/>
      <c r="AY93" s="227">
        <f>+AY23-AY86</f>
        <v>0</v>
      </c>
      <c r="AZ93" s="195">
        <f>+AZ23-AZ86</f>
        <v>0</v>
      </c>
      <c r="BA93" s="195">
        <f>+BA23-BA86</f>
        <v>0</v>
      </c>
      <c r="BB93" s="195">
        <f>+BB23-BB86</f>
        <v>0</v>
      </c>
      <c r="BC93" s="493">
        <f>+BC23-BC86</f>
        <v>0</v>
      </c>
      <c r="BD93" s="481"/>
      <c r="BE93" s="227">
        <f>+BE23-BE86</f>
        <v>-8.5265128291212022E-14</v>
      </c>
      <c r="BF93" s="195">
        <f>+BF23-BF86</f>
        <v>1.1368683772161603E-13</v>
      </c>
      <c r="BG93" s="195">
        <f>+BG23-BG86</f>
        <v>0</v>
      </c>
      <c r="BH93" s="195">
        <f>+BH23-BH86</f>
        <v>0.21399999999999864</v>
      </c>
      <c r="BI93" s="493">
        <f>+BI23-BI86</f>
        <v>0.21399999999954389</v>
      </c>
      <c r="BJ93" s="481"/>
      <c r="BK93" s="227">
        <f>+BK23-BK86</f>
        <v>-9.9475983006414026E-14</v>
      </c>
      <c r="BL93" s="195">
        <f>+BL23-BL86</f>
        <v>0</v>
      </c>
      <c r="BM93" s="195">
        <f>+BM23-BM86</f>
        <v>0</v>
      </c>
      <c r="BN93" s="195">
        <f>+BN23-BN86</f>
        <v>0</v>
      </c>
      <c r="BO93" s="493">
        <f>+BO23-BO86</f>
        <v>0</v>
      </c>
      <c r="BP93" s="481"/>
      <c r="BQ93" s="227">
        <f>+BQ23-BQ86</f>
        <v>0</v>
      </c>
      <c r="BR93" s="195">
        <f>+BR23-BR86</f>
        <v>0</v>
      </c>
      <c r="BS93" s="195">
        <f>+BS23-BS86</f>
        <v>0</v>
      </c>
      <c r="BT93" s="195"/>
      <c r="BU93" s="493"/>
      <c r="BV93" s="481"/>
      <c r="BW93" s="227"/>
      <c r="BX93" s="195"/>
      <c r="BY93" s="195"/>
      <c r="BZ93" s="195"/>
      <c r="CA93" s="493"/>
      <c r="CB93" s="481"/>
      <c r="CC93" s="227"/>
      <c r="CD93" s="195"/>
      <c r="CE93" s="195"/>
      <c r="CF93" s="195"/>
      <c r="CG93" s="493"/>
      <c r="CH93" s="481"/>
      <c r="CI93" s="227"/>
      <c r="CJ93" s="195"/>
      <c r="CK93" s="195"/>
      <c r="CL93" s="195"/>
      <c r="CM93" s="493"/>
      <c r="CN93" s="481"/>
      <c r="CO93" s="97"/>
      <c r="CP93" s="97"/>
      <c r="CQ93"/>
      <c r="CR93"/>
      <c r="CS93"/>
      <c r="CT93"/>
      <c r="CU93"/>
      <c r="CV93"/>
    </row>
    <row r="94" spans="1:100" s="114" customFormat="1" ht="11.25" hidden="1" customHeight="1" outlineLevel="1" x14ac:dyDescent="0.2">
      <c r="A94" s="72"/>
      <c r="B94" s="489" t="s">
        <v>294</v>
      </c>
      <c r="C94" s="227" t="s">
        <v>299</v>
      </c>
      <c r="D94" s="195" t="s">
        <v>299</v>
      </c>
      <c r="E94" s="195" t="s">
        <v>299</v>
      </c>
      <c r="F94" s="195" t="s">
        <v>299</v>
      </c>
      <c r="G94" s="493" t="s">
        <v>299</v>
      </c>
      <c r="H94" s="481"/>
      <c r="I94" s="227" t="s">
        <v>299</v>
      </c>
      <c r="J94" s="195" t="s">
        <v>299</v>
      </c>
      <c r="K94" s="195" t="s">
        <v>299</v>
      </c>
      <c r="L94" s="195" t="s">
        <v>299</v>
      </c>
      <c r="M94" s="493" t="s">
        <v>299</v>
      </c>
      <c r="N94" s="481"/>
      <c r="O94" s="227" t="s">
        <v>299</v>
      </c>
      <c r="P94" s="195" t="s">
        <v>299</v>
      </c>
      <c r="Q94" s="195" t="s">
        <v>299</v>
      </c>
      <c r="R94" s="195" t="s">
        <v>299</v>
      </c>
      <c r="S94" s="493" t="s">
        <v>299</v>
      </c>
      <c r="T94" s="481"/>
      <c r="U94" s="227" t="s">
        <v>299</v>
      </c>
      <c r="V94" s="195" t="s">
        <v>299</v>
      </c>
      <c r="W94" s="195" t="s">
        <v>299</v>
      </c>
      <c r="X94" s="195" t="s">
        <v>299</v>
      </c>
      <c r="Y94" s="493" t="s">
        <v>299</v>
      </c>
      <c r="Z94" s="481"/>
      <c r="AA94" s="227" t="s">
        <v>299</v>
      </c>
      <c r="AB94" s="195" t="s">
        <v>299</v>
      </c>
      <c r="AC94" s="195" t="s">
        <v>299</v>
      </c>
      <c r="AD94" s="195" t="s">
        <v>299</v>
      </c>
      <c r="AE94" s="493" t="s">
        <v>299</v>
      </c>
      <c r="AF94" s="481"/>
      <c r="AG94" s="227" t="s">
        <v>299</v>
      </c>
      <c r="AH94" s="195" t="s">
        <v>299</v>
      </c>
      <c r="AI94" s="195" t="s">
        <v>299</v>
      </c>
      <c r="AJ94" s="195" t="s">
        <v>299</v>
      </c>
      <c r="AK94" s="493" t="s">
        <v>299</v>
      </c>
      <c r="AL94" s="481"/>
      <c r="AM94" s="227" t="s">
        <v>299</v>
      </c>
      <c r="AN94" s="195" t="s">
        <v>299</v>
      </c>
      <c r="AO94" s="195" t="s">
        <v>299</v>
      </c>
      <c r="AP94" s="195" t="s">
        <v>299</v>
      </c>
      <c r="AQ94" s="493" t="s">
        <v>299</v>
      </c>
      <c r="AR94" s="481"/>
      <c r="AS94" s="227" t="s">
        <v>299</v>
      </c>
      <c r="AT94" s="195" t="s">
        <v>299</v>
      </c>
      <c r="AU94" s="195" t="s">
        <v>299</v>
      </c>
      <c r="AV94" s="195" t="s">
        <v>299</v>
      </c>
      <c r="AW94" s="493" t="s">
        <v>299</v>
      </c>
      <c r="AX94" s="481"/>
      <c r="AY94" s="227">
        <f>+AY13-AY87</f>
        <v>0</v>
      </c>
      <c r="AZ94" s="195">
        <f>+AZ13-AZ87</f>
        <v>0</v>
      </c>
      <c r="BA94" s="195">
        <f>+BA13-BA87</f>
        <v>0</v>
      </c>
      <c r="BB94" s="195">
        <f>+BB13-BB87</f>
        <v>0</v>
      </c>
      <c r="BC94" s="493">
        <f>+BC13-BC87</f>
        <v>0</v>
      </c>
      <c r="BD94" s="481"/>
      <c r="BE94" s="227">
        <f>+BE13-BE87</f>
        <v>0</v>
      </c>
      <c r="BF94" s="195">
        <f>+BF13-BF87</f>
        <v>1.1368683772161603E-13</v>
      </c>
      <c r="BG94" s="195" t="s">
        <v>299</v>
      </c>
      <c r="BH94" s="195" t="s">
        <v>299</v>
      </c>
      <c r="BI94" s="493" t="s">
        <v>299</v>
      </c>
      <c r="BJ94" s="481"/>
      <c r="BK94" s="227">
        <f>+BK13-BK87</f>
        <v>0</v>
      </c>
      <c r="BL94" s="195">
        <f>+BL13-BL87</f>
        <v>0</v>
      </c>
      <c r="BM94" s="195">
        <f>+BM13-BM87</f>
        <v>0</v>
      </c>
      <c r="BN94" s="195">
        <f>+BN13-BN87</f>
        <v>0</v>
      </c>
      <c r="BO94" s="493">
        <f>+BO13-BO87</f>
        <v>0</v>
      </c>
      <c r="BP94" s="481"/>
      <c r="BQ94" s="227">
        <f>+BQ13-BQ87</f>
        <v>0</v>
      </c>
      <c r="BR94" s="195">
        <f>+BR13-BR87</f>
        <v>0</v>
      </c>
      <c r="BS94" s="195">
        <f>+BS13-BS87</f>
        <v>0</v>
      </c>
      <c r="BT94" s="195"/>
      <c r="BU94" s="493"/>
      <c r="BV94" s="481"/>
      <c r="BW94" s="227"/>
      <c r="BX94" s="195"/>
      <c r="BY94" s="195"/>
      <c r="BZ94" s="195"/>
      <c r="CA94" s="493"/>
      <c r="CB94" s="481"/>
      <c r="CC94" s="227"/>
      <c r="CD94" s="195"/>
      <c r="CE94" s="195"/>
      <c r="CF94" s="195"/>
      <c r="CG94" s="493"/>
      <c r="CH94" s="481"/>
      <c r="CI94" s="227"/>
      <c r="CJ94" s="195"/>
      <c r="CK94" s="195"/>
      <c r="CL94" s="195"/>
      <c r="CM94" s="493"/>
      <c r="CN94" s="481"/>
      <c r="CO94" s="97"/>
      <c r="CP94" s="97"/>
      <c r="CQ94"/>
      <c r="CR94"/>
      <c r="CS94"/>
      <c r="CT94"/>
      <c r="CU94"/>
      <c r="CV94"/>
    </row>
    <row r="95" spans="1:100" s="114" customFormat="1" ht="11.25" hidden="1" customHeight="1" outlineLevel="1" x14ac:dyDescent="0.2">
      <c r="A95" s="72"/>
      <c r="B95" s="489" t="s">
        <v>295</v>
      </c>
      <c r="C95" s="227">
        <f>C67-C88</f>
        <v>-1.1956771671645661E-3</v>
      </c>
      <c r="D95" s="195">
        <f>D67-D88</f>
        <v>-2.2908136785650957E-3</v>
      </c>
      <c r="E95" s="195">
        <f>E67-E88</f>
        <v>-9.7248969370333782E-4</v>
      </c>
      <c r="F95" s="195">
        <f>F67-F88</f>
        <v>-1.3562498169999437E-3</v>
      </c>
      <c r="G95" s="493">
        <f>G67-G88</f>
        <v>2.2124716010121226E-3</v>
      </c>
      <c r="H95" s="481"/>
      <c r="I95" s="227">
        <f>I67-I88</f>
        <v>-2.316355259789904E-3</v>
      </c>
      <c r="J95" s="195">
        <f>J67-J88</f>
        <v>2.4906699385783271E-3</v>
      </c>
      <c r="K95" s="195">
        <f>K67-K88</f>
        <v>-2.6438655649013709E-3</v>
      </c>
      <c r="L95" s="195">
        <f>L67-L88</f>
        <v>3.7481204535294577E-3</v>
      </c>
      <c r="M95" s="493">
        <f>M67-M88</f>
        <v>1.9337848006020231E-3</v>
      </c>
      <c r="N95" s="481"/>
      <c r="O95" s="227">
        <f>O67-O88</f>
        <v>-2.810836309724285E-3</v>
      </c>
      <c r="P95" s="195">
        <f>P67-P88</f>
        <v>-3.6187546480970223E-3</v>
      </c>
      <c r="Q95" s="195">
        <f>Q67-Q88</f>
        <v>-2.990671610205109E-3</v>
      </c>
      <c r="R95" s="195">
        <f>R67-R88</f>
        <v>-3.6586129034985593E-3</v>
      </c>
      <c r="S95" s="493">
        <f>S67-S88</f>
        <v>-3.2525030628165474E-3</v>
      </c>
      <c r="T95" s="481"/>
      <c r="U95" s="227">
        <f>U67-U88</f>
        <v>-2.3043921681042967E-4</v>
      </c>
      <c r="V95" s="195">
        <f>V67-V88</f>
        <v>3.8957858005641E-3</v>
      </c>
      <c r="W95" s="195">
        <f>W67-W88</f>
        <v>-7.1152268198354518E-4</v>
      </c>
      <c r="X95" s="195">
        <f>X67-X88</f>
        <v>-2.8812396459111378E-3</v>
      </c>
      <c r="Y95" s="493">
        <f>Y67-Y88</f>
        <v>6.2448616634291909E-4</v>
      </c>
      <c r="Z95" s="481"/>
      <c r="AA95" s="227">
        <f>AA67-AA88</f>
        <v>1.8533360048128555E-4</v>
      </c>
      <c r="AB95" s="195">
        <f>AB67-AB88</f>
        <v>-3.0228778702050541E-3</v>
      </c>
      <c r="AC95" s="195">
        <f>AC67-AC88</f>
        <v>-3.8488854481349422E-3</v>
      </c>
      <c r="AD95" s="195">
        <f>AD67-AD88</f>
        <v>2.0656300467625233E-4</v>
      </c>
      <c r="AE95" s="493">
        <f>AE67-AE88</f>
        <v>2.9417297969216438E-3</v>
      </c>
      <c r="AF95" s="481"/>
      <c r="AG95" s="227">
        <f>AG67-AG88</f>
        <v>-1.9753192587171897E-3</v>
      </c>
      <c r="AH95" s="195">
        <f>AH67-AH88</f>
        <v>2.5093209407519579E-3</v>
      </c>
      <c r="AI95" s="195">
        <f>AI67-AI88</f>
        <v>-4.6172788836445489E-3</v>
      </c>
      <c r="AJ95" s="195">
        <f>AJ67-AJ88</f>
        <v>2.364958578550902E-3</v>
      </c>
      <c r="AK95" s="493">
        <f>AK67-AK88</f>
        <v>-8.4080616349568871E-5</v>
      </c>
      <c r="AL95" s="481"/>
      <c r="AM95" s="227">
        <f>AM67-AM88</f>
        <v>-6.0832080769179786E-4</v>
      </c>
      <c r="AN95" s="195">
        <f>AN67-AN88</f>
        <v>-3.8366135133846568E-3</v>
      </c>
      <c r="AO95" s="195">
        <f>AO67-AO88</f>
        <v>1.2058777795055375E-3</v>
      </c>
      <c r="AP95" s="195">
        <f>AP67-AP88</f>
        <v>2.3392797697143752E-3</v>
      </c>
      <c r="AQ95" s="493">
        <f>AQ67-AQ88</f>
        <v>-4.3947903320602499E-3</v>
      </c>
      <c r="AR95" s="481"/>
      <c r="AS95" s="227">
        <f>AS67-AS88</f>
        <v>2.7914324120170697E-4</v>
      </c>
      <c r="AT95" s="195">
        <f>AT67-AT88</f>
        <v>2.1685234583389557E-3</v>
      </c>
      <c r="AU95" s="195">
        <f>AU67-AU88</f>
        <v>-9.6510750105405219E-4</v>
      </c>
      <c r="AV95" s="195">
        <f>AV67-AV88</f>
        <v>2.9180406022797367E-3</v>
      </c>
      <c r="AW95" s="493">
        <f>AW67-AW88</f>
        <v>3.6823981976115139E-3</v>
      </c>
      <c r="AX95" s="481"/>
      <c r="AY95" s="227">
        <f>AY67-AY88</f>
        <v>1.9764029466365907E-3</v>
      </c>
      <c r="AZ95" s="195">
        <f>AZ67-AZ88</f>
        <v>1.156818547738192E-3</v>
      </c>
      <c r="BA95" s="195">
        <f>BA67-BA88</f>
        <v>-7.1328109302815079E-4</v>
      </c>
      <c r="BB95" s="195">
        <f>BB67-BB88</f>
        <v>-2.7293156896780468E-3</v>
      </c>
      <c r="BC95" s="493">
        <f>BC67-BC88</f>
        <v>-5.3724396653764828E-4</v>
      </c>
      <c r="BD95" s="481"/>
      <c r="BE95" s="227">
        <f>BE67-BE88</f>
        <v>-3.4504103352577253E-3</v>
      </c>
      <c r="BF95" s="195">
        <f>BF67-BF88</f>
        <v>-2.8794676614395942E-3</v>
      </c>
      <c r="BG95" s="195">
        <f>BG67-BG88</f>
        <v>-1.6543312832270063E-3</v>
      </c>
      <c r="BH95" s="195">
        <f>BH67-BH88</f>
        <v>2.6812038992519716E-3</v>
      </c>
      <c r="BI95" s="493">
        <f>BI67-BI88</f>
        <v>1.9527690956215871E-3</v>
      </c>
      <c r="BJ95" s="481"/>
      <c r="BK95" s="227">
        <f>BK67-BK88</f>
        <v>4.8912477885305061E-3</v>
      </c>
      <c r="BL95" s="195">
        <f>BL67-BL88</f>
        <v>-2.8978978978975167E-3</v>
      </c>
      <c r="BM95" s="195">
        <f>BM67-BM88</f>
        <v>-3.2656697322748784E-2</v>
      </c>
      <c r="BN95" s="195">
        <f>BN67-BN88</f>
        <v>1.0201263451953935E-2</v>
      </c>
      <c r="BO95" s="493">
        <f>BO67-BO88</f>
        <v>-2.447434783973601E-2</v>
      </c>
      <c r="BP95" s="481"/>
      <c r="BQ95" s="227">
        <f>BQ67-BQ88</f>
        <v>-1.9067422542253243E-3</v>
      </c>
      <c r="BR95" s="195">
        <f>BR67-BR88</f>
        <v>1.1041124358600607E-3</v>
      </c>
      <c r="BS95" s="195">
        <f>BS67-BS88</f>
        <v>-3.4944767787146169E-3</v>
      </c>
      <c r="BT95" s="195"/>
      <c r="BU95" s="493"/>
      <c r="BV95" s="481"/>
      <c r="BW95" s="227"/>
      <c r="BX95" s="195"/>
      <c r="BY95" s="195"/>
      <c r="BZ95" s="195"/>
      <c r="CA95" s="493"/>
      <c r="CB95" s="481"/>
      <c r="CC95" s="227"/>
      <c r="CD95" s="195"/>
      <c r="CE95" s="195"/>
      <c r="CF95" s="195"/>
      <c r="CG95" s="493"/>
      <c r="CH95" s="481"/>
      <c r="CI95" s="227"/>
      <c r="CJ95" s="195"/>
      <c r="CK95" s="195"/>
      <c r="CL95" s="195"/>
      <c r="CM95" s="493"/>
      <c r="CN95" s="481"/>
      <c r="CO95" s="97"/>
      <c r="CP95" s="97"/>
      <c r="CQ95"/>
      <c r="CR95"/>
      <c r="CS95"/>
      <c r="CT95"/>
      <c r="CU95"/>
      <c r="CV95"/>
    </row>
    <row r="96" spans="1:100" s="114" customFormat="1" ht="11.25" hidden="1" customHeight="1" outlineLevel="1" x14ac:dyDescent="0.2">
      <c r="A96" s="72"/>
      <c r="B96" s="568" t="s">
        <v>296</v>
      </c>
      <c r="C96" s="546">
        <f>C29-C89</f>
        <v>-1.1956771671645661E-3</v>
      </c>
      <c r="D96" s="547">
        <f>D29-D89</f>
        <v>-2.2908136785650957E-3</v>
      </c>
      <c r="E96" s="547">
        <f>E29-E89</f>
        <v>-9.7248969370333782E-4</v>
      </c>
      <c r="F96" s="547">
        <f>F29-F89</f>
        <v>-1.3562498169999437E-3</v>
      </c>
      <c r="G96" s="548">
        <f>G29-G89</f>
        <v>2.2124716010121226E-3</v>
      </c>
      <c r="H96" s="481"/>
      <c r="I96" s="546">
        <f>I29-I89</f>
        <v>-2.316355259789904E-3</v>
      </c>
      <c r="J96" s="547">
        <f>J29-J89</f>
        <v>2.4906699385783271E-3</v>
      </c>
      <c r="K96" s="547">
        <f>K29-K89</f>
        <v>-2.6438655649013709E-3</v>
      </c>
      <c r="L96" s="547">
        <f>L29-L89</f>
        <v>3.7481204535294577E-3</v>
      </c>
      <c r="M96" s="548">
        <f>M29-M89</f>
        <v>1.9337848006020231E-3</v>
      </c>
      <c r="N96" s="481"/>
      <c r="O96" s="546">
        <f>O29-O89</f>
        <v>-2.810836309724285E-3</v>
      </c>
      <c r="P96" s="547">
        <f>P29-P89</f>
        <v>-3.6187546480970223E-3</v>
      </c>
      <c r="Q96" s="547">
        <f>Q29-Q89</f>
        <v>-2.990671610205109E-3</v>
      </c>
      <c r="R96" s="547">
        <f>R29-R89</f>
        <v>-3.6586129034985593E-3</v>
      </c>
      <c r="S96" s="548">
        <f>S29-S89</f>
        <v>-3.2525030628165474E-3</v>
      </c>
      <c r="T96" s="481"/>
      <c r="U96" s="546">
        <f>U29-U89</f>
        <v>-2.3043921681042967E-4</v>
      </c>
      <c r="V96" s="547">
        <f>V29-V89</f>
        <v>3.8957858005641E-3</v>
      </c>
      <c r="W96" s="547">
        <f>W29-W89</f>
        <v>-7.1152268198354518E-4</v>
      </c>
      <c r="X96" s="547">
        <f>X29-X89</f>
        <v>-2.8812396459111378E-3</v>
      </c>
      <c r="Y96" s="548">
        <f>Y29-Y89</f>
        <v>6.2448616634291909E-4</v>
      </c>
      <c r="Z96" s="481"/>
      <c r="AA96" s="546">
        <f>AA29-AA89</f>
        <v>1.8533360048128555E-4</v>
      </c>
      <c r="AB96" s="547">
        <f>AB29-AB89</f>
        <v>-3.0228778702050541E-3</v>
      </c>
      <c r="AC96" s="547">
        <f>AC29-AC89</f>
        <v>-3.8488854481349422E-3</v>
      </c>
      <c r="AD96" s="547">
        <f>AD29-AD89</f>
        <v>2.0656300467625233E-4</v>
      </c>
      <c r="AE96" s="548">
        <f>AE29-AE89</f>
        <v>2.9417297969216438E-3</v>
      </c>
      <c r="AF96" s="481"/>
      <c r="AG96" s="546">
        <f>AG29-AG89</f>
        <v>-1.9753192587171897E-3</v>
      </c>
      <c r="AH96" s="547">
        <f>AH29-AH89</f>
        <v>2.5093209407519579E-3</v>
      </c>
      <c r="AI96" s="547">
        <f>AI29-AI89</f>
        <v>-4.6172788836445489E-3</v>
      </c>
      <c r="AJ96" s="547">
        <f>AJ29-AJ89</f>
        <v>2.364958578550902E-3</v>
      </c>
      <c r="AK96" s="548">
        <f>AK29-AK89</f>
        <v>-8.4080616349568871E-5</v>
      </c>
      <c r="AL96" s="481"/>
      <c r="AM96" s="546">
        <f>AM29-AM89</f>
        <v>-6.0832080769179786E-4</v>
      </c>
      <c r="AN96" s="547">
        <f>AN29-AN89</f>
        <v>-3.8366135133846568E-3</v>
      </c>
      <c r="AO96" s="547">
        <f>AO29-AO89</f>
        <v>1.2058777795055375E-3</v>
      </c>
      <c r="AP96" s="547">
        <f>AP29-AP89</f>
        <v>2.3392797697143752E-3</v>
      </c>
      <c r="AQ96" s="548">
        <f>AQ29-AQ89</f>
        <v>-4.3947903320602499E-3</v>
      </c>
      <c r="AR96" s="481"/>
      <c r="AS96" s="546">
        <f>AS29-AS89</f>
        <v>2.7914324120170697E-4</v>
      </c>
      <c r="AT96" s="547">
        <f>AT29-AT89</f>
        <v>-2.6149380197718619E-3</v>
      </c>
      <c r="AU96" s="547">
        <f>AU29-AU89</f>
        <v>-1.9846273002677162E-3</v>
      </c>
      <c r="AV96" s="547">
        <f>AV29-AV89</f>
        <v>-4.5925867069307458E-4</v>
      </c>
      <c r="AW96" s="548">
        <f>AW29-AW89</f>
        <v>4.2078647816357062E-3</v>
      </c>
      <c r="AX96" s="481"/>
      <c r="AY96" s="546">
        <f>AY29-AY89</f>
        <v>1.7188716535899706E-3</v>
      </c>
      <c r="AZ96" s="547">
        <f>AZ29-AZ89</f>
        <v>5.6915150539404991E-4</v>
      </c>
      <c r="BA96" s="547">
        <f>BA29-BA89</f>
        <v>-4.1249748844686684E-3</v>
      </c>
      <c r="BB96" s="547">
        <f>BB29-BB89</f>
        <v>-4.7642886523474592E-3</v>
      </c>
      <c r="BC96" s="548">
        <f>BC29-BC89</f>
        <v>3.1129255521900046E-3</v>
      </c>
      <c r="BD96" s="481"/>
      <c r="BE96" s="546">
        <f>BE29-BE89</f>
        <v>-1.7984864519486887E-3</v>
      </c>
      <c r="BF96" s="547">
        <f>BF29-BF89</f>
        <v>-2.6879064374643047E-3</v>
      </c>
      <c r="BG96" s="547">
        <f>BG29-BG89</f>
        <v>-9.5277806734050952E-4</v>
      </c>
      <c r="BH96" s="547">
        <f>BH29-BH89</f>
        <v>3.0776833366278344E-3</v>
      </c>
      <c r="BI96" s="548">
        <f>BI29-BI89</f>
        <v>-1.9911748483227854E-3</v>
      </c>
      <c r="BJ96" s="481"/>
      <c r="BK96" s="546">
        <f>BK29-BK89</f>
        <v>-2.2364449994807245E-3</v>
      </c>
      <c r="BL96" s="547">
        <f>BL29-BL89</f>
        <v>-1.9002335668998338E-3</v>
      </c>
      <c r="BM96" s="547">
        <f>BM29-BM89</f>
        <v>1.161715202550373E-3</v>
      </c>
      <c r="BN96" s="547">
        <f>BN29-BN89</f>
        <v>4.3060008676973904E-3</v>
      </c>
      <c r="BO96" s="548">
        <f>BO29-BO89</f>
        <v>-2.9171157407894555E-3</v>
      </c>
      <c r="BP96" s="481"/>
      <c r="BQ96" s="546">
        <f>BQ29-BQ89</f>
        <v>6.2370371946085523E-4</v>
      </c>
      <c r="BR96" s="547">
        <f>BR29-BR89</f>
        <v>-1.0819380617532737E-5</v>
      </c>
      <c r="BS96" s="547">
        <f>BS29-BS89</f>
        <v>-2.9140796250903267E-3</v>
      </c>
      <c r="BT96" s="547"/>
      <c r="BU96" s="548"/>
      <c r="BV96" s="481"/>
      <c r="BW96" s="546"/>
      <c r="BX96" s="547"/>
      <c r="BY96" s="547"/>
      <c r="BZ96" s="547"/>
      <c r="CA96" s="548"/>
      <c r="CB96" s="481"/>
      <c r="CC96" s="546"/>
      <c r="CD96" s="547"/>
      <c r="CE96" s="547"/>
      <c r="CF96" s="547"/>
      <c r="CG96" s="548"/>
      <c r="CH96" s="481"/>
      <c r="CI96" s="546"/>
      <c r="CJ96" s="547"/>
      <c r="CK96" s="547"/>
      <c r="CL96" s="547"/>
      <c r="CM96" s="548"/>
      <c r="CN96" s="481"/>
      <c r="CO96" s="97"/>
      <c r="CP96" s="97"/>
      <c r="CQ96"/>
      <c r="CR96"/>
      <c r="CS96"/>
      <c r="CT96"/>
      <c r="CU96"/>
      <c r="CV96"/>
    </row>
    <row r="97" spans="1:100" ht="11.25" hidden="1" customHeight="1" outlineLevel="1" x14ac:dyDescent="0.2">
      <c r="B97" s="11"/>
      <c r="C97" s="11"/>
      <c r="D97" s="11"/>
      <c r="E97" s="11"/>
      <c r="F97" s="11"/>
      <c r="G97" s="11"/>
      <c r="H97" s="17"/>
      <c r="I97" s="17"/>
      <c r="J97" s="11"/>
      <c r="K97" s="11"/>
      <c r="L97" s="574"/>
      <c r="M97" s="17"/>
      <c r="N97" s="17"/>
      <c r="O97" s="11"/>
      <c r="P97" s="11"/>
      <c r="Q97" s="11"/>
      <c r="R97" s="11"/>
      <c r="S97" s="11"/>
      <c r="T97" s="17"/>
      <c r="U97" s="11"/>
      <c r="V97" s="11"/>
      <c r="W97" s="11"/>
      <c r="X97" s="11"/>
      <c r="Y97" s="11"/>
      <c r="Z97" s="17"/>
      <c r="AA97" s="11"/>
      <c r="AB97" s="11"/>
      <c r="AC97" s="11"/>
      <c r="AD97" s="11"/>
      <c r="AE97" s="11"/>
      <c r="AF97" s="17"/>
      <c r="AG97" s="11"/>
      <c r="AH97" s="11"/>
      <c r="AI97" s="11"/>
      <c r="AJ97" s="11"/>
      <c r="AK97" s="11"/>
      <c r="AL97" s="17"/>
      <c r="AM97" s="11"/>
      <c r="AN97" s="11"/>
      <c r="AO97" s="11"/>
      <c r="AP97" s="11"/>
      <c r="AQ97" s="11"/>
      <c r="AR97" s="17"/>
      <c r="AS97" s="11"/>
      <c r="AT97" s="11"/>
      <c r="AU97" s="11"/>
      <c r="AV97" s="11"/>
      <c r="AW97" s="11"/>
      <c r="AX97" s="17"/>
      <c r="AY97" s="11"/>
      <c r="AZ97" s="11"/>
      <c r="BA97" s="11"/>
      <c r="BB97" s="11"/>
      <c r="BC97" s="11"/>
      <c r="BD97" s="17"/>
      <c r="BE97" s="11"/>
      <c r="BF97" s="11"/>
      <c r="BG97" s="11"/>
      <c r="BH97" s="11"/>
      <c r="BI97" s="11"/>
      <c r="BJ97" s="17"/>
      <c r="BK97" s="11"/>
      <c r="BL97" s="11"/>
      <c r="BM97" s="11"/>
      <c r="BN97" s="11"/>
      <c r="BO97" s="11"/>
      <c r="BP97" s="17"/>
      <c r="BQ97" s="11"/>
      <c r="BR97" s="11"/>
      <c r="BS97" s="11"/>
      <c r="BT97" s="11"/>
      <c r="BU97" s="11"/>
      <c r="BV97" s="17"/>
      <c r="BW97" s="11"/>
      <c r="BX97" s="11"/>
      <c r="BY97" s="11"/>
      <c r="BZ97" s="11"/>
      <c r="CA97" s="11"/>
      <c r="CB97" s="17"/>
      <c r="CC97" s="11"/>
      <c r="CD97" s="11"/>
      <c r="CE97" s="11"/>
      <c r="CF97" s="11"/>
      <c r="CG97" s="11"/>
      <c r="CH97" s="17"/>
      <c r="CI97" s="11"/>
      <c r="CJ97" s="11"/>
      <c r="CK97" s="11"/>
      <c r="CL97" s="11"/>
      <c r="CM97" s="11"/>
      <c r="CN97" s="17"/>
      <c r="CO97" s="17"/>
      <c r="CP97" s="17"/>
    </row>
    <row r="98" spans="1:100" ht="11.25" hidden="1" customHeight="1" outlineLevel="1" x14ac:dyDescent="0.2">
      <c r="B98" s="11"/>
      <c r="C98" s="11"/>
      <c r="D98" s="11"/>
      <c r="E98" s="11"/>
      <c r="F98" s="11"/>
      <c r="G98" s="11"/>
      <c r="H98" s="17"/>
      <c r="I98" s="17"/>
      <c r="J98" s="11"/>
      <c r="K98" s="11"/>
      <c r="L98" s="17"/>
      <c r="M98" s="17"/>
      <c r="N98" s="17"/>
      <c r="O98" s="11"/>
      <c r="P98" s="11"/>
      <c r="Q98" s="11"/>
      <c r="R98" s="11"/>
      <c r="S98" s="11"/>
      <c r="T98" s="17"/>
      <c r="U98" s="11"/>
      <c r="V98" s="11"/>
      <c r="W98" s="11"/>
      <c r="X98" s="11"/>
      <c r="Y98" s="11"/>
      <c r="Z98" s="17"/>
      <c r="AA98" s="11"/>
      <c r="AB98" s="11"/>
      <c r="AC98" s="11"/>
      <c r="AD98" s="11"/>
      <c r="AE98" s="11"/>
      <c r="AF98" s="17"/>
      <c r="AG98" s="11"/>
      <c r="AH98" s="11"/>
      <c r="AI98" s="11"/>
      <c r="AJ98" s="11"/>
      <c r="AK98" s="11"/>
      <c r="AL98" s="17"/>
      <c r="AM98" s="11"/>
      <c r="AN98" s="11"/>
      <c r="AO98" s="11"/>
      <c r="AP98" s="11"/>
      <c r="AQ98" s="11"/>
      <c r="AR98" s="17"/>
      <c r="AS98" s="11"/>
      <c r="AT98" s="11"/>
      <c r="AU98" s="11"/>
      <c r="AV98" s="11"/>
      <c r="AW98" s="11"/>
      <c r="AX98" s="17"/>
      <c r="AY98" s="11"/>
      <c r="AZ98" s="11"/>
      <c r="BA98" s="11"/>
      <c r="BB98" s="11"/>
      <c r="BC98" s="11"/>
      <c r="BD98" s="17"/>
      <c r="BE98" s="11"/>
      <c r="BF98" s="11"/>
      <c r="BG98" s="11"/>
      <c r="BH98" s="11"/>
      <c r="BI98" s="11"/>
      <c r="BJ98" s="17"/>
      <c r="BK98" s="11"/>
      <c r="BL98" s="11"/>
      <c r="BM98" s="11"/>
      <c r="BN98" s="11"/>
      <c r="BO98" s="11"/>
      <c r="BP98" s="17"/>
      <c r="BQ98" s="11"/>
      <c r="BR98" s="11"/>
      <c r="BS98" s="11"/>
      <c r="BT98" s="11"/>
      <c r="BU98" s="11"/>
      <c r="BV98" s="17"/>
      <c r="BW98" s="11"/>
      <c r="BX98" s="11"/>
      <c r="BY98" s="11"/>
      <c r="BZ98" s="11"/>
      <c r="CA98" s="11"/>
      <c r="CB98" s="17"/>
      <c r="CC98" s="11"/>
      <c r="CD98" s="11"/>
      <c r="CE98" s="11"/>
      <c r="CF98" s="11"/>
      <c r="CG98" s="11"/>
      <c r="CH98" s="17"/>
      <c r="CI98" s="11"/>
      <c r="CJ98" s="11"/>
      <c r="CK98" s="11"/>
      <c r="CL98" s="11"/>
      <c r="CM98" s="11"/>
      <c r="CN98" s="17"/>
      <c r="CO98" s="17"/>
      <c r="CP98" s="17"/>
    </row>
    <row r="99" spans="1:100" ht="11.25" hidden="1" customHeight="1" outlineLevel="1" x14ac:dyDescent="0.2">
      <c r="B99" s="11"/>
      <c r="C99" s="11"/>
      <c r="D99" s="11"/>
      <c r="E99" s="11"/>
      <c r="F99" s="11"/>
      <c r="G99" s="11"/>
      <c r="H99" s="17"/>
      <c r="I99" s="17"/>
      <c r="J99" s="11"/>
      <c r="K99" s="11"/>
      <c r="L99" s="17"/>
      <c r="M99" s="17"/>
      <c r="N99" s="17"/>
      <c r="O99" s="11"/>
      <c r="P99" s="11"/>
      <c r="Q99" s="11"/>
      <c r="R99" s="11"/>
      <c r="S99" s="11"/>
      <c r="T99" s="17"/>
      <c r="U99" s="11"/>
      <c r="V99" s="11"/>
      <c r="W99" s="11"/>
      <c r="X99" s="11"/>
      <c r="Y99" s="11"/>
      <c r="Z99" s="17"/>
      <c r="AA99" s="11"/>
      <c r="AB99" s="11"/>
      <c r="AC99" s="11"/>
      <c r="AD99" s="11"/>
      <c r="AE99" s="11"/>
      <c r="AF99" s="17"/>
      <c r="AG99" s="11"/>
      <c r="AH99" s="11"/>
      <c r="AI99" s="11"/>
      <c r="AJ99" s="11"/>
      <c r="AK99" s="11"/>
      <c r="AL99" s="17"/>
      <c r="AM99" s="11"/>
      <c r="AN99" s="11"/>
      <c r="AO99" s="11"/>
      <c r="AP99" s="11"/>
      <c r="AQ99" s="11"/>
      <c r="AR99" s="17"/>
      <c r="AS99" s="11"/>
      <c r="AT99" s="11"/>
      <c r="AU99" s="11"/>
      <c r="AV99" s="11"/>
      <c r="AW99" s="11"/>
      <c r="AX99" s="17"/>
      <c r="AY99" s="11"/>
      <c r="AZ99" s="11"/>
      <c r="BA99" s="11"/>
      <c r="BB99" s="11"/>
      <c r="BC99" s="11"/>
      <c r="BD99" s="17"/>
      <c r="BE99" s="11"/>
      <c r="BF99" s="11"/>
      <c r="BG99" s="11"/>
      <c r="BH99" s="11"/>
      <c r="BI99" s="11"/>
      <c r="BJ99" s="17"/>
      <c r="BK99" s="11"/>
      <c r="BL99" s="11"/>
      <c r="BM99" s="11"/>
      <c r="BN99" s="11"/>
      <c r="BO99" s="11"/>
      <c r="BP99" s="17"/>
      <c r="BQ99" s="11"/>
      <c r="BR99" s="11"/>
      <c r="BS99" s="11"/>
      <c r="BT99" s="11"/>
      <c r="BU99" s="11"/>
      <c r="BV99" s="17"/>
      <c r="BW99" s="11"/>
      <c r="BX99" s="11"/>
      <c r="BY99" s="11"/>
      <c r="BZ99" s="11"/>
      <c r="CA99" s="11"/>
      <c r="CB99" s="17"/>
      <c r="CC99" s="11"/>
      <c r="CD99" s="11"/>
      <c r="CE99" s="11"/>
      <c r="CF99" s="11"/>
      <c r="CG99" s="11"/>
      <c r="CH99" s="17"/>
      <c r="CI99" s="11"/>
      <c r="CJ99" s="11"/>
      <c r="CK99" s="11"/>
      <c r="CL99" s="11"/>
      <c r="CM99" s="11"/>
      <c r="CN99" s="17"/>
      <c r="CO99" s="17"/>
      <c r="CP99" s="17"/>
    </row>
    <row r="100" spans="1:100" customFormat="1" ht="11.25" hidden="1" customHeight="1" outlineLevel="1" x14ac:dyDescent="0.2"/>
    <row r="101" spans="1:100" ht="11.25" customHeight="1" collapsed="1" x14ac:dyDescent="0.2">
      <c r="A101" s="6"/>
      <c r="B101" s="17"/>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1051"/>
      <c r="AT101" s="1051"/>
      <c r="AU101" s="1051"/>
      <c r="AV101" s="1051"/>
      <c r="AW101" s="1051"/>
      <c r="AX101" s="26"/>
      <c r="AY101" s="1051"/>
      <c r="AZ101" s="1051"/>
      <c r="BA101" s="1051"/>
      <c r="BB101" s="1051"/>
      <c r="BC101" s="1051"/>
      <c r="BD101" s="26"/>
      <c r="BE101" s="1051"/>
      <c r="BF101" s="1051"/>
      <c r="BG101" s="1051"/>
      <c r="BH101" s="1051"/>
      <c r="BI101" s="1051"/>
      <c r="BJ101" s="26"/>
      <c r="BK101" s="1051"/>
      <c r="BL101" s="1051"/>
      <c r="BM101" s="1051"/>
      <c r="BN101" s="1051"/>
      <c r="BO101" s="1051"/>
      <c r="BP101" s="26"/>
      <c r="BQ101" s="1051"/>
      <c r="BR101" s="1051"/>
      <c r="BS101" s="1051"/>
      <c r="BT101" s="1051"/>
      <c r="BU101" s="1051"/>
      <c r="BV101" s="26"/>
      <c r="BW101" s="1051"/>
      <c r="BX101" s="1051"/>
      <c r="BY101" s="1051"/>
      <c r="BZ101" s="1051"/>
      <c r="CA101" s="1051"/>
      <c r="CB101" s="26"/>
      <c r="CC101" s="1051"/>
      <c r="CD101" s="1051"/>
      <c r="CE101" s="1051"/>
      <c r="CF101" s="1051"/>
      <c r="CG101" s="1051"/>
      <c r="CH101" s="26"/>
      <c r="CI101" s="1051"/>
      <c r="CJ101" s="1051"/>
      <c r="CK101" s="1051"/>
      <c r="CL101" s="1051"/>
      <c r="CM101" s="1051"/>
      <c r="CN101" s="26"/>
      <c r="CO101" s="97"/>
      <c r="CP101" s="97"/>
    </row>
    <row r="102" spans="1:100" ht="11.25" customHeight="1" x14ac:dyDescent="0.2">
      <c r="B102" s="1220" t="s">
        <v>380</v>
      </c>
      <c r="C102" s="1221"/>
      <c r="D102" s="1221"/>
      <c r="E102" s="1221"/>
      <c r="F102" s="1221"/>
      <c r="G102" s="1221"/>
      <c r="H102" s="1220"/>
      <c r="I102" s="1221"/>
      <c r="J102" s="1221"/>
      <c r="K102" s="1221"/>
      <c r="L102" s="1221"/>
      <c r="M102" s="1221"/>
      <c r="N102" s="1220"/>
      <c r="O102" s="1221"/>
      <c r="P102" s="1221"/>
      <c r="Q102" s="1221"/>
      <c r="R102" s="1221"/>
      <c r="S102" s="1221"/>
      <c r="T102" s="1220"/>
      <c r="U102" s="1221"/>
      <c r="V102" s="1221"/>
      <c r="W102" s="1221"/>
      <c r="X102" s="1221"/>
      <c r="Y102" s="1221"/>
      <c r="Z102" s="1220"/>
      <c r="AA102" s="1221"/>
      <c r="AB102" s="1221"/>
      <c r="AC102" s="1221"/>
      <c r="AD102" s="1221"/>
      <c r="AE102" s="1221"/>
      <c r="AF102" s="1220"/>
      <c r="AG102" s="1221"/>
      <c r="AH102" s="1221"/>
      <c r="AI102" s="1221"/>
      <c r="AJ102" s="1221"/>
      <c r="AK102" s="1221"/>
      <c r="AL102" s="1220"/>
      <c r="AM102" s="1221"/>
      <c r="AN102" s="1221"/>
      <c r="AO102" s="1221"/>
      <c r="AP102" s="1221"/>
      <c r="AQ102" s="1221"/>
      <c r="AR102" s="1220"/>
      <c r="AS102" s="1221"/>
      <c r="AT102" s="1221"/>
      <c r="AU102" s="1221"/>
      <c r="AV102" s="1221"/>
      <c r="AW102" s="1221"/>
      <c r="AX102" s="1220"/>
      <c r="AY102" s="1221"/>
      <c r="AZ102" s="1221"/>
      <c r="BA102" s="1221"/>
      <c r="BB102" s="1221"/>
      <c r="BC102" s="1221"/>
      <c r="BD102" s="1220"/>
      <c r="BE102" s="1221"/>
      <c r="BF102" s="1221"/>
      <c r="BG102" s="1221"/>
      <c r="BH102" s="1221"/>
      <c r="BI102" s="1221"/>
      <c r="BJ102" s="1220"/>
      <c r="BK102" s="1221"/>
      <c r="BL102" s="1221"/>
      <c r="BM102" s="1221"/>
      <c r="BN102" s="1221"/>
      <c r="BO102" s="1221"/>
      <c r="BP102" s="1220"/>
      <c r="BQ102" s="1221"/>
      <c r="BR102" s="1221"/>
      <c r="BS102" s="1221"/>
      <c r="BT102" s="1221"/>
      <c r="BU102" s="1221"/>
      <c r="BV102" s="1220"/>
      <c r="BW102" s="1221"/>
      <c r="BX102" s="1221"/>
      <c r="BY102" s="1221"/>
      <c r="BZ102" s="1221"/>
      <c r="CA102" s="1221"/>
      <c r="CB102" s="1220"/>
      <c r="CC102" s="1221"/>
      <c r="CD102" s="1221"/>
      <c r="CE102" s="1221"/>
      <c r="CF102" s="1221"/>
      <c r="CG102" s="1222"/>
      <c r="CH102" s="1220"/>
      <c r="CI102" s="1221"/>
      <c r="CJ102" s="1221"/>
      <c r="CK102" s="1221"/>
      <c r="CL102" s="1221"/>
      <c r="CM102" s="1222"/>
      <c r="CN102" s="17"/>
      <c r="CO102" s="17"/>
      <c r="CP102" s="17"/>
    </row>
    <row r="103" spans="1:100" s="14" customFormat="1" ht="11.25" customHeight="1" x14ac:dyDescent="0.2">
      <c r="B103" s="1033" t="s">
        <v>544</v>
      </c>
      <c r="C103" s="1034"/>
      <c r="D103" s="1034"/>
      <c r="E103" s="1034"/>
      <c r="F103" s="1034"/>
      <c r="G103" s="1034"/>
      <c r="H103" s="1033"/>
      <c r="I103" s="1034"/>
      <c r="J103" s="1034"/>
      <c r="K103" s="1034"/>
      <c r="L103" s="1034"/>
      <c r="M103" s="1034"/>
      <c r="N103" s="1033"/>
      <c r="O103" s="1034"/>
      <c r="P103" s="1034"/>
      <c r="Q103" s="1034"/>
      <c r="R103" s="1034"/>
      <c r="S103" s="1034"/>
      <c r="T103" s="1033"/>
      <c r="U103" s="1034"/>
      <c r="V103" s="1034"/>
      <c r="W103" s="1034"/>
      <c r="X103" s="1034"/>
      <c r="Y103" s="1034"/>
      <c r="Z103" s="1033"/>
      <c r="AA103" s="1034"/>
      <c r="AB103" s="1034"/>
      <c r="AC103" s="1034"/>
      <c r="AD103" s="1034"/>
      <c r="AE103" s="1034"/>
      <c r="AF103" s="1033"/>
      <c r="AG103" s="1034"/>
      <c r="AH103" s="1034"/>
      <c r="AI103" s="1034"/>
      <c r="AJ103" s="1034"/>
      <c r="AK103" s="1034"/>
      <c r="AL103" s="1033"/>
      <c r="AM103" s="1034"/>
      <c r="AN103" s="1034"/>
      <c r="AO103" s="1034"/>
      <c r="AP103" s="1034"/>
      <c r="AQ103" s="1034"/>
      <c r="AR103" s="1033"/>
      <c r="AS103" s="1034"/>
      <c r="AT103" s="1034"/>
      <c r="AU103" s="1034"/>
      <c r="AV103" s="1034"/>
      <c r="AW103" s="1034"/>
      <c r="AX103" s="1033"/>
      <c r="AY103" s="1034"/>
      <c r="AZ103" s="1034"/>
      <c r="BA103" s="1034"/>
      <c r="BB103" s="1034"/>
      <c r="BC103" s="1034"/>
      <c r="BD103" s="1033"/>
      <c r="BE103" s="1034"/>
      <c r="BF103" s="1034"/>
      <c r="BG103" s="1034"/>
      <c r="BH103" s="1034"/>
      <c r="BI103" s="1034"/>
      <c r="BJ103" s="1033"/>
      <c r="BK103" s="1034"/>
      <c r="BL103" s="1034"/>
      <c r="BM103" s="1034"/>
      <c r="BN103" s="1034"/>
      <c r="BO103" s="1034"/>
      <c r="BP103" s="1033"/>
      <c r="BQ103" s="1034"/>
      <c r="BR103" s="1034"/>
      <c r="BS103" s="1034"/>
      <c r="BT103" s="1034"/>
      <c r="BU103" s="1034"/>
      <c r="BV103" s="1033"/>
      <c r="BW103" s="1034"/>
      <c r="BX103" s="1034"/>
      <c r="BY103" s="1034"/>
      <c r="BZ103" s="1034"/>
      <c r="CA103" s="1034"/>
      <c r="CB103" s="1033"/>
      <c r="CC103" s="1034"/>
      <c r="CD103" s="1034"/>
      <c r="CE103" s="1034"/>
      <c r="CF103" s="1034"/>
      <c r="CG103" s="1035"/>
      <c r="CH103" s="1033"/>
      <c r="CI103" s="1034"/>
      <c r="CJ103" s="1034"/>
      <c r="CK103" s="1034"/>
      <c r="CL103" s="1034"/>
      <c r="CM103" s="1035"/>
      <c r="CO103" s="1397" t="s">
        <v>599</v>
      </c>
      <c r="CP103" s="1398" t="s">
        <v>600</v>
      </c>
      <c r="CQ103"/>
      <c r="CR103"/>
      <c r="CS103"/>
      <c r="CT103"/>
      <c r="CU103"/>
      <c r="CV103"/>
    </row>
    <row r="104" spans="1:100" s="1183" customFormat="1" ht="11.25" customHeight="1" x14ac:dyDescent="0.2">
      <c r="A104" s="249"/>
      <c r="B104" s="1175" t="s">
        <v>498</v>
      </c>
      <c r="C104" s="1176"/>
      <c r="D104" s="1177"/>
      <c r="E104" s="1177"/>
      <c r="F104" s="1177"/>
      <c r="G104" s="1178">
        <v>0.41</v>
      </c>
      <c r="H104" s="1179"/>
      <c r="I104" s="1180"/>
      <c r="J104" s="1181"/>
      <c r="K104" s="1181"/>
      <c r="L104" s="1181"/>
      <c r="M104" s="1178">
        <v>0.41</v>
      </c>
      <c r="N104" s="1179"/>
      <c r="O104" s="1180"/>
      <c r="P104" s="1181"/>
      <c r="Q104" s="1181"/>
      <c r="R104" s="1181"/>
      <c r="S104" s="1178">
        <v>0.42</v>
      </c>
      <c r="T104" s="1179"/>
      <c r="U104" s="1180"/>
      <c r="V104" s="1181"/>
      <c r="W104" s="1181"/>
      <c r="X104" s="1181"/>
      <c r="Y104" s="1178">
        <v>0.42</v>
      </c>
      <c r="Z104" s="1179"/>
      <c r="AA104" s="1180"/>
      <c r="AB104" s="1181"/>
      <c r="AC104" s="1181"/>
      <c r="AD104" s="1181"/>
      <c r="AE104" s="1178">
        <v>0.43</v>
      </c>
      <c r="AF104" s="1179"/>
      <c r="AG104" s="1180"/>
      <c r="AH104" s="1181"/>
      <c r="AI104" s="1181"/>
      <c r="AJ104" s="1181"/>
      <c r="AK104" s="1178">
        <v>0.45</v>
      </c>
      <c r="AL104" s="1179"/>
      <c r="AM104" s="1180"/>
      <c r="AN104" s="1181"/>
      <c r="AO104" s="1181"/>
      <c r="AP104" s="1181"/>
      <c r="AQ104" s="1178">
        <v>0.48</v>
      </c>
      <c r="AR104" s="1179"/>
      <c r="AS104" s="1180"/>
      <c r="AT104" s="1181"/>
      <c r="AU104" s="1181"/>
      <c r="AV104" s="1181"/>
      <c r="AW104" s="1178">
        <v>0.5</v>
      </c>
      <c r="AX104" s="1179"/>
      <c r="AY104" s="1180"/>
      <c r="AZ104" s="1181"/>
      <c r="BA104" s="1181"/>
      <c r="BB104" s="1181"/>
      <c r="BC104" s="1178">
        <v>0.61</v>
      </c>
      <c r="BD104" s="1179"/>
      <c r="BE104" s="1180"/>
      <c r="BF104" s="1181"/>
      <c r="BG104" s="1181"/>
      <c r="BH104" s="1181"/>
      <c r="BI104" s="1178">
        <v>0.56999999999999995</v>
      </c>
      <c r="BJ104" s="1179"/>
      <c r="BK104" s="1180"/>
      <c r="BL104" s="1181"/>
      <c r="BM104" s="1181"/>
      <c r="BN104" s="1181"/>
      <c r="BO104" s="1178">
        <v>0.61</v>
      </c>
      <c r="BP104" s="1179"/>
      <c r="BQ104" s="1180"/>
      <c r="BR104" s="1181"/>
      <c r="BS104" s="1181"/>
      <c r="BT104" s="1181"/>
      <c r="BU104" s="1178"/>
      <c r="BV104" s="1179"/>
      <c r="BW104" s="1180"/>
      <c r="BX104" s="1181"/>
      <c r="BY104" s="1181"/>
      <c r="BZ104" s="1181"/>
      <c r="CA104" s="1178"/>
      <c r="CB104" s="1179"/>
      <c r="CC104" s="1180"/>
      <c r="CD104" s="1181"/>
      <c r="CE104" s="1181"/>
      <c r="CF104" s="1181"/>
      <c r="CG104" s="1178"/>
      <c r="CH104" s="1179"/>
      <c r="CI104" s="1180"/>
      <c r="CJ104" s="1181"/>
      <c r="CK104" s="1181"/>
      <c r="CL104" s="1181"/>
      <c r="CM104" s="1178"/>
      <c r="CN104" s="1182"/>
      <c r="CO104" s="1193">
        <f>+(BO104-G104)/10</f>
        <v>0.02</v>
      </c>
      <c r="CP104" s="1193">
        <f>+(BO104-AK104)/5</f>
        <v>3.1999999999999994E-2</v>
      </c>
      <c r="CQ104"/>
      <c r="CR104"/>
      <c r="CS104"/>
      <c r="CT104"/>
      <c r="CU104"/>
      <c r="CV104"/>
    </row>
    <row r="105" spans="1:100" s="1183" customFormat="1" ht="11.25" customHeight="1" x14ac:dyDescent="0.2">
      <c r="A105" s="249"/>
      <c r="B105" s="1175" t="s">
        <v>499</v>
      </c>
      <c r="C105" s="1013"/>
      <c r="D105" s="243"/>
      <c r="E105" s="243"/>
      <c r="F105" s="243"/>
      <c r="G105" s="1178">
        <v>0.09</v>
      </c>
      <c r="H105" s="1179"/>
      <c r="I105" s="1180"/>
      <c r="J105" s="1181"/>
      <c r="K105" s="1181"/>
      <c r="L105" s="1181"/>
      <c r="M105" s="1178">
        <v>0.09</v>
      </c>
      <c r="N105" s="1179"/>
      <c r="O105" s="1180"/>
      <c r="P105" s="1181"/>
      <c r="Q105" s="1181"/>
      <c r="R105" s="1181"/>
      <c r="S105" s="1178">
        <v>0.1</v>
      </c>
      <c r="T105" s="1179"/>
      <c r="U105" s="1180"/>
      <c r="V105" s="1181"/>
      <c r="W105" s="1181"/>
      <c r="X105" s="1181"/>
      <c r="Y105" s="1178">
        <v>0.11</v>
      </c>
      <c r="Z105" s="1179"/>
      <c r="AA105" s="1180"/>
      <c r="AB105" s="1181"/>
      <c r="AC105" s="1181"/>
      <c r="AD105" s="1181"/>
      <c r="AE105" s="1178">
        <v>0.11</v>
      </c>
      <c r="AF105" s="1179"/>
      <c r="AG105" s="1180"/>
      <c r="AH105" s="1181"/>
      <c r="AI105" s="1181"/>
      <c r="AJ105" s="1181"/>
      <c r="AK105" s="1178">
        <v>0.13</v>
      </c>
      <c r="AL105" s="1179"/>
      <c r="AM105" s="1180"/>
      <c r="AN105" s="1181"/>
      <c r="AO105" s="1181"/>
      <c r="AP105" s="1181"/>
      <c r="AQ105" s="1178">
        <v>0.16</v>
      </c>
      <c r="AR105" s="1179"/>
      <c r="AS105" s="1180"/>
      <c r="AT105" s="1181"/>
      <c r="AU105" s="1181"/>
      <c r="AV105" s="1181"/>
      <c r="AW105" s="1178">
        <v>0.17</v>
      </c>
      <c r="AX105" s="1179"/>
      <c r="AY105" s="1180"/>
      <c r="AZ105" s="1181"/>
      <c r="BA105" s="1181"/>
      <c r="BB105" s="1181"/>
      <c r="BC105" s="1178">
        <v>0.18</v>
      </c>
      <c r="BD105" s="1179"/>
      <c r="BE105" s="1180"/>
      <c r="BF105" s="1181"/>
      <c r="BG105" s="1181"/>
      <c r="BH105" s="1181"/>
      <c r="BI105" s="1178">
        <v>0.25</v>
      </c>
      <c r="BJ105" s="1179"/>
      <c r="BK105" s="1180"/>
      <c r="BL105" s="1181"/>
      <c r="BM105" s="1181"/>
      <c r="BN105" s="1181"/>
      <c r="BO105" s="1178">
        <v>0.3</v>
      </c>
      <c r="BP105" s="1179"/>
      <c r="BQ105" s="1180"/>
      <c r="BR105" s="1181"/>
      <c r="BS105" s="1181"/>
      <c r="BT105" s="1181"/>
      <c r="BU105" s="1178"/>
      <c r="BV105" s="1179"/>
      <c r="BW105" s="1180"/>
      <c r="BX105" s="1181"/>
      <c r="BY105" s="1181"/>
      <c r="BZ105" s="1181"/>
      <c r="CA105" s="1178"/>
      <c r="CB105" s="1179"/>
      <c r="CC105" s="1180"/>
      <c r="CD105" s="1181"/>
      <c r="CE105" s="1181"/>
      <c r="CF105" s="1181"/>
      <c r="CG105" s="1178"/>
      <c r="CH105" s="1179"/>
      <c r="CI105" s="1180"/>
      <c r="CJ105" s="1181"/>
      <c r="CK105" s="1181"/>
      <c r="CL105" s="1181"/>
      <c r="CM105" s="1178"/>
      <c r="CN105" s="1182"/>
      <c r="CO105" s="1193">
        <f>+(BO105-G105)/10</f>
        <v>2.0999999999999998E-2</v>
      </c>
      <c r="CP105" s="1193">
        <f>+(BO105-AK105)/5</f>
        <v>3.3999999999999996E-2</v>
      </c>
      <c r="CQ105"/>
      <c r="CR105"/>
      <c r="CS105"/>
      <c r="CT105"/>
      <c r="CU105"/>
      <c r="CV105"/>
    </row>
    <row r="106" spans="1:100" s="1184" customFormat="1" ht="11.25" customHeight="1" x14ac:dyDescent="0.2">
      <c r="B106" s="1185" t="s">
        <v>500</v>
      </c>
      <c r="C106" s="1186"/>
      <c r="D106" s="1187"/>
      <c r="E106" s="1187"/>
      <c r="F106" s="1187"/>
      <c r="G106" s="1188">
        <f>+RevBuild!G28-(RevBuild!G28*'P&amp;L'!G116)</f>
        <v>1313.1046800000001</v>
      </c>
      <c r="H106" s="1189"/>
      <c r="I106" s="1186"/>
      <c r="J106" s="1187"/>
      <c r="K106" s="1187"/>
      <c r="L106" s="1187"/>
      <c r="M106" s="1188">
        <f>+RevBuild!M28-(RevBuild!M28*'P&amp;L'!M116)</f>
        <v>1387.2978959999998</v>
      </c>
      <c r="N106" s="1189"/>
      <c r="O106" s="1186"/>
      <c r="P106" s="1187"/>
      <c r="Q106" s="1187"/>
      <c r="R106" s="1187"/>
      <c r="S106" s="1188">
        <f>+RevBuild!S28-(RevBuild!S28*'P&amp;L'!S116)</f>
        <v>1382.9241239999997</v>
      </c>
      <c r="T106" s="1189"/>
      <c r="U106" s="1186"/>
      <c r="V106" s="1187"/>
      <c r="W106" s="1187"/>
      <c r="X106" s="1187"/>
      <c r="Y106" s="1188">
        <f>+RevBuild!Y28-(RevBuild!Y28*'P&amp;L'!Y116)</f>
        <v>1369.8568399999999</v>
      </c>
      <c r="Z106" s="1189"/>
      <c r="AA106" s="1186"/>
      <c r="AB106" s="1187"/>
      <c r="AC106" s="1187"/>
      <c r="AD106" s="1187"/>
      <c r="AE106" s="1188">
        <f>+RevBuild!AE28-(RevBuild!AE28*'P&amp;L'!AE116)</f>
        <v>1419.8955599999999</v>
      </c>
      <c r="AF106" s="1189"/>
      <c r="AG106" s="1186"/>
      <c r="AH106" s="1187"/>
      <c r="AI106" s="1187"/>
      <c r="AJ106" s="1187"/>
      <c r="AK106" s="1188">
        <f>+RevBuild!AK28-(RevBuild!AK28*'P&amp;L'!AK116)</f>
        <v>1459.66425</v>
      </c>
      <c r="AL106" s="1189"/>
      <c r="AM106" s="1186"/>
      <c r="AN106" s="1187"/>
      <c r="AO106" s="1187"/>
      <c r="AP106" s="1187"/>
      <c r="AQ106" s="1188">
        <f>+RevBuild!AQ28-(RevBuild!AQ28*'P&amp;L'!AQ116)</f>
        <v>1525.56077</v>
      </c>
      <c r="AR106" s="1189"/>
      <c r="AS106" s="1186"/>
      <c r="AT106" s="1187"/>
      <c r="AU106" s="1187"/>
      <c r="AV106" s="1187"/>
      <c r="AW106" s="1188">
        <f>+RevBuild!AW28-(RevBuild!AW28*'P&amp;L'!AW116)</f>
        <v>1526.9248180000004</v>
      </c>
      <c r="AX106" s="1189"/>
      <c r="AY106" s="1186"/>
      <c r="AZ106" s="1187"/>
      <c r="BA106" s="1187"/>
      <c r="BB106" s="1187"/>
      <c r="BC106" s="1188">
        <f>+RevBuild!BC28-(RevBuild!BC28*'P&amp;L'!BC116)</f>
        <v>1550.4319260000002</v>
      </c>
      <c r="BD106" s="1189"/>
      <c r="BE106" s="1186"/>
      <c r="BF106" s="1187"/>
      <c r="BG106" s="1187"/>
      <c r="BH106" s="1187"/>
      <c r="BI106" s="1188">
        <f>+RevBuild!BI28-(RevBuild!BI28*'P&amp;L'!BI116)</f>
        <v>1584.7897600000001</v>
      </c>
      <c r="BJ106" s="1189"/>
      <c r="BK106" s="1186"/>
      <c r="BL106" s="1187"/>
      <c r="BM106" s="1187"/>
      <c r="BN106" s="1187"/>
      <c r="BO106" s="1188">
        <f>+RevBuild!BO28-(RevBuild!BO28*'P&amp;L'!BO116)</f>
        <v>1532.1303790000002</v>
      </c>
      <c r="BP106" s="1189"/>
      <c r="BQ106" s="1186"/>
      <c r="BR106" s="1187"/>
      <c r="BS106" s="1187"/>
      <c r="BT106" s="1187"/>
      <c r="BU106" s="1188">
        <f>+RevBuild!BU28-(RevBuild!BU28*'P&amp;L'!BU116)</f>
        <v>1448.6201999355949</v>
      </c>
      <c r="BV106" s="1189"/>
      <c r="BW106" s="1186"/>
      <c r="BX106" s="1187"/>
      <c r="BY106" s="1187"/>
      <c r="BZ106" s="1187"/>
      <c r="CA106" s="1188">
        <f>+RevBuild!CA28-(RevBuild!CA28*'P&amp;L'!CA116)</f>
        <v>1447.0301761824496</v>
      </c>
      <c r="CB106" s="1189"/>
      <c r="CC106" s="1186"/>
      <c r="CD106" s="1187"/>
      <c r="CE106" s="1187"/>
      <c r="CF106" s="1187"/>
      <c r="CG106" s="1188">
        <f>+RevBuild!CG28-(RevBuild!CG28*'P&amp;L'!CG116)</f>
        <v>1468.5576136987397</v>
      </c>
      <c r="CH106" s="1189"/>
      <c r="CI106" s="1186"/>
      <c r="CJ106" s="1187"/>
      <c r="CK106" s="1187"/>
      <c r="CL106" s="1187"/>
      <c r="CM106" s="1188">
        <f>+RevBuild!CM28-(RevBuild!CM28*'P&amp;L'!CM116)</f>
        <v>1494.5757692876382</v>
      </c>
      <c r="CN106" s="1190"/>
      <c r="CQ106"/>
      <c r="CR106"/>
      <c r="CS106"/>
      <c r="CT106"/>
      <c r="CU106"/>
      <c r="CV106"/>
    </row>
    <row r="107" spans="1:100" s="1184" customFormat="1" ht="11.25" customHeight="1" x14ac:dyDescent="0.2">
      <c r="A107" s="1216"/>
      <c r="B107" s="1217" t="s">
        <v>528</v>
      </c>
      <c r="C107" s="999"/>
      <c r="D107" s="998"/>
      <c r="E107" s="998"/>
      <c r="F107" s="998"/>
      <c r="G107" s="997">
        <f>+G106/RevBuild!G149</f>
        <v>0.63600000000000001</v>
      </c>
      <c r="H107" s="1218"/>
      <c r="I107" s="999"/>
      <c r="J107" s="998"/>
      <c r="K107" s="998"/>
      <c r="L107" s="998"/>
      <c r="M107" s="997">
        <f>+M106/RevBuild!M149</f>
        <v>0.63600000000000001</v>
      </c>
      <c r="N107" s="1218"/>
      <c r="O107" s="999"/>
      <c r="P107" s="998"/>
      <c r="Q107" s="998"/>
      <c r="R107" s="998"/>
      <c r="S107" s="997">
        <f>+S106/RevBuild!S149</f>
        <v>0.6359999999999999</v>
      </c>
      <c r="T107" s="1218"/>
      <c r="U107" s="999"/>
      <c r="V107" s="998"/>
      <c r="W107" s="998"/>
      <c r="X107" s="998"/>
      <c r="Y107" s="997">
        <f>+Y106/RevBuild!Y149</f>
        <v>0.63200000000000001</v>
      </c>
      <c r="Z107" s="1218"/>
      <c r="AA107" s="999"/>
      <c r="AB107" s="998"/>
      <c r="AC107" s="998"/>
      <c r="AD107" s="998"/>
      <c r="AE107" s="997">
        <f>+AE106/RevBuild!AE149</f>
        <v>0.63500000000000001</v>
      </c>
      <c r="AF107" s="1218"/>
      <c r="AG107" s="999"/>
      <c r="AH107" s="998"/>
      <c r="AI107" s="998"/>
      <c r="AJ107" s="998"/>
      <c r="AK107" s="997">
        <f>+AK106/RevBuild!AK149</f>
        <v>0.63800000000000001</v>
      </c>
      <c r="AL107" s="1218"/>
      <c r="AM107" s="999"/>
      <c r="AN107" s="998"/>
      <c r="AO107" s="998"/>
      <c r="AP107" s="998"/>
      <c r="AQ107" s="997">
        <f>+AQ106/RevBuild!AQ149</f>
        <v>0.64100000000000013</v>
      </c>
      <c r="AR107" s="1218"/>
      <c r="AS107" s="999"/>
      <c r="AT107" s="998"/>
      <c r="AU107" s="998"/>
      <c r="AV107" s="998"/>
      <c r="AW107" s="997">
        <f>+AW106/RevBuild!AW149</f>
        <v>0.64100000000000001</v>
      </c>
      <c r="AX107" s="1218"/>
      <c r="AY107" s="999"/>
      <c r="AZ107" s="998"/>
      <c r="BA107" s="998"/>
      <c r="BB107" s="998"/>
      <c r="BC107" s="997">
        <f>+BC106/RevBuild!BC149</f>
        <v>0.64200000000000013</v>
      </c>
      <c r="BD107" s="1218"/>
      <c r="BE107" s="999"/>
      <c r="BF107" s="998"/>
      <c r="BG107" s="998"/>
      <c r="BH107" s="998"/>
      <c r="BI107" s="997">
        <f>+BI106/RevBuild!BI149</f>
        <v>0.64000000000000024</v>
      </c>
      <c r="BJ107" s="1218"/>
      <c r="BK107" s="999"/>
      <c r="BL107" s="998"/>
      <c r="BM107" s="998"/>
      <c r="BN107" s="998"/>
      <c r="BO107" s="997">
        <f>+BO106/RevBuild!BO149</f>
        <v>0.64100000000000001</v>
      </c>
      <c r="BP107" s="1218"/>
      <c r="BQ107" s="999"/>
      <c r="BR107" s="998"/>
      <c r="BS107" s="998"/>
      <c r="BT107" s="998"/>
      <c r="BU107" s="997">
        <f>+BU106/RevBuild!BU149</f>
        <v>0.64500000000000013</v>
      </c>
      <c r="BV107" s="1218"/>
      <c r="BW107" s="999"/>
      <c r="BX107" s="998"/>
      <c r="BY107" s="998"/>
      <c r="BZ107" s="998"/>
      <c r="CA107" s="997">
        <f>+CA106/RevBuild!CA149</f>
        <v>0.64899999999999991</v>
      </c>
      <c r="CB107" s="1218"/>
      <c r="CC107" s="999"/>
      <c r="CD107" s="998"/>
      <c r="CE107" s="998"/>
      <c r="CF107" s="998"/>
      <c r="CG107" s="997">
        <f>+CG106/RevBuild!CG149</f>
        <v>0.65099999999999991</v>
      </c>
      <c r="CH107" s="1218"/>
      <c r="CI107" s="999"/>
      <c r="CJ107" s="998"/>
      <c r="CK107" s="998"/>
      <c r="CL107" s="998"/>
      <c r="CM107" s="997">
        <f>+CM106/RevBuild!CM149</f>
        <v>0.65300000000000014</v>
      </c>
      <c r="CN107" s="1190"/>
      <c r="CO107" s="1193">
        <f>+(BO107-G107)/10</f>
        <v>5.0000000000000044E-4</v>
      </c>
      <c r="CP107" s="1193">
        <f>+(BO107-AK107)/5</f>
        <v>6.0000000000000049E-4</v>
      </c>
      <c r="CQ107"/>
      <c r="CR107"/>
      <c r="CS107"/>
      <c r="CT107"/>
      <c r="CU107"/>
      <c r="CV107"/>
    </row>
    <row r="108" spans="1:100" s="469" customFormat="1" ht="11.25" customHeight="1" x14ac:dyDescent="0.2">
      <c r="B108" s="1191" t="s">
        <v>490</v>
      </c>
      <c r="C108" s="1101"/>
      <c r="D108" s="1102"/>
      <c r="E108" s="1102"/>
      <c r="F108" s="1102"/>
      <c r="G108" s="1103"/>
      <c r="H108" s="484"/>
      <c r="I108" s="1101"/>
      <c r="J108" s="1102"/>
      <c r="K108" s="1102"/>
      <c r="L108" s="1102"/>
      <c r="M108" s="1219">
        <f>+(M107-G107)*10000</f>
        <v>0</v>
      </c>
      <c r="N108" s="484"/>
      <c r="O108" s="1101"/>
      <c r="P108" s="1102"/>
      <c r="Q108" s="1102"/>
      <c r="R108" s="1102"/>
      <c r="S108" s="1219">
        <f>+(S107-M107)*10000</f>
        <v>-1.1102230246251565E-12</v>
      </c>
      <c r="T108" s="484"/>
      <c r="U108" s="1101"/>
      <c r="V108" s="1102"/>
      <c r="W108" s="1102"/>
      <c r="X108" s="1102"/>
      <c r="Y108" s="1219">
        <f>+(Y107-S107)*10000</f>
        <v>-39.999999999998927</v>
      </c>
      <c r="Z108" s="484"/>
      <c r="AA108" s="1101"/>
      <c r="AB108" s="1102"/>
      <c r="AC108" s="1102"/>
      <c r="AD108" s="1102"/>
      <c r="AE108" s="1219">
        <f>+(AE107-Y107)*10000</f>
        <v>30.000000000000028</v>
      </c>
      <c r="AF108" s="484"/>
      <c r="AG108" s="1101"/>
      <c r="AH108" s="1102"/>
      <c r="AI108" s="1102"/>
      <c r="AJ108" s="1102"/>
      <c r="AK108" s="1219">
        <f>+(AK107-AE107)*10000</f>
        <v>30.000000000000028</v>
      </c>
      <c r="AL108" s="484"/>
      <c r="AM108" s="1101"/>
      <c r="AN108" s="1102"/>
      <c r="AO108" s="1102"/>
      <c r="AP108" s="1102"/>
      <c r="AQ108" s="1219">
        <f>+(AQ107-AK107)*10000</f>
        <v>30.000000000001137</v>
      </c>
      <c r="AR108" s="484"/>
      <c r="AS108" s="1101"/>
      <c r="AT108" s="1102"/>
      <c r="AU108" s="1102"/>
      <c r="AV108" s="1102"/>
      <c r="AW108" s="1219">
        <f>+(AW107-AQ107)*10000</f>
        <v>-1.1102230246251565E-12</v>
      </c>
      <c r="AX108" s="484"/>
      <c r="AY108" s="1101"/>
      <c r="AZ108" s="1102"/>
      <c r="BA108" s="1102"/>
      <c r="BB108" s="1102"/>
      <c r="BC108" s="1219">
        <f>+(BC107-AW107)*10000</f>
        <v>10.000000000001119</v>
      </c>
      <c r="BD108" s="484"/>
      <c r="BE108" s="1101"/>
      <c r="BF108" s="1102"/>
      <c r="BG108" s="1102"/>
      <c r="BH108" s="1102"/>
      <c r="BI108" s="1219">
        <f>+(BI107-BC107)*10000</f>
        <v>-19.999999999998906</v>
      </c>
      <c r="BJ108" s="484"/>
      <c r="BK108" s="1101"/>
      <c r="BL108" s="1102"/>
      <c r="BM108" s="1102"/>
      <c r="BN108" s="1102"/>
      <c r="BO108" s="1219">
        <f>+(BO107-BI107)*10000</f>
        <v>9.9999999999977884</v>
      </c>
      <c r="BP108" s="484"/>
      <c r="BQ108" s="1101"/>
      <c r="BR108" s="1102"/>
      <c r="BS108" s="1102"/>
      <c r="BT108" s="1102"/>
      <c r="BU108" s="1219">
        <f>+(BU107-BO107)*10000</f>
        <v>40.000000000001144</v>
      </c>
      <c r="BV108" s="484"/>
      <c r="BW108" s="1101"/>
      <c r="BX108" s="1102"/>
      <c r="BY108" s="1102"/>
      <c r="BZ108" s="1102"/>
      <c r="CA108" s="1219">
        <f>+(CA107-BU107)*10000</f>
        <v>39.999999999997812</v>
      </c>
      <c r="CB108" s="484"/>
      <c r="CC108" s="1101"/>
      <c r="CD108" s="1102"/>
      <c r="CE108" s="1102"/>
      <c r="CF108" s="1102"/>
      <c r="CG108" s="1219">
        <f>+(CG107-CA107)*10000</f>
        <v>20.000000000000018</v>
      </c>
      <c r="CH108" s="484"/>
      <c r="CI108" s="1101"/>
      <c r="CJ108" s="1102"/>
      <c r="CK108" s="1102"/>
      <c r="CL108" s="1102"/>
      <c r="CM108" s="1219">
        <f>+(CM107-CG107)*10000</f>
        <v>20.000000000002238</v>
      </c>
      <c r="CN108" s="1192"/>
      <c r="CQ108"/>
      <c r="CR108"/>
      <c r="CS108"/>
      <c r="CT108"/>
      <c r="CU108"/>
      <c r="CV108"/>
    </row>
    <row r="109" spans="1:100" s="14" customFormat="1" ht="11.25" customHeight="1" x14ac:dyDescent="0.2">
      <c r="B109" s="1175" t="s">
        <v>501</v>
      </c>
      <c r="C109" s="1176"/>
      <c r="D109" s="1177"/>
      <c r="E109" s="1177"/>
      <c r="F109" s="1177"/>
      <c r="G109" s="1178">
        <v>0.63</v>
      </c>
      <c r="H109" s="1179"/>
      <c r="I109" s="1180"/>
      <c r="J109" s="1181"/>
      <c r="K109" s="1181"/>
      <c r="L109" s="1181"/>
      <c r="M109" s="1178">
        <v>0.62</v>
      </c>
      <c r="N109" s="1179"/>
      <c r="O109" s="1180"/>
      <c r="P109" s="1181"/>
      <c r="Q109" s="1181"/>
      <c r="R109" s="1181"/>
      <c r="S109" s="1178">
        <v>0.65</v>
      </c>
      <c r="T109" s="1179"/>
      <c r="U109" s="1180"/>
      <c r="V109" s="1181"/>
      <c r="W109" s="1181"/>
      <c r="X109" s="1181"/>
      <c r="Y109" s="1178">
        <v>0.66</v>
      </c>
      <c r="Z109" s="1179"/>
      <c r="AA109" s="1180"/>
      <c r="AB109" s="1181"/>
      <c r="AC109" s="1181"/>
      <c r="AD109" s="1181"/>
      <c r="AE109" s="1178">
        <v>0.67</v>
      </c>
      <c r="AF109" s="1179"/>
      <c r="AG109" s="1180"/>
      <c r="AH109" s="1181"/>
      <c r="AI109" s="1181"/>
      <c r="AJ109" s="1181"/>
      <c r="AK109" s="1178">
        <v>0.67</v>
      </c>
      <c r="AL109" s="1179"/>
      <c r="AM109" s="1180"/>
      <c r="AN109" s="1181"/>
      <c r="AO109" s="1181"/>
      <c r="AP109" s="1181"/>
      <c r="AQ109" s="1178">
        <v>0.7</v>
      </c>
      <c r="AR109" s="1179"/>
      <c r="AS109" s="1180"/>
      <c r="AT109" s="1181"/>
      <c r="AU109" s="1181"/>
      <c r="AV109" s="1181"/>
      <c r="AW109" s="1178">
        <f>68%*RevBuild!AW193+77%*RevBuild!AW196</f>
        <v>0.71134548694810829</v>
      </c>
      <c r="AX109" s="1179"/>
      <c r="AY109" s="1180"/>
      <c r="AZ109" s="1181"/>
      <c r="BA109" s="1181"/>
      <c r="BB109" s="1181"/>
      <c r="BC109" s="1178">
        <f>65%*RevBuild!BC193+77%*RevBuild!BC196</f>
        <v>0.70351264958086457</v>
      </c>
      <c r="BD109" s="1179"/>
      <c r="BE109" s="1180"/>
      <c r="BF109" s="1181"/>
      <c r="BG109" s="1181"/>
      <c r="BH109" s="1181"/>
      <c r="BI109" s="1178">
        <v>0.7</v>
      </c>
      <c r="BJ109" s="1179"/>
      <c r="BK109" s="1180"/>
      <c r="BL109" s="1181"/>
      <c r="BM109" s="1181"/>
      <c r="BN109" s="1181"/>
      <c r="BO109" s="1178">
        <v>0.7</v>
      </c>
      <c r="BP109" s="1179"/>
      <c r="BQ109" s="1180"/>
      <c r="BR109" s="1181"/>
      <c r="BS109" s="1181"/>
      <c r="BT109" s="1181"/>
      <c r="BU109" s="1178"/>
      <c r="BV109" s="1179"/>
      <c r="BW109" s="1180"/>
      <c r="BX109" s="1181"/>
      <c r="BY109" s="1181"/>
      <c r="BZ109" s="1181"/>
      <c r="CA109" s="1178"/>
      <c r="CB109" s="1179"/>
      <c r="CC109" s="1180"/>
      <c r="CD109" s="1181"/>
      <c r="CE109" s="1181"/>
      <c r="CF109" s="1181"/>
      <c r="CG109" s="1178"/>
      <c r="CH109" s="1179"/>
      <c r="CI109" s="1180"/>
      <c r="CJ109" s="1181"/>
      <c r="CK109" s="1181"/>
      <c r="CL109" s="1181"/>
      <c r="CM109" s="1178"/>
      <c r="CN109" s="261"/>
      <c r="CO109" s="1193">
        <f>+(BO109-G109)/10</f>
        <v>6.9999999999999949E-3</v>
      </c>
      <c r="CP109" s="1193">
        <f>+(BO109-AK109)/5</f>
        <v>5.9999999999999828E-3</v>
      </c>
      <c r="CQ109"/>
      <c r="CR109"/>
      <c r="CS109"/>
      <c r="CT109"/>
      <c r="CU109"/>
      <c r="CV109"/>
    </row>
    <row r="110" spans="1:100" x14ac:dyDescent="0.2">
      <c r="B110" s="1175" t="s">
        <v>502</v>
      </c>
      <c r="C110" s="1013"/>
      <c r="D110" s="243"/>
      <c r="E110" s="243"/>
      <c r="F110" s="243"/>
      <c r="G110" s="1178">
        <v>0.19</v>
      </c>
      <c r="H110" s="1179"/>
      <c r="I110" s="1180"/>
      <c r="J110" s="1181"/>
      <c r="K110" s="1181"/>
      <c r="L110" s="1181"/>
      <c r="M110" s="1178">
        <v>0.17</v>
      </c>
      <c r="N110" s="1179"/>
      <c r="O110" s="1180"/>
      <c r="P110" s="1181"/>
      <c r="Q110" s="1181"/>
      <c r="R110" s="1181"/>
      <c r="S110" s="1178">
        <v>0.15</v>
      </c>
      <c r="T110" s="1179"/>
      <c r="U110" s="1180"/>
      <c r="V110" s="1181"/>
      <c r="W110" s="1181"/>
      <c r="X110" s="1181"/>
      <c r="Y110" s="1178">
        <v>0.14000000000000001</v>
      </c>
      <c r="Z110" s="1179"/>
      <c r="AA110" s="1180"/>
      <c r="AB110" s="1181"/>
      <c r="AC110" s="1181"/>
      <c r="AD110" s="1181"/>
      <c r="AE110" s="1178">
        <v>0.13</v>
      </c>
      <c r="AF110" s="1179"/>
      <c r="AG110" s="1180"/>
      <c r="AH110" s="1181"/>
      <c r="AI110" s="1181"/>
      <c r="AJ110" s="1181"/>
      <c r="AK110" s="1178">
        <v>0.13</v>
      </c>
      <c r="AL110" s="1179"/>
      <c r="AM110" s="1180"/>
      <c r="AN110" s="1181"/>
      <c r="AO110" s="1181"/>
      <c r="AP110" s="1181"/>
      <c r="AQ110" s="1178">
        <v>0.18</v>
      </c>
      <c r="AR110" s="1179"/>
      <c r="AS110" s="1180"/>
      <c r="AT110" s="1181"/>
      <c r="AU110" s="1181"/>
      <c r="AV110" s="1181"/>
      <c r="AW110" s="1178">
        <f>17%*RevBuild!AW193+16%*RevBuild!AW196</f>
        <v>0.16651716811687686</v>
      </c>
      <c r="AX110" s="1179"/>
      <c r="AY110" s="1180"/>
      <c r="AZ110" s="1181"/>
      <c r="BA110" s="1181"/>
      <c r="BB110" s="1181"/>
      <c r="BC110" s="1178">
        <f>14%*RevBuild!BC193+17%*RevBuild!BC196</f>
        <v>0.15337816239521618</v>
      </c>
      <c r="BD110" s="1179"/>
      <c r="BE110" s="1180"/>
      <c r="BF110" s="1181"/>
      <c r="BG110" s="1181"/>
      <c r="BH110" s="1181"/>
      <c r="BI110" s="1178">
        <v>0.17</v>
      </c>
      <c r="BJ110" s="1179"/>
      <c r="BK110" s="1180"/>
      <c r="BL110" s="1181"/>
      <c r="BM110" s="1181"/>
      <c r="BN110" s="1181"/>
      <c r="BO110" s="1178">
        <v>0.18</v>
      </c>
      <c r="BP110" s="1179"/>
      <c r="BQ110" s="1180"/>
      <c r="BR110" s="1181"/>
      <c r="BS110" s="1181"/>
      <c r="BT110" s="1181"/>
      <c r="BU110" s="1178"/>
      <c r="BV110" s="1179"/>
      <c r="BW110" s="1180"/>
      <c r="BX110" s="1181"/>
      <c r="BY110" s="1181"/>
      <c r="BZ110" s="1181"/>
      <c r="CA110" s="1178"/>
      <c r="CB110" s="1179"/>
      <c r="CC110" s="1180"/>
      <c r="CD110" s="1181"/>
      <c r="CE110" s="1181"/>
      <c r="CF110" s="1181"/>
      <c r="CG110" s="1178"/>
      <c r="CH110" s="1179"/>
      <c r="CI110" s="1180"/>
      <c r="CJ110" s="1181"/>
      <c r="CK110" s="1181"/>
      <c r="CL110" s="1181"/>
      <c r="CM110" s="1178"/>
      <c r="CO110" s="1193">
        <f>+(BO110-G110)/10</f>
        <v>-1.0000000000000009E-3</v>
      </c>
      <c r="CP110" s="1193">
        <f>+(BO110-AK110)/5</f>
        <v>9.9999999999999985E-3</v>
      </c>
    </row>
    <row r="111" spans="1:100" ht="12.75" customHeight="1" x14ac:dyDescent="0.2">
      <c r="B111" s="1185" t="s">
        <v>503</v>
      </c>
      <c r="C111" s="1186"/>
      <c r="D111" s="1187"/>
      <c r="E111" s="1187"/>
      <c r="F111" s="1187"/>
      <c r="G111" s="1188">
        <f>+RevBuild!G152-(RevBuild!G152*'P&amp;L'!G118)</f>
        <v>315.14711400000004</v>
      </c>
      <c r="H111" s="1189"/>
      <c r="I111" s="1186"/>
      <c r="J111" s="1187"/>
      <c r="K111" s="1187"/>
      <c r="L111" s="1187"/>
      <c r="M111" s="1188">
        <f>+RevBuild!M152-(RevBuild!M152*'P&amp;L'!M118)</f>
        <v>354.46303799999998</v>
      </c>
      <c r="N111" s="1189"/>
      <c r="O111" s="1186"/>
      <c r="P111" s="1187"/>
      <c r="Q111" s="1187"/>
      <c r="R111" s="1187"/>
      <c r="S111" s="1188">
        <f>+RevBuild!S152-(RevBuild!S152*'P&amp;L'!S118)</f>
        <v>443.272445</v>
      </c>
      <c r="T111" s="1189"/>
      <c r="U111" s="1186"/>
      <c r="V111" s="1187"/>
      <c r="W111" s="1187"/>
      <c r="X111" s="1187"/>
      <c r="Y111" s="1188">
        <f>+RevBuild!Y152-(RevBuild!Y152*'P&amp;L'!Y118)</f>
        <v>518.08511999999996</v>
      </c>
      <c r="Z111" s="1189"/>
      <c r="AA111" s="1186"/>
      <c r="AB111" s="1187"/>
      <c r="AC111" s="1187"/>
      <c r="AD111" s="1187"/>
      <c r="AE111" s="1188">
        <f>+RevBuild!AE152-(RevBuild!AE152*'P&amp;L'!AE118)</f>
        <v>544.629774</v>
      </c>
      <c r="AF111" s="1189"/>
      <c r="AG111" s="1186"/>
      <c r="AH111" s="1187"/>
      <c r="AI111" s="1187"/>
      <c r="AJ111" s="1187"/>
      <c r="AK111" s="1188">
        <f>+RevBuild!AK152-(RevBuild!AK152*'P&amp;L'!AK118)</f>
        <v>600.04238200000009</v>
      </c>
      <c r="AL111" s="1189"/>
      <c r="AM111" s="1186"/>
      <c r="AN111" s="1187"/>
      <c r="AO111" s="1187"/>
      <c r="AP111" s="1187"/>
      <c r="AQ111" s="1188">
        <f>+RevBuild!AQ152-(RevBuild!AQ152*'P&amp;L'!AQ118)</f>
        <v>612.50369499999999</v>
      </c>
      <c r="AR111" s="1189"/>
      <c r="AS111" s="1186"/>
      <c r="AT111" s="1187"/>
      <c r="AU111" s="1187"/>
      <c r="AV111" s="1187"/>
      <c r="AW111" s="1188">
        <f>+RevBuild!AW152-(RevBuild!AW152*'P&amp;L'!AW118)</f>
        <v>1027.3995759999998</v>
      </c>
      <c r="AX111" s="1189"/>
      <c r="AY111" s="1186"/>
      <c r="AZ111" s="1187"/>
      <c r="BA111" s="1187"/>
      <c r="BB111" s="1187"/>
      <c r="BC111" s="1188">
        <f>+RevBuild!BC150-(RevBuild!BC150*'P&amp;L'!BC118)</f>
        <v>1265.7593299999999</v>
      </c>
      <c r="BD111" s="1189"/>
      <c r="BE111" s="1186"/>
      <c r="BF111" s="1187"/>
      <c r="BG111" s="1187"/>
      <c r="BH111" s="1187"/>
      <c r="BI111" s="1188">
        <f>+RevBuild!BI150-(RevBuild!BI150*'P&amp;L'!BI118)</f>
        <v>2501.605626</v>
      </c>
      <c r="BJ111" s="1189"/>
      <c r="BK111" s="1186"/>
      <c r="BL111" s="1187"/>
      <c r="BM111" s="1187"/>
      <c r="BN111" s="1187"/>
      <c r="BO111" s="1188">
        <f>+RevBuild!BO150-(RevBuild!BO150*'P&amp;L'!BO118)</f>
        <v>2777.4870540000002</v>
      </c>
      <c r="BP111" s="1189"/>
      <c r="BQ111" s="1186"/>
      <c r="BR111" s="1187"/>
      <c r="BS111" s="1187"/>
      <c r="BT111" s="1187"/>
      <c r="BU111" s="1188">
        <f>+RevBuild!BU150-(RevBuild!BU150*'P&amp;L'!BU118)</f>
        <v>2848.7820127432406</v>
      </c>
      <c r="BV111" s="1189"/>
      <c r="BW111" s="1186"/>
      <c r="BX111" s="1187"/>
      <c r="BY111" s="1187"/>
      <c r="BZ111" s="1187"/>
      <c r="CA111" s="1188">
        <f>+RevBuild!CA150-(RevBuild!CA150*'P&amp;L'!CA118)</f>
        <v>2996.4711995181246</v>
      </c>
      <c r="CB111" s="1189"/>
      <c r="CC111" s="1186"/>
      <c r="CD111" s="1187"/>
      <c r="CE111" s="1187"/>
      <c r="CF111" s="1187"/>
      <c r="CG111" s="1188">
        <f>+RevBuild!CG150-(RevBuild!CG150*'P&amp;L'!CG118)</f>
        <v>3106.3625052558582</v>
      </c>
      <c r="CH111" s="1189"/>
      <c r="CI111" s="1186"/>
      <c r="CJ111" s="1187"/>
      <c r="CK111" s="1187"/>
      <c r="CL111" s="1187"/>
      <c r="CM111" s="1188">
        <f>+RevBuild!CM150-(RevBuild!CM150*'P&amp;L'!CM118)</f>
        <v>3220.2829824582445</v>
      </c>
    </row>
    <row r="112" spans="1:100" ht="12.75" customHeight="1" x14ac:dyDescent="0.2">
      <c r="B112" s="1185" t="s">
        <v>528</v>
      </c>
      <c r="C112" s="1186"/>
      <c r="D112" s="1187"/>
      <c r="E112" s="1187"/>
      <c r="F112" s="1187"/>
      <c r="G112" s="997">
        <f>+G111/RevBuild!G152</f>
        <v>0.78900000000000003</v>
      </c>
      <c r="H112" s="1218"/>
      <c r="I112" s="999"/>
      <c r="J112" s="998"/>
      <c r="K112" s="998"/>
      <c r="L112" s="998"/>
      <c r="M112" s="997">
        <f>+M111/RevBuild!M152</f>
        <v>0.79400000000000004</v>
      </c>
      <c r="N112" s="1218"/>
      <c r="O112" s="999"/>
      <c r="P112" s="998"/>
      <c r="Q112" s="998"/>
      <c r="R112" s="998"/>
      <c r="S112" s="997">
        <f>+S111/RevBuild!S152</f>
        <v>0.80500000000000005</v>
      </c>
      <c r="T112" s="1218"/>
      <c r="U112" s="999"/>
      <c r="V112" s="998"/>
      <c r="W112" s="998"/>
      <c r="X112" s="998"/>
      <c r="Y112" s="997">
        <f>+Y111/RevBuild!Y152</f>
        <v>0.80500000000000005</v>
      </c>
      <c r="Z112" s="1218"/>
      <c r="AA112" s="999"/>
      <c r="AB112" s="998"/>
      <c r="AC112" s="998"/>
      <c r="AD112" s="998"/>
      <c r="AE112" s="997">
        <f>+AE111/RevBuild!AE152</f>
        <v>0.80699999999999994</v>
      </c>
      <c r="AF112" s="1218"/>
      <c r="AG112" s="999"/>
      <c r="AH112" s="998"/>
      <c r="AI112" s="998"/>
      <c r="AJ112" s="998"/>
      <c r="AK112" s="997">
        <f>+AK111/RevBuild!AK152</f>
        <v>0.81700000000000006</v>
      </c>
      <c r="AL112" s="1218"/>
      <c r="AM112" s="999"/>
      <c r="AN112" s="998"/>
      <c r="AO112" s="998"/>
      <c r="AP112" s="998"/>
      <c r="AQ112" s="997">
        <f>+AQ111/RevBuild!AQ152</f>
        <v>0.81099999999999994</v>
      </c>
      <c r="AR112" s="1218"/>
      <c r="AS112" s="999"/>
      <c r="AT112" s="998"/>
      <c r="AU112" s="998"/>
      <c r="AV112" s="998"/>
      <c r="AW112" s="997">
        <f>+AW111/RevBuild!AW152</f>
        <v>0.85399999999999987</v>
      </c>
      <c r="AX112" s="1218"/>
      <c r="AY112" s="999"/>
      <c r="AZ112" s="998"/>
      <c r="BA112" s="998"/>
      <c r="BB112" s="998"/>
      <c r="BC112" s="997">
        <f>+BC111/RevBuild!BC150</f>
        <v>0.86899999999999999</v>
      </c>
      <c r="BD112" s="1218"/>
      <c r="BE112" s="999"/>
      <c r="BF112" s="998"/>
      <c r="BG112" s="998"/>
      <c r="BH112" s="998"/>
      <c r="BI112" s="997">
        <f>+BI111/RevBuild!BI150</f>
        <v>0.87399999999999989</v>
      </c>
      <c r="BJ112" s="1218"/>
      <c r="BK112" s="999"/>
      <c r="BL112" s="998"/>
      <c r="BM112" s="998"/>
      <c r="BN112" s="998"/>
      <c r="BO112" s="997">
        <f>+BO111/RevBuild!BO150</f>
        <v>0.879</v>
      </c>
      <c r="BP112" s="1218"/>
      <c r="BQ112" s="999"/>
      <c r="BR112" s="998"/>
      <c r="BS112" s="998"/>
      <c r="BT112" s="998"/>
      <c r="BU112" s="997">
        <f>+BU111/RevBuild!BU150</f>
        <v>0.88049999999999995</v>
      </c>
      <c r="BV112" s="1218"/>
      <c r="BW112" s="999"/>
      <c r="BX112" s="998"/>
      <c r="BY112" s="998"/>
      <c r="BZ112" s="998"/>
      <c r="CA112" s="997">
        <f>+CA111/RevBuild!CA150</f>
        <v>0.88200000000000001</v>
      </c>
      <c r="CB112" s="1218"/>
      <c r="CC112" s="999"/>
      <c r="CD112" s="998"/>
      <c r="CE112" s="998"/>
      <c r="CF112" s="998"/>
      <c r="CG112" s="997">
        <f>+CG111/RevBuild!CG150</f>
        <v>0.88349999999999995</v>
      </c>
      <c r="CH112" s="1218"/>
      <c r="CI112" s="999"/>
      <c r="CJ112" s="998"/>
      <c r="CK112" s="998"/>
      <c r="CL112" s="998"/>
      <c r="CM112" s="997">
        <f>+CM111/RevBuild!CM150</f>
        <v>0.88500000000000001</v>
      </c>
      <c r="CO112" s="1193">
        <f>+(BO112-G112)/10</f>
        <v>8.9999999999999976E-3</v>
      </c>
      <c r="CP112" s="1193">
        <f>+(BO112-AK112)/5</f>
        <v>1.2399999999999989E-2</v>
      </c>
    </row>
    <row r="113" spans="1:132" ht="12.75" customHeight="1" x14ac:dyDescent="0.2">
      <c r="B113" s="1191" t="s">
        <v>490</v>
      </c>
      <c r="C113" s="1101"/>
      <c r="D113" s="1102"/>
      <c r="E113" s="1102"/>
      <c r="F113" s="1102"/>
      <c r="G113" s="1103"/>
      <c r="H113" s="484"/>
      <c r="I113" s="1101"/>
      <c r="J113" s="1102"/>
      <c r="K113" s="1102"/>
      <c r="L113" s="1102"/>
      <c r="M113" s="1219">
        <f>+(M112-G112)*10000</f>
        <v>50.000000000000043</v>
      </c>
      <c r="N113" s="484"/>
      <c r="O113" s="1101"/>
      <c r="P113" s="1102"/>
      <c r="Q113" s="1102"/>
      <c r="R113" s="1102"/>
      <c r="S113" s="1219">
        <f>+(S112-M112)*10000</f>
        <v>110.0000000000001</v>
      </c>
      <c r="T113" s="484"/>
      <c r="U113" s="1101"/>
      <c r="V113" s="1102"/>
      <c r="W113" s="1102"/>
      <c r="X113" s="1102"/>
      <c r="Y113" s="1219">
        <f>+(Y112-S112)*10000</f>
        <v>0</v>
      </c>
      <c r="Z113" s="484"/>
      <c r="AA113" s="1101"/>
      <c r="AB113" s="1102"/>
      <c r="AC113" s="1102"/>
      <c r="AD113" s="1102"/>
      <c r="AE113" s="1219">
        <f>+(AE112-Y112)*10000</f>
        <v>19.999999999998906</v>
      </c>
      <c r="AF113" s="484"/>
      <c r="AG113" s="1101"/>
      <c r="AH113" s="1102"/>
      <c r="AI113" s="1102"/>
      <c r="AJ113" s="1102"/>
      <c r="AK113" s="1219">
        <f>+(AK112-AE112)*10000</f>
        <v>100.00000000000119</v>
      </c>
      <c r="AL113" s="484"/>
      <c r="AM113" s="1101"/>
      <c r="AN113" s="1102"/>
      <c r="AO113" s="1102"/>
      <c r="AP113" s="1102"/>
      <c r="AQ113" s="1219">
        <f>+(AQ112-AK112)*10000</f>
        <v>-60.000000000001165</v>
      </c>
      <c r="AR113" s="484"/>
      <c r="AS113" s="1101"/>
      <c r="AT113" s="1102"/>
      <c r="AU113" s="1102"/>
      <c r="AV113" s="1102"/>
      <c r="AW113" s="1219">
        <f>+(AW112-AQ112)*10000</f>
        <v>429.99999999999926</v>
      </c>
      <c r="AX113" s="484"/>
      <c r="AY113" s="1101"/>
      <c r="AZ113" s="1102"/>
      <c r="BA113" s="1102"/>
      <c r="BB113" s="1102"/>
      <c r="BC113" s="1219">
        <f>+(BC112-AW112)*10000</f>
        <v>150.00000000000125</v>
      </c>
      <c r="BD113" s="484"/>
      <c r="BE113" s="1101"/>
      <c r="BF113" s="1102"/>
      <c r="BG113" s="1102"/>
      <c r="BH113" s="1102"/>
      <c r="BI113" s="1219">
        <f>+(BI112-BC112)*10000</f>
        <v>49.999999999998934</v>
      </c>
      <c r="BJ113" s="484"/>
      <c r="BK113" s="1101"/>
      <c r="BL113" s="1102"/>
      <c r="BM113" s="1102"/>
      <c r="BN113" s="1102"/>
      <c r="BO113" s="1219">
        <f>+(BO112-BI112)*10000</f>
        <v>50.000000000001151</v>
      </c>
      <c r="BP113" s="484"/>
      <c r="BQ113" s="1101"/>
      <c r="BR113" s="1102"/>
      <c r="BS113" s="1102"/>
      <c r="BT113" s="1102"/>
      <c r="BU113" s="1219">
        <f>+(BU112-BO112)*10000</f>
        <v>14.999999999999458</v>
      </c>
      <c r="BV113" s="484"/>
      <c r="BW113" s="1101"/>
      <c r="BX113" s="1102"/>
      <c r="BY113" s="1102"/>
      <c r="BZ113" s="1102"/>
      <c r="CA113" s="1219">
        <f>+(CA112-BU112)*10000</f>
        <v>15.000000000000568</v>
      </c>
      <c r="CB113" s="484"/>
      <c r="CC113" s="1101"/>
      <c r="CD113" s="1102"/>
      <c r="CE113" s="1102"/>
      <c r="CF113" s="1102"/>
      <c r="CG113" s="1219">
        <f>+(CG112-CA112)*10000</f>
        <v>14.999999999999458</v>
      </c>
      <c r="CH113" s="484"/>
      <c r="CI113" s="1101"/>
      <c r="CJ113" s="1102"/>
      <c r="CK113" s="1102"/>
      <c r="CL113" s="1102"/>
      <c r="CM113" s="1219">
        <f>+(CM112-CG112)*10000</f>
        <v>15.000000000000568</v>
      </c>
    </row>
    <row r="114" spans="1:132" ht="11.25" customHeight="1" x14ac:dyDescent="0.2">
      <c r="B114" s="1080"/>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5"/>
      <c r="AK114" s="1162"/>
      <c r="AL114" s="85"/>
      <c r="AM114" s="85"/>
      <c r="AN114" s="85"/>
      <c r="AO114" s="85"/>
      <c r="AP114" s="85"/>
      <c r="AQ114" s="1162"/>
      <c r="AR114" s="85"/>
      <c r="AS114" s="85"/>
      <c r="AT114" s="85"/>
      <c r="AU114" s="85"/>
      <c r="AV114" s="85"/>
      <c r="AW114" s="1162"/>
      <c r="AX114" s="85"/>
      <c r="AY114" s="85"/>
      <c r="AZ114" s="85"/>
      <c r="BA114" s="85"/>
      <c r="BB114" s="85"/>
      <c r="BC114" s="1162"/>
      <c r="BD114" s="85"/>
      <c r="BE114" s="85"/>
      <c r="BF114" s="85"/>
      <c r="BG114" s="85"/>
      <c r="BH114" s="85"/>
      <c r="BI114" s="1162"/>
      <c r="BJ114" s="85"/>
      <c r="BK114" s="85"/>
      <c r="BL114" s="85"/>
      <c r="BM114" s="85"/>
      <c r="BN114" s="85"/>
      <c r="BO114" s="1162"/>
      <c r="BP114" s="85"/>
      <c r="BQ114" s="85"/>
      <c r="BR114" s="644"/>
      <c r="BS114" s="644"/>
      <c r="BT114" s="644"/>
      <c r="BU114" s="1162"/>
      <c r="BV114" s="85"/>
      <c r="BW114" s="644"/>
      <c r="BX114" s="644"/>
      <c r="BY114" s="644"/>
      <c r="BZ114" s="644"/>
      <c r="CA114" s="85"/>
      <c r="CB114" s="85"/>
      <c r="CC114" s="644"/>
      <c r="CD114" s="644"/>
      <c r="CE114" s="644"/>
      <c r="CF114" s="644"/>
      <c r="CG114" s="85"/>
      <c r="CH114" s="85"/>
      <c r="CI114" s="644"/>
      <c r="CJ114" s="644"/>
      <c r="CK114" s="644"/>
      <c r="CL114" s="644"/>
      <c r="CM114" s="85"/>
      <c r="CN114" s="17"/>
      <c r="CO114" s="17"/>
      <c r="CP114" s="17"/>
    </row>
    <row r="115" spans="1:132" ht="11.25" customHeight="1" x14ac:dyDescent="0.2">
      <c r="B115" s="1033" t="s">
        <v>135</v>
      </c>
      <c r="C115" s="1034"/>
      <c r="D115" s="1034"/>
      <c r="E115" s="1034"/>
      <c r="F115" s="1034"/>
      <c r="G115" s="1034"/>
      <c r="H115" s="1033"/>
      <c r="I115" s="1034"/>
      <c r="J115" s="1034"/>
      <c r="K115" s="1034"/>
      <c r="L115" s="1034"/>
      <c r="M115" s="1034"/>
      <c r="N115" s="1033"/>
      <c r="O115" s="1034"/>
      <c r="P115" s="1034"/>
      <c r="Q115" s="1034"/>
      <c r="R115" s="1034"/>
      <c r="S115" s="1034"/>
      <c r="T115" s="1033"/>
      <c r="U115" s="1034"/>
      <c r="V115" s="1034"/>
      <c r="W115" s="1034"/>
      <c r="X115" s="1034"/>
      <c r="Y115" s="1034"/>
      <c r="Z115" s="1033"/>
      <c r="AA115" s="1034"/>
      <c r="AB115" s="1034"/>
      <c r="AC115" s="1034"/>
      <c r="AD115" s="1034"/>
      <c r="AE115" s="1034"/>
      <c r="AF115" s="1033"/>
      <c r="AG115" s="1034"/>
      <c r="AH115" s="1034"/>
      <c r="AI115" s="1034"/>
      <c r="AJ115" s="1034"/>
      <c r="AK115" s="1034"/>
      <c r="AL115" s="1033"/>
      <c r="AM115" s="1034"/>
      <c r="AN115" s="1034"/>
      <c r="AO115" s="1034"/>
      <c r="AP115" s="1034"/>
      <c r="AQ115" s="1034"/>
      <c r="AR115" s="1033"/>
      <c r="AS115" s="1034"/>
      <c r="AT115" s="1034"/>
      <c r="AU115" s="1034"/>
      <c r="AV115" s="1034"/>
      <c r="AW115" s="1034"/>
      <c r="AX115" s="1033"/>
      <c r="AY115" s="1034"/>
      <c r="AZ115" s="1034"/>
      <c r="BA115" s="1034"/>
      <c r="BB115" s="1034"/>
      <c r="BC115" s="1034"/>
      <c r="BD115" s="1033"/>
      <c r="BE115" s="1034"/>
      <c r="BF115" s="1034"/>
      <c r="BG115" s="1034"/>
      <c r="BH115" s="1034"/>
      <c r="BI115" s="1034"/>
      <c r="BJ115" s="1033"/>
      <c r="BK115" s="1034"/>
      <c r="BL115" s="1034"/>
      <c r="BM115" s="1034"/>
      <c r="BN115" s="1034"/>
      <c r="BO115" s="1034"/>
      <c r="BP115" s="1033"/>
      <c r="BQ115" s="1034"/>
      <c r="BR115" s="1034"/>
      <c r="BS115" s="1034"/>
      <c r="BT115" s="1034"/>
      <c r="BU115" s="1034"/>
      <c r="BV115" s="1033"/>
      <c r="BW115" s="1034"/>
      <c r="BX115" s="1034"/>
      <c r="BY115" s="1034"/>
      <c r="BZ115" s="1034"/>
      <c r="CA115" s="1034"/>
      <c r="CB115" s="1033"/>
      <c r="CC115" s="1034"/>
      <c r="CD115" s="1034"/>
      <c r="CE115" s="1034"/>
      <c r="CF115" s="1034"/>
      <c r="CG115" s="1034"/>
      <c r="CH115" s="1033"/>
      <c r="CI115" s="1034"/>
      <c r="CJ115" s="1034"/>
      <c r="CK115" s="1034"/>
      <c r="CL115" s="1034"/>
      <c r="CM115" s="1034"/>
      <c r="CN115" s="17"/>
      <c r="CO115" s="17"/>
      <c r="CP115" s="17"/>
    </row>
    <row r="116" spans="1:132" ht="11.25" hidden="1" customHeight="1" outlineLevel="1" x14ac:dyDescent="0.2">
      <c r="B116" s="1139" t="s">
        <v>491</v>
      </c>
      <c r="C116" s="1160"/>
      <c r="D116" s="1149"/>
      <c r="E116" s="1149"/>
      <c r="F116" s="1149"/>
      <c r="G116" s="589">
        <f>+M116-M117/10000</f>
        <v>0.36399999999999999</v>
      </c>
      <c r="H116" s="85"/>
      <c r="I116" s="996"/>
      <c r="J116" s="85"/>
      <c r="K116" s="85"/>
      <c r="L116" s="85"/>
      <c r="M116" s="589">
        <f>+S116-S117/10000</f>
        <v>0.36399999999999999</v>
      </c>
      <c r="N116" s="85"/>
      <c r="O116" s="996"/>
      <c r="P116" s="85"/>
      <c r="Q116" s="85"/>
      <c r="R116" s="85"/>
      <c r="S116" s="589">
        <f>+Y116-Y117/10000</f>
        <v>0.36399999999999999</v>
      </c>
      <c r="T116" s="1150"/>
      <c r="U116" s="1161"/>
      <c r="V116" s="1150"/>
      <c r="W116" s="1150"/>
      <c r="X116" s="1150"/>
      <c r="Y116" s="1157">
        <v>0.36799999999999999</v>
      </c>
      <c r="Z116" s="1150"/>
      <c r="AA116" s="1161"/>
      <c r="AB116" s="1150"/>
      <c r="AC116" s="1150"/>
      <c r="AD116" s="1150"/>
      <c r="AE116" s="589">
        <f>+Y116+AE117/10000</f>
        <v>0.36499999999999999</v>
      </c>
      <c r="AF116" s="1150"/>
      <c r="AG116" s="1161"/>
      <c r="AH116" s="1150"/>
      <c r="AI116" s="1150"/>
      <c r="AJ116" s="1150"/>
      <c r="AK116" s="589">
        <f>+AE116+AK117/10000</f>
        <v>0.36199999999999999</v>
      </c>
      <c r="AL116" s="1133"/>
      <c r="AM116" s="1134"/>
      <c r="AN116" s="1133"/>
      <c r="AO116" s="1133"/>
      <c r="AP116" s="1133"/>
      <c r="AQ116" s="589">
        <f>+AK116+AQ117/10000</f>
        <v>0.35899999999999999</v>
      </c>
      <c r="AR116" s="1133"/>
      <c r="AS116" s="1134"/>
      <c r="AT116" s="1133"/>
      <c r="AU116" s="1133"/>
      <c r="AV116" s="1133"/>
      <c r="AW116" s="589">
        <f>+AQ116+AW117/10000</f>
        <v>0.35899999999999999</v>
      </c>
      <c r="AX116" s="1133"/>
      <c r="AY116" s="1134"/>
      <c r="AZ116" s="1133"/>
      <c r="BA116" s="1133"/>
      <c r="BB116" s="1133"/>
      <c r="BC116" s="589">
        <f>+AW116+BC117/10000</f>
        <v>0.35799999999999998</v>
      </c>
      <c r="BD116" s="1133"/>
      <c r="BE116" s="1134"/>
      <c r="BF116" s="1133"/>
      <c r="BG116" s="1133"/>
      <c r="BH116" s="1133"/>
      <c r="BI116" s="589">
        <f>+BC116+BI117/10000</f>
        <v>0.36</v>
      </c>
      <c r="BJ116" s="1133"/>
      <c r="BK116" s="1134"/>
      <c r="BL116" s="1133"/>
      <c r="BM116" s="1133"/>
      <c r="BN116" s="1133"/>
      <c r="BO116" s="589">
        <f>+BI116+BO117/10000</f>
        <v>0.35899999999999999</v>
      </c>
      <c r="BP116" s="1133"/>
      <c r="BQ116" s="1134"/>
      <c r="BR116" s="1133"/>
      <c r="BS116" s="1133"/>
      <c r="BT116" s="1133"/>
      <c r="BU116" s="589">
        <f>+BO116+BU117/10000</f>
        <v>0.35499999999999998</v>
      </c>
      <c r="BV116" s="1133"/>
      <c r="BW116" s="1134"/>
      <c r="BX116" s="1133"/>
      <c r="BY116" s="1133"/>
      <c r="BZ116" s="1133"/>
      <c r="CA116" s="589">
        <f>+BU116+CA117/10000</f>
        <v>0.35099999999999998</v>
      </c>
      <c r="CB116" s="1133"/>
      <c r="CC116" s="1134"/>
      <c r="CD116" s="1133"/>
      <c r="CE116" s="1133"/>
      <c r="CF116" s="1133"/>
      <c r="CG116" s="589">
        <f>+CA116+CG117/10000</f>
        <v>0.34899999999999998</v>
      </c>
      <c r="CH116" s="1133"/>
      <c r="CI116" s="1134"/>
      <c r="CJ116" s="1133"/>
      <c r="CK116" s="1133"/>
      <c r="CL116" s="1133"/>
      <c r="CM116" s="589">
        <f>+CG116+CM117/10000</f>
        <v>0.34699999999999998</v>
      </c>
      <c r="CN116" s="1150"/>
      <c r="CO116" s="1193">
        <f>+(BO116-G116)/10</f>
        <v>-5.0000000000000044E-4</v>
      </c>
      <c r="CP116" s="1193">
        <f>+(BO116-AK116)/5</f>
        <v>-6.0000000000000049E-4</v>
      </c>
      <c r="CW116" s="1151"/>
      <c r="CX116" s="1151"/>
      <c r="CY116" s="1077"/>
      <c r="CZ116" s="1077"/>
    </row>
    <row r="117" spans="1:132" s="1146" customFormat="1" ht="11.25" hidden="1" customHeight="1" outlineLevel="1" x14ac:dyDescent="0.2">
      <c r="A117" s="30"/>
      <c r="B117" s="1143" t="s">
        <v>490</v>
      </c>
      <c r="C117" s="1136"/>
      <c r="D117" s="1135"/>
      <c r="E117" s="1135"/>
      <c r="F117" s="1135"/>
      <c r="G117" s="1140">
        <v>20</v>
      </c>
      <c r="H117" s="1141"/>
      <c r="I117" s="1142"/>
      <c r="J117" s="1141"/>
      <c r="K117" s="1141"/>
      <c r="L117" s="1141"/>
      <c r="M117" s="1140">
        <v>0</v>
      </c>
      <c r="N117" s="1141"/>
      <c r="O117" s="1142"/>
      <c r="P117" s="1141"/>
      <c r="Q117" s="1141"/>
      <c r="R117" s="1141"/>
      <c r="S117" s="1140">
        <v>0</v>
      </c>
      <c r="T117" s="1141"/>
      <c r="U117" s="1142"/>
      <c r="V117" s="1141"/>
      <c r="W117" s="1141"/>
      <c r="X117" s="1141"/>
      <c r="Y117" s="1140">
        <v>40</v>
      </c>
      <c r="Z117" s="1141"/>
      <c r="AA117" s="1142"/>
      <c r="AB117" s="1141"/>
      <c r="AC117" s="1141"/>
      <c r="AD117" s="1141"/>
      <c r="AE117" s="1140">
        <v>-30</v>
      </c>
      <c r="AF117" s="1141"/>
      <c r="AG117" s="1142"/>
      <c r="AH117" s="1141"/>
      <c r="AI117" s="1141"/>
      <c r="AJ117" s="1141"/>
      <c r="AK117" s="1140">
        <v>-30</v>
      </c>
      <c r="AL117" s="1141"/>
      <c r="AM117" s="1142"/>
      <c r="AN117" s="1141"/>
      <c r="AO117" s="1141"/>
      <c r="AP117" s="1141"/>
      <c r="AQ117" s="1140">
        <v>-30</v>
      </c>
      <c r="AR117" s="1141"/>
      <c r="AS117" s="1142"/>
      <c r="AT117" s="1141"/>
      <c r="AU117" s="1141"/>
      <c r="AV117" s="1141"/>
      <c r="AW117" s="1158">
        <v>0</v>
      </c>
      <c r="AX117" s="1141"/>
      <c r="AY117" s="1142"/>
      <c r="AZ117" s="1141"/>
      <c r="BA117" s="1141"/>
      <c r="BB117" s="1141"/>
      <c r="BC117" s="1158">
        <v>-10</v>
      </c>
      <c r="BD117" s="1141"/>
      <c r="BE117" s="1142"/>
      <c r="BF117" s="1141"/>
      <c r="BG117" s="1141"/>
      <c r="BH117" s="1141"/>
      <c r="BI117" s="1158">
        <v>20</v>
      </c>
      <c r="BJ117" s="1141"/>
      <c r="BK117" s="1142"/>
      <c r="BL117" s="1141"/>
      <c r="BM117" s="1141"/>
      <c r="BN117" s="1141"/>
      <c r="BO117" s="1158">
        <v>-10</v>
      </c>
      <c r="BP117" s="1141"/>
      <c r="BQ117" s="1142"/>
      <c r="BR117" s="1141"/>
      <c r="BS117" s="1141"/>
      <c r="BT117" s="1141"/>
      <c r="BU117" s="1158">
        <v>-40</v>
      </c>
      <c r="BV117" s="1141"/>
      <c r="BW117" s="1142"/>
      <c r="BX117" s="1141"/>
      <c r="BY117" s="1141"/>
      <c r="BZ117" s="1141"/>
      <c r="CA117" s="1158">
        <v>-40</v>
      </c>
      <c r="CB117" s="1141"/>
      <c r="CC117" s="1142"/>
      <c r="CD117" s="1141"/>
      <c r="CE117" s="1141"/>
      <c r="CF117" s="1141"/>
      <c r="CG117" s="1158">
        <v>-20</v>
      </c>
      <c r="CH117" s="1141"/>
      <c r="CI117" s="1142"/>
      <c r="CJ117" s="1141"/>
      <c r="CK117" s="1141"/>
      <c r="CL117" s="1141"/>
      <c r="CM117" s="1158">
        <v>-20</v>
      </c>
      <c r="CN117" s="1141"/>
      <c r="CO117" s="993"/>
      <c r="CP117" s="1141"/>
      <c r="CQ117"/>
      <c r="CR117"/>
      <c r="CS117"/>
      <c r="CT117"/>
      <c r="CU117"/>
      <c r="CV117"/>
      <c r="CW117" s="1145"/>
      <c r="CX117" s="1145"/>
    </row>
    <row r="118" spans="1:132" ht="11.25" hidden="1" customHeight="1" outlineLevel="1" x14ac:dyDescent="0.2">
      <c r="B118" s="1139" t="s">
        <v>492</v>
      </c>
      <c r="C118" s="1136"/>
      <c r="D118" s="1135"/>
      <c r="E118" s="1135"/>
      <c r="F118" s="1135"/>
      <c r="G118" s="589">
        <f>+M118-M119/10000</f>
        <v>0.21100000000000002</v>
      </c>
      <c r="H118" s="85"/>
      <c r="I118" s="996"/>
      <c r="J118" s="85"/>
      <c r="K118" s="85"/>
      <c r="L118" s="85"/>
      <c r="M118" s="589">
        <f>+S118-S119/10000</f>
        <v>0.20600000000000002</v>
      </c>
      <c r="N118" s="85"/>
      <c r="O118" s="996"/>
      <c r="P118" s="85"/>
      <c r="Q118" s="85"/>
      <c r="R118" s="85"/>
      <c r="S118" s="589">
        <f>+Y118-Y119/10000</f>
        <v>0.19500000000000001</v>
      </c>
      <c r="T118" s="1135"/>
      <c r="U118" s="1136"/>
      <c r="V118" s="1135"/>
      <c r="W118" s="1135"/>
      <c r="X118" s="1135"/>
      <c r="Y118" s="1157">
        <v>0.19500000000000001</v>
      </c>
      <c r="Z118" s="1135"/>
      <c r="AA118" s="1136"/>
      <c r="AB118" s="1135"/>
      <c r="AC118" s="1135"/>
      <c r="AD118" s="1135"/>
      <c r="AE118" s="589">
        <f>+Y118+AE119/10000</f>
        <v>0.193</v>
      </c>
      <c r="AF118" s="1135"/>
      <c r="AG118" s="1136"/>
      <c r="AH118" s="1135"/>
      <c r="AI118" s="1135"/>
      <c r="AJ118" s="1135"/>
      <c r="AK118" s="589">
        <f>+AE118+AK119/10000</f>
        <v>0.183</v>
      </c>
      <c r="AL118" s="1135"/>
      <c r="AM118" s="1136"/>
      <c r="AN118" s="1135"/>
      <c r="AO118" s="1135"/>
      <c r="AP118" s="1135"/>
      <c r="AQ118" s="589">
        <f>+AK118+AQ119/10000</f>
        <v>0.189</v>
      </c>
      <c r="AR118" s="1135"/>
      <c r="AS118" s="1136"/>
      <c r="AT118" s="1135"/>
      <c r="AU118" s="1135"/>
      <c r="AV118" s="1135"/>
      <c r="AW118" s="589">
        <f>+AQ118+AW119/10000</f>
        <v>0.14600000000000002</v>
      </c>
      <c r="AX118" s="1135"/>
      <c r="AY118" s="1136"/>
      <c r="AZ118" s="1135"/>
      <c r="BA118" s="1135"/>
      <c r="BB118" s="1135"/>
      <c r="BC118" s="589">
        <f>+AW118+BC119/10000</f>
        <v>0.13100000000000001</v>
      </c>
      <c r="BD118" s="1135"/>
      <c r="BE118" s="1136"/>
      <c r="BF118" s="1135"/>
      <c r="BG118" s="1135"/>
      <c r="BH118" s="1135"/>
      <c r="BI118" s="589">
        <f>+BC118+BI119/10000</f>
        <v>0.126</v>
      </c>
      <c r="BJ118" s="1135"/>
      <c r="BK118" s="1136"/>
      <c r="BL118" s="1135"/>
      <c r="BM118" s="1135"/>
      <c r="BN118" s="1135"/>
      <c r="BO118" s="589">
        <f>+BI118+BO119/10000</f>
        <v>0.121</v>
      </c>
      <c r="BP118" s="1135"/>
      <c r="BQ118" s="1136"/>
      <c r="BR118" s="1135"/>
      <c r="BS118" s="1135"/>
      <c r="BT118" s="1135"/>
      <c r="BU118" s="589">
        <f>+BO118+BU119/10000</f>
        <v>0.1195</v>
      </c>
      <c r="BV118" s="1135"/>
      <c r="BW118" s="1136"/>
      <c r="BX118" s="1135"/>
      <c r="BY118" s="1135"/>
      <c r="BZ118" s="1135"/>
      <c r="CA118" s="589">
        <f>+BU118+CA119/10000</f>
        <v>0.11799999999999999</v>
      </c>
      <c r="CB118" s="1135"/>
      <c r="CC118" s="1136"/>
      <c r="CD118" s="1135"/>
      <c r="CE118" s="1135"/>
      <c r="CF118" s="1135"/>
      <c r="CG118" s="589">
        <f>+CA118+CG119/10000</f>
        <v>0.11649999999999999</v>
      </c>
      <c r="CH118" s="1135"/>
      <c r="CI118" s="1136"/>
      <c r="CJ118" s="1135"/>
      <c r="CK118" s="1135"/>
      <c r="CL118" s="1135"/>
      <c r="CM118" s="589">
        <f>+CG118+CM119/10000</f>
        <v>0.11499999999999999</v>
      </c>
      <c r="CN118" s="1137"/>
      <c r="CO118" s="1193">
        <f>+(BO118-G118)/10</f>
        <v>-9.0000000000000028E-3</v>
      </c>
      <c r="CP118" s="1193">
        <f>+(BO118-AK118)/5</f>
        <v>-1.24E-2</v>
      </c>
      <c r="CW118" s="1138"/>
      <c r="CX118" s="1138"/>
    </row>
    <row r="119" spans="1:132" s="1146" customFormat="1" ht="11.25" hidden="1" customHeight="1" outlineLevel="1" x14ac:dyDescent="0.2">
      <c r="A119" s="1144"/>
      <c r="B119" s="1143" t="s">
        <v>490</v>
      </c>
      <c r="C119" s="1142"/>
      <c r="D119" s="1141"/>
      <c r="E119" s="1141"/>
      <c r="F119" s="1141"/>
      <c r="G119" s="1140">
        <v>-10</v>
      </c>
      <c r="H119" s="1141"/>
      <c r="I119" s="1142"/>
      <c r="J119" s="1141"/>
      <c r="K119" s="1141"/>
      <c r="L119" s="1141"/>
      <c r="M119" s="1140">
        <v>-50</v>
      </c>
      <c r="N119" s="1141"/>
      <c r="O119" s="1142"/>
      <c r="P119" s="1141"/>
      <c r="Q119" s="1141"/>
      <c r="R119" s="1141"/>
      <c r="S119" s="1140">
        <v>-110</v>
      </c>
      <c r="T119" s="1141"/>
      <c r="U119" s="1142"/>
      <c r="V119" s="1141"/>
      <c r="W119" s="1141"/>
      <c r="X119" s="1141"/>
      <c r="Y119" s="1140">
        <v>0</v>
      </c>
      <c r="Z119" s="1141"/>
      <c r="AA119" s="1142"/>
      <c r="AB119" s="1141"/>
      <c r="AC119" s="1141"/>
      <c r="AD119" s="1141"/>
      <c r="AE119" s="1140">
        <v>-20</v>
      </c>
      <c r="AF119" s="1141"/>
      <c r="AG119" s="1142"/>
      <c r="AH119" s="1141"/>
      <c r="AI119" s="1141"/>
      <c r="AJ119" s="1141"/>
      <c r="AK119" s="1140">
        <v>-100</v>
      </c>
      <c r="AL119" s="1141"/>
      <c r="AM119" s="1142"/>
      <c r="AN119" s="1141"/>
      <c r="AO119" s="1141"/>
      <c r="AP119" s="1141"/>
      <c r="AQ119" s="1140">
        <v>60</v>
      </c>
      <c r="AR119" s="1141"/>
      <c r="AS119" s="1142"/>
      <c r="AT119" s="1141"/>
      <c r="AU119" s="1141"/>
      <c r="AV119" s="1141"/>
      <c r="AW119" s="1140">
        <v>-430</v>
      </c>
      <c r="AX119" s="1141"/>
      <c r="AY119" s="1142"/>
      <c r="AZ119" s="1141"/>
      <c r="BA119" s="1141"/>
      <c r="BB119" s="1141"/>
      <c r="BC119" s="1140">
        <v>-150</v>
      </c>
      <c r="BD119" s="1141"/>
      <c r="BE119" s="1142"/>
      <c r="BF119" s="1141"/>
      <c r="BG119" s="1141"/>
      <c r="BH119" s="1141"/>
      <c r="BI119" s="1158">
        <v>-50</v>
      </c>
      <c r="BJ119" s="1141"/>
      <c r="BK119" s="1142"/>
      <c r="BL119" s="1141"/>
      <c r="BM119" s="1141"/>
      <c r="BN119" s="1141"/>
      <c r="BO119" s="1158">
        <v>-50</v>
      </c>
      <c r="BP119" s="1141"/>
      <c r="BQ119" s="1142"/>
      <c r="BR119" s="1141"/>
      <c r="BS119" s="1141"/>
      <c r="BT119" s="1141"/>
      <c r="BU119" s="1158">
        <v>-15</v>
      </c>
      <c r="BV119" s="1141"/>
      <c r="BW119" s="1142"/>
      <c r="BX119" s="1141"/>
      <c r="BY119" s="1141"/>
      <c r="BZ119" s="1141"/>
      <c r="CA119" s="1158">
        <v>-15</v>
      </c>
      <c r="CB119" s="1141"/>
      <c r="CC119" s="1142"/>
      <c r="CD119" s="1141"/>
      <c r="CE119" s="1141"/>
      <c r="CF119" s="1141"/>
      <c r="CG119" s="1158">
        <v>-15</v>
      </c>
      <c r="CH119" s="1141"/>
      <c r="CI119" s="1142"/>
      <c r="CJ119" s="1141"/>
      <c r="CK119" s="1141"/>
      <c r="CL119" s="1141"/>
      <c r="CM119" s="1158">
        <v>-15</v>
      </c>
      <c r="CN119" s="1141"/>
      <c r="CO119" s="1000"/>
      <c r="CP119" s="1193"/>
      <c r="CQ119"/>
      <c r="CR119"/>
      <c r="CS119"/>
      <c r="CT119"/>
      <c r="CU119"/>
      <c r="CV119"/>
      <c r="CW119" s="1145"/>
      <c r="CX119" s="1145"/>
    </row>
    <row r="120" spans="1:132" ht="11.25" customHeight="1" collapsed="1" x14ac:dyDescent="0.2">
      <c r="B120" s="1128" t="s">
        <v>339</v>
      </c>
      <c r="C120" s="1004">
        <f>C10</f>
        <v>222.41400000000004</v>
      </c>
      <c r="D120" s="136">
        <f>D10</f>
        <v>235.62900000000002</v>
      </c>
      <c r="E120" s="136">
        <f>E10</f>
        <v>250.26600000000002</v>
      </c>
      <c r="F120" s="136">
        <f>F10</f>
        <v>260.56299999999999</v>
      </c>
      <c r="G120" s="594">
        <f>G10</f>
        <v>968.87199999999984</v>
      </c>
      <c r="H120" s="136"/>
      <c r="I120" s="1004">
        <f>I10</f>
        <v>237.13400000000001</v>
      </c>
      <c r="J120" s="136">
        <f>J10</f>
        <v>252.29899999999998</v>
      </c>
      <c r="K120" s="136">
        <f>K10</f>
        <v>269.13800000000003</v>
      </c>
      <c r="L120" s="136">
        <f>L10</f>
        <v>273.154</v>
      </c>
      <c r="M120" s="594">
        <f>M10</f>
        <v>1031.7249999999999</v>
      </c>
      <c r="N120" s="136"/>
      <c r="O120" s="1004">
        <f>O10</f>
        <v>251.73000000000002</v>
      </c>
      <c r="P120" s="136">
        <f>P10</f>
        <v>253.57499999999999</v>
      </c>
      <c r="Q120" s="136">
        <f>Q10</f>
        <v>269.10900000000004</v>
      </c>
      <c r="R120" s="136">
        <f>R10</f>
        <v>269.11</v>
      </c>
      <c r="S120" s="594">
        <f>S10</f>
        <v>1043.5240000000003</v>
      </c>
      <c r="T120" s="136"/>
      <c r="U120" s="1004">
        <f>U10</f>
        <v>258.68399999999997</v>
      </c>
      <c r="V120" s="136">
        <f>V10</f>
        <v>266.53700000000003</v>
      </c>
      <c r="W120" s="136">
        <f>W10</f>
        <v>276.06899999999996</v>
      </c>
      <c r="X120" s="136">
        <f>X10</f>
        <v>288.11099999999999</v>
      </c>
      <c r="Y120" s="594">
        <f>Y10</f>
        <v>1089.4010000000003</v>
      </c>
      <c r="Z120" s="136"/>
      <c r="AA120" s="1004">
        <f>AA10</f>
        <v>280.20000000000005</v>
      </c>
      <c r="AB120" s="136">
        <f>AB10</f>
        <v>279.20100000000002</v>
      </c>
      <c r="AC120" s="136">
        <f>AC10</f>
        <v>280.875</v>
      </c>
      <c r="AD120" s="136">
        <f>AD10</f>
        <v>303.94900000000007</v>
      </c>
      <c r="AE120" s="594">
        <f>AE10</f>
        <v>1144.2250000000004</v>
      </c>
      <c r="AF120" s="136"/>
      <c r="AG120" s="1004">
        <f>AG10</f>
        <v>278.27600000000007</v>
      </c>
      <c r="AH120" s="136">
        <f>AH10</f>
        <v>280.98299999999995</v>
      </c>
      <c r="AI120" s="136">
        <f>AI10</f>
        <v>289.53399999999999</v>
      </c>
      <c r="AJ120" s="136">
        <f>AJ10</f>
        <v>313.721</v>
      </c>
      <c r="AK120" s="594">
        <f>AK10</f>
        <v>1162.5140000000001</v>
      </c>
      <c r="AL120" s="136"/>
      <c r="AM120" s="1004">
        <f>AM10</f>
        <v>285.69999999999993</v>
      </c>
      <c r="AN120" s="136">
        <f>AN10</f>
        <v>280.59899999999993</v>
      </c>
      <c r="AO120" s="136">
        <f>AO10</f>
        <v>300.29300000000001</v>
      </c>
      <c r="AP120" s="136">
        <f>AP10</f>
        <v>324.17700000000002</v>
      </c>
      <c r="AQ120" s="594">
        <f>AQ10</f>
        <v>1190.7689999999998</v>
      </c>
      <c r="AR120" s="136"/>
      <c r="AS120" s="1004">
        <f>AS10</f>
        <v>281.51800000000003</v>
      </c>
      <c r="AT120" s="136">
        <f>AT10</f>
        <v>321.39368799999988</v>
      </c>
      <c r="AU120" s="136">
        <f>AU10</f>
        <v>311.46100000000001</v>
      </c>
      <c r="AV120" s="136">
        <f>AV10</f>
        <v>315.86799999999994</v>
      </c>
      <c r="AW120" s="594">
        <f>AW10</f>
        <v>1230.2406879999999</v>
      </c>
      <c r="AX120" s="136"/>
      <c r="AY120" s="1004">
        <f>AY10</f>
        <v>250.61699999999996</v>
      </c>
      <c r="AZ120" s="136">
        <f>AZ10</f>
        <v>259.28700000000003</v>
      </c>
      <c r="BA120" s="136">
        <f>BA10</f>
        <v>262.44200000000001</v>
      </c>
      <c r="BB120" s="136">
        <f>BB10</f>
        <v>288.20299999999997</v>
      </c>
      <c r="BC120" s="594">
        <f>BC10</f>
        <v>1060.549</v>
      </c>
      <c r="BD120" s="136"/>
      <c r="BE120" s="1004">
        <f>BE10</f>
        <v>288.24399999999991</v>
      </c>
      <c r="BF120" s="136">
        <f>BF10</f>
        <v>330.89900000000011</v>
      </c>
      <c r="BG120" s="136">
        <f>BG10</f>
        <v>339.86400000000003</v>
      </c>
      <c r="BH120" s="136">
        <f>BH10</f>
        <v>363.74099999999999</v>
      </c>
      <c r="BI120" s="594">
        <f>BI10</f>
        <v>1322.7479999999996</v>
      </c>
      <c r="BJ120" s="136"/>
      <c r="BK120" s="1004">
        <f>BK10</f>
        <v>317.17799999999988</v>
      </c>
      <c r="BL120" s="136">
        <f>BL10</f>
        <v>318.96000000000004</v>
      </c>
      <c r="BM120" s="136">
        <f>BM10</f>
        <v>329.76099999999997</v>
      </c>
      <c r="BN120" s="136">
        <f>BN10</f>
        <v>335.49799999999999</v>
      </c>
      <c r="BO120" s="594">
        <f>BO10</f>
        <v>1301.3969999999999</v>
      </c>
      <c r="BP120" s="136"/>
      <c r="BQ120" s="1004">
        <f>BQ10</f>
        <v>299.048</v>
      </c>
      <c r="BR120" s="136">
        <f>BR10</f>
        <v>315.74299999999999</v>
      </c>
      <c r="BS120" s="136">
        <f>+BS134+BS128</f>
        <v>294.73599999999999</v>
      </c>
      <c r="BT120" s="136">
        <f>+BT134+BT128</f>
        <v>301.1454776461764</v>
      </c>
      <c r="BU120" s="594">
        <f>BU10</f>
        <v>1210.6724776461763</v>
      </c>
      <c r="BV120" s="136"/>
      <c r="BW120" s="1004">
        <f>+BW134+BW128</f>
        <v>282.32972416717922</v>
      </c>
      <c r="BX120" s="136">
        <f>+BX134+BX128</f>
        <v>301.16414019293029</v>
      </c>
      <c r="BY120" s="136">
        <f>+BY134+BY128</f>
        <v>300.76542134925995</v>
      </c>
      <c r="BZ120" s="136">
        <f>+BZ134+BZ128</f>
        <v>316.91478988614875</v>
      </c>
      <c r="CA120" s="594">
        <f>CA10</f>
        <v>1201.1740755955182</v>
      </c>
      <c r="CB120" s="136"/>
      <c r="CC120" s="1004">
        <f>+CC134+CC128</f>
        <v>288.23330649092259</v>
      </c>
      <c r="CD120" s="136">
        <f>+CD134+CD128</f>
        <v>307.2679253551434</v>
      </c>
      <c r="CE120" s="136">
        <f>+CE134+CE128</f>
        <v>307.48192274194543</v>
      </c>
      <c r="CF120" s="136">
        <f>+CF134+CF128</f>
        <v>324.10611597785089</v>
      </c>
      <c r="CG120" s="594">
        <f>CG10</f>
        <v>1227.0892705658625</v>
      </c>
      <c r="CH120" s="136"/>
      <c r="CI120" s="1004">
        <f>+CI134+CI128</f>
        <v>290.89678195633672</v>
      </c>
      <c r="CJ120" s="136">
        <f>+CJ134+CJ128</f>
        <v>309.96872582706959</v>
      </c>
      <c r="CK120" s="136">
        <f>+CK134+CK128</f>
        <v>309.96693067659334</v>
      </c>
      <c r="CL120" s="136">
        <f>+CL134+CL128</f>
        <v>326.81853035439264</v>
      </c>
      <c r="CM120" s="594">
        <f>CM10</f>
        <v>1237.6509688143922</v>
      </c>
      <c r="CN120" s="17"/>
      <c r="CO120" s="17"/>
      <c r="CP120" s="17"/>
    </row>
    <row r="121" spans="1:132" s="1094" customFormat="1" ht="11.25" customHeight="1" x14ac:dyDescent="0.2">
      <c r="A121" s="30"/>
      <c r="B121" s="880" t="s">
        <v>340</v>
      </c>
      <c r="C121" s="1101">
        <f>+C120/C$8</f>
        <v>0.33931055946104283</v>
      </c>
      <c r="D121" s="1102">
        <f>+D120/D$8</f>
        <v>0.33938954849173164</v>
      </c>
      <c r="E121" s="1102">
        <f>+E120/E$8</f>
        <v>0.35273871237811738</v>
      </c>
      <c r="F121" s="1102">
        <f>+F120/F$8</f>
        <v>0.35252041891758423</v>
      </c>
      <c r="G121" s="1103">
        <f>+G120/G$8</f>
        <v>0.34622380376200945</v>
      </c>
      <c r="H121" s="484"/>
      <c r="I121" s="1101">
        <f>+I120/I$8</f>
        <v>0.33808523773066268</v>
      </c>
      <c r="J121" s="1102">
        <f>+J120/J$8</f>
        <v>0.3400292725528038</v>
      </c>
      <c r="K121" s="1102">
        <f>+K120/K$8</f>
        <v>0.3464050268615837</v>
      </c>
      <c r="L121" s="1102">
        <f>+L120/L$8</f>
        <v>0.35092267609469824</v>
      </c>
      <c r="M121" s="1103">
        <f>+M120/M$8</f>
        <v>0.34405409758601058</v>
      </c>
      <c r="N121" s="484"/>
      <c r="O121" s="1101">
        <f>+O120/O$8</f>
        <v>0.33841090851895317</v>
      </c>
      <c r="P121" s="1102">
        <f>+P120/P$8</f>
        <v>0.33388811275365027</v>
      </c>
      <c r="Q121" s="1102">
        <f>+Q120/Q$8</f>
        <v>0.33181426420705706</v>
      </c>
      <c r="R121" s="1102">
        <f>+R120/R$8</f>
        <v>0.34506413774356187</v>
      </c>
      <c r="S121" s="1103">
        <f>+S120/S$8</f>
        <v>0.33724868925259854</v>
      </c>
      <c r="T121" s="484"/>
      <c r="U121" s="1101">
        <f>+U120/U$8</f>
        <v>0.32762269513246933</v>
      </c>
      <c r="V121" s="1102">
        <f>+V120/V$8</f>
        <v>0.32705892746925891</v>
      </c>
      <c r="W121" s="1102">
        <f>+W120/W$8</f>
        <v>0.33663502763131581</v>
      </c>
      <c r="X121" s="1102">
        <f>+X120/X$8</f>
        <v>0.35448384643967118</v>
      </c>
      <c r="Y121" s="1103">
        <f>+Y120/Y$8</f>
        <v>0.3365074059979441</v>
      </c>
      <c r="Z121" s="484"/>
      <c r="AA121" s="1101">
        <f>+AA120/AA$8</f>
        <v>0.32972968520346868</v>
      </c>
      <c r="AB121" s="1102">
        <f>+AB120/AB$8</f>
        <v>0.32563149190472751</v>
      </c>
      <c r="AC121" s="1102">
        <f>+AC120/AC$8</f>
        <v>0.34059904201782576</v>
      </c>
      <c r="AD121" s="1102">
        <f>+AD120/AD$8</f>
        <v>0.34390412516589947</v>
      </c>
      <c r="AE121" s="1103">
        <f>+AE120/AE$8</f>
        <v>0.33499284181434397</v>
      </c>
      <c r="AF121" s="484"/>
      <c r="AG121" s="1101">
        <f>+AG120/AG$8</f>
        <v>0.32837948507355258</v>
      </c>
      <c r="AH121" s="1102">
        <f>+AH120/AH$8</f>
        <v>0.32791597374179426</v>
      </c>
      <c r="AI121" s="1102">
        <f>+AI120/AI$8</f>
        <v>0.32349083270951812</v>
      </c>
      <c r="AJ121" s="1102">
        <f>+AJ120/AJ$8</f>
        <v>0.33505244923285926</v>
      </c>
      <c r="AK121" s="1103">
        <f>+AK120/AK$8</f>
        <v>0.32879679358400032</v>
      </c>
      <c r="AL121" s="484"/>
      <c r="AM121" s="1101">
        <f>+AM120/AM$8</f>
        <v>0.32129101183614939</v>
      </c>
      <c r="AN121" s="1102">
        <f>+AN120/AN$8</f>
        <v>0.32357156941995602</v>
      </c>
      <c r="AO121" s="1102">
        <f>+AO120/AO$8</f>
        <v>0.32788054082442641</v>
      </c>
      <c r="AP121" s="1102">
        <f>+AP120/AP$8</f>
        <v>0.33595804061007345</v>
      </c>
      <c r="AQ121" s="1103">
        <f>+AQ120/AQ$8</f>
        <v>0.32738509605708982</v>
      </c>
      <c r="AR121" s="484"/>
      <c r="AS121" s="1101">
        <f>+AS120/AS$8</f>
        <v>0.3198613833262321</v>
      </c>
      <c r="AT121" s="1102">
        <f>+AT120/AT$8</f>
        <v>0.3217688705030064</v>
      </c>
      <c r="AU121" s="1102">
        <f>+AU120/AU$8</f>
        <v>0.28767621797411791</v>
      </c>
      <c r="AV121" s="1102">
        <f>+AV120/AV$8</f>
        <v>0.28661155255032084</v>
      </c>
      <c r="AW121" s="1103">
        <f>+AW120/AW$8</f>
        <v>0.30273793511602065</v>
      </c>
      <c r="AX121" s="484"/>
      <c r="AY121" s="1101">
        <f>+AY120/AY$8</f>
        <v>0.26691027055580874</v>
      </c>
      <c r="AZ121" s="1102">
        <f>+AZ120/AZ$8</f>
        <v>0.26506000695140153</v>
      </c>
      <c r="BA121" s="1102">
        <f>+BA120/BA$8</f>
        <v>0.27376834392485927</v>
      </c>
      <c r="BB121" s="1102">
        <f>+BB120/BB$8</f>
        <v>0.27844059432246021</v>
      </c>
      <c r="BC121" s="1103">
        <f>+BC120/BC$8</f>
        <v>0.27118016091069369</v>
      </c>
      <c r="BD121" s="484"/>
      <c r="BE121" s="1101">
        <f>+BE120/BE$8</f>
        <v>0.25221066263004538</v>
      </c>
      <c r="BF121" s="1102">
        <f>+BF120/BF$8</f>
        <v>0.23819220996105708</v>
      </c>
      <c r="BG121" s="1102">
        <f>+BG120/BG$8</f>
        <v>0.24261217986469674</v>
      </c>
      <c r="BH121" s="1102">
        <f>+BH120/BH$8</f>
        <v>0.25020532821560493</v>
      </c>
      <c r="BI121" s="1103">
        <f>+BI120/BI$8</f>
        <v>0.24555799716449928</v>
      </c>
      <c r="BJ121" s="484"/>
      <c r="BK121" s="1101">
        <f>+BK120/BK$8</f>
        <v>0.23804370341239647</v>
      </c>
      <c r="BL121" s="1102">
        <f>+BL120/BL$8</f>
        <v>0.22489830712833717</v>
      </c>
      <c r="BM121" s="1102">
        <f>+BM120/BM$8</f>
        <v>0.23597878372827599</v>
      </c>
      <c r="BN121" s="1102">
        <f>+BN120/BN$8</f>
        <v>0.23217340515642559</v>
      </c>
      <c r="BO121" s="1103">
        <f>+BO120/BO$8</f>
        <v>0.23267789199136726</v>
      </c>
      <c r="BP121" s="484"/>
      <c r="BQ121" s="1101">
        <f>+BQ120/BQ$8</f>
        <v>0.22931106535849982</v>
      </c>
      <c r="BR121" s="1102">
        <f>+BR120/BR$8</f>
        <v>0.22785203830164019</v>
      </c>
      <c r="BS121" s="1102">
        <f>+BS120/BS$8</f>
        <v>0.21431885179265603</v>
      </c>
      <c r="BT121" s="1102">
        <f>+BT120/BT$8</f>
        <v>0.20890209083696079</v>
      </c>
      <c r="BU121" s="1103">
        <f>+BU120/BU$8</f>
        <v>0.21985697027869369</v>
      </c>
      <c r="BV121" s="484"/>
      <c r="BW121" s="1101">
        <f>+BW120/BW$8</f>
        <v>0.21539265167196195</v>
      </c>
      <c r="BX121" s="1102">
        <f>+BX120/BX$8</f>
        <v>0.21025577210897803</v>
      </c>
      <c r="BY121" s="1102">
        <f>+BY120/BY$8</f>
        <v>0.21293447669821916</v>
      </c>
      <c r="BZ121" s="1102">
        <f>+BZ120/BZ$8</f>
        <v>0.21181774657484836</v>
      </c>
      <c r="CA121" s="1103">
        <f>+CA120/CA$8</f>
        <v>0.21253007060310847</v>
      </c>
      <c r="CB121" s="484"/>
      <c r="CC121" s="1101">
        <f>+CC120/CC$8</f>
        <v>0.21456486016073953</v>
      </c>
      <c r="CD121" s="1102">
        <f>+CD120/CD$8</f>
        <v>0.20940415227997294</v>
      </c>
      <c r="CE121" s="1102">
        <f>+CE120/CE$8</f>
        <v>0.21203547622198882</v>
      </c>
      <c r="CF121" s="1102">
        <f>+CF120/CF$8</f>
        <v>0.21096736202742281</v>
      </c>
      <c r="CG121" s="1103">
        <f>+CG120/CG$8</f>
        <v>0.21167250822659353</v>
      </c>
      <c r="CH121" s="484"/>
      <c r="CI121" s="1101">
        <f>+CI120/CI$8</f>
        <v>0.21085025610377184</v>
      </c>
      <c r="CJ121" s="1102">
        <f>+CJ120/CJ$8</f>
        <v>0.2056765668181415</v>
      </c>
      <c r="CK121" s="1102">
        <f>+CK120/CK$8</f>
        <v>0.20817568816103493</v>
      </c>
      <c r="CL121" s="1102">
        <f>+CL120/CL$8</f>
        <v>0.20715611229735495</v>
      </c>
      <c r="CM121" s="1103">
        <f>+CM120/CM$8</f>
        <v>0.20789266232156292</v>
      </c>
      <c r="CN121" s="1113"/>
      <c r="CO121" s="1113"/>
      <c r="CP121" s="1113"/>
      <c r="CQ121"/>
      <c r="CR121"/>
      <c r="CS121"/>
      <c r="CT121"/>
      <c r="CU121"/>
      <c r="CV121"/>
    </row>
    <row r="123" spans="1:132" ht="11.25" customHeight="1" x14ac:dyDescent="0.2">
      <c r="B123" s="1084" t="s">
        <v>481</v>
      </c>
      <c r="C123" s="1085"/>
      <c r="D123" s="1085"/>
      <c r="E123" s="1085"/>
      <c r="F123" s="1086"/>
      <c r="G123" s="1087"/>
      <c r="H123" s="1086"/>
      <c r="I123" s="1087"/>
      <c r="J123" s="1086"/>
      <c r="K123" s="1087"/>
      <c r="L123" s="1086"/>
      <c r="M123" s="1087"/>
      <c r="N123" s="1088"/>
      <c r="O123" s="1089"/>
      <c r="P123" s="1089"/>
      <c r="Q123" s="1089"/>
      <c r="R123" s="1086"/>
      <c r="S123" s="1087"/>
      <c r="T123" s="1088"/>
      <c r="U123" s="1089"/>
      <c r="V123" s="1089"/>
      <c r="W123" s="1089"/>
      <c r="X123" s="1086"/>
      <c r="Y123" s="1087"/>
      <c r="Z123" s="1088"/>
      <c r="AA123" s="1089"/>
      <c r="AB123" s="1089"/>
      <c r="AC123" s="1089"/>
      <c r="AD123" s="1086"/>
      <c r="AE123" s="1087"/>
      <c r="AF123" s="1088"/>
      <c r="AG123" s="1089"/>
      <c r="AH123" s="1089"/>
      <c r="AI123" s="1089"/>
      <c r="AJ123" s="1086"/>
      <c r="AK123" s="1087"/>
      <c r="AL123" s="1088"/>
      <c r="AM123" s="1089"/>
      <c r="AN123" s="1089"/>
      <c r="AO123" s="1089"/>
      <c r="AP123" s="1086"/>
      <c r="AQ123" s="1087"/>
      <c r="AR123" s="1088"/>
      <c r="AS123" s="1089"/>
      <c r="AT123" s="1089"/>
      <c r="AU123" s="1089"/>
      <c r="AV123" s="1086"/>
      <c r="AW123" s="1087"/>
      <c r="AX123" s="1088"/>
      <c r="AY123" s="1089"/>
      <c r="AZ123" s="1089"/>
      <c r="BA123" s="1089"/>
      <c r="BB123" s="1086"/>
      <c r="BC123" s="1087"/>
      <c r="BD123" s="1088"/>
      <c r="BE123" s="1089"/>
      <c r="BF123" s="1089"/>
      <c r="BG123" s="1089"/>
      <c r="BH123" s="1086"/>
      <c r="BI123" s="1087"/>
      <c r="BJ123" s="1088"/>
      <c r="BK123" s="1089"/>
      <c r="BL123" s="1089"/>
      <c r="BM123" s="1089"/>
      <c r="BN123" s="1086"/>
      <c r="BO123" s="1087"/>
      <c r="BP123" s="1088"/>
      <c r="BQ123" s="1089"/>
      <c r="BR123" s="1089"/>
      <c r="BS123" s="1089"/>
      <c r="BT123" s="1086"/>
      <c r="BU123" s="1087"/>
      <c r="BV123" s="1088"/>
      <c r="BW123" s="1089"/>
      <c r="BX123" s="1089"/>
      <c r="BY123" s="1089"/>
      <c r="BZ123" s="1086"/>
      <c r="CA123" s="1087"/>
      <c r="CB123" s="1088"/>
      <c r="CC123" s="1089"/>
      <c r="CD123" s="1089"/>
      <c r="CE123" s="1089"/>
      <c r="CF123" s="1086"/>
      <c r="CG123" s="1087"/>
      <c r="CH123" s="1088"/>
      <c r="CI123" s="1089"/>
      <c r="CJ123" s="1089"/>
      <c r="CK123" s="1089"/>
      <c r="CL123" s="1086"/>
      <c r="CM123" s="1087"/>
      <c r="CN123" s="1091"/>
      <c r="CO123" s="1091"/>
      <c r="CP123" s="1091"/>
      <c r="CW123" s="1091"/>
      <c r="CX123" s="1091"/>
      <c r="CY123" s="1091"/>
      <c r="CZ123" s="1091"/>
      <c r="DA123" s="1091"/>
      <c r="DB123" s="1091"/>
      <c r="DC123" s="1091"/>
      <c r="DD123" s="1091"/>
      <c r="DE123" s="1091"/>
      <c r="DF123" s="1091"/>
      <c r="DG123" s="1091"/>
      <c r="DH123" s="1091"/>
      <c r="DI123" s="1091"/>
      <c r="DJ123" s="1091"/>
      <c r="DK123" s="1091"/>
      <c r="DL123" s="1091"/>
      <c r="DM123" s="1091"/>
      <c r="DN123" s="1091"/>
      <c r="DO123" s="1091"/>
      <c r="DP123" s="1091"/>
      <c r="DQ123" s="1091"/>
      <c r="DR123" s="1091"/>
      <c r="DS123" s="1091"/>
      <c r="DT123" s="1091"/>
      <c r="DU123" s="1091"/>
      <c r="DV123" s="1091"/>
      <c r="DW123" s="1091"/>
      <c r="DX123" s="1091"/>
      <c r="DY123" s="1091"/>
      <c r="DZ123" s="1091"/>
      <c r="EA123" s="1091"/>
      <c r="EB123" s="1091"/>
    </row>
    <row r="124" spans="1:132" ht="11.25" hidden="1" customHeight="1" outlineLevel="1" x14ac:dyDescent="0.2">
      <c r="B124" s="1139" t="s">
        <v>493</v>
      </c>
      <c r="C124" s="1147"/>
      <c r="D124" s="1148"/>
      <c r="E124" s="1148"/>
      <c r="F124" s="1148"/>
      <c r="G124" s="1152">
        <f>+G116-G167</f>
        <v>0.22066207698231644</v>
      </c>
      <c r="H124" s="85"/>
      <c r="I124" s="1153"/>
      <c r="J124" s="1154"/>
      <c r="K124" s="1154"/>
      <c r="L124" s="1154"/>
      <c r="M124" s="1152">
        <f>+M116-M167</f>
        <v>0.21827782143194421</v>
      </c>
      <c r="N124" s="85"/>
      <c r="O124" s="1153"/>
      <c r="P124" s="1154"/>
      <c r="Q124" s="1154"/>
      <c r="R124" s="1154"/>
      <c r="S124" s="1152">
        <f>+S116-S167</f>
        <v>0.22526127881185184</v>
      </c>
      <c r="T124" s="1150"/>
      <c r="U124" s="1155"/>
      <c r="V124" s="1156"/>
      <c r="W124" s="1156"/>
      <c r="X124" s="1156"/>
      <c r="Y124" s="1152">
        <f>+Y116-Y167</f>
        <v>0.22839252132069507</v>
      </c>
      <c r="Z124" s="1150"/>
      <c r="AA124" s="1155"/>
      <c r="AB124" s="1156"/>
      <c r="AC124" s="1156"/>
      <c r="AD124" s="1156"/>
      <c r="AE124" s="1152">
        <f>+AE116-AE167</f>
        <v>0.22494400855792518</v>
      </c>
      <c r="AF124" s="1150"/>
      <c r="AG124" s="1155"/>
      <c r="AH124" s="1156"/>
      <c r="AI124" s="1156"/>
      <c r="AJ124" s="1156"/>
      <c r="AK124" s="1152">
        <f>+AK116-AK167</f>
        <v>0.23560195290389552</v>
      </c>
      <c r="AL124" s="1133"/>
      <c r="AM124" s="1134"/>
      <c r="AN124" s="1133"/>
      <c r="AO124" s="1133"/>
      <c r="AP124" s="1133"/>
      <c r="AQ124" s="1152">
        <f>+AQ116-AQ167</f>
        <v>0.23656419450665342</v>
      </c>
      <c r="AR124" s="1133"/>
      <c r="AS124" s="1134"/>
      <c r="AT124" s="1133"/>
      <c r="AU124" s="1133"/>
      <c r="AV124" s="1133"/>
      <c r="AW124" s="1152">
        <f>+AW116-AW167</f>
        <v>0.23394108974525818</v>
      </c>
      <c r="AX124" s="1133"/>
      <c r="AY124" s="1134"/>
      <c r="AZ124" s="1133"/>
      <c r="BA124" s="1133"/>
      <c r="BB124" s="1133"/>
      <c r="BC124" s="1152">
        <f>+BC116-BC167</f>
        <v>0.23362872592704853</v>
      </c>
      <c r="BD124" s="1133"/>
      <c r="BE124" s="1134"/>
      <c r="BF124" s="1133"/>
      <c r="BG124" s="1133"/>
      <c r="BH124" s="1133"/>
      <c r="BI124" s="1152">
        <f>+BI116-BI167</f>
        <v>0.22606435417654386</v>
      </c>
      <c r="BJ124" s="1133"/>
      <c r="BK124" s="1134"/>
      <c r="BL124" s="1133"/>
      <c r="BM124" s="1133"/>
      <c r="BN124" s="1133"/>
      <c r="BO124" s="1152">
        <f>+BO116-BO167</f>
        <v>0.2300574219349775</v>
      </c>
      <c r="BP124" s="1133"/>
      <c r="BQ124" s="1134"/>
      <c r="BR124" s="1133"/>
      <c r="BS124" s="1133"/>
      <c r="BT124" s="1133"/>
      <c r="BU124" s="1152">
        <f>+BU116-BU167</f>
        <v>0.24820888257526985</v>
      </c>
      <c r="BV124" s="1133"/>
      <c r="BW124" s="1134"/>
      <c r="BX124" s="1133"/>
      <c r="BY124" s="1133"/>
      <c r="BZ124" s="1133"/>
      <c r="CA124" s="1152">
        <f>+CA116-CA167</f>
        <v>0.25973392531539763</v>
      </c>
      <c r="CB124" s="1133"/>
      <c r="CC124" s="1134"/>
      <c r="CD124" s="1133"/>
      <c r="CE124" s="1133"/>
      <c r="CF124" s="1133"/>
      <c r="CG124" s="1152">
        <f>+CG116-CG167</f>
        <v>0.2627329845827393</v>
      </c>
      <c r="CH124" s="1133"/>
      <c r="CI124" s="1134"/>
      <c r="CJ124" s="1133"/>
      <c r="CK124" s="1133"/>
      <c r="CL124" s="1133"/>
      <c r="CM124" s="1152">
        <f>+CM116-CM167</f>
        <v>0.26573309476617368</v>
      </c>
      <c r="CN124" s="1091"/>
      <c r="CO124" s="1193">
        <f>+(BO124-G124)/10</f>
        <v>9.3953449526610613E-4</v>
      </c>
      <c r="CP124" s="1193">
        <f>+(BO124-AK124)/5</f>
        <v>-1.1089061937836042E-3</v>
      </c>
      <c r="CW124" s="1091"/>
      <c r="CX124" s="1091"/>
      <c r="CY124" s="1091"/>
      <c r="CZ124" s="1091"/>
      <c r="DA124" s="1091"/>
      <c r="DB124" s="1091"/>
      <c r="DC124" s="1091"/>
      <c r="DD124" s="1091"/>
      <c r="DE124" s="1091"/>
      <c r="DF124" s="1091"/>
      <c r="DG124" s="1091"/>
      <c r="DH124" s="1091"/>
      <c r="DI124" s="1091"/>
      <c r="DJ124" s="1091"/>
      <c r="DK124" s="1091"/>
      <c r="DL124" s="1091"/>
      <c r="DM124" s="1091"/>
      <c r="DN124" s="1091"/>
      <c r="DO124" s="1091"/>
      <c r="DP124" s="1091"/>
      <c r="DQ124" s="1091"/>
      <c r="DR124" s="1091"/>
      <c r="DS124" s="1091"/>
      <c r="DT124" s="1091"/>
      <c r="DU124" s="1091"/>
      <c r="DV124" s="1091"/>
      <c r="DW124" s="1091"/>
      <c r="DX124" s="1091"/>
      <c r="DY124" s="1091"/>
      <c r="DZ124" s="1091"/>
      <c r="EA124" s="1091"/>
      <c r="EB124" s="1091"/>
    </row>
    <row r="125" spans="1:132" ht="11.25" hidden="1" customHeight="1" outlineLevel="1" x14ac:dyDescent="0.2">
      <c r="B125" s="1143" t="s">
        <v>490</v>
      </c>
      <c r="C125" s="1136"/>
      <c r="D125" s="1135"/>
      <c r="E125" s="1135"/>
      <c r="F125" s="1135"/>
      <c r="G125" s="1140"/>
      <c r="H125" s="1141"/>
      <c r="I125" s="1142"/>
      <c r="J125" s="1141"/>
      <c r="K125" s="1141"/>
      <c r="L125" s="1141"/>
      <c r="M125" s="1159">
        <f>+(M124-G124)*10000</f>
        <v>-23.842555503722217</v>
      </c>
      <c r="N125" s="1141"/>
      <c r="O125" s="1142"/>
      <c r="P125" s="1141"/>
      <c r="Q125" s="1141"/>
      <c r="R125" s="1141"/>
      <c r="S125" s="1159">
        <f>+(S124-M124)*10000</f>
        <v>69.83457379907631</v>
      </c>
      <c r="T125" s="1141"/>
      <c r="U125" s="1142"/>
      <c r="V125" s="1141"/>
      <c r="W125" s="1141"/>
      <c r="X125" s="1141"/>
      <c r="Y125" s="1159">
        <f>+(Y124-S124)*10000</f>
        <v>31.312425088432239</v>
      </c>
      <c r="Z125" s="1141"/>
      <c r="AA125" s="1142"/>
      <c r="AB125" s="1141"/>
      <c r="AC125" s="1141"/>
      <c r="AD125" s="1141"/>
      <c r="AE125" s="1159">
        <f>+(AE124-Y124)*10000</f>
        <v>-34.485127627698894</v>
      </c>
      <c r="AF125" s="1141"/>
      <c r="AG125" s="1142"/>
      <c r="AH125" s="1141"/>
      <c r="AI125" s="1141"/>
      <c r="AJ125" s="1141"/>
      <c r="AK125" s="1159">
        <f>+(AK124-AE124)*10000</f>
        <v>106.57944345970338</v>
      </c>
      <c r="AL125" s="1141"/>
      <c r="AM125" s="1142"/>
      <c r="AN125" s="1141"/>
      <c r="AO125" s="1141"/>
      <c r="AP125" s="1141"/>
      <c r="AQ125" s="1159">
        <f>+(AQ124-AK124)*10000</f>
        <v>9.6224160275790176</v>
      </c>
      <c r="AR125" s="1141"/>
      <c r="AS125" s="1142"/>
      <c r="AT125" s="1141"/>
      <c r="AU125" s="1141"/>
      <c r="AV125" s="1141"/>
      <c r="AW125" s="1159">
        <f>+(AW124-AQ124)*10000</f>
        <v>-26.231047613952395</v>
      </c>
      <c r="AX125" s="1141"/>
      <c r="AY125" s="1142"/>
      <c r="AZ125" s="1141"/>
      <c r="BA125" s="1141"/>
      <c r="BB125" s="1141"/>
      <c r="BC125" s="1159">
        <f>+(BC124-AW124)*10000</f>
        <v>-3.1236381820964887</v>
      </c>
      <c r="BD125" s="1141"/>
      <c r="BE125" s="1142"/>
      <c r="BF125" s="1141"/>
      <c r="BG125" s="1141"/>
      <c r="BH125" s="1141"/>
      <c r="BI125" s="1159">
        <f>+(BI124-BC124)*10000</f>
        <v>-75.643717505046723</v>
      </c>
      <c r="BJ125" s="1141"/>
      <c r="BK125" s="1142"/>
      <c r="BL125" s="1141"/>
      <c r="BM125" s="1141"/>
      <c r="BN125" s="1141"/>
      <c r="BO125" s="1159">
        <f>+(BO124-BI124)*10000</f>
        <v>39.930677584336379</v>
      </c>
      <c r="BP125" s="1141"/>
      <c r="BQ125" s="1142"/>
      <c r="BR125" s="1141"/>
      <c r="BS125" s="1141"/>
      <c r="BT125" s="1141"/>
      <c r="BU125" s="1159">
        <f>+(BU124-BO124)*10000</f>
        <v>181.51460640292356</v>
      </c>
      <c r="BV125" s="1141"/>
      <c r="BW125" s="1142"/>
      <c r="BX125" s="1141"/>
      <c r="BY125" s="1141"/>
      <c r="BZ125" s="1141"/>
      <c r="CA125" s="1159">
        <f>+(CA124-BU124)*10000</f>
        <v>115.25042740127778</v>
      </c>
      <c r="CB125" s="1141"/>
      <c r="CC125" s="1142"/>
      <c r="CD125" s="1141"/>
      <c r="CE125" s="1141"/>
      <c r="CF125" s="1141"/>
      <c r="CG125" s="1159">
        <f>+(CG124-CA124)*10000</f>
        <v>29.990592673416749</v>
      </c>
      <c r="CH125" s="1141"/>
      <c r="CI125" s="1142"/>
      <c r="CJ125" s="1141"/>
      <c r="CK125" s="1141"/>
      <c r="CL125" s="1141"/>
      <c r="CM125" s="1159">
        <f>+(CM124-CG124)*10000</f>
        <v>30.001101834343793</v>
      </c>
      <c r="CN125" s="1091"/>
      <c r="CO125" s="1091"/>
      <c r="CP125" s="1091"/>
      <c r="CW125" s="1091"/>
      <c r="CX125" s="1091"/>
      <c r="CY125" s="1091"/>
      <c r="CZ125" s="1091"/>
      <c r="DA125" s="1091"/>
      <c r="DB125" s="1091"/>
      <c r="DC125" s="1091"/>
      <c r="DD125" s="1091"/>
      <c r="DE125" s="1091"/>
      <c r="DF125" s="1091"/>
      <c r="DG125" s="1091"/>
      <c r="DH125" s="1091"/>
      <c r="DI125" s="1091"/>
      <c r="DJ125" s="1091"/>
      <c r="DK125" s="1091"/>
      <c r="DL125" s="1091"/>
      <c r="DM125" s="1091"/>
      <c r="DN125" s="1091"/>
      <c r="DO125" s="1091"/>
      <c r="DP125" s="1091"/>
      <c r="DQ125" s="1091"/>
      <c r="DR125" s="1091"/>
      <c r="DS125" s="1091"/>
      <c r="DT125" s="1091"/>
      <c r="DU125" s="1091"/>
      <c r="DV125" s="1091"/>
      <c r="DW125" s="1091"/>
      <c r="DX125" s="1091"/>
      <c r="DY125" s="1091"/>
      <c r="DZ125" s="1091"/>
      <c r="EA125" s="1091"/>
      <c r="EB125" s="1091"/>
    </row>
    <row r="126" spans="1:132" ht="11.25" hidden="1" customHeight="1" outlineLevel="1" x14ac:dyDescent="0.2">
      <c r="B126" s="1139" t="s">
        <v>494</v>
      </c>
      <c r="C126" s="1136"/>
      <c r="D126" s="1135"/>
      <c r="E126" s="1135"/>
      <c r="F126" s="1135"/>
      <c r="G126" s="589">
        <f>+G118-G170</f>
        <v>0.1555554370521699</v>
      </c>
      <c r="H126" s="85"/>
      <c r="I126" s="996"/>
      <c r="J126" s="85"/>
      <c r="K126" s="85"/>
      <c r="L126" s="85"/>
      <c r="M126" s="589">
        <f>+M118-M170</f>
        <v>0.15070764537091172</v>
      </c>
      <c r="N126" s="85"/>
      <c r="O126" s="996"/>
      <c r="P126" s="85"/>
      <c r="Q126" s="85"/>
      <c r="R126" s="85"/>
      <c r="S126" s="589">
        <f>+S118-S170</f>
        <v>0.14760501698904385</v>
      </c>
      <c r="T126" s="1135"/>
      <c r="U126" s="1136"/>
      <c r="V126" s="1135"/>
      <c r="W126" s="1135"/>
      <c r="X126" s="1135"/>
      <c r="Y126" s="589">
        <f>+Y118-Y170</f>
        <v>0.14587043804693717</v>
      </c>
      <c r="Z126" s="1135"/>
      <c r="AA126" s="1136"/>
      <c r="AB126" s="1135"/>
      <c r="AC126" s="1135"/>
      <c r="AD126" s="1135"/>
      <c r="AE126" s="589">
        <f>+AE118-AE170</f>
        <v>0.13815485670087513</v>
      </c>
      <c r="AF126" s="1135"/>
      <c r="AG126" s="1136"/>
      <c r="AH126" s="1135"/>
      <c r="AI126" s="1135"/>
      <c r="AJ126" s="1135"/>
      <c r="AK126" s="589">
        <f>+AK118-AK170</f>
        <v>0.13015472614732737</v>
      </c>
      <c r="AL126" s="1135"/>
      <c r="AM126" s="1136"/>
      <c r="AN126" s="1135"/>
      <c r="AO126" s="1135"/>
      <c r="AP126" s="1135"/>
      <c r="AQ126" s="589">
        <f>+AQ118-AQ170</f>
        <v>0.13381128640374979</v>
      </c>
      <c r="AR126" s="1135"/>
      <c r="AS126" s="1136"/>
      <c r="AT126" s="1135"/>
      <c r="AU126" s="1135"/>
      <c r="AV126" s="1135"/>
      <c r="AW126" s="589">
        <f>+AW118-AW170</f>
        <v>8.6539317763938819E-2</v>
      </c>
      <c r="AX126" s="1135"/>
      <c r="AY126" s="1136"/>
      <c r="AZ126" s="1135"/>
      <c r="BA126" s="1135"/>
      <c r="BB126" s="1135"/>
      <c r="BC126" s="589">
        <f>+BC118-BC170</f>
        <v>8.3475335891855518E-2</v>
      </c>
      <c r="BD126" s="1135"/>
      <c r="BE126" s="1136"/>
      <c r="BF126" s="1135"/>
      <c r="BG126" s="1135"/>
      <c r="BH126" s="1135"/>
      <c r="BI126" s="589">
        <f>+BI118-BI170</f>
        <v>7.8725773683561429E-2</v>
      </c>
      <c r="BJ126" s="1135"/>
      <c r="BK126" s="1136"/>
      <c r="BL126" s="1135"/>
      <c r="BM126" s="1135"/>
      <c r="BN126" s="1135"/>
      <c r="BO126" s="589">
        <f>+BO118-BO170</f>
        <v>8.0463274243581767E-2</v>
      </c>
      <c r="BP126" s="1135"/>
      <c r="BQ126" s="1136"/>
      <c r="BR126" s="1135"/>
      <c r="BS126" s="1135"/>
      <c r="BT126" s="1135"/>
      <c r="BU126" s="589">
        <f>+BU118-BU170</f>
        <v>8.1895644688277813E-2</v>
      </c>
      <c r="BV126" s="1135"/>
      <c r="BW126" s="1136"/>
      <c r="BX126" s="1135"/>
      <c r="BY126" s="1135"/>
      <c r="BZ126" s="1135"/>
      <c r="CA126" s="589">
        <f>+CA118-CA170</f>
        <v>8.3629285636627401E-2</v>
      </c>
      <c r="CB126" s="1135"/>
      <c r="CC126" s="1136"/>
      <c r="CD126" s="1135"/>
      <c r="CE126" s="1135"/>
      <c r="CF126" s="1135"/>
      <c r="CG126" s="589">
        <f>+CG118-CG170</f>
        <v>8.3129197704176955E-2</v>
      </c>
      <c r="CH126" s="1135"/>
      <c r="CI126" s="1136"/>
      <c r="CJ126" s="1135"/>
      <c r="CK126" s="1135"/>
      <c r="CL126" s="1135"/>
      <c r="CM126" s="589">
        <f>+CM118-CM170</f>
        <v>8.2629111495410218E-2</v>
      </c>
      <c r="CN126" s="1091"/>
      <c r="CO126" s="1193">
        <f>+(BO126-G126)/10</f>
        <v>-7.5092162808588128E-3</v>
      </c>
      <c r="CP126" s="1193">
        <f>+(BO126-AK126)/5</f>
        <v>-9.9382903807491204E-3</v>
      </c>
      <c r="CW126" s="1091"/>
      <c r="CX126" s="1091"/>
      <c r="CY126" s="1091"/>
      <c r="CZ126" s="1091"/>
      <c r="DA126" s="1091"/>
      <c r="DB126" s="1091"/>
      <c r="DC126" s="1091"/>
      <c r="DD126" s="1091"/>
      <c r="DE126" s="1091"/>
      <c r="DF126" s="1091"/>
      <c r="DG126" s="1091"/>
      <c r="DH126" s="1091"/>
      <c r="DI126" s="1091"/>
      <c r="DJ126" s="1091"/>
      <c r="DK126" s="1091"/>
      <c r="DL126" s="1091"/>
      <c r="DM126" s="1091"/>
      <c r="DN126" s="1091"/>
      <c r="DO126" s="1091"/>
      <c r="DP126" s="1091"/>
      <c r="DQ126" s="1091"/>
      <c r="DR126" s="1091"/>
      <c r="DS126" s="1091"/>
      <c r="DT126" s="1091"/>
      <c r="DU126" s="1091"/>
      <c r="DV126" s="1091"/>
      <c r="DW126" s="1091"/>
      <c r="DX126" s="1091"/>
      <c r="DY126" s="1091"/>
      <c r="DZ126" s="1091"/>
      <c r="EA126" s="1091"/>
      <c r="EB126" s="1091"/>
    </row>
    <row r="127" spans="1:132" ht="11.25" hidden="1" customHeight="1" outlineLevel="1" x14ac:dyDescent="0.2">
      <c r="B127" s="1143" t="s">
        <v>490</v>
      </c>
      <c r="C127" s="1142"/>
      <c r="D127" s="1141"/>
      <c r="E127" s="1141"/>
      <c r="F127" s="1141"/>
      <c r="G127" s="1140"/>
      <c r="H127" s="1141"/>
      <c r="I127" s="1142"/>
      <c r="J127" s="1141"/>
      <c r="K127" s="1141"/>
      <c r="L127" s="1141"/>
      <c r="M127" s="1159">
        <f>+(M126-G126)*10000</f>
        <v>-48.477916812581789</v>
      </c>
      <c r="N127" s="1141"/>
      <c r="O127" s="1142"/>
      <c r="P127" s="1141"/>
      <c r="Q127" s="1141"/>
      <c r="R127" s="1141"/>
      <c r="S127" s="1159">
        <f>+(S126-M126)*10000</f>
        <v>-31.026283818678667</v>
      </c>
      <c r="T127" s="1141"/>
      <c r="U127" s="1142"/>
      <c r="V127" s="1141"/>
      <c r="W127" s="1141"/>
      <c r="X127" s="1141"/>
      <c r="Y127" s="1159">
        <f>+(Y126-S126)*10000</f>
        <v>-17.345789421066847</v>
      </c>
      <c r="Z127" s="1141"/>
      <c r="AA127" s="1142"/>
      <c r="AB127" s="1141"/>
      <c r="AC127" s="1141"/>
      <c r="AD127" s="1141"/>
      <c r="AE127" s="1159">
        <f>+(AE126-Y126)*10000</f>
        <v>-77.155813460620394</v>
      </c>
      <c r="AF127" s="1141"/>
      <c r="AG127" s="1142"/>
      <c r="AH127" s="1141"/>
      <c r="AI127" s="1141"/>
      <c r="AJ127" s="1141"/>
      <c r="AK127" s="1159">
        <f>+(AK126-AE126)*10000</f>
        <v>-80.00130553547757</v>
      </c>
      <c r="AL127" s="1141"/>
      <c r="AM127" s="1142"/>
      <c r="AN127" s="1141"/>
      <c r="AO127" s="1141"/>
      <c r="AP127" s="1141"/>
      <c r="AQ127" s="1159">
        <f>+(AQ126-AK126)*10000</f>
        <v>36.565602564224143</v>
      </c>
      <c r="AR127" s="1141"/>
      <c r="AS127" s="1142"/>
      <c r="AT127" s="1141"/>
      <c r="AU127" s="1141"/>
      <c r="AV127" s="1141"/>
      <c r="AW127" s="1159">
        <f>+(AW126-AQ126)*10000</f>
        <v>-472.71968639810967</v>
      </c>
      <c r="AX127" s="1141"/>
      <c r="AY127" s="1142"/>
      <c r="AZ127" s="1141"/>
      <c r="BA127" s="1141"/>
      <c r="BB127" s="1141"/>
      <c r="BC127" s="1159">
        <f>+(BC126-AW126)*10000</f>
        <v>-30.639818720833016</v>
      </c>
      <c r="BD127" s="1141"/>
      <c r="BE127" s="1142"/>
      <c r="BF127" s="1141"/>
      <c r="BG127" s="1141"/>
      <c r="BH127" s="1141"/>
      <c r="BI127" s="1159">
        <f>+(BI126-BC126)*10000</f>
        <v>-47.495622082940891</v>
      </c>
      <c r="BJ127" s="1141"/>
      <c r="BK127" s="1142"/>
      <c r="BL127" s="1141"/>
      <c r="BM127" s="1141"/>
      <c r="BN127" s="1141"/>
      <c r="BO127" s="1159">
        <f>+(BO126-BI126)*10000</f>
        <v>17.375005600203387</v>
      </c>
      <c r="BP127" s="1141"/>
      <c r="BQ127" s="1142"/>
      <c r="BR127" s="1141"/>
      <c r="BS127" s="1141"/>
      <c r="BT127" s="1141"/>
      <c r="BU127" s="1159">
        <f>+(BU126-BO126)*10000</f>
        <v>14.323704446960461</v>
      </c>
      <c r="BV127" s="1141"/>
      <c r="BW127" s="1142"/>
      <c r="BX127" s="1141"/>
      <c r="BY127" s="1141"/>
      <c r="BZ127" s="1141"/>
      <c r="CA127" s="1159">
        <f>+(CA126-BU126)*10000</f>
        <v>17.336409483495878</v>
      </c>
      <c r="CB127" s="1141"/>
      <c r="CC127" s="1142"/>
      <c r="CD127" s="1141"/>
      <c r="CE127" s="1141"/>
      <c r="CF127" s="1141"/>
      <c r="CG127" s="1159">
        <f>+(CG126-CA126)*10000</f>
        <v>-5.0008793245044645</v>
      </c>
      <c r="CH127" s="1141"/>
      <c r="CI127" s="1142"/>
      <c r="CJ127" s="1141"/>
      <c r="CK127" s="1141"/>
      <c r="CL127" s="1141"/>
      <c r="CM127" s="1159">
        <f>+(CM126-CG126)*10000</f>
        <v>-5.0008620876673682</v>
      </c>
      <c r="CN127" s="1091"/>
      <c r="CO127" s="1091"/>
      <c r="CP127" s="1091"/>
      <c r="CW127" s="1091"/>
      <c r="CX127" s="1091"/>
      <c r="CY127" s="1091"/>
      <c r="CZ127" s="1091"/>
      <c r="DA127" s="1091"/>
      <c r="DB127" s="1091"/>
      <c r="DC127" s="1091"/>
      <c r="DD127" s="1091"/>
      <c r="DE127" s="1091"/>
      <c r="DF127" s="1091"/>
      <c r="DG127" s="1091"/>
      <c r="DH127" s="1091"/>
      <c r="DI127" s="1091"/>
      <c r="DJ127" s="1091"/>
      <c r="DK127" s="1091"/>
      <c r="DL127" s="1091"/>
      <c r="DM127" s="1091"/>
      <c r="DN127" s="1091"/>
      <c r="DO127" s="1091"/>
      <c r="DP127" s="1091"/>
      <c r="DQ127" s="1091"/>
      <c r="DR127" s="1091"/>
      <c r="DS127" s="1091"/>
      <c r="DT127" s="1091"/>
      <c r="DU127" s="1091"/>
      <c r="DV127" s="1091"/>
      <c r="DW127" s="1091"/>
      <c r="DX127" s="1091"/>
      <c r="DY127" s="1091"/>
      <c r="DZ127" s="1091"/>
      <c r="EA127" s="1091"/>
      <c r="EB127" s="1091"/>
    </row>
    <row r="128" spans="1:132" ht="11.25" customHeight="1" collapsed="1" x14ac:dyDescent="0.2">
      <c r="B128" s="1090" t="s">
        <v>285</v>
      </c>
      <c r="C128" s="578">
        <f>+C11</f>
        <v>153.87700000000001</v>
      </c>
      <c r="D128" s="136">
        <f>+D11</f>
        <v>157.608</v>
      </c>
      <c r="E128" s="136">
        <f>+E11</f>
        <v>157.58000000000001</v>
      </c>
      <c r="F128" s="136">
        <f>+F11</f>
        <v>164.11699999999999</v>
      </c>
      <c r="G128" s="594">
        <f>+G11</f>
        <v>633.18200000000002</v>
      </c>
      <c r="H128" s="1025"/>
      <c r="I128" s="578">
        <f>+I11</f>
        <v>161.92699999999999</v>
      </c>
      <c r="J128" s="136">
        <f>+J11</f>
        <v>166.68600000000001</v>
      </c>
      <c r="K128" s="136">
        <f>+K11</f>
        <v>172.024</v>
      </c>
      <c r="L128" s="136">
        <f>+L11</f>
        <v>171.88499999999999</v>
      </c>
      <c r="M128" s="594">
        <f>+M11</f>
        <v>672.52199999999993</v>
      </c>
      <c r="N128" s="1025"/>
      <c r="O128" s="578">
        <f>+O11</f>
        <v>172.136</v>
      </c>
      <c r="P128" s="136">
        <f>+P11</f>
        <v>170.97300000000001</v>
      </c>
      <c r="Q128" s="136">
        <f>+Q11</f>
        <v>177.56700000000001</v>
      </c>
      <c r="R128" s="136">
        <f>+R11</f>
        <v>176.62200000000001</v>
      </c>
      <c r="S128" s="594">
        <f>+S11</f>
        <v>697.298</v>
      </c>
      <c r="T128" s="1025"/>
      <c r="U128" s="578">
        <f>+U11</f>
        <v>181.89400000000001</v>
      </c>
      <c r="V128" s="136">
        <f>+V11</f>
        <v>182.05099999999999</v>
      </c>
      <c r="W128" s="136">
        <f>+W11</f>
        <v>182.30199999999999</v>
      </c>
      <c r="X128" s="136">
        <f>+X11</f>
        <v>187.863</v>
      </c>
      <c r="Y128" s="594">
        <f>+Y11</f>
        <v>734.1099999999999</v>
      </c>
      <c r="Z128" s="1025"/>
      <c r="AA128" s="578">
        <f>+AA11</f>
        <v>191.17599999999999</v>
      </c>
      <c r="AB128" s="136">
        <f>+AB11</f>
        <v>189.04900000000001</v>
      </c>
      <c r="AC128" s="136">
        <f>+AC11</f>
        <v>188.16800000000001</v>
      </c>
      <c r="AD128" s="136">
        <f>+AD11</f>
        <v>199.82400000000001</v>
      </c>
      <c r="AE128" s="594">
        <f>+AE11</f>
        <v>768.2170000000001</v>
      </c>
      <c r="AF128" s="1025"/>
      <c r="AG128" s="578">
        <f>+AG11</f>
        <v>196.28299999999999</v>
      </c>
      <c r="AH128" s="136">
        <f>+AH11</f>
        <v>197.72399999999999</v>
      </c>
      <c r="AI128" s="136">
        <f>+AI11</f>
        <v>199.62799999999999</v>
      </c>
      <c r="AJ128" s="136">
        <f>+AJ11</f>
        <v>210.87</v>
      </c>
      <c r="AK128" s="594">
        <f>+AK11</f>
        <v>804.505</v>
      </c>
      <c r="AL128" s="1025"/>
      <c r="AM128" s="578">
        <f>+AM11</f>
        <v>203.108</v>
      </c>
      <c r="AN128" s="136">
        <f>+AN11</f>
        <v>202.73</v>
      </c>
      <c r="AO128" s="136">
        <f>+AO11</f>
        <v>210.755</v>
      </c>
      <c r="AP128" s="136">
        <f>+AP11</f>
        <v>219.721</v>
      </c>
      <c r="AQ128" s="594">
        <f>+AQ11</f>
        <v>836.31399999999996</v>
      </c>
      <c r="AR128" s="1025"/>
      <c r="AS128" s="578">
        <f>+AS11</f>
        <v>200.23699999999999</v>
      </c>
      <c r="AT128" s="136">
        <f>+AT11</f>
        <v>232.18701199999998</v>
      </c>
      <c r="AU128" s="136">
        <f>+AU11</f>
        <v>213.72732100000002</v>
      </c>
      <c r="AV128" s="136">
        <f>+AV11</f>
        <v>216.654538</v>
      </c>
      <c r="AW128" s="594">
        <f>+AW11</f>
        <v>862.80587100000002</v>
      </c>
      <c r="AX128" s="1025"/>
      <c r="AY128" s="578">
        <f>+AY11</f>
        <v>181.88800000000001</v>
      </c>
      <c r="AZ128" s="136">
        <f>+AZ11</f>
        <v>184.411</v>
      </c>
      <c r="BA128" s="136">
        <f>+BA11</f>
        <v>182.29400000000001</v>
      </c>
      <c r="BB128" s="136">
        <f>+BB11</f>
        <v>194.81700000000001</v>
      </c>
      <c r="BC128" s="594">
        <f>+BC11</f>
        <v>743.41</v>
      </c>
      <c r="BD128" s="1025"/>
      <c r="BE128" s="578">
        <f>+BE11</f>
        <v>205.268</v>
      </c>
      <c r="BF128" s="136">
        <f>+BF11</f>
        <v>233.66800000000001</v>
      </c>
      <c r="BG128" s="136">
        <f>+BG11</f>
        <v>231.527323</v>
      </c>
      <c r="BH128" s="136">
        <f>+BH11</f>
        <v>244.09906999999998</v>
      </c>
      <c r="BI128" s="594">
        <f>+BI11</f>
        <v>914.56239300000004</v>
      </c>
      <c r="BJ128" s="1025"/>
      <c r="BK128" s="578">
        <f>+BK11</f>
        <v>236.52599999999998</v>
      </c>
      <c r="BL128" s="136">
        <f>+BL11</f>
        <v>227.21</v>
      </c>
      <c r="BM128" s="136">
        <f>+BM11</f>
        <v>236.08299999999997</v>
      </c>
      <c r="BN128" s="136">
        <f>+BN11</f>
        <v>229.16299999999998</v>
      </c>
      <c r="BO128" s="594">
        <f>+BO11</f>
        <v>928.98199999999997</v>
      </c>
      <c r="BP128" s="136"/>
      <c r="BQ128" s="578">
        <f>+BQ11</f>
        <v>225.679</v>
      </c>
      <c r="BR128" s="136">
        <f>+BR11</f>
        <v>232.63600000000002</v>
      </c>
      <c r="BS128" s="136">
        <f>+BS11</f>
        <v>234.99799999999999</v>
      </c>
      <c r="BT128" s="136">
        <f>+BT129*BT8</f>
        <v>245.06567164904683</v>
      </c>
      <c r="BU128" s="594">
        <f>+SUM(BQ128:BT128)</f>
        <v>938.37867164904696</v>
      </c>
      <c r="BV128" s="136"/>
      <c r="BW128" s="578">
        <f>+BW129*BW8</f>
        <v>229.38434225</v>
      </c>
      <c r="BX128" s="136">
        <f>+BX129*BX8</f>
        <v>243.50296460000004</v>
      </c>
      <c r="BY128" s="136">
        <f>+BY129*BY8</f>
        <v>239.95195474239048</v>
      </c>
      <c r="BZ128" s="136">
        <f>+BZ129*BZ8</f>
        <v>252.85227681257368</v>
      </c>
      <c r="CA128" s="594">
        <f>+SUM(BW128:BZ128)</f>
        <v>965.69153840496426</v>
      </c>
      <c r="CB128" s="136"/>
      <c r="CC128" s="578">
        <f>+CC129*CC8</f>
        <v>233.740955028</v>
      </c>
      <c r="CD128" s="136">
        <f>+CD129*CD8</f>
        <v>247.9811351381</v>
      </c>
      <c r="CE128" s="136">
        <f>+CE129*CE8</f>
        <v>244.90034635037145</v>
      </c>
      <c r="CF128" s="136">
        <f>+CF129*CF8</f>
        <v>258.09597731615582</v>
      </c>
      <c r="CG128" s="594">
        <f>+SUM(CC128:CF128)</f>
        <v>984.71841383262722</v>
      </c>
      <c r="CH128" s="136"/>
      <c r="CI128" s="578">
        <f>+CI129*CI8</f>
        <v>238.67717406839799</v>
      </c>
      <c r="CJ128" s="136">
        <f>+CJ129*CJ8</f>
        <v>253.18754948390404</v>
      </c>
      <c r="CK128" s="136">
        <f>+CK129*CK8</f>
        <v>249.96801188046413</v>
      </c>
      <c r="CL128" s="136">
        <f>+CL129*CL8</f>
        <v>263.46649376601789</v>
      </c>
      <c r="CM128" s="594">
        <f>+SUM(CI128:CL128)</f>
        <v>1005.2992291987841</v>
      </c>
      <c r="CN128" s="17"/>
      <c r="CO128" s="17"/>
      <c r="CP128" s="17"/>
    </row>
    <row r="129" spans="1:100" s="1094" customFormat="1" ht="11.25" customHeight="1" x14ac:dyDescent="0.2">
      <c r="A129" s="30"/>
      <c r="B129" s="1092" t="s">
        <v>483</v>
      </c>
      <c r="C129" s="1093">
        <f>+C128/C$8</f>
        <v>0.23475181849248195</v>
      </c>
      <c r="D129" s="484">
        <f>+D128/D$8</f>
        <v>0.22701156461507216</v>
      </c>
      <c r="E129" s="484">
        <f>+E128/E$8</f>
        <v>0.22210194871274458</v>
      </c>
      <c r="F129" s="484">
        <f>+F128/F$8</f>
        <v>0.22203687243199216</v>
      </c>
      <c r="G129" s="995">
        <f>+G128/G$8</f>
        <v>0.22626588498133574</v>
      </c>
      <c r="H129" s="484"/>
      <c r="I129" s="1093">
        <f>+I128/I$8</f>
        <v>0.23086157316122113</v>
      </c>
      <c r="J129" s="484">
        <f>+J128/J$8</f>
        <v>0.22464662691781045</v>
      </c>
      <c r="K129" s="484">
        <f>+K128/K$8</f>
        <v>0.22141049699721729</v>
      </c>
      <c r="L129" s="484">
        <f>+L128/L$8</f>
        <v>0.22082174956448453</v>
      </c>
      <c r="M129" s="995">
        <f>+M128/M$8</f>
        <v>0.22426901530615137</v>
      </c>
      <c r="N129" s="484"/>
      <c r="O129" s="1093">
        <f>+O128/O$8</f>
        <v>0.23140944722050816</v>
      </c>
      <c r="P129" s="484">
        <f>+P128/P$8</f>
        <v>0.22512413408983478</v>
      </c>
      <c r="Q129" s="484">
        <f>+Q128/Q$8</f>
        <v>0.21894200287784688</v>
      </c>
      <c r="R129" s="484">
        <f>+R128/R$8</f>
        <v>0.22647214201086316</v>
      </c>
      <c r="S129" s="995">
        <f>+S128/S$8</f>
        <v>0.22535450695763432</v>
      </c>
      <c r="T129" s="484"/>
      <c r="U129" s="1093">
        <f>+U128/U$8</f>
        <v>0.2303683355307069</v>
      </c>
      <c r="V129" s="484">
        <f>+V128/V$8</f>
        <v>0.22338889086583116</v>
      </c>
      <c r="W129" s="484">
        <f>+W128/W$8</f>
        <v>0.22229674033391703</v>
      </c>
      <c r="X129" s="484">
        <f>+X128/X$8</f>
        <v>0.23114146576734643</v>
      </c>
      <c r="Y129" s="995">
        <f>+Y128/Y$8</f>
        <v>0.22676080875375609</v>
      </c>
      <c r="Z129" s="484"/>
      <c r="AA129" s="1093">
        <f>+AA128/AA$8</f>
        <v>0.22496931584032231</v>
      </c>
      <c r="AB129" s="484">
        <f>+AB128/AB$8</f>
        <v>0.22048741914641004</v>
      </c>
      <c r="AC129" s="484">
        <f>+AC128/AC$8</f>
        <v>0.2281792275510823</v>
      </c>
      <c r="AD129" s="484">
        <f>+AD128/AD$8</f>
        <v>0.22609154136763299</v>
      </c>
      <c r="AE129" s="995">
        <f>+AE128/AE$8</f>
        <v>0.22490960777826899</v>
      </c>
      <c r="AF129" s="484"/>
      <c r="AG129" s="1093">
        <f>+AG128/AG$8</f>
        <v>0.23162367745940038</v>
      </c>
      <c r="AH129" s="484">
        <f>+AH128/AH$8</f>
        <v>0.23075010940919036</v>
      </c>
      <c r="AI129" s="484">
        <f>+AI128/AI$8</f>
        <v>0.22304056847256515</v>
      </c>
      <c r="AJ129" s="484">
        <f>+AJ128/AJ$8</f>
        <v>0.22520809881943837</v>
      </c>
      <c r="AK129" s="995">
        <f>+AK128/AK$8</f>
        <v>0.22754019686842147</v>
      </c>
      <c r="AL129" s="484"/>
      <c r="AM129" s="1093">
        <f>+AM128/AM$8</f>
        <v>0.22841013241867919</v>
      </c>
      <c r="AN129" s="484">
        <f>+AN128/AN$8</f>
        <v>0.23377725604334906</v>
      </c>
      <c r="AO129" s="484">
        <f>+AO128/AO$8</f>
        <v>0.23011679719957503</v>
      </c>
      <c r="AP129" s="484">
        <f>+AP128/AP$8</f>
        <v>0.22770596507736807</v>
      </c>
      <c r="AQ129" s="995">
        <f>+AQ128/AQ$8</f>
        <v>0.22993270669952698</v>
      </c>
      <c r="AR129" s="484"/>
      <c r="AS129" s="1093">
        <f>+AS128/AS$8</f>
        <v>0.22750972873171424</v>
      </c>
      <c r="AT129" s="484">
        <f>+AT128/AT$8</f>
        <v>0.23245805809573963</v>
      </c>
      <c r="AU129" s="484">
        <f>+AU128/AU$8</f>
        <v>0.19740599106475695</v>
      </c>
      <c r="AV129" s="484">
        <f>+AV128/AV$8</f>
        <v>0.19658747800743506</v>
      </c>
      <c r="AW129" s="995">
        <f>+AW128/AW$8</f>
        <v>0.21231948377285317</v>
      </c>
      <c r="AX129" s="484"/>
      <c r="AY129" s="1093">
        <f>+AY128/AY$8</f>
        <v>0.1937130174363868</v>
      </c>
      <c r="AZ129" s="484">
        <f>+AZ128/AZ$8</f>
        <v>0.18851689803929586</v>
      </c>
      <c r="BA129" s="484">
        <f>+BA128/BA$8</f>
        <v>0.19016135560405079</v>
      </c>
      <c r="BB129" s="484">
        <f>+BB128/BB$8</f>
        <v>0.18821789247203791</v>
      </c>
      <c r="BC129" s="995">
        <f>+BC128/BC$8</f>
        <v>0.19008838198199121</v>
      </c>
      <c r="BD129" s="484"/>
      <c r="BE129" s="1093">
        <f>+BE128/BE$8</f>
        <v>0.17960747941585659</v>
      </c>
      <c r="BF129" s="484">
        <f>+BF128/BF$8</f>
        <v>0.16820207168102735</v>
      </c>
      <c r="BG129" s="484">
        <f>+BG128/BG$8</f>
        <v>0.16527595900497766</v>
      </c>
      <c r="BH129" s="484">
        <f>+BH128/BH$8</f>
        <v>0.16790762637831294</v>
      </c>
      <c r="BI129" s="995">
        <f>+BI128/BI$8</f>
        <v>0.16978147727840204</v>
      </c>
      <c r="BJ129" s="484"/>
      <c r="BK129" s="1093">
        <f>+BK128/BK$8</f>
        <v>0.17751396689972351</v>
      </c>
      <c r="BL129" s="484">
        <f>+BL128/BL$8</f>
        <v>0.16020549398868036</v>
      </c>
      <c r="BM129" s="484">
        <f>+BM128/BM$8</f>
        <v>0.1689422921416498</v>
      </c>
      <c r="BN129" s="484">
        <f>+BN128/BN$8</f>
        <v>0.15858679946188042</v>
      </c>
      <c r="BO129" s="995">
        <f>+BO128/BO$8</f>
        <v>0.16609349296019921</v>
      </c>
      <c r="BP129" s="1111"/>
      <c r="BQ129" s="1093">
        <f>+BQ128/BQ$8</f>
        <v>0.17305145635162544</v>
      </c>
      <c r="BR129" s="484">
        <f>+BR128/BR$8</f>
        <v>0.16787889765518277</v>
      </c>
      <c r="BS129" s="484">
        <f>+BS128/BS$8</f>
        <v>0.17088004700332018</v>
      </c>
      <c r="BT129" s="1122">
        <v>0.17</v>
      </c>
      <c r="BU129" s="995">
        <f>+BU128/BU$8</f>
        <v>0.17040867413127006</v>
      </c>
      <c r="BV129" s="1111"/>
      <c r="BW129" s="1123">
        <v>0.17499999999999999</v>
      </c>
      <c r="BX129" s="1122">
        <v>0.17</v>
      </c>
      <c r="BY129" s="1122">
        <f>+BS129-0.001</f>
        <v>0.16988004700332018</v>
      </c>
      <c r="BZ129" s="1122">
        <f>+BT129-0.001</f>
        <v>0.16900000000000001</v>
      </c>
      <c r="CA129" s="995">
        <f>+CA128/CA$8</f>
        <v>0.17086490210528257</v>
      </c>
      <c r="CB129" s="1111"/>
      <c r="CC129" s="1123">
        <f>+BW129-0.001</f>
        <v>0.17399999999999999</v>
      </c>
      <c r="CD129" s="1122">
        <f>+BX129-0.001</f>
        <v>0.16900000000000001</v>
      </c>
      <c r="CE129" s="1122">
        <f>+BY129-0.001</f>
        <v>0.16888004700332018</v>
      </c>
      <c r="CF129" s="1122">
        <f>+BZ129-0.001</f>
        <v>0.16800000000000001</v>
      </c>
      <c r="CG129" s="995">
        <f>+CG128/CG$8</f>
        <v>0.1698636126585521</v>
      </c>
      <c r="CH129" s="1111"/>
      <c r="CI129" s="1123">
        <f>+CC129-0.001</f>
        <v>0.17299999999999999</v>
      </c>
      <c r="CJ129" s="1122">
        <f>+CD129-0.001</f>
        <v>0.16800000000000001</v>
      </c>
      <c r="CK129" s="1122">
        <f>+CE129-0.001</f>
        <v>0.16788004700332018</v>
      </c>
      <c r="CL129" s="1122">
        <f>+CF129-0.001</f>
        <v>0.16700000000000001</v>
      </c>
      <c r="CM129" s="995">
        <f>+CM128/CM$8</f>
        <v>0.16886370911837645</v>
      </c>
      <c r="CN129" s="1113"/>
      <c r="CO129" s="1193">
        <f>+(BO129-G129)/10</f>
        <v>-6.0172392021136528E-3</v>
      </c>
      <c r="CP129" s="1193">
        <f>+(BO129-AK129)/5</f>
        <v>-1.2289340781644453E-2</v>
      </c>
      <c r="CQ129"/>
      <c r="CR129"/>
      <c r="CS129"/>
      <c r="CT129"/>
      <c r="CU129"/>
      <c r="CV129"/>
    </row>
    <row r="130" spans="1:100" s="1094" customFormat="1" ht="11.25" customHeight="1" x14ac:dyDescent="0.2">
      <c r="A130" s="30"/>
      <c r="B130" s="1092"/>
      <c r="C130" s="1093"/>
      <c r="D130" s="484"/>
      <c r="E130" s="484"/>
      <c r="F130" s="484"/>
      <c r="G130" s="995"/>
      <c r="H130" s="484"/>
      <c r="I130" s="1093"/>
      <c r="J130" s="484"/>
      <c r="K130" s="484"/>
      <c r="L130" s="484"/>
      <c r="M130" s="995"/>
      <c r="N130" s="484"/>
      <c r="O130" s="1093"/>
      <c r="P130" s="484"/>
      <c r="Q130" s="484"/>
      <c r="R130" s="484"/>
      <c r="S130" s="995"/>
      <c r="T130" s="484"/>
      <c r="U130" s="1093"/>
      <c r="V130" s="484"/>
      <c r="W130" s="484"/>
      <c r="X130" s="484"/>
      <c r="Y130" s="995"/>
      <c r="Z130" s="484"/>
      <c r="AA130" s="1093"/>
      <c r="AB130" s="484"/>
      <c r="AC130" s="484"/>
      <c r="AD130" s="484"/>
      <c r="AE130" s="995"/>
      <c r="AF130" s="484"/>
      <c r="AG130" s="1093"/>
      <c r="AH130" s="484"/>
      <c r="AI130" s="484"/>
      <c r="AJ130" s="484"/>
      <c r="AK130" s="995"/>
      <c r="AL130" s="484"/>
      <c r="AM130" s="1093"/>
      <c r="AN130" s="484"/>
      <c r="AO130" s="484"/>
      <c r="AP130" s="484"/>
      <c r="AQ130" s="995"/>
      <c r="AR130" s="484"/>
      <c r="AS130" s="1093"/>
      <c r="AT130" s="484"/>
      <c r="AU130" s="484"/>
      <c r="AV130" s="484"/>
      <c r="AW130" s="995"/>
      <c r="AX130" s="484"/>
      <c r="AY130" s="1093"/>
      <c r="AZ130" s="484"/>
      <c r="BA130" s="484"/>
      <c r="BB130" s="484"/>
      <c r="BC130" s="995"/>
      <c r="BD130" s="484"/>
      <c r="BE130" s="1093"/>
      <c r="BF130" s="484"/>
      <c r="BG130" s="484"/>
      <c r="BH130" s="484"/>
      <c r="BI130" s="995"/>
      <c r="BJ130" s="484"/>
      <c r="BK130" s="1093"/>
      <c r="BL130" s="484"/>
      <c r="BM130" s="484"/>
      <c r="BN130" s="484"/>
      <c r="BO130" s="995"/>
      <c r="BP130" s="1111"/>
      <c r="BQ130" s="1093"/>
      <c r="BR130" s="484"/>
      <c r="BS130" s="484"/>
      <c r="BT130" s="1122"/>
      <c r="BU130" s="995"/>
      <c r="BV130" s="1111"/>
      <c r="BW130" s="1123"/>
      <c r="BX130" s="1122"/>
      <c r="BY130" s="1122"/>
      <c r="BZ130" s="1122"/>
      <c r="CA130" s="995"/>
      <c r="CB130" s="1111"/>
      <c r="CC130" s="1123"/>
      <c r="CD130" s="1122"/>
      <c r="CE130" s="1122"/>
      <c r="CF130" s="1122"/>
      <c r="CG130" s="995"/>
      <c r="CH130" s="1111"/>
      <c r="CI130" s="1123"/>
      <c r="CJ130" s="1122"/>
      <c r="CK130" s="1122"/>
      <c r="CL130" s="1122"/>
      <c r="CM130" s="995"/>
      <c r="CN130" s="1113"/>
      <c r="CO130" s="1113"/>
      <c r="CP130" s="1113"/>
      <c r="CQ130"/>
      <c r="CR130"/>
      <c r="CS130"/>
      <c r="CT130"/>
      <c r="CU130"/>
      <c r="CV130"/>
    </row>
    <row r="131" spans="1:100" ht="11.25" customHeight="1" x14ac:dyDescent="0.2">
      <c r="B131" s="646" t="s">
        <v>462</v>
      </c>
      <c r="C131" s="1063"/>
      <c r="D131" s="382"/>
      <c r="E131" s="382"/>
      <c r="F131" s="382"/>
      <c r="G131" s="621"/>
      <c r="H131" s="382"/>
      <c r="I131" s="1063"/>
      <c r="J131" s="382"/>
      <c r="K131" s="382"/>
      <c r="L131" s="382"/>
      <c r="M131" s="621"/>
      <c r="N131" s="382"/>
      <c r="O131" s="1063"/>
      <c r="P131" s="382"/>
      <c r="Q131" s="382"/>
      <c r="R131" s="382"/>
      <c r="S131" s="621"/>
      <c r="T131" s="382"/>
      <c r="U131" s="1063"/>
      <c r="V131" s="382"/>
      <c r="W131" s="382"/>
      <c r="X131" s="382"/>
      <c r="Y131" s="621"/>
      <c r="Z131" s="382"/>
      <c r="AA131" s="1063"/>
      <c r="AB131" s="382"/>
      <c r="AC131" s="382"/>
      <c r="AD131" s="382"/>
      <c r="AE131" s="621"/>
      <c r="AF131" s="382"/>
      <c r="AG131" s="1063"/>
      <c r="AH131" s="382"/>
      <c r="AI131" s="382"/>
      <c r="AJ131" s="382"/>
      <c r="AK131" s="621"/>
      <c r="AL131" s="1064"/>
      <c r="AM131" s="1021">
        <f>+AM166</f>
        <v>0</v>
      </c>
      <c r="AN131" s="8">
        <f>+AN166</f>
        <v>0</v>
      </c>
      <c r="AO131" s="8">
        <f>+AO166</f>
        <v>0</v>
      </c>
      <c r="AP131" s="8">
        <f>+AP166</f>
        <v>0</v>
      </c>
      <c r="AQ131" s="592">
        <f>+AQ166</f>
        <v>291.39354400000002</v>
      </c>
      <c r="AR131" s="1064"/>
      <c r="AS131" s="1021">
        <f>+AS166</f>
        <v>0</v>
      </c>
      <c r="AT131" s="8">
        <f>+AT166</f>
        <v>0</v>
      </c>
      <c r="AU131" s="8">
        <f>+AU166</f>
        <v>0</v>
      </c>
      <c r="AV131" s="8">
        <f>+AV166</f>
        <v>0</v>
      </c>
      <c r="AW131" s="592">
        <f>+AW166</f>
        <v>297.90258</v>
      </c>
      <c r="AX131" s="1064"/>
      <c r="AY131" s="1021">
        <f>+AY166</f>
        <v>62.548999999999999</v>
      </c>
      <c r="AZ131" s="8">
        <f>+AZ166</f>
        <v>73.427000000000007</v>
      </c>
      <c r="BA131" s="8">
        <f>+BA166</f>
        <v>78.048000000000002</v>
      </c>
      <c r="BB131" s="8">
        <f>+BB166</f>
        <v>86.332999999999998</v>
      </c>
      <c r="BC131" s="592">
        <f>+SUM(AY131:BB131)</f>
        <v>300.35699999999997</v>
      </c>
      <c r="BD131" s="1064"/>
      <c r="BE131" s="1021">
        <f>+BE166</f>
        <v>81.016999999999996</v>
      </c>
      <c r="BF131" s="8">
        <f>+BF166</f>
        <v>77</v>
      </c>
      <c r="BG131" s="8">
        <f>+BG166</f>
        <v>83.138000000000005</v>
      </c>
      <c r="BH131" s="8">
        <f>+BH166</f>
        <v>90.500999999999991</v>
      </c>
      <c r="BI131" s="592">
        <f>+SUM(BE131:BH131)</f>
        <v>331.65600000000001</v>
      </c>
      <c r="BJ131" s="1064"/>
      <c r="BK131" s="1021">
        <f>+BK166</f>
        <v>65.516999999999996</v>
      </c>
      <c r="BL131" s="8">
        <f>+BL166</f>
        <v>78.743000000000009</v>
      </c>
      <c r="BM131" s="8">
        <f>+BM166</f>
        <v>77.191000000000003</v>
      </c>
      <c r="BN131" s="8">
        <f>+BN166</f>
        <v>86.749999999999986</v>
      </c>
      <c r="BO131" s="592">
        <f>+SUM(BK131:BN131)</f>
        <v>308.20099999999996</v>
      </c>
      <c r="BP131" s="1064"/>
      <c r="BQ131" s="1021">
        <f>+BQ166</f>
        <v>60.900199999999998</v>
      </c>
      <c r="BR131" s="8">
        <f>+BR166</f>
        <v>65.206999999999994</v>
      </c>
      <c r="BS131" s="8">
        <f>+BS166</f>
        <v>58.439</v>
      </c>
      <c r="BT131" s="8">
        <f>+BT166</f>
        <v>55.298404457609465</v>
      </c>
      <c r="BU131" s="592">
        <f>+SUM(BQ131:BT131)</f>
        <v>239.84460445760948</v>
      </c>
      <c r="BV131" s="1064"/>
      <c r="BW131" s="1021">
        <f>+BW166</f>
        <v>45.693444167179223</v>
      </c>
      <c r="BX131" s="8">
        <f>+BX166</f>
        <v>49.504525673828361</v>
      </c>
      <c r="BY131" s="8">
        <f>+BY166</f>
        <v>53.16248770686947</v>
      </c>
      <c r="BZ131" s="8">
        <f>+BZ166</f>
        <v>55.129163608272087</v>
      </c>
      <c r="CA131" s="592">
        <f>+SUM(BW131:BZ131)</f>
        <v>203.48962115614913</v>
      </c>
      <c r="CB131" s="1064"/>
      <c r="CC131" s="1021">
        <f>+CC166</f>
        <v>43.598416236930909</v>
      </c>
      <c r="CD131" s="8">
        <f>+CD166</f>
        <v>47.124302763559797</v>
      </c>
      <c r="CE131" s="8">
        <f>+CE166</f>
        <v>50.990096852441582</v>
      </c>
      <c r="CF131" s="8">
        <f>+CF166</f>
        <v>52.892533305416066</v>
      </c>
      <c r="CG131" s="592">
        <f>+SUM(CC131:CF131)</f>
        <v>194.60534915834836</v>
      </c>
      <c r="CH131" s="1064"/>
      <c r="CI131" s="1021">
        <f>+CI166</f>
        <v>41.686102765147716</v>
      </c>
      <c r="CJ131" s="8">
        <f>+CJ166</f>
        <v>44.993785538384714</v>
      </c>
      <c r="CK131" s="8">
        <f>+CK166</f>
        <v>48.742831999219483</v>
      </c>
      <c r="CL131" s="8">
        <f>+CL166</f>
        <v>50.579649387097184</v>
      </c>
      <c r="CM131" s="592">
        <f>+SUM(CI131:CL131)</f>
        <v>186.0023696898491</v>
      </c>
      <c r="CN131" s="17"/>
      <c r="CO131" s="17"/>
      <c r="CP131" s="17"/>
    </row>
    <row r="132" spans="1:100" ht="11.25" customHeight="1" x14ac:dyDescent="0.2">
      <c r="B132" s="646" t="s">
        <v>463</v>
      </c>
      <c r="C132" s="1063"/>
      <c r="D132" s="382"/>
      <c r="E132" s="382"/>
      <c r="F132" s="382"/>
      <c r="G132" s="621"/>
      <c r="H132" s="382"/>
      <c r="I132" s="1063"/>
      <c r="J132" s="382"/>
      <c r="K132" s="382"/>
      <c r="L132" s="382"/>
      <c r="M132" s="621"/>
      <c r="N132" s="382"/>
      <c r="O132" s="1063"/>
      <c r="P132" s="382"/>
      <c r="Q132" s="382"/>
      <c r="R132" s="382"/>
      <c r="S132" s="621"/>
      <c r="T132" s="382"/>
      <c r="U132" s="1063"/>
      <c r="V132" s="382"/>
      <c r="W132" s="382"/>
      <c r="X132" s="382"/>
      <c r="Y132" s="621"/>
      <c r="Z132" s="382"/>
      <c r="AA132" s="1063"/>
      <c r="AB132" s="382"/>
      <c r="AC132" s="382"/>
      <c r="AD132" s="382"/>
      <c r="AE132" s="621"/>
      <c r="AF132" s="382"/>
      <c r="AG132" s="1063"/>
      <c r="AH132" s="382"/>
      <c r="AI132" s="382"/>
      <c r="AJ132" s="382"/>
      <c r="AK132" s="621"/>
      <c r="AL132" s="1064"/>
      <c r="AM132" s="1021">
        <f>+AM169</f>
        <v>0</v>
      </c>
      <c r="AN132" s="8">
        <f>+AN169</f>
        <v>0</v>
      </c>
      <c r="AO132" s="8">
        <f>+AO169</f>
        <v>0</v>
      </c>
      <c r="AP132" s="8">
        <f>+AP169</f>
        <v>0</v>
      </c>
      <c r="AQ132" s="592">
        <f>+AQ169</f>
        <v>41.680999999999997</v>
      </c>
      <c r="AR132" s="1064"/>
      <c r="AS132" s="1021">
        <f>+AS169</f>
        <v>0</v>
      </c>
      <c r="AT132" s="8">
        <f>+AT169</f>
        <v>0</v>
      </c>
      <c r="AU132" s="8">
        <f>+AU169</f>
        <v>0</v>
      </c>
      <c r="AV132" s="8">
        <f>+AV169</f>
        <v>0</v>
      </c>
      <c r="AW132" s="592">
        <f>+AW169</f>
        <v>71.533816999999999</v>
      </c>
      <c r="AX132" s="1064"/>
      <c r="AY132" s="1021">
        <f>+AY169</f>
        <v>16.72</v>
      </c>
      <c r="AZ132" s="8">
        <f>+AZ169</f>
        <v>17.071999999999999</v>
      </c>
      <c r="BA132" s="8">
        <f>+BA169</f>
        <v>14.635000000000002</v>
      </c>
      <c r="BB132" s="8">
        <f>+BB169</f>
        <v>20.795999999999996</v>
      </c>
      <c r="BC132" s="592">
        <f>+SUM(AY132:BB132)</f>
        <v>69.222999999999999</v>
      </c>
      <c r="BD132" s="1064"/>
      <c r="BE132" s="1021">
        <f>+BE169</f>
        <v>20.006</v>
      </c>
      <c r="BF132" s="8">
        <f>+BF169</f>
        <v>36.039000000000001</v>
      </c>
      <c r="BG132" s="8">
        <f>+BG169</f>
        <v>37.536677000000005</v>
      </c>
      <c r="BH132" s="8">
        <f>+BH169</f>
        <v>41.728929999999991</v>
      </c>
      <c r="BI132" s="592">
        <f>+SUM(BE132:BH132)</f>
        <v>135.310607</v>
      </c>
      <c r="BJ132" s="1064"/>
      <c r="BK132" s="1021">
        <f>+BK169</f>
        <v>24.843</v>
      </c>
      <c r="BL132" s="8">
        <f>+BL169</f>
        <v>32.100999999999999</v>
      </c>
      <c r="BM132" s="8">
        <f>+BM169</f>
        <v>33.728000000000002</v>
      </c>
      <c r="BN132" s="8">
        <f>+BN169</f>
        <v>37.417000000000002</v>
      </c>
      <c r="BO132" s="592">
        <f>+SUM(BK132:BN132)</f>
        <v>128.089</v>
      </c>
      <c r="BP132" s="1064"/>
      <c r="BQ132" s="1021">
        <f>+BQ169</f>
        <v>29.758999999999997</v>
      </c>
      <c r="BR132" s="8">
        <f>+BR169</f>
        <v>34.564999999999998</v>
      </c>
      <c r="BS132" s="8">
        <f>+BS169</f>
        <v>27.728999999999999</v>
      </c>
      <c r="BT132" s="8">
        <f>+BT169</f>
        <v>29.612657027643245</v>
      </c>
      <c r="BU132" s="592">
        <f>+SUM(BQ132:BT132)</f>
        <v>121.66565702764325</v>
      </c>
      <c r="BV132" s="1064"/>
      <c r="BW132" s="1021">
        <f>+BW169</f>
        <v>26.913452799999998</v>
      </c>
      <c r="BX132" s="8">
        <f>+BX169</f>
        <v>29.642205619101897</v>
      </c>
      <c r="BY132" s="8">
        <f>+BY169</f>
        <v>28.838160000000002</v>
      </c>
      <c r="BZ132" s="8">
        <f>+BZ169</f>
        <v>31.375859241566925</v>
      </c>
      <c r="CA132" s="592">
        <f>+SUM(BW132:BZ132)</f>
        <v>116.76967766066883</v>
      </c>
      <c r="CB132" s="1064"/>
      <c r="CC132" s="1021">
        <f>+CC169</f>
        <v>27.014001089991698</v>
      </c>
      <c r="CD132" s="8">
        <f>+CD169</f>
        <v>29.770615392283613</v>
      </c>
      <c r="CE132" s="8">
        <f>+CE169</f>
        <v>28.993204659132402</v>
      </c>
      <c r="CF132" s="8">
        <f>+CF169</f>
        <v>31.553032307432993</v>
      </c>
      <c r="CG132" s="592">
        <f>+SUM(CC132:CF132)</f>
        <v>117.33085344884071</v>
      </c>
      <c r="CH132" s="1064"/>
      <c r="CI132" s="1021">
        <f>+CI169</f>
        <v>27.089147254703029</v>
      </c>
      <c r="CJ132" s="8">
        <f>+CJ169</f>
        <v>29.872215767916824</v>
      </c>
      <c r="CK132" s="8">
        <f>+CK169</f>
        <v>29.123702371893742</v>
      </c>
      <c r="CL132" s="8">
        <f>+CL169</f>
        <v>31.704111304224977</v>
      </c>
      <c r="CM132" s="592">
        <f>+SUM(CI132:CL132)</f>
        <v>117.78917669873857</v>
      </c>
      <c r="CN132" s="17"/>
      <c r="CO132" s="17"/>
      <c r="CP132" s="17"/>
    </row>
    <row r="133" spans="1:100" ht="11.25" customHeight="1" x14ac:dyDescent="0.2">
      <c r="B133" s="646" t="s">
        <v>486</v>
      </c>
      <c r="C133" s="1063"/>
      <c r="D133" s="382"/>
      <c r="E133" s="382"/>
      <c r="F133" s="382"/>
      <c r="G133" s="621"/>
      <c r="H133" s="382"/>
      <c r="I133" s="1063"/>
      <c r="J133" s="382"/>
      <c r="K133" s="382"/>
      <c r="L133" s="382"/>
      <c r="M133" s="621"/>
      <c r="N133" s="382"/>
      <c r="O133" s="1063"/>
      <c r="P133" s="382"/>
      <c r="Q133" s="382"/>
      <c r="R133" s="382"/>
      <c r="S133" s="621"/>
      <c r="T133" s="382"/>
      <c r="U133" s="1063"/>
      <c r="V133" s="382"/>
      <c r="W133" s="382"/>
      <c r="X133" s="382"/>
      <c r="Y133" s="621"/>
      <c r="Z133" s="382"/>
      <c r="AA133" s="1063"/>
      <c r="AB133" s="382"/>
      <c r="AC133" s="382"/>
      <c r="AD133" s="382"/>
      <c r="AE133" s="621"/>
      <c r="AF133" s="382"/>
      <c r="AG133" s="1063"/>
      <c r="AH133" s="382"/>
      <c r="AI133" s="382"/>
      <c r="AJ133" s="382"/>
      <c r="AK133" s="621"/>
      <c r="AL133" s="1064"/>
      <c r="AM133" s="1021">
        <f>+AM172</f>
        <v>0</v>
      </c>
      <c r="AN133" s="8">
        <f>+AN172</f>
        <v>0</v>
      </c>
      <c r="AO133" s="8">
        <f>+AO172</f>
        <v>0</v>
      </c>
      <c r="AP133" s="8">
        <f>+AP172</f>
        <v>0</v>
      </c>
      <c r="AQ133" s="592">
        <f>+AQ172</f>
        <v>-43.646543999999999</v>
      </c>
      <c r="AR133" s="1064"/>
      <c r="AS133" s="1021">
        <f>+AS172</f>
        <v>0</v>
      </c>
      <c r="AT133" s="8">
        <f>+AT172</f>
        <v>0</v>
      </c>
      <c r="AU133" s="8">
        <f>+AU172</f>
        <v>0</v>
      </c>
      <c r="AV133" s="8">
        <f>+AV172</f>
        <v>0</v>
      </c>
      <c r="AW133" s="592">
        <f>+AW172</f>
        <v>-48.764580000000002</v>
      </c>
      <c r="AX133" s="1064"/>
      <c r="AY133" s="1021">
        <f>+AY172</f>
        <v>-10.54</v>
      </c>
      <c r="AZ133" s="8">
        <f>+AZ172</f>
        <v>-15.622999999999999</v>
      </c>
      <c r="BA133" s="8">
        <f>+BA172</f>
        <v>-12.535</v>
      </c>
      <c r="BB133" s="8">
        <f>+BB172</f>
        <v>-13.743000000000009</v>
      </c>
      <c r="BC133" s="592">
        <f>+SUM(AY133:BB133)</f>
        <v>-52.441000000000003</v>
      </c>
      <c r="BD133" s="1064"/>
      <c r="BE133" s="1021">
        <f>+BE172</f>
        <v>-18.047000000000001</v>
      </c>
      <c r="BF133" s="8">
        <f>+BF172</f>
        <v>-15.808</v>
      </c>
      <c r="BG133" s="8">
        <f>+BG172</f>
        <v>-12.337999999999999</v>
      </c>
      <c r="BH133" s="8">
        <f>+BH172</f>
        <v>-12.587999999999997</v>
      </c>
      <c r="BI133" s="592">
        <f>+SUM(BE133:BH133)</f>
        <v>-58.781000000000006</v>
      </c>
      <c r="BJ133" s="1064"/>
      <c r="BK133" s="1021">
        <f>+BK172</f>
        <v>-9.7080000000000002</v>
      </c>
      <c r="BL133" s="8">
        <f>+BL172</f>
        <v>-19.094000000000001</v>
      </c>
      <c r="BM133" s="8">
        <f>+BM172</f>
        <v>-17.241</v>
      </c>
      <c r="BN133" s="8">
        <f>+BN172</f>
        <v>-17.832000000000001</v>
      </c>
      <c r="BO133" s="592">
        <f>+SUM(BK133:BN133)</f>
        <v>-63.875</v>
      </c>
      <c r="BP133" s="1064"/>
      <c r="BQ133" s="1021">
        <f>+BQ172</f>
        <v>-17.290199999999999</v>
      </c>
      <c r="BR133" s="8">
        <f>+BR172</f>
        <v>-16.664999999999999</v>
      </c>
      <c r="BS133" s="8">
        <f>+BS172</f>
        <v>-26.43</v>
      </c>
      <c r="BT133" s="8">
        <f>+BT172</f>
        <v>-28.831255488123158</v>
      </c>
      <c r="BU133" s="592">
        <f>+SUM(BQ133:BT133)</f>
        <v>-89.21645548812316</v>
      </c>
      <c r="BV133" s="1064"/>
      <c r="BW133" s="1021">
        <f>+BW172</f>
        <v>-19.661515050000002</v>
      </c>
      <c r="BX133" s="8">
        <f>+BX172</f>
        <v>-21.485555699999999</v>
      </c>
      <c r="BY133" s="8">
        <f>+BY172</f>
        <v>-21.1871811</v>
      </c>
      <c r="BZ133" s="8">
        <f>+BZ172</f>
        <v>-22.442509776263933</v>
      </c>
      <c r="CA133" s="592">
        <f>+SUM(BW133:BZ133)</f>
        <v>-84.776761626263934</v>
      </c>
      <c r="CB133" s="1064"/>
      <c r="CC133" s="1021">
        <f>+CC172</f>
        <v>-16.120065864000001</v>
      </c>
      <c r="CD133" s="8">
        <f>+CD172</f>
        <v>-17.608127938799999</v>
      </c>
      <c r="CE133" s="8">
        <f>+CE172</f>
        <v>-17.401725119999998</v>
      </c>
      <c r="CF133" s="8">
        <f>+CF172</f>
        <v>-18.435426951153989</v>
      </c>
      <c r="CG133" s="592">
        <f>+SUM(CC133:CF133)</f>
        <v>-69.565345873953987</v>
      </c>
      <c r="CH133" s="1064"/>
      <c r="CI133" s="1021">
        <f>+CI172</f>
        <v>-16.555642131912002</v>
      </c>
      <c r="CJ133" s="8">
        <f>+CJ172</f>
        <v>-18.084824963136001</v>
      </c>
      <c r="CK133" s="8">
        <f>+CK172</f>
        <v>-17.867615574984001</v>
      </c>
      <c r="CL133" s="8">
        <f>+CL172</f>
        <v>-18.931724102947395</v>
      </c>
      <c r="CM133" s="592">
        <f>+SUM(CI133:CL133)</f>
        <v>-71.439806772979395</v>
      </c>
      <c r="CN133" s="17"/>
      <c r="CO133" s="17"/>
      <c r="CP133" s="17"/>
    </row>
    <row r="134" spans="1:100" ht="11.25" customHeight="1" x14ac:dyDescent="0.2">
      <c r="B134" s="620" t="s">
        <v>465</v>
      </c>
      <c r="C134" s="1004">
        <f>+C13</f>
        <v>68.537000000000035</v>
      </c>
      <c r="D134" s="136">
        <f>+D13</f>
        <v>78.021000000000015</v>
      </c>
      <c r="E134" s="136">
        <f>+E13</f>
        <v>92.686000000000007</v>
      </c>
      <c r="F134" s="136">
        <f>+F13</f>
        <v>96.445999999999998</v>
      </c>
      <c r="G134" s="594">
        <f>+G13</f>
        <v>335.68999999999983</v>
      </c>
      <c r="H134" s="85"/>
      <c r="I134" s="1004">
        <f>+I13</f>
        <v>75.207000000000022</v>
      </c>
      <c r="J134" s="136">
        <f>+J13</f>
        <v>85.612999999999971</v>
      </c>
      <c r="K134" s="136">
        <f>+K13</f>
        <v>97.114000000000033</v>
      </c>
      <c r="L134" s="136">
        <f>+L13</f>
        <v>101.26900000000001</v>
      </c>
      <c r="M134" s="594">
        <f>+M13</f>
        <v>359.20299999999997</v>
      </c>
      <c r="N134" s="85"/>
      <c r="O134" s="1004">
        <f>+O13</f>
        <v>79.594000000000023</v>
      </c>
      <c r="P134" s="136">
        <f>+P13</f>
        <v>82.601999999999975</v>
      </c>
      <c r="Q134" s="136">
        <f>+Q13</f>
        <v>91.54200000000003</v>
      </c>
      <c r="R134" s="136">
        <f>+R13</f>
        <v>92.488</v>
      </c>
      <c r="S134" s="594">
        <f>+S13</f>
        <v>346.22600000000034</v>
      </c>
      <c r="T134" s="85"/>
      <c r="U134" s="1004">
        <f>+U13</f>
        <v>76.789999999999964</v>
      </c>
      <c r="V134" s="136">
        <f>+V13</f>
        <v>84.486000000000047</v>
      </c>
      <c r="W134" s="136">
        <f>+W13</f>
        <v>93.766999999999967</v>
      </c>
      <c r="X134" s="136">
        <f>+X13</f>
        <v>100.24799999999999</v>
      </c>
      <c r="Y134" s="594">
        <f>+Y13</f>
        <v>355.29100000000039</v>
      </c>
      <c r="Z134" s="85"/>
      <c r="AA134" s="1004">
        <f>+AA13</f>
        <v>89.024000000000058</v>
      </c>
      <c r="AB134" s="136">
        <f>+AB13</f>
        <v>90.152000000000015</v>
      </c>
      <c r="AC134" s="136">
        <f>+AC13</f>
        <v>92.706999999999994</v>
      </c>
      <c r="AD134" s="136">
        <f>+AD13</f>
        <v>104.12500000000006</v>
      </c>
      <c r="AE134" s="594">
        <f>+AE13</f>
        <v>376.00800000000027</v>
      </c>
      <c r="AF134" s="85"/>
      <c r="AG134" s="1004">
        <f>+AG13</f>
        <v>81.99300000000008</v>
      </c>
      <c r="AH134" s="136">
        <f>+AH13</f>
        <v>83.258999999999958</v>
      </c>
      <c r="AI134" s="136">
        <f>+AI13</f>
        <v>89.906000000000006</v>
      </c>
      <c r="AJ134" s="136">
        <f>+AJ13</f>
        <v>102.851</v>
      </c>
      <c r="AK134" s="594">
        <f>+AK13</f>
        <v>358.00900000000013</v>
      </c>
      <c r="AL134" s="85"/>
      <c r="AM134" s="1004">
        <f>+AM13</f>
        <v>82.591999999999928</v>
      </c>
      <c r="AN134" s="136">
        <f>+AN13</f>
        <v>77.868999999999943</v>
      </c>
      <c r="AO134" s="136">
        <f>+AO13</f>
        <v>89.538000000000011</v>
      </c>
      <c r="AP134" s="136">
        <f>+AP13</f>
        <v>104.45600000000002</v>
      </c>
      <c r="AQ134" s="594">
        <f>+AQ13</f>
        <v>354.45499999999981</v>
      </c>
      <c r="AR134" s="85"/>
      <c r="AS134" s="1004">
        <f>+AS13</f>
        <v>81.281000000000034</v>
      </c>
      <c r="AT134" s="136">
        <f>+AT13</f>
        <v>89.206675999999902</v>
      </c>
      <c r="AU134" s="136">
        <f>+AU13</f>
        <v>97.733678999999995</v>
      </c>
      <c r="AV134" s="136">
        <f>+AV13</f>
        <v>99.213461999999936</v>
      </c>
      <c r="AW134" s="594">
        <f>+AW13</f>
        <v>367.43481699999984</v>
      </c>
      <c r="AX134" s="85"/>
      <c r="AY134" s="1004">
        <f>+AY13</f>
        <v>68.728999999999957</v>
      </c>
      <c r="AZ134" s="136">
        <f>+AZ13</f>
        <v>74.876000000000033</v>
      </c>
      <c r="BA134" s="136">
        <f>+BA13</f>
        <v>80.147999999999996</v>
      </c>
      <c r="BB134" s="136">
        <f>+BB13</f>
        <v>93.385999999999967</v>
      </c>
      <c r="BC134" s="594">
        <f>+BC13</f>
        <v>317.13900000000001</v>
      </c>
      <c r="BD134" s="85"/>
      <c r="BE134" s="1004">
        <f>+BE13</f>
        <v>82.975999999999914</v>
      </c>
      <c r="BF134" s="136">
        <f>+BF13</f>
        <v>97.231000000000108</v>
      </c>
      <c r="BG134" s="136">
        <f>+BG13</f>
        <v>108.33667700000004</v>
      </c>
      <c r="BH134" s="136">
        <f>+BH13</f>
        <v>119.64193</v>
      </c>
      <c r="BI134" s="594">
        <f>+BI13</f>
        <v>408.18560699999955</v>
      </c>
      <c r="BJ134" s="85"/>
      <c r="BK134" s="1004">
        <f>+BK13</f>
        <v>80.651999999999902</v>
      </c>
      <c r="BL134" s="136">
        <f>+BL13</f>
        <v>91.750000000000028</v>
      </c>
      <c r="BM134" s="136">
        <f>+BM13</f>
        <v>93.677999999999997</v>
      </c>
      <c r="BN134" s="136">
        <f>+BN13</f>
        <v>106.33500000000001</v>
      </c>
      <c r="BO134" s="594">
        <f>+SUM(BK134:BN134)</f>
        <v>372.41499999999996</v>
      </c>
      <c r="BP134" s="136"/>
      <c r="BQ134" s="1004">
        <f>+BQ13</f>
        <v>73.369</v>
      </c>
      <c r="BR134" s="136">
        <f>+BR13</f>
        <v>83.106999999999971</v>
      </c>
      <c r="BS134" s="136">
        <f>+BS13</f>
        <v>59.738</v>
      </c>
      <c r="BT134" s="136">
        <f>+BT174</f>
        <v>56.079805997129554</v>
      </c>
      <c r="BU134" s="594">
        <f>+SUM(BQ134:BT134)</f>
        <v>272.29380599712954</v>
      </c>
      <c r="BV134" s="136"/>
      <c r="BW134" s="1004">
        <f t="shared" ref="BW134:CF134" si="82">+BW174</f>
        <v>52.945381917179219</v>
      </c>
      <c r="BX134" s="136">
        <f t="shared" si="82"/>
        <v>57.661175592930263</v>
      </c>
      <c r="BY134" s="136">
        <f t="shared" si="82"/>
        <v>60.813466606869468</v>
      </c>
      <c r="BZ134" s="136">
        <f t="shared" si="82"/>
        <v>64.062513073575076</v>
      </c>
      <c r="CA134" s="594">
        <f>+SUM(BW134:BZ134)</f>
        <v>235.48253719055401</v>
      </c>
      <c r="CB134" s="136"/>
      <c r="CC134" s="1004">
        <f>+CC174</f>
        <v>54.492351462922606</v>
      </c>
      <c r="CD134" s="136">
        <f t="shared" si="82"/>
        <v>59.286790217043411</v>
      </c>
      <c r="CE134" s="136">
        <f t="shared" si="82"/>
        <v>62.581576391573989</v>
      </c>
      <c r="CF134" s="136">
        <f t="shared" si="82"/>
        <v>66.010138661695066</v>
      </c>
      <c r="CG134" s="594">
        <f>+SUM(CC134:CF134)</f>
        <v>242.37085673323509</v>
      </c>
      <c r="CH134" s="136"/>
      <c r="CI134" s="1004">
        <f>+CI174</f>
        <v>52.219607887938743</v>
      </c>
      <c r="CJ134" s="136">
        <f t="shared" ref="CJ134:CL134" si="83">+CJ174</f>
        <v>56.781176343165541</v>
      </c>
      <c r="CK134" s="136">
        <f t="shared" si="83"/>
        <v>59.998918796129225</v>
      </c>
      <c r="CL134" s="136">
        <f t="shared" si="83"/>
        <v>63.352036588374766</v>
      </c>
      <c r="CM134" s="594">
        <f>+SUM(CI134:CL134)</f>
        <v>232.3517396156083</v>
      </c>
      <c r="CN134" s="17"/>
      <c r="CO134" s="17"/>
      <c r="CP134" s="17"/>
    </row>
    <row r="135" spans="1:100" ht="11.25" customHeight="1" x14ac:dyDescent="0.2">
      <c r="B135" s="1092" t="s">
        <v>484</v>
      </c>
      <c r="C135" s="1093">
        <f>+C134/C$8</f>
        <v>0.10455874096856087</v>
      </c>
      <c r="D135" s="484">
        <f>+D134/D$8</f>
        <v>0.11237798387665948</v>
      </c>
      <c r="E135" s="484">
        <f>+E134/E$8</f>
        <v>0.1306367636653728</v>
      </c>
      <c r="F135" s="484">
        <f>+F134/F$8</f>
        <v>0.1304835464855921</v>
      </c>
      <c r="G135" s="995">
        <f>+G134/G$8</f>
        <v>0.11995791878067373</v>
      </c>
      <c r="H135" s="85"/>
      <c r="I135" s="1093">
        <f>+I134/I$8</f>
        <v>0.10722366456944156</v>
      </c>
      <c r="J135" s="484">
        <f>+J134/J$8</f>
        <v>0.11538264563499334</v>
      </c>
      <c r="K135" s="484">
        <f>+K134/K$8</f>
        <v>0.12499452986436642</v>
      </c>
      <c r="L135" s="484">
        <f>+L134/L$8</f>
        <v>0.13010092653021371</v>
      </c>
      <c r="M135" s="995">
        <f>+M134/M$8</f>
        <v>0.11978508227985923</v>
      </c>
      <c r="N135" s="85"/>
      <c r="O135" s="1093">
        <f>+O134/O$8</f>
        <v>0.10700146129844502</v>
      </c>
      <c r="P135" s="484">
        <f>+P134/P$8</f>
        <v>0.10876397866381549</v>
      </c>
      <c r="Q135" s="484">
        <f>+Q134/Q$8</f>
        <v>0.11287226132921017</v>
      </c>
      <c r="R135" s="484">
        <f>+R134/R$8</f>
        <v>0.11859199573269871</v>
      </c>
      <c r="S135" s="995">
        <f>+S134/S$8</f>
        <v>0.11189418229496424</v>
      </c>
      <c r="T135" s="85"/>
      <c r="U135" s="1093">
        <f>+U134/U$8</f>
        <v>9.7254359601762416E-2</v>
      </c>
      <c r="V135" s="484">
        <f>+V134/V$8</f>
        <v>0.10367003660342775</v>
      </c>
      <c r="W135" s="484">
        <f>+W134/W$8</f>
        <v>0.11433828729739877</v>
      </c>
      <c r="X135" s="484">
        <f>+X134/X$8</f>
        <v>0.12334238067232474</v>
      </c>
      <c r="Y135" s="995">
        <f>+Y134/Y$8</f>
        <v>0.109746597244188</v>
      </c>
      <c r="Z135" s="85"/>
      <c r="AA135" s="1093">
        <f>+AA134/AA$8</f>
        <v>0.10476036936314635</v>
      </c>
      <c r="AB135" s="484">
        <f>+AB134/AB$8</f>
        <v>0.10514407275831747</v>
      </c>
      <c r="AC135" s="484">
        <f>+AC134/AC$8</f>
        <v>0.11241981446674346</v>
      </c>
      <c r="AD135" s="484">
        <f>+AD134/AD$8</f>
        <v>0.11781258379826645</v>
      </c>
      <c r="AE135" s="995">
        <f>+AE134/AE$8</f>
        <v>0.11008323403607499</v>
      </c>
      <c r="AF135" s="85"/>
      <c r="AG135" s="1093">
        <f>+AG134/AG$8</f>
        <v>9.6755807614152187E-2</v>
      </c>
      <c r="AH135" s="484">
        <f>+AH134/AH$8</f>
        <v>9.7165864332603893E-2</v>
      </c>
      <c r="AI135" s="484">
        <f>+AI134/AI$8</f>
        <v>0.10045026423695295</v>
      </c>
      <c r="AJ135" s="484">
        <f>+AJ134/AJ$8</f>
        <v>0.10984435041342086</v>
      </c>
      <c r="AK135" s="995">
        <f>+AK134/AK$8</f>
        <v>0.10125659671557882</v>
      </c>
      <c r="AL135" s="85"/>
      <c r="AM135" s="1093">
        <f>+AM134/AM$8</f>
        <v>9.2880879417470183E-2</v>
      </c>
      <c r="AN135" s="484">
        <f>+AN134/AN$8</f>
        <v>8.9794313376606982E-2</v>
      </c>
      <c r="AO135" s="484">
        <f>+AO134/AO$8</f>
        <v>9.7763743624851379E-2</v>
      </c>
      <c r="AP135" s="484">
        <f>+AP134/AP$8</f>
        <v>0.1082520755327054</v>
      </c>
      <c r="AQ135" s="995">
        <f>+AQ134/AQ$8</f>
        <v>9.7452389357562827E-2</v>
      </c>
      <c r="AR135" s="85"/>
      <c r="AS135" s="1093">
        <f>+AS134/AS$8</f>
        <v>9.2351654594517857E-2</v>
      </c>
      <c r="AT135" s="484">
        <f>+AT134/AT$8</f>
        <v>8.9310812407266779E-2</v>
      </c>
      <c r="AU135" s="484">
        <f>+AU134/AU$8</f>
        <v>9.0270226909360929E-2</v>
      </c>
      <c r="AV135" s="484">
        <f>+AV134/AV$8</f>
        <v>9.0024074542885787E-2</v>
      </c>
      <c r="AW135" s="995">
        <f>+AW134/AW$8</f>
        <v>9.0418451343167477E-2</v>
      </c>
      <c r="AX135" s="85"/>
      <c r="AY135" s="1093">
        <f>+AY134/AY$8</f>
        <v>7.3197253119421948E-2</v>
      </c>
      <c r="AZ135" s="484">
        <f>+AZ134/AZ$8</f>
        <v>7.6543108912105695E-2</v>
      </c>
      <c r="BA135" s="484">
        <f>+BA134/BA$8</f>
        <v>8.3606988320808484E-2</v>
      </c>
      <c r="BB135" s="484">
        <f>+BB134/BB$8</f>
        <v>9.0222701850422318E-2</v>
      </c>
      <c r="BC135" s="995">
        <f>+BC134/BC$8</f>
        <v>8.1091778928702479E-2</v>
      </c>
      <c r="BD135" s="85"/>
      <c r="BE135" s="1093">
        <f>+BE134/BE$8</f>
        <v>7.2603183214188766E-2</v>
      </c>
      <c r="BF135" s="484">
        <f>+BF134/BF$8</f>
        <v>6.9990138280029729E-2</v>
      </c>
      <c r="BG135" s="484">
        <f>+BG134/BG$8</f>
        <v>7.7336220859719071E-2</v>
      </c>
      <c r="BH135" s="484">
        <f>+BH134/BH$8</f>
        <v>8.2297701837292014E-2</v>
      </c>
      <c r="BI135" s="995">
        <f>+BI134/BI$8</f>
        <v>7.5776519886097224E-2</v>
      </c>
      <c r="BJ135" s="85"/>
      <c r="BK135" s="1093">
        <f>+BK134/BK$8</f>
        <v>6.052973651267296E-2</v>
      </c>
      <c r="BL135" s="484">
        <f>+BL134/BL$8</f>
        <v>6.4692813139656816E-2</v>
      </c>
      <c r="BM135" s="484">
        <f>+BM134/BM$8</f>
        <v>6.7036491586626196E-2</v>
      </c>
      <c r="BN135" s="484">
        <f>+BN134/BN$8</f>
        <v>7.3586605694545185E-2</v>
      </c>
      <c r="BO135" s="995">
        <f>+BO134/BO$8</f>
        <v>6.6584399031168071E-2</v>
      </c>
      <c r="BP135" s="998"/>
      <c r="BQ135" s="1093">
        <f>+BQ134/BQ$8</f>
        <v>5.6259609006874392E-2</v>
      </c>
      <c r="BR135" s="484">
        <f>+BR134/BR$8</f>
        <v>5.9973140646457423E-2</v>
      </c>
      <c r="BS135" s="484">
        <f>+BS134/BS$8</f>
        <v>4.343880478933583E-2</v>
      </c>
      <c r="BT135" s="484">
        <f>+BT134/BT$8</f>
        <v>3.8902090836960779E-2</v>
      </c>
      <c r="BU135" s="995">
        <f>+BU134/BU$8</f>
        <v>4.944829614742368E-2</v>
      </c>
      <c r="BV135" s="998"/>
      <c r="BW135" s="1093">
        <f>+BW134/BW$8</f>
        <v>4.0392651671961981E-2</v>
      </c>
      <c r="BX135" s="484">
        <f>+BX134/BX$8</f>
        <v>4.025577210897803E-2</v>
      </c>
      <c r="BY135" s="484">
        <f>+BY134/BY$8</f>
        <v>4.3054429694898963E-2</v>
      </c>
      <c r="BZ135" s="484">
        <f>+BZ134/BZ$8</f>
        <v>4.2817746574848367E-2</v>
      </c>
      <c r="CA135" s="995">
        <f>+CA134/CA$8</f>
        <v>4.1665168497825929E-2</v>
      </c>
      <c r="CB135" s="998"/>
      <c r="CC135" s="1093">
        <f>+CC134/CC$8</f>
        <v>4.0564860160739555E-2</v>
      </c>
      <c r="CD135" s="484">
        <f>+CD134/CD$8</f>
        <v>4.0404152279972926E-2</v>
      </c>
      <c r="CE135" s="484">
        <f>+CE134/CE$8</f>
        <v>4.3155429218668634E-2</v>
      </c>
      <c r="CF135" s="484">
        <f>+CF134/CF$8</f>
        <v>4.2967362027422802E-2</v>
      </c>
      <c r="CG135" s="995">
        <f>+CG134/CG$8</f>
        <v>4.1808895568041383E-2</v>
      </c>
      <c r="CH135" s="998"/>
      <c r="CI135" s="1093">
        <f>+CI134/CI$8</f>
        <v>3.7850256103771865E-2</v>
      </c>
      <c r="CJ135" s="484">
        <f>+CJ134/CJ$8</f>
        <v>3.7676566818141473E-2</v>
      </c>
      <c r="CK135" s="484">
        <f>+CK134/CK$8</f>
        <v>4.0295641157714772E-2</v>
      </c>
      <c r="CL135" s="484">
        <f>+CL134/CL$8</f>
        <v>4.0156112297354961E-2</v>
      </c>
      <c r="CM135" s="995">
        <f>+CM134/CM$8</f>
        <v>3.9028953203186514E-2</v>
      </c>
      <c r="CN135" s="17"/>
      <c r="CO135" s="17"/>
      <c r="CP135" s="17"/>
    </row>
    <row r="136" spans="1:100" ht="11.25" customHeight="1" x14ac:dyDescent="0.2">
      <c r="B136" s="880"/>
      <c r="C136" s="1101"/>
      <c r="D136" s="1102"/>
      <c r="E136" s="1102"/>
      <c r="F136" s="1102"/>
      <c r="G136" s="1103"/>
      <c r="H136" s="484"/>
      <c r="I136" s="1101"/>
      <c r="J136" s="1102"/>
      <c r="K136" s="1102"/>
      <c r="L136" s="1102"/>
      <c r="M136" s="1103"/>
      <c r="N136" s="484"/>
      <c r="O136" s="1101"/>
      <c r="P136" s="1102"/>
      <c r="Q136" s="1102"/>
      <c r="R136" s="1102"/>
      <c r="S136" s="1103"/>
      <c r="T136" s="484"/>
      <c r="U136" s="1101"/>
      <c r="V136" s="1102"/>
      <c r="W136" s="1102"/>
      <c r="X136" s="1102"/>
      <c r="Y136" s="1103"/>
      <c r="Z136" s="484"/>
      <c r="AA136" s="1101"/>
      <c r="AB136" s="1102"/>
      <c r="AC136" s="1102"/>
      <c r="AD136" s="1102"/>
      <c r="AE136" s="1103"/>
      <c r="AF136" s="484"/>
      <c r="AG136" s="1101"/>
      <c r="AH136" s="1102"/>
      <c r="AI136" s="1102"/>
      <c r="AJ136" s="1102"/>
      <c r="AK136" s="1103"/>
      <c r="AL136" s="484"/>
      <c r="AM136" s="1101"/>
      <c r="AN136" s="1102"/>
      <c r="AO136" s="1102"/>
      <c r="AP136" s="1102"/>
      <c r="AQ136" s="1103"/>
      <c r="AR136" s="484"/>
      <c r="AS136" s="1101"/>
      <c r="AT136" s="1102"/>
      <c r="AU136" s="1102"/>
      <c r="AV136" s="1102"/>
      <c r="AW136" s="1103"/>
      <c r="AX136" s="484"/>
      <c r="AY136" s="1101"/>
      <c r="AZ136" s="1102"/>
      <c r="BA136" s="1102"/>
      <c r="BB136" s="1102"/>
      <c r="BC136" s="1172"/>
      <c r="BD136" s="484"/>
      <c r="BE136" s="1101"/>
      <c r="BF136" s="1102"/>
      <c r="BG136" s="1102"/>
      <c r="BH136" s="1102"/>
      <c r="BI136" s="1172"/>
      <c r="BJ136" s="484"/>
      <c r="BK136" s="1101"/>
      <c r="BL136" s="1102"/>
      <c r="BM136" s="1102"/>
      <c r="BN136" s="1102"/>
      <c r="BO136" s="1172"/>
      <c r="BP136" s="1111"/>
      <c r="BQ136" s="1101"/>
      <c r="BR136" s="1102"/>
      <c r="BS136" s="1119"/>
      <c r="BT136" s="1119"/>
      <c r="BU136" s="1172"/>
      <c r="BV136" s="1111"/>
      <c r="BW136" s="1118"/>
      <c r="BX136" s="1119"/>
      <c r="BY136" s="1119"/>
      <c r="BZ136" s="1119"/>
      <c r="CA136" s="1103"/>
      <c r="CB136" s="1111"/>
      <c r="CC136" s="1118"/>
      <c r="CD136" s="1119"/>
      <c r="CE136" s="1119"/>
      <c r="CF136" s="1119"/>
      <c r="CG136" s="1103"/>
      <c r="CH136" s="1111"/>
      <c r="CI136" s="1118"/>
      <c r="CJ136" s="1119"/>
      <c r="CK136" s="1119"/>
      <c r="CL136" s="1119"/>
      <c r="CM136" s="1103"/>
      <c r="CN136" s="17"/>
      <c r="CO136" s="17"/>
      <c r="CP136" s="17"/>
    </row>
    <row r="137" spans="1:100" ht="11.25" customHeight="1" x14ac:dyDescent="0.2">
      <c r="B137" s="154"/>
      <c r="C137" s="14"/>
      <c r="D137" s="14"/>
      <c r="E137" s="14"/>
      <c r="F137" s="14"/>
      <c r="G137" s="14"/>
      <c r="H137" s="17"/>
      <c r="I137" s="14"/>
      <c r="J137" s="14"/>
      <c r="K137" s="14"/>
      <c r="L137" s="14"/>
      <c r="M137" s="14"/>
      <c r="N137" s="17"/>
      <c r="O137" s="14"/>
      <c r="P137" s="14"/>
      <c r="Q137" s="14"/>
      <c r="R137" s="14"/>
      <c r="S137" s="14"/>
      <c r="T137" s="17"/>
      <c r="U137" s="14"/>
      <c r="V137" s="14"/>
      <c r="W137" s="14"/>
      <c r="X137" s="14"/>
      <c r="Y137" s="14"/>
      <c r="Z137" s="17"/>
      <c r="AA137" s="14"/>
      <c r="AB137" s="14"/>
      <c r="AC137" s="14"/>
      <c r="AD137" s="14"/>
      <c r="AE137" s="14"/>
      <c r="AF137" s="17"/>
      <c r="AG137" s="14"/>
      <c r="AH137" s="14"/>
      <c r="AI137" s="14"/>
      <c r="AJ137" s="14"/>
      <c r="AK137" s="14"/>
      <c r="AL137" s="17"/>
      <c r="AM137" s="14"/>
      <c r="AN137" s="14"/>
      <c r="AO137" s="14"/>
      <c r="AP137" s="14"/>
      <c r="AQ137" s="14"/>
      <c r="AR137" s="17"/>
      <c r="AS137" s="14"/>
      <c r="AT137" s="14"/>
      <c r="AU137" s="14"/>
      <c r="AV137" s="14"/>
      <c r="AW137" s="14"/>
      <c r="AX137" s="17"/>
      <c r="AY137" s="14"/>
      <c r="AZ137" s="14"/>
      <c r="BA137" s="14"/>
      <c r="BB137" s="14"/>
      <c r="BC137" s="14"/>
      <c r="BD137" s="17"/>
      <c r="BE137" s="14"/>
      <c r="BF137" s="14"/>
      <c r="BG137" s="14"/>
      <c r="BH137" s="14"/>
      <c r="BI137" s="14"/>
      <c r="BJ137" s="17"/>
      <c r="BK137" s="14"/>
      <c r="BL137" s="14"/>
      <c r="BM137" s="14"/>
      <c r="BN137" s="14"/>
      <c r="BO137" s="14"/>
      <c r="BP137" s="17"/>
      <c r="BQ137" s="14"/>
      <c r="BR137" s="244"/>
      <c r="BS137" s="14"/>
      <c r="BT137" s="14"/>
      <c r="BU137" s="14"/>
      <c r="BV137" s="17"/>
      <c r="BW137" s="14"/>
      <c r="BX137" s="14"/>
      <c r="BY137" s="14"/>
      <c r="BZ137" s="14"/>
      <c r="CA137" s="249"/>
      <c r="CB137" s="17"/>
      <c r="CC137" s="14"/>
      <c r="CD137" s="14"/>
      <c r="CE137" s="14"/>
      <c r="CF137" s="14"/>
      <c r="CG137" s="14"/>
      <c r="CH137" s="17"/>
      <c r="CI137" s="14"/>
      <c r="CJ137" s="14"/>
      <c r="CK137" s="14"/>
      <c r="CL137" s="14"/>
      <c r="CM137" s="14"/>
      <c r="CN137" s="17"/>
      <c r="CO137" s="17"/>
      <c r="CP137" s="17"/>
    </row>
    <row r="138" spans="1:100" ht="11.25" hidden="1" customHeight="1" outlineLevel="1" x14ac:dyDescent="0.2">
      <c r="B138" s="1033" t="s">
        <v>464</v>
      </c>
      <c r="C138" s="1034"/>
      <c r="D138" s="1034"/>
      <c r="E138" s="1034"/>
      <c r="F138" s="1034"/>
      <c r="G138" s="1034"/>
      <c r="H138" s="1033"/>
      <c r="I138" s="1034"/>
      <c r="J138" s="1034"/>
      <c r="K138" s="1034"/>
      <c r="L138" s="1034"/>
      <c r="M138" s="1034"/>
      <c r="N138" s="1033"/>
      <c r="O138" s="1034"/>
      <c r="P138" s="1034"/>
      <c r="Q138" s="1034"/>
      <c r="R138" s="1034"/>
      <c r="S138" s="1034"/>
      <c r="T138" s="1033"/>
      <c r="U138" s="1034"/>
      <c r="V138" s="1034"/>
      <c r="W138" s="1034"/>
      <c r="X138" s="1034"/>
      <c r="Y138" s="1034"/>
      <c r="Z138" s="1033"/>
      <c r="AA138" s="1034"/>
      <c r="AB138" s="1034"/>
      <c r="AC138" s="1034"/>
      <c r="AD138" s="1034"/>
      <c r="AE138" s="1034"/>
      <c r="AF138" s="1033"/>
      <c r="AG138" s="1034"/>
      <c r="AH138" s="1034"/>
      <c r="AI138" s="1034"/>
      <c r="AJ138" s="1034"/>
      <c r="AK138" s="1034"/>
      <c r="AL138" s="1033"/>
      <c r="AM138" s="1034"/>
      <c r="AN138" s="1034"/>
      <c r="AO138" s="1034"/>
      <c r="AP138" s="1034"/>
      <c r="AQ138" s="1034"/>
      <c r="AR138" s="1033"/>
      <c r="AS138" s="1034"/>
      <c r="AT138" s="1034"/>
      <c r="AU138" s="1034"/>
      <c r="AV138" s="1034"/>
      <c r="AW138" s="1034"/>
      <c r="AX138" s="1033"/>
      <c r="AY138" s="1034"/>
      <c r="AZ138" s="1034"/>
      <c r="BA138" s="1034"/>
      <c r="BB138" s="1034"/>
      <c r="BC138" s="1034"/>
      <c r="BD138" s="1033"/>
      <c r="BE138" s="1034"/>
      <c r="BF138" s="1034"/>
      <c r="BG138" s="1034"/>
      <c r="BH138" s="1034"/>
      <c r="BI138" s="1034"/>
      <c r="BJ138" s="1033"/>
      <c r="BK138" s="1034"/>
      <c r="BL138" s="1034"/>
      <c r="BM138" s="1034"/>
      <c r="BN138" s="1034"/>
      <c r="BO138" s="1034"/>
      <c r="BP138" s="1033"/>
      <c r="BQ138" s="1034"/>
      <c r="BR138" s="1034"/>
      <c r="BS138" s="1034"/>
      <c r="BT138" s="1034"/>
      <c r="BU138" s="1034"/>
      <c r="BV138" s="1033"/>
      <c r="BW138" s="1034"/>
      <c r="BX138" s="1034"/>
      <c r="BY138" s="1034"/>
      <c r="BZ138" s="1034"/>
      <c r="CA138" s="1034"/>
      <c r="CB138" s="1033"/>
      <c r="CC138" s="1034"/>
      <c r="CD138" s="1034"/>
      <c r="CE138" s="1034"/>
      <c r="CF138" s="1034"/>
      <c r="CG138" s="1034"/>
      <c r="CH138" s="1033"/>
      <c r="CI138" s="1034"/>
      <c r="CJ138" s="1034"/>
      <c r="CK138" s="1034"/>
      <c r="CL138" s="1034"/>
      <c r="CM138" s="1034"/>
    </row>
    <row r="139" spans="1:100" hidden="1" outlineLevel="1" x14ac:dyDescent="0.2">
      <c r="B139" s="620" t="s">
        <v>472</v>
      </c>
      <c r="C139" s="647"/>
      <c r="D139" s="648"/>
      <c r="E139" s="648"/>
      <c r="F139" s="648"/>
      <c r="G139" s="649"/>
      <c r="H139" s="136"/>
      <c r="I139" s="647"/>
      <c r="J139" s="648"/>
      <c r="K139" s="648"/>
      <c r="L139" s="648"/>
      <c r="M139" s="649"/>
      <c r="N139" s="136"/>
      <c r="O139" s="647"/>
      <c r="P139" s="648"/>
      <c r="Q139" s="648"/>
      <c r="R139" s="648"/>
      <c r="S139" s="649"/>
      <c r="T139" s="136"/>
      <c r="U139" s="647"/>
      <c r="V139" s="648"/>
      <c r="W139" s="648"/>
      <c r="X139" s="648"/>
      <c r="Y139" s="649"/>
      <c r="Z139" s="136"/>
      <c r="AA139" s="647"/>
      <c r="AB139" s="648"/>
      <c r="AC139" s="648"/>
      <c r="AD139" s="648"/>
      <c r="AE139" s="649"/>
      <c r="AF139" s="136"/>
      <c r="AG139" s="647"/>
      <c r="AH139" s="648"/>
      <c r="AI139" s="648"/>
      <c r="AJ139" s="648"/>
      <c r="AK139" s="649"/>
      <c r="AL139" s="136"/>
      <c r="AM139" s="1026">
        <f>+AM140*AM8</f>
        <v>11.246561500951829</v>
      </c>
      <c r="AN139" s="1032">
        <f>+AN140*AN8</f>
        <v>10.967909592841991</v>
      </c>
      <c r="AO139" s="1032">
        <f>+AO140*AO8</f>
        <v>11.583442956308295</v>
      </c>
      <c r="AP139" s="1032">
        <f>+AP140*AP8</f>
        <v>12.204085949897889</v>
      </c>
      <c r="AQ139" s="649">
        <f>+AQ141+AQ143+AQ145</f>
        <v>46.002000000000002</v>
      </c>
      <c r="AR139" s="136"/>
      <c r="AS139" s="1026">
        <f>+AS140*AS8</f>
        <v>10.8260368283701</v>
      </c>
      <c r="AT139" s="1032">
        <f>+AT140*AT8</f>
        <v>12.286224876498475</v>
      </c>
      <c r="AU139" s="1032">
        <f>+AU140*AU8</f>
        <v>13.31756594495431</v>
      </c>
      <c r="AV139" s="1032">
        <f>+AV140*AV8</f>
        <v>13.556172350177118</v>
      </c>
      <c r="AW139" s="649">
        <f>+AW141+AW143+AW145</f>
        <v>49.986000000000004</v>
      </c>
      <c r="AX139" s="136"/>
      <c r="AY139" s="1026">
        <f>+AY140*AY8</f>
        <v>10.689486338188612</v>
      </c>
      <c r="AZ139" s="1032">
        <f>+AZ140*AZ8</f>
        <v>11.136484910627189</v>
      </c>
      <c r="BA139" s="1032">
        <f>+BA140*BA8</f>
        <v>10.913441001926685</v>
      </c>
      <c r="BB139" s="1032">
        <f>+BB140*BB8</f>
        <v>11.783587749257517</v>
      </c>
      <c r="BC139" s="649">
        <f>+BC141+BC143+BC145</f>
        <v>44.523000000000003</v>
      </c>
      <c r="BD139" s="136"/>
      <c r="BE139" s="1026">
        <f>+BE140*BE8</f>
        <v>17.478791611492223</v>
      </c>
      <c r="BF139" s="1032">
        <f>+BF140*BF8</f>
        <v>21.246259062361524</v>
      </c>
      <c r="BG139" s="1032">
        <f>+BG140*BG8</f>
        <v>21.424324433517128</v>
      </c>
      <c r="BH139" s="1032">
        <f>+BH140*BH8</f>
        <v>22.233624892629127</v>
      </c>
      <c r="BI139" s="649">
        <f>+BI141+BI143+BI145</f>
        <v>82.382999999999996</v>
      </c>
      <c r="BJ139" s="136"/>
      <c r="BK139" s="1026">
        <f>+BK140*BK8</f>
        <v>19.967742668457198</v>
      </c>
      <c r="BL139" s="1032">
        <f>+BL140*BL8</f>
        <v>21.253607175020345</v>
      </c>
      <c r="BM139" s="1032">
        <f>+BM140*BM8</f>
        <v>20.941555935347079</v>
      </c>
      <c r="BN139" s="1032">
        <f>+BN140*BN8</f>
        <v>21.655094221175382</v>
      </c>
      <c r="BO139" s="649">
        <f>+BO141+BO143+BO145</f>
        <v>83.817999999999998</v>
      </c>
      <c r="BP139" s="136"/>
      <c r="BQ139" s="1026">
        <f>+BQ140*BQ8</f>
        <v>19.543327206766449</v>
      </c>
      <c r="BR139" s="1032">
        <f>+BR140*BR8</f>
        <v>20.766505724972813</v>
      </c>
      <c r="BS139" s="1032">
        <f>+BS140*BS8</f>
        <v>20.608929065261705</v>
      </c>
      <c r="BT139" s="648"/>
      <c r="BU139" s="649"/>
      <c r="BV139" s="136"/>
      <c r="BW139" s="647"/>
      <c r="BX139" s="648"/>
      <c r="BY139" s="648"/>
      <c r="BZ139" s="648"/>
      <c r="CA139" s="649"/>
      <c r="CB139" s="136"/>
      <c r="CC139" s="647"/>
      <c r="CD139" s="648"/>
      <c r="CE139" s="648"/>
      <c r="CF139" s="648"/>
      <c r="CG139" s="649"/>
      <c r="CH139" s="136"/>
      <c r="CI139" s="647"/>
      <c r="CJ139" s="648"/>
      <c r="CK139" s="648"/>
      <c r="CL139" s="648"/>
      <c r="CM139" s="649"/>
    </row>
    <row r="140" spans="1:100" s="1094" customFormat="1" hidden="1" outlineLevel="1" x14ac:dyDescent="0.2">
      <c r="A140" s="30"/>
      <c r="B140" s="1107" t="s">
        <v>471</v>
      </c>
      <c r="C140" s="1108"/>
      <c r="D140" s="1098"/>
      <c r="E140" s="1098"/>
      <c r="F140" s="1098"/>
      <c r="G140" s="1099"/>
      <c r="H140" s="1098"/>
      <c r="I140" s="1108"/>
      <c r="J140" s="1098"/>
      <c r="K140" s="1098"/>
      <c r="L140" s="1098"/>
      <c r="M140" s="1099"/>
      <c r="N140" s="1098"/>
      <c r="O140" s="1108"/>
      <c r="P140" s="1098"/>
      <c r="Q140" s="1098"/>
      <c r="R140" s="1098"/>
      <c r="S140" s="1099"/>
      <c r="T140" s="1098"/>
      <c r="U140" s="1108"/>
      <c r="V140" s="1098"/>
      <c r="W140" s="1098"/>
      <c r="X140" s="1098"/>
      <c r="Y140" s="1099"/>
      <c r="Z140" s="1098"/>
      <c r="AA140" s="1108"/>
      <c r="AB140" s="1098"/>
      <c r="AC140" s="1098"/>
      <c r="AD140" s="1098"/>
      <c r="AE140" s="1099"/>
      <c r="AF140" s="1098"/>
      <c r="AG140" s="1108"/>
      <c r="AH140" s="1098"/>
      <c r="AI140" s="1098"/>
      <c r="AJ140" s="1098"/>
      <c r="AK140" s="1099"/>
      <c r="AL140" s="1098"/>
      <c r="AM140" s="1093">
        <f>+$AQ140</f>
        <v>1.2647599315079793E-2</v>
      </c>
      <c r="AN140" s="484">
        <f>+$AQ140</f>
        <v>1.2647599315079793E-2</v>
      </c>
      <c r="AO140" s="484">
        <f>+$AQ140</f>
        <v>1.2647599315079793E-2</v>
      </c>
      <c r="AP140" s="484">
        <f>+$AQ140</f>
        <v>1.2647599315079793E-2</v>
      </c>
      <c r="AQ140" s="995">
        <f>+AQ139/AQ8</f>
        <v>1.2647599315079793E-2</v>
      </c>
      <c r="AR140" s="1098"/>
      <c r="AS140" s="1093">
        <f>+$AW140</f>
        <v>1.2300567338014601E-2</v>
      </c>
      <c r="AT140" s="484">
        <f>+$AW140</f>
        <v>1.2300567338014601E-2</v>
      </c>
      <c r="AU140" s="484">
        <f>+$AW140</f>
        <v>1.2300567338014601E-2</v>
      </c>
      <c r="AV140" s="484">
        <f>+$AW140</f>
        <v>1.2300567338014601E-2</v>
      </c>
      <c r="AW140" s="995">
        <f>+AW139/AW8</f>
        <v>1.2300567338014601E-2</v>
      </c>
      <c r="AX140" s="1098"/>
      <c r="AY140" s="1093">
        <f>+$BC140</f>
        <v>1.138443796960519E-2</v>
      </c>
      <c r="AZ140" s="484">
        <f>+$BC140</f>
        <v>1.138443796960519E-2</v>
      </c>
      <c r="BA140" s="484">
        <f>+$BC140</f>
        <v>1.138443796960519E-2</v>
      </c>
      <c r="BB140" s="484">
        <f>+$BC140</f>
        <v>1.138443796960519E-2</v>
      </c>
      <c r="BC140" s="995">
        <f>+BC139/BC8</f>
        <v>1.138443796960519E-2</v>
      </c>
      <c r="BD140" s="1098"/>
      <c r="BE140" s="1093">
        <f>+$BI140</f>
        <v>1.5293770605136389E-2</v>
      </c>
      <c r="BF140" s="484">
        <f>+$BI140</f>
        <v>1.5293770605136389E-2</v>
      </c>
      <c r="BG140" s="484">
        <f>+$BI140</f>
        <v>1.5293770605136389E-2</v>
      </c>
      <c r="BH140" s="484">
        <f>+$BI140</f>
        <v>1.5293770605136389E-2</v>
      </c>
      <c r="BI140" s="995">
        <f>+BI139/BI8</f>
        <v>1.5293770605136389E-2</v>
      </c>
      <c r="BJ140" s="1098"/>
      <c r="BK140" s="1093">
        <f>+$BO140</f>
        <v>1.4985892507000111E-2</v>
      </c>
      <c r="BL140" s="484">
        <f>+$BO140</f>
        <v>1.4985892507000111E-2</v>
      </c>
      <c r="BM140" s="484">
        <f>+$BO140</f>
        <v>1.4985892507000111E-2</v>
      </c>
      <c r="BN140" s="484">
        <f>+$BO140</f>
        <v>1.4985892507000111E-2</v>
      </c>
      <c r="BO140" s="995">
        <f>+BO139/BO8</f>
        <v>1.4985892507000111E-2</v>
      </c>
      <c r="BP140" s="1098"/>
      <c r="BQ140" s="1093">
        <f>+$BO140</f>
        <v>1.4985892507000111E-2</v>
      </c>
      <c r="BR140" s="484">
        <f>+$BO140</f>
        <v>1.4985892507000111E-2</v>
      </c>
      <c r="BS140" s="484">
        <f>+$BO140</f>
        <v>1.4985892507000111E-2</v>
      </c>
      <c r="BT140" s="1098"/>
      <c r="BU140" s="1099"/>
      <c r="BV140" s="1098"/>
      <c r="BW140" s="1108"/>
      <c r="BX140" s="1098"/>
      <c r="BY140" s="1098"/>
      <c r="BZ140" s="1098"/>
      <c r="CA140" s="1099"/>
      <c r="CB140" s="1098"/>
      <c r="CC140" s="1108"/>
      <c r="CD140" s="1098"/>
      <c r="CE140" s="1098"/>
      <c r="CF140" s="1098"/>
      <c r="CG140" s="1099"/>
      <c r="CH140" s="1098"/>
      <c r="CI140" s="1108"/>
      <c r="CJ140" s="1098"/>
      <c r="CK140" s="1098"/>
      <c r="CL140" s="1098"/>
      <c r="CM140" s="1099"/>
      <c r="CQ140"/>
      <c r="CR140"/>
      <c r="CS140"/>
      <c r="CT140"/>
      <c r="CU140"/>
      <c r="CV140"/>
    </row>
    <row r="141" spans="1:100" hidden="1" outlineLevel="1" x14ac:dyDescent="0.2">
      <c r="B141" s="646" t="s">
        <v>307</v>
      </c>
      <c r="C141" s="121"/>
      <c r="D141" s="85"/>
      <c r="E141" s="85"/>
      <c r="F141" s="85"/>
      <c r="G141" s="589"/>
      <c r="H141" s="85"/>
      <c r="I141" s="121"/>
      <c r="J141" s="85"/>
      <c r="K141" s="85"/>
      <c r="L141" s="85"/>
      <c r="M141" s="589"/>
      <c r="N141" s="85"/>
      <c r="O141" s="121"/>
      <c r="P141" s="85"/>
      <c r="Q141" s="85"/>
      <c r="R141" s="85"/>
      <c r="S141" s="589"/>
      <c r="T141" s="85"/>
      <c r="U141" s="121"/>
      <c r="V141" s="85"/>
      <c r="W141" s="85"/>
      <c r="X141" s="85"/>
      <c r="Y141" s="589"/>
      <c r="Z141" s="85"/>
      <c r="AA141" s="121"/>
      <c r="AB141" s="85"/>
      <c r="AC141" s="85"/>
      <c r="AD141" s="85"/>
      <c r="AE141" s="589"/>
      <c r="AF141" s="85"/>
      <c r="AG141" s="121"/>
      <c r="AH141" s="85"/>
      <c r="AI141" s="85"/>
      <c r="AJ141" s="85"/>
      <c r="AK141" s="589"/>
      <c r="AL141" s="85"/>
      <c r="AM141" s="1021">
        <f>+AM142*RevBuild!AM149</f>
        <v>8.3329002365576059</v>
      </c>
      <c r="AN141" s="8">
        <f>+AN142*RevBuild!AN149</f>
        <v>8.0649777085425463</v>
      </c>
      <c r="AO141" s="8">
        <f>+AO142*RevBuild!AO149</f>
        <v>9.200891096106254</v>
      </c>
      <c r="AP141" s="8">
        <f>+AP142*RevBuild!AP149</f>
        <v>9.3542309587936003</v>
      </c>
      <c r="AQ141" s="1023">
        <v>34.953000000000003</v>
      </c>
      <c r="AR141" s="85"/>
      <c r="AS141" s="1021">
        <f>+AS142*RevBuild!AS149</f>
        <v>8.1919340417564666</v>
      </c>
      <c r="AT141" s="8">
        <f>+AT142*RevBuild!AT149</f>
        <v>8.322284754027752</v>
      </c>
      <c r="AU141" s="8">
        <f>+AU142*RevBuild!AU149</f>
        <v>9.4886716184640587</v>
      </c>
      <c r="AV141" s="8">
        <f>+AV142*RevBuild!AV149</f>
        <v>9.2061095857517188</v>
      </c>
      <c r="AW141" s="1023">
        <v>35.209000000000003</v>
      </c>
      <c r="AX141" s="85"/>
      <c r="AY141" s="1021">
        <f>+AY142*RevBuild!AY149</f>
        <v>4.1739428199468085</v>
      </c>
      <c r="AZ141" s="8">
        <f>+AZ142*RevBuild!AZ149</f>
        <v>4.5565430966338347</v>
      </c>
      <c r="BA141" s="8">
        <f>+BA142*RevBuild!BA149</f>
        <v>4.6950840392330795</v>
      </c>
      <c r="BB141" s="8">
        <f>+BB142*RevBuild!BB149</f>
        <v>5.1424300441862814</v>
      </c>
      <c r="BC141" s="1023">
        <v>18.568000000000001</v>
      </c>
      <c r="BD141" s="85"/>
      <c r="BE141" s="1021">
        <f>+BE142*RevBuild!BE149</f>
        <v>4.390310710134826</v>
      </c>
      <c r="BF141" s="8">
        <f>+BF142*RevBuild!BF149</f>
        <v>4.590353644284022</v>
      </c>
      <c r="BG141" s="8">
        <f>+BG142*RevBuild!BG149</f>
        <v>4.8676808625517625</v>
      </c>
      <c r="BH141" s="8">
        <f>+BH142*RevBuild!BH149</f>
        <v>5.0546547830293918</v>
      </c>
      <c r="BI141" s="1023">
        <v>18.902999999999999</v>
      </c>
      <c r="BJ141" s="85"/>
      <c r="BK141" s="1021">
        <f>+BK142*RevBuild!BK149</f>
        <v>2.7492784552377834</v>
      </c>
      <c r="BL141" s="8">
        <f>+BL142*RevBuild!BL149</f>
        <v>2.9798054153196838</v>
      </c>
      <c r="BM141" s="8">
        <f>+BM142*RevBuild!BM149</f>
        <v>3.102603200794571</v>
      </c>
      <c r="BN141" s="8">
        <f>+BN142*RevBuild!BN149</f>
        <v>3.0083129286479608</v>
      </c>
      <c r="BO141" s="1023">
        <v>11.84</v>
      </c>
      <c r="BP141" s="85"/>
      <c r="BQ141" s="1021">
        <f>+BQ142*RevBuild!BQ149</f>
        <v>2.5699213670379155</v>
      </c>
      <c r="BR141" s="8">
        <f>+BR142*RevBuild!BR149</f>
        <v>2.7424178286592147</v>
      </c>
      <c r="BS141" s="8">
        <f>+BS142*RevBuild!BS149</f>
        <v>2.8625258522336234</v>
      </c>
      <c r="BT141" s="644"/>
      <c r="BU141" s="589"/>
      <c r="BV141" s="85"/>
      <c r="BW141" s="650"/>
      <c r="BX141" s="644"/>
      <c r="BY141" s="644"/>
      <c r="BZ141" s="644"/>
      <c r="CA141" s="589"/>
      <c r="CB141" s="85"/>
      <c r="CC141" s="650"/>
      <c r="CD141" s="644"/>
      <c r="CE141" s="644"/>
      <c r="CF141" s="644"/>
      <c r="CG141" s="589"/>
      <c r="CH141" s="85"/>
      <c r="CI141" s="650"/>
      <c r="CJ141" s="644"/>
      <c r="CK141" s="644"/>
      <c r="CL141" s="644"/>
      <c r="CM141" s="589"/>
    </row>
    <row r="142" spans="1:100" s="1094" customFormat="1" hidden="1" outlineLevel="1" x14ac:dyDescent="0.2">
      <c r="A142" s="30"/>
      <c r="B142" s="879" t="s">
        <v>477</v>
      </c>
      <c r="C142" s="1093"/>
      <c r="D142" s="484"/>
      <c r="E142" s="484"/>
      <c r="F142" s="484"/>
      <c r="G142" s="995"/>
      <c r="H142" s="484"/>
      <c r="I142" s="1093"/>
      <c r="J142" s="484"/>
      <c r="K142" s="484"/>
      <c r="L142" s="484"/>
      <c r="M142" s="995"/>
      <c r="N142" s="484"/>
      <c r="O142" s="1093"/>
      <c r="P142" s="484"/>
      <c r="Q142" s="484"/>
      <c r="R142" s="484"/>
      <c r="S142" s="995"/>
      <c r="T142" s="484"/>
      <c r="U142" s="1093"/>
      <c r="V142" s="484"/>
      <c r="W142" s="484"/>
      <c r="X142" s="484"/>
      <c r="Y142" s="995"/>
      <c r="Z142" s="484"/>
      <c r="AA142" s="1093"/>
      <c r="AB142" s="484"/>
      <c r="AC142" s="484"/>
      <c r="AD142" s="484"/>
      <c r="AE142" s="995"/>
      <c r="AF142" s="484"/>
      <c r="AG142" s="1093"/>
      <c r="AH142" s="484"/>
      <c r="AI142" s="484"/>
      <c r="AJ142" s="484"/>
      <c r="AK142" s="995"/>
      <c r="AL142" s="484"/>
      <c r="AM142" s="1093">
        <f>+$AQ142</f>
        <v>1.4686319575456836E-2</v>
      </c>
      <c r="AN142" s="484">
        <f>+$AQ142</f>
        <v>1.4686319575456836E-2</v>
      </c>
      <c r="AO142" s="484">
        <f>+$AQ142</f>
        <v>1.4686319575456836E-2</v>
      </c>
      <c r="AP142" s="484">
        <f>+$AQ142</f>
        <v>1.4686319575456836E-2</v>
      </c>
      <c r="AQ142" s="1106">
        <f>+AQ141/RevBuild!AQ149</f>
        <v>1.4686319575456836E-2</v>
      </c>
      <c r="AR142" s="484"/>
      <c r="AS142" s="1093">
        <f>+$AW142</f>
        <v>1.4780668133720778E-2</v>
      </c>
      <c r="AT142" s="484">
        <f>+$AW142</f>
        <v>1.4780668133720778E-2</v>
      </c>
      <c r="AU142" s="484">
        <f>+$AW142</f>
        <v>1.4780668133720778E-2</v>
      </c>
      <c r="AV142" s="484">
        <f>+$AW142</f>
        <v>1.4780668133720778E-2</v>
      </c>
      <c r="AW142" s="1106">
        <f>+AW141/RevBuild!AW149</f>
        <v>1.4780668133720778E-2</v>
      </c>
      <c r="AX142" s="484"/>
      <c r="AY142" s="1093">
        <f>+$BC142</f>
        <v>7.6886032853789432E-3</v>
      </c>
      <c r="AZ142" s="484">
        <f>+$BC142</f>
        <v>7.6886032853789432E-3</v>
      </c>
      <c r="BA142" s="484">
        <f>+$BC142</f>
        <v>7.6886032853789432E-3</v>
      </c>
      <c r="BB142" s="484">
        <f>+$BC142</f>
        <v>7.6886032853789432E-3</v>
      </c>
      <c r="BC142" s="1106">
        <f>+BC141/RevBuild!BC149</f>
        <v>7.6886032853789432E-3</v>
      </c>
      <c r="BD142" s="484"/>
      <c r="BE142" s="1093">
        <f>+$BI142</f>
        <v>7.6337696679716063E-3</v>
      </c>
      <c r="BF142" s="484">
        <f>+$BI142</f>
        <v>7.6337696679716063E-3</v>
      </c>
      <c r="BG142" s="484">
        <f>+$BI142</f>
        <v>7.6337696679716063E-3</v>
      </c>
      <c r="BH142" s="484">
        <f>+$BI142</f>
        <v>7.6337696679716063E-3</v>
      </c>
      <c r="BI142" s="1106">
        <f>+BI141/RevBuild!BI149</f>
        <v>7.6337696679716063E-3</v>
      </c>
      <c r="BJ142" s="484"/>
      <c r="BK142" s="1093">
        <f>+$BO142</f>
        <v>4.953520995356492E-3</v>
      </c>
      <c r="BL142" s="484">
        <f>+$BO142</f>
        <v>4.953520995356492E-3</v>
      </c>
      <c r="BM142" s="484">
        <f>+$BO142</f>
        <v>4.953520995356492E-3</v>
      </c>
      <c r="BN142" s="484">
        <f>+$BO142</f>
        <v>4.953520995356492E-3</v>
      </c>
      <c r="BO142" s="1106">
        <f>+BO141/RevBuild!BO149</f>
        <v>4.953520995356492E-3</v>
      </c>
      <c r="BP142" s="484"/>
      <c r="BQ142" s="1093">
        <f>+$BO142</f>
        <v>4.953520995356492E-3</v>
      </c>
      <c r="BR142" s="484">
        <f>+$BO142</f>
        <v>4.953520995356492E-3</v>
      </c>
      <c r="BS142" s="484">
        <f>+$BO142</f>
        <v>4.953520995356492E-3</v>
      </c>
      <c r="BT142" s="1096"/>
      <c r="BU142" s="995"/>
      <c r="BV142" s="484"/>
      <c r="BW142" s="1095"/>
      <c r="BX142" s="1096"/>
      <c r="BY142" s="1096"/>
      <c r="BZ142" s="1096"/>
      <c r="CA142" s="995"/>
      <c r="CB142" s="484"/>
      <c r="CC142" s="1095"/>
      <c r="CD142" s="1096"/>
      <c r="CE142" s="1096"/>
      <c r="CF142" s="1096"/>
      <c r="CG142" s="995"/>
      <c r="CH142" s="484"/>
      <c r="CI142" s="1095"/>
      <c r="CJ142" s="1096"/>
      <c r="CK142" s="1096"/>
      <c r="CL142" s="1096"/>
      <c r="CM142" s="995"/>
      <c r="CQ142"/>
      <c r="CR142"/>
      <c r="CS142"/>
      <c r="CT142"/>
      <c r="CU142"/>
      <c r="CV142"/>
    </row>
    <row r="143" spans="1:100" hidden="1" outlineLevel="1" x14ac:dyDescent="0.2">
      <c r="B143" s="646" t="s">
        <v>311</v>
      </c>
      <c r="C143" s="996"/>
      <c r="D143" s="85"/>
      <c r="E143" s="85"/>
      <c r="F143" s="85"/>
      <c r="G143" s="589"/>
      <c r="H143" s="85"/>
      <c r="I143" s="996"/>
      <c r="J143" s="85"/>
      <c r="K143" s="85"/>
      <c r="L143" s="85"/>
      <c r="M143" s="589"/>
      <c r="N143" s="85"/>
      <c r="O143" s="996"/>
      <c r="P143" s="85"/>
      <c r="Q143" s="85"/>
      <c r="R143" s="85"/>
      <c r="S143" s="589"/>
      <c r="T143" s="85"/>
      <c r="U143" s="996"/>
      <c r="V143" s="85"/>
      <c r="W143" s="85"/>
      <c r="X143" s="85"/>
      <c r="Y143" s="589"/>
      <c r="Z143" s="85"/>
      <c r="AA143" s="996"/>
      <c r="AB143" s="85"/>
      <c r="AC143" s="85"/>
      <c r="AD143" s="85"/>
      <c r="AE143" s="589"/>
      <c r="AF143" s="85"/>
      <c r="AG143" s="996"/>
      <c r="AH143" s="85"/>
      <c r="AI143" s="85"/>
      <c r="AJ143" s="85"/>
      <c r="AK143" s="589"/>
      <c r="AL143" s="85"/>
      <c r="AM143" s="1021">
        <f>+AM144*RevBuild!AM152</f>
        <v>1.9439313997444536</v>
      </c>
      <c r="AN143" s="8">
        <f>+AN144*RevBuild!AN152</f>
        <v>1.8756206595210825</v>
      </c>
      <c r="AO143" s="8">
        <f>+AO144*RevBuild!AO152</f>
        <v>1.7844006434997912</v>
      </c>
      <c r="AP143" s="8">
        <f>+AP144*RevBuild!AP152</f>
        <v>2.0790472972346721</v>
      </c>
      <c r="AQ143" s="1023">
        <v>7.6829999999999998</v>
      </c>
      <c r="AR143" s="85"/>
      <c r="AS143" s="1021">
        <f>+AS144*RevBuild!AS152</f>
        <v>1.2515002111310978</v>
      </c>
      <c r="AT143" s="8">
        <f>+AT144*RevBuild!AT152</f>
        <v>1.931122053723721</v>
      </c>
      <c r="AU143" s="8">
        <f>+AU144*RevBuild!AU152</f>
        <v>2.0895753438776969</v>
      </c>
      <c r="AV143" s="8">
        <f>+AV144*RevBuild!AV152</f>
        <v>2.2678023912674847</v>
      </c>
      <c r="AW143" s="1023">
        <v>7.54</v>
      </c>
      <c r="AX143" s="85"/>
      <c r="AY143" s="1021">
        <f>+AY144*RevBuild!AY150</f>
        <v>2.3500444880781561</v>
      </c>
      <c r="AZ143" s="8">
        <f>+AZ144*RevBuild!AZ150</f>
        <v>2.2902683111693913</v>
      </c>
      <c r="BA143" s="8">
        <f>+BA144*RevBuild!BA150</f>
        <v>2.0550874417295426</v>
      </c>
      <c r="BB143" s="8">
        <f>+BB144*RevBuild!BB150</f>
        <v>2.1655997590229101</v>
      </c>
      <c r="BC143" s="1023">
        <v>8.8610000000000007</v>
      </c>
      <c r="BD143" s="85"/>
      <c r="BE143" s="1021">
        <f>+BE144*RevBuild!BE150</f>
        <v>8.6143767264832665</v>
      </c>
      <c r="BF143" s="8">
        <f>+BF144*RevBuild!BF150</f>
        <v>11.971049366774169</v>
      </c>
      <c r="BG143" s="8">
        <f>+BG144*RevBuild!BG150</f>
        <v>11.588632665781351</v>
      </c>
      <c r="BH143" s="8">
        <f>+BH144*RevBuild!BH150</f>
        <v>12.068941240961218</v>
      </c>
      <c r="BI143" s="1023">
        <v>44.243000000000002</v>
      </c>
      <c r="BJ143" s="85"/>
      <c r="BK143" s="1021">
        <f>+BK144*RevBuild!BK150</f>
        <v>12.102365403664631</v>
      </c>
      <c r="BL143" s="8">
        <f>+BL144*RevBuild!BL150</f>
        <v>12.808784098871266</v>
      </c>
      <c r="BM143" s="8">
        <f>+BM144*RevBuild!BM150</f>
        <v>12.101508465339547</v>
      </c>
      <c r="BN143" s="8">
        <f>+BN144*RevBuild!BN150</f>
        <v>13.131342032124554</v>
      </c>
      <c r="BO143" s="1023">
        <v>50.143999999999998</v>
      </c>
      <c r="BP143" s="85"/>
      <c r="BQ143" s="1021">
        <f>+BQ144*RevBuild!BQ150</f>
        <v>12.316679331077092</v>
      </c>
      <c r="BR143" s="8">
        <f>+BR144*RevBuild!BR150</f>
        <v>13.069626603490192</v>
      </c>
      <c r="BS143" s="8">
        <f>+BS144*RevBuild!BS150</f>
        <v>12.613925845283886</v>
      </c>
      <c r="BT143" s="644"/>
      <c r="BU143" s="589"/>
      <c r="BV143" s="85"/>
      <c r="BW143" s="1015"/>
      <c r="BX143" s="644"/>
      <c r="BY143" s="644"/>
      <c r="BZ143" s="644"/>
      <c r="CA143" s="589"/>
      <c r="CB143" s="85"/>
      <c r="CC143" s="1015"/>
      <c r="CD143" s="644"/>
      <c r="CE143" s="644"/>
      <c r="CF143" s="644"/>
      <c r="CG143" s="589"/>
      <c r="CH143" s="85"/>
      <c r="CI143" s="1015"/>
      <c r="CJ143" s="644"/>
      <c r="CK143" s="644"/>
      <c r="CL143" s="644"/>
      <c r="CM143" s="589"/>
    </row>
    <row r="144" spans="1:100" s="1094" customFormat="1" hidden="1" outlineLevel="1" x14ac:dyDescent="0.2">
      <c r="A144" s="30"/>
      <c r="B144" s="879" t="s">
        <v>477</v>
      </c>
      <c r="C144" s="1093"/>
      <c r="D144" s="484"/>
      <c r="E144" s="484"/>
      <c r="F144" s="484"/>
      <c r="G144" s="995"/>
      <c r="H144" s="484"/>
      <c r="I144" s="1093"/>
      <c r="J144" s="484"/>
      <c r="K144" s="484"/>
      <c r="L144" s="484"/>
      <c r="M144" s="995"/>
      <c r="N144" s="484"/>
      <c r="O144" s="1093"/>
      <c r="P144" s="484"/>
      <c r="Q144" s="484"/>
      <c r="R144" s="484"/>
      <c r="S144" s="995"/>
      <c r="T144" s="484"/>
      <c r="U144" s="1093"/>
      <c r="V144" s="484"/>
      <c r="W144" s="484"/>
      <c r="X144" s="484"/>
      <c r="Y144" s="995"/>
      <c r="Z144" s="484"/>
      <c r="AA144" s="1093"/>
      <c r="AB144" s="484"/>
      <c r="AC144" s="484"/>
      <c r="AD144" s="484"/>
      <c r="AE144" s="995"/>
      <c r="AF144" s="484"/>
      <c r="AG144" s="1093"/>
      <c r="AH144" s="484"/>
      <c r="AI144" s="484"/>
      <c r="AJ144" s="484"/>
      <c r="AK144" s="995"/>
      <c r="AL144" s="484"/>
      <c r="AM144" s="1093">
        <f>+$AQ144</f>
        <v>1.0172857814351633E-2</v>
      </c>
      <c r="AN144" s="484">
        <f>+$AQ144</f>
        <v>1.0172857814351633E-2</v>
      </c>
      <c r="AO144" s="484">
        <f>+$AQ144</f>
        <v>1.0172857814351633E-2</v>
      </c>
      <c r="AP144" s="484">
        <f>+$AQ144</f>
        <v>1.0172857814351633E-2</v>
      </c>
      <c r="AQ144" s="1106">
        <f>+AQ143/RevBuild!AQ152</f>
        <v>1.0172857814351633E-2</v>
      </c>
      <c r="AR144" s="484"/>
      <c r="AS144" s="1093">
        <f>+$AW144</f>
        <v>6.2674349400354441E-3</v>
      </c>
      <c r="AT144" s="484">
        <f>+$AW144</f>
        <v>6.2674349400354441E-3</v>
      </c>
      <c r="AU144" s="484">
        <f>+$AW144</f>
        <v>6.2674349400354441E-3</v>
      </c>
      <c r="AV144" s="484">
        <f>+$AW144</f>
        <v>6.2674349400354441E-3</v>
      </c>
      <c r="AW144" s="1106">
        <f>+AW143/RevBuild!AW152</f>
        <v>6.2674349400354441E-3</v>
      </c>
      <c r="AX144" s="484"/>
      <c r="AY144" s="1093">
        <f>+$BC144</f>
        <v>6.0834700700961855E-3</v>
      </c>
      <c r="AZ144" s="484">
        <f>+$BC144</f>
        <v>6.0834700700961855E-3</v>
      </c>
      <c r="BA144" s="484">
        <f>+$BC144</f>
        <v>6.0834700700961855E-3</v>
      </c>
      <c r="BB144" s="484">
        <f>+$BC144</f>
        <v>6.0834700700961855E-3</v>
      </c>
      <c r="BC144" s="1106">
        <f>+BC143/RevBuild!BC150</f>
        <v>6.0834700700961855E-3</v>
      </c>
      <c r="BD144" s="484"/>
      <c r="BE144" s="1093">
        <f>+$BI144</f>
        <v>1.5457425262442226E-2</v>
      </c>
      <c r="BF144" s="484">
        <f>+$BI144</f>
        <v>1.5457425262442226E-2</v>
      </c>
      <c r="BG144" s="484">
        <f>+$BI144</f>
        <v>1.5457425262442226E-2</v>
      </c>
      <c r="BH144" s="484">
        <f>+$BI144</f>
        <v>1.5457425262442226E-2</v>
      </c>
      <c r="BI144" s="1106">
        <f>+BI143/RevBuild!BI150</f>
        <v>1.5457425262442226E-2</v>
      </c>
      <c r="BJ144" s="484"/>
      <c r="BK144" s="1093">
        <f>+$BO144</f>
        <v>1.5869228242314608E-2</v>
      </c>
      <c r="BL144" s="484">
        <f>+$BO144</f>
        <v>1.5869228242314608E-2</v>
      </c>
      <c r="BM144" s="484">
        <f>+$BO144</f>
        <v>1.5869228242314608E-2</v>
      </c>
      <c r="BN144" s="484">
        <f>+$BO144</f>
        <v>1.5869228242314608E-2</v>
      </c>
      <c r="BO144" s="1106">
        <f>+BO143/RevBuild!BO150</f>
        <v>1.5869228242314608E-2</v>
      </c>
      <c r="BP144" s="484"/>
      <c r="BQ144" s="1093">
        <f>+$BO144</f>
        <v>1.5869228242314608E-2</v>
      </c>
      <c r="BR144" s="484">
        <f>+$BO144</f>
        <v>1.5869228242314608E-2</v>
      </c>
      <c r="BS144" s="484">
        <f>+$BO144</f>
        <v>1.5869228242314608E-2</v>
      </c>
      <c r="BT144" s="1096"/>
      <c r="BU144" s="995"/>
      <c r="BV144" s="484"/>
      <c r="BW144" s="1095"/>
      <c r="BX144" s="1096"/>
      <c r="BY144" s="1096"/>
      <c r="BZ144" s="1096"/>
      <c r="CA144" s="995"/>
      <c r="CB144" s="484"/>
      <c r="CC144" s="1095"/>
      <c r="CD144" s="1096"/>
      <c r="CE144" s="1096"/>
      <c r="CF144" s="1096"/>
      <c r="CG144" s="995"/>
      <c r="CH144" s="484"/>
      <c r="CI144" s="1095"/>
      <c r="CJ144" s="1096"/>
      <c r="CK144" s="1096"/>
      <c r="CL144" s="1096"/>
      <c r="CM144" s="995"/>
      <c r="CQ144"/>
      <c r="CR144"/>
      <c r="CS144"/>
      <c r="CT144"/>
      <c r="CU144"/>
      <c r="CV144"/>
    </row>
    <row r="145" spans="1:100" hidden="1" outlineLevel="1" x14ac:dyDescent="0.2">
      <c r="B145" s="646" t="s">
        <v>466</v>
      </c>
      <c r="C145" s="996"/>
      <c r="D145" s="85"/>
      <c r="E145" s="85"/>
      <c r="F145" s="85"/>
      <c r="G145" s="589"/>
      <c r="H145" s="85"/>
      <c r="I145" s="121"/>
      <c r="J145" s="85"/>
      <c r="K145" s="85"/>
      <c r="L145" s="85"/>
      <c r="M145" s="589"/>
      <c r="N145" s="85"/>
      <c r="O145" s="121"/>
      <c r="P145" s="85"/>
      <c r="Q145" s="85"/>
      <c r="R145" s="85"/>
      <c r="S145" s="589"/>
      <c r="T145" s="85"/>
      <c r="U145" s="121"/>
      <c r="V145" s="85"/>
      <c r="W145" s="85"/>
      <c r="X145" s="85"/>
      <c r="Y145" s="589"/>
      <c r="Z145" s="85"/>
      <c r="AA145" s="121"/>
      <c r="AB145" s="85"/>
      <c r="AC145" s="85"/>
      <c r="AD145" s="85"/>
      <c r="AE145" s="589"/>
      <c r="AF145" s="85"/>
      <c r="AG145" s="121"/>
      <c r="AH145" s="85"/>
      <c r="AI145" s="85"/>
      <c r="AJ145" s="85"/>
      <c r="AK145" s="589"/>
      <c r="AL145" s="85"/>
      <c r="AM145" s="1021">
        <f>+AM146*RevBuild!AM153</f>
        <v>0.87666049398701584</v>
      </c>
      <c r="AN145" s="8">
        <f>+AN146*RevBuild!AN153</f>
        <v>0.89627996581652869</v>
      </c>
      <c r="AO145" s="8">
        <f>+AO146*RevBuild!AO153</f>
        <v>0.76412009235114964</v>
      </c>
      <c r="AP145" s="8">
        <f>+AP146*RevBuild!AP153</f>
        <v>0.82893944784530593</v>
      </c>
      <c r="AQ145" s="1023">
        <v>3.3660000000000001</v>
      </c>
      <c r="AR145" s="85"/>
      <c r="AS145" s="1021">
        <f>+AS146*RevBuild!AS153</f>
        <v>1.9085375334588455</v>
      </c>
      <c r="AT145" s="8">
        <f>+AT146*RevBuild!AT153</f>
        <v>1.9305098574303192</v>
      </c>
      <c r="AU145" s="8">
        <f>+AU146*RevBuild!AU153</f>
        <v>1.6227763455105073</v>
      </c>
      <c r="AV145" s="8">
        <f>+AV146*RevBuild!AV153</f>
        <v>1.7751762636003285</v>
      </c>
      <c r="AW145" s="1023">
        <v>7.2370000000000001</v>
      </c>
      <c r="AX145" s="85"/>
      <c r="AY145" s="1021">
        <f>+AY146*RevBuild!AY151</f>
        <v>4.2556629339305712</v>
      </c>
      <c r="AZ145" s="8">
        <f>+AZ146*RevBuild!AZ151</f>
        <v>3.9633090705487124</v>
      </c>
      <c r="BA145" s="8">
        <f>+BA146*RevBuild!BA151</f>
        <v>4.4192418812989924</v>
      </c>
      <c r="BB145" s="8">
        <f>+BB146*RevBuild!BB151</f>
        <v>4.4557861142217252</v>
      </c>
      <c r="BC145" s="1023">
        <v>17.094000000000001</v>
      </c>
      <c r="BD145" s="85"/>
      <c r="BE145" s="1021">
        <f>+BE146*RevBuild!BE151</f>
        <v>4.17134118622978</v>
      </c>
      <c r="BF145" s="8">
        <f>+BF146*RevBuild!BF151</f>
        <v>5.3597904396515972</v>
      </c>
      <c r="BG145" s="8">
        <f>+BG146*RevBuild!BG151</f>
        <v>5.3813333264205729</v>
      </c>
      <c r="BH145" s="8">
        <f>+BH146*RevBuild!BH151</f>
        <v>4.3245350476980509</v>
      </c>
      <c r="BI145" s="1023">
        <v>19.236999999999998</v>
      </c>
      <c r="BJ145" s="85"/>
      <c r="BK145" s="1021">
        <f>+BK146*RevBuild!BK151</f>
        <v>7.4955865558702008</v>
      </c>
      <c r="BL145" s="8">
        <f>+BL146*RevBuild!BL151</f>
        <v>4.8358949909474953</v>
      </c>
      <c r="BM145" s="8">
        <f>+BM146*RevBuild!BM151</f>
        <v>4.3067947634743042</v>
      </c>
      <c r="BN145" s="8">
        <f>+BN146*RevBuild!BN151</f>
        <v>5.1957236897079992</v>
      </c>
      <c r="BO145" s="1023">
        <v>21.834</v>
      </c>
      <c r="BP145" s="85"/>
      <c r="BQ145" s="1021">
        <f>+BQ146*RevBuild!BQ151</f>
        <v>4.648378626804698</v>
      </c>
      <c r="BR145" s="8">
        <f>+BR146*RevBuild!BR151</f>
        <v>4.3199715890627175</v>
      </c>
      <c r="BS145" s="8">
        <f>+BS146*RevBuild!BS151</f>
        <v>1.2558528387725734</v>
      </c>
      <c r="BT145" s="644"/>
      <c r="BU145" s="589"/>
      <c r="BV145" s="85"/>
      <c r="BW145" s="1015"/>
      <c r="BX145" s="644"/>
      <c r="BY145" s="644"/>
      <c r="BZ145" s="644"/>
      <c r="CA145" s="589"/>
      <c r="CB145" s="85"/>
      <c r="CC145" s="1015"/>
      <c r="CD145" s="644"/>
      <c r="CE145" s="644"/>
      <c r="CF145" s="644"/>
      <c r="CG145" s="589"/>
      <c r="CH145" s="85"/>
      <c r="CI145" s="1015"/>
      <c r="CJ145" s="644"/>
      <c r="CK145" s="644"/>
      <c r="CL145" s="644"/>
      <c r="CM145" s="589"/>
    </row>
    <row r="146" spans="1:100" s="1094" customFormat="1" hidden="1" outlineLevel="1" x14ac:dyDescent="0.2">
      <c r="A146" s="30"/>
      <c r="B146" s="879" t="s">
        <v>477</v>
      </c>
      <c r="C146" s="1093"/>
      <c r="D146" s="484"/>
      <c r="E146" s="484"/>
      <c r="F146" s="484"/>
      <c r="G146" s="995"/>
      <c r="H146" s="484"/>
      <c r="I146" s="1093"/>
      <c r="J146" s="484"/>
      <c r="K146" s="484"/>
      <c r="L146" s="484"/>
      <c r="M146" s="995"/>
      <c r="N146" s="484"/>
      <c r="O146" s="1093"/>
      <c r="P146" s="484"/>
      <c r="Q146" s="484"/>
      <c r="R146" s="484"/>
      <c r="S146" s="995"/>
      <c r="T146" s="484"/>
      <c r="U146" s="1093"/>
      <c r="V146" s="484"/>
      <c r="W146" s="484"/>
      <c r="X146" s="484"/>
      <c r="Y146" s="995"/>
      <c r="Z146" s="484"/>
      <c r="AA146" s="1093"/>
      <c r="AB146" s="484"/>
      <c r="AC146" s="484"/>
      <c r="AD146" s="484"/>
      <c r="AE146" s="995"/>
      <c r="AF146" s="484"/>
      <c r="AG146" s="1093"/>
      <c r="AH146" s="484"/>
      <c r="AI146" s="484"/>
      <c r="AJ146" s="484"/>
      <c r="AK146" s="995"/>
      <c r="AL146" s="484"/>
      <c r="AM146" s="1093">
        <f>+$AQ146</f>
        <v>6.7052193539005218E-3</v>
      </c>
      <c r="AN146" s="484">
        <f>+$AQ146</f>
        <v>6.7052193539005218E-3</v>
      </c>
      <c r="AO146" s="484">
        <f>+$AQ146</f>
        <v>6.7052193539005218E-3</v>
      </c>
      <c r="AP146" s="484">
        <f>+$AQ146</f>
        <v>6.7052193539005218E-3</v>
      </c>
      <c r="AQ146" s="1106">
        <f>+AQ145/RevBuild!AQ153</f>
        <v>6.7052193539005218E-3</v>
      </c>
      <c r="AR146" s="484"/>
      <c r="AS146" s="1093">
        <f>+$AW146</f>
        <v>1.5122039897779441E-2</v>
      </c>
      <c r="AT146" s="484">
        <f>+$AW146</f>
        <v>1.5122039897779441E-2</v>
      </c>
      <c r="AU146" s="484">
        <f>+$AW146</f>
        <v>1.5122039897779441E-2</v>
      </c>
      <c r="AV146" s="484">
        <f>+$AW146</f>
        <v>1.5122039897779441E-2</v>
      </c>
      <c r="AW146" s="1106">
        <f>+AW145/RevBuild!AW153</f>
        <v>1.5122039897779441E-2</v>
      </c>
      <c r="AX146" s="484"/>
      <c r="AY146" s="1093">
        <f>+$BC146</f>
        <v>0.43505039193729006</v>
      </c>
      <c r="AZ146" s="484">
        <f>+$BC146</f>
        <v>0.43505039193729006</v>
      </c>
      <c r="BA146" s="484">
        <f>+$BC146</f>
        <v>0.43505039193729006</v>
      </c>
      <c r="BB146" s="484">
        <f>+$BC146</f>
        <v>0.43505039193729006</v>
      </c>
      <c r="BC146" s="1106">
        <f>+BC145/RevBuild!BC151</f>
        <v>0.43505039193729006</v>
      </c>
      <c r="BD146" s="484"/>
      <c r="BE146" s="1093">
        <f>+$BI146</f>
        <v>0.3989423475736209</v>
      </c>
      <c r="BF146" s="484">
        <f>+$BI146</f>
        <v>0.3989423475736209</v>
      </c>
      <c r="BG146" s="484">
        <f>+$BI146</f>
        <v>0.3989423475736209</v>
      </c>
      <c r="BH146" s="484">
        <f>+$BI146</f>
        <v>0.3989423475736209</v>
      </c>
      <c r="BI146" s="1106">
        <f>+BI145/RevBuild!BI151</f>
        <v>0.3989423475736209</v>
      </c>
      <c r="BJ146" s="484"/>
      <c r="BK146" s="1093">
        <f>+$BO146</f>
        <v>0.50680098416972286</v>
      </c>
      <c r="BL146" s="484">
        <f>+$BO146</f>
        <v>0.50680098416972286</v>
      </c>
      <c r="BM146" s="484">
        <f>+$BO146</f>
        <v>0.50680098416972286</v>
      </c>
      <c r="BN146" s="484">
        <f>+$BO146</f>
        <v>0.50680098416972286</v>
      </c>
      <c r="BO146" s="1106">
        <f>+BO145/RevBuild!BO151</f>
        <v>0.50680098416972286</v>
      </c>
      <c r="BP146" s="484"/>
      <c r="BQ146" s="1093">
        <f>+$BO146</f>
        <v>0.50680098416972286</v>
      </c>
      <c r="BR146" s="484">
        <f>+$BO146</f>
        <v>0.50680098416972286</v>
      </c>
      <c r="BS146" s="484">
        <f>+$BO146</f>
        <v>0.50680098416972286</v>
      </c>
      <c r="BT146" s="1096"/>
      <c r="BU146" s="995"/>
      <c r="BV146" s="484"/>
      <c r="BW146" s="1095"/>
      <c r="BX146" s="1096"/>
      <c r="BY146" s="1096"/>
      <c r="BZ146" s="1096"/>
      <c r="CA146" s="995"/>
      <c r="CB146" s="484"/>
      <c r="CC146" s="1095"/>
      <c r="CD146" s="1096"/>
      <c r="CE146" s="1096"/>
      <c r="CF146" s="1096"/>
      <c r="CG146" s="995"/>
      <c r="CH146" s="484"/>
      <c r="CI146" s="1095"/>
      <c r="CJ146" s="1096"/>
      <c r="CK146" s="1096"/>
      <c r="CL146" s="1096"/>
      <c r="CM146" s="995"/>
      <c r="CQ146"/>
      <c r="CR146"/>
      <c r="CS146"/>
      <c r="CT146"/>
      <c r="CU146"/>
      <c r="CV146"/>
    </row>
    <row r="147" spans="1:100" hidden="1" outlineLevel="1" x14ac:dyDescent="0.2">
      <c r="B147" s="620" t="s">
        <v>102</v>
      </c>
      <c r="C147" s="996"/>
      <c r="D147" s="85"/>
      <c r="E147" s="85"/>
      <c r="F147" s="85"/>
      <c r="G147" s="589"/>
      <c r="H147" s="85"/>
      <c r="I147" s="996"/>
      <c r="J147" s="85"/>
      <c r="K147" s="85"/>
      <c r="L147" s="85"/>
      <c r="M147" s="589"/>
      <c r="N147" s="85"/>
      <c r="O147" s="996"/>
      <c r="P147" s="85"/>
      <c r="Q147" s="85"/>
      <c r="R147" s="85"/>
      <c r="S147" s="589"/>
      <c r="T147" s="85"/>
      <c r="U147" s="996"/>
      <c r="V147" s="85"/>
      <c r="W147" s="85"/>
      <c r="X147" s="85"/>
      <c r="Y147" s="589"/>
      <c r="Z147" s="85"/>
      <c r="AA147" s="996"/>
      <c r="AB147" s="85"/>
      <c r="AC147" s="85"/>
      <c r="AD147" s="85"/>
      <c r="AE147" s="589"/>
      <c r="AF147" s="85"/>
      <c r="AG147" s="996"/>
      <c r="AH147" s="85"/>
      <c r="AI147" s="85"/>
      <c r="AJ147" s="85"/>
      <c r="AK147" s="589"/>
      <c r="AL147" s="85"/>
      <c r="AM147" s="996"/>
      <c r="AN147" s="85"/>
      <c r="AO147" s="85"/>
      <c r="AP147" s="85"/>
      <c r="AQ147" s="589"/>
      <c r="AR147" s="85"/>
      <c r="AS147" s="996"/>
      <c r="AT147" s="85"/>
      <c r="AU147" s="85"/>
      <c r="AV147" s="85"/>
      <c r="AW147" s="589"/>
      <c r="AX147" s="85"/>
      <c r="AY147" s="996"/>
      <c r="AZ147" s="85"/>
      <c r="BA147" s="85"/>
      <c r="BB147" s="85"/>
      <c r="BC147" s="1017"/>
      <c r="BD147" s="85"/>
      <c r="BE147" s="996"/>
      <c r="BF147" s="85"/>
      <c r="BG147" s="85"/>
      <c r="BH147" s="85"/>
      <c r="BI147" s="1017"/>
      <c r="BJ147" s="85"/>
      <c r="BK147" s="996"/>
      <c r="BL147" s="85"/>
      <c r="BM147" s="85"/>
      <c r="BN147" s="85"/>
      <c r="BO147" s="594"/>
      <c r="BP147" s="85"/>
      <c r="BQ147" s="996"/>
      <c r="BR147" s="85"/>
      <c r="BS147" s="85"/>
      <c r="BT147" s="644"/>
      <c r="BU147" s="589"/>
      <c r="BV147" s="85"/>
      <c r="BW147" s="1015"/>
      <c r="BX147" s="644"/>
      <c r="BY147" s="644"/>
      <c r="BZ147" s="644"/>
      <c r="CA147" s="589"/>
      <c r="CB147" s="85"/>
      <c r="CC147" s="1015"/>
      <c r="CD147" s="644"/>
      <c r="CE147" s="644"/>
      <c r="CF147" s="644"/>
      <c r="CG147" s="589"/>
      <c r="CH147" s="85"/>
      <c r="CI147" s="1015"/>
      <c r="CJ147" s="644"/>
      <c r="CK147" s="644"/>
      <c r="CL147" s="644"/>
      <c r="CM147" s="589"/>
    </row>
    <row r="148" spans="1:100" hidden="1" outlineLevel="1" x14ac:dyDescent="0.2">
      <c r="B148" s="646" t="s">
        <v>307</v>
      </c>
      <c r="C148" s="996"/>
      <c r="D148" s="85"/>
      <c r="E148" s="85"/>
      <c r="F148" s="85"/>
      <c r="G148" s="589"/>
      <c r="H148" s="85"/>
      <c r="I148" s="121"/>
      <c r="J148" s="85"/>
      <c r="K148" s="85"/>
      <c r="L148" s="85"/>
      <c r="M148" s="589"/>
      <c r="N148" s="85"/>
      <c r="O148" s="996"/>
      <c r="P148" s="85"/>
      <c r="Q148" s="85"/>
      <c r="R148" s="85"/>
      <c r="S148" s="589"/>
      <c r="T148" s="85"/>
      <c r="U148" s="996"/>
      <c r="V148" s="85"/>
      <c r="W148" s="85"/>
      <c r="X148" s="85"/>
      <c r="Y148" s="589"/>
      <c r="Z148" s="85"/>
      <c r="AA148" s="996"/>
      <c r="AB148" s="85"/>
      <c r="AC148" s="85"/>
      <c r="AD148" s="85"/>
      <c r="AE148" s="589"/>
      <c r="AF148" s="85"/>
      <c r="AG148" s="996"/>
      <c r="AH148" s="85"/>
      <c r="AI148" s="85"/>
      <c r="AJ148" s="85"/>
      <c r="AK148" s="589"/>
      <c r="AL148" s="85"/>
      <c r="AM148" s="1021"/>
      <c r="AN148" s="8"/>
      <c r="AO148" s="8"/>
      <c r="AP148" s="8"/>
      <c r="AQ148" s="594">
        <f>+AQ141+AQ158</f>
        <v>282.70000000000005</v>
      </c>
      <c r="AR148" s="85"/>
      <c r="AS148" s="1021"/>
      <c r="AT148" s="8"/>
      <c r="AU148" s="8"/>
      <c r="AV148" s="8"/>
      <c r="AW148" s="594">
        <f>+AW141+AW158</f>
        <v>284.34699999999998</v>
      </c>
      <c r="AX148" s="85"/>
      <c r="AY148" s="1021">
        <f>+AY141+AY158</f>
        <v>66.722942819946809</v>
      </c>
      <c r="AZ148" s="8">
        <f>+AZ141+AZ158</f>
        <v>77.983543096633838</v>
      </c>
      <c r="BA148" s="8">
        <f>+BA141+BA158</f>
        <v>82.743084039233082</v>
      </c>
      <c r="BB148" s="8">
        <f>+BB141+BB158</f>
        <v>91.475430044186282</v>
      </c>
      <c r="BC148" s="594">
        <f>+BC141+BC158</f>
        <v>318.92500000000001</v>
      </c>
      <c r="BD148" s="85"/>
      <c r="BE148" s="1021">
        <f>+BE141+BE158</f>
        <v>71.642310710134822</v>
      </c>
      <c r="BF148" s="8">
        <f>+BF141+BF158</f>
        <v>78.684353644284016</v>
      </c>
      <c r="BG148" s="8">
        <f>+BG141+BG158</f>
        <v>86.975680862551769</v>
      </c>
      <c r="BH148" s="8">
        <f>+BH141+BH158</f>
        <v>93.776654783029386</v>
      </c>
      <c r="BI148" s="594">
        <f>+BI141+BI158</f>
        <v>331.07900000000001</v>
      </c>
      <c r="BJ148" s="85"/>
      <c r="BK148" s="1021">
        <f>+BK141+BK158</f>
        <v>63.044278455237787</v>
      </c>
      <c r="BL148" s="8">
        <f>+BL141+BL158</f>
        <v>80.022805415319695</v>
      </c>
      <c r="BM148" s="8">
        <f>+BM141+BM158</f>
        <v>43.120603200794569</v>
      </c>
      <c r="BN148" s="8">
        <f>+BN141+BN158</f>
        <v>89.323312928647951</v>
      </c>
      <c r="BO148" s="594">
        <f>+BO141+BO158</f>
        <v>275.51099999999997</v>
      </c>
      <c r="BP148" s="85"/>
      <c r="BQ148" s="1021">
        <f>+BQ141+BQ158</f>
        <v>62.088921367037912</v>
      </c>
      <c r="BR148" s="8">
        <f>+BR141+BR158</f>
        <v>67.949417828659207</v>
      </c>
      <c r="BS148" s="8">
        <f>+BS141+BS158</f>
        <v>61.301525852233624</v>
      </c>
      <c r="BT148" s="644"/>
      <c r="BU148" s="589"/>
      <c r="BV148" s="85"/>
      <c r="BW148" s="1015"/>
      <c r="BX148" s="644"/>
      <c r="BY148" s="644"/>
      <c r="BZ148" s="644"/>
      <c r="CA148" s="589"/>
      <c r="CB148" s="85"/>
      <c r="CC148" s="1015"/>
      <c r="CD148" s="644"/>
      <c r="CE148" s="644"/>
      <c r="CF148" s="644"/>
      <c r="CG148" s="589"/>
      <c r="CH148" s="85"/>
      <c r="CI148" s="1015"/>
      <c r="CJ148" s="644"/>
      <c r="CK148" s="644"/>
      <c r="CL148" s="644"/>
      <c r="CM148" s="589"/>
    </row>
    <row r="149" spans="1:100" s="1094" customFormat="1" hidden="1" outlineLevel="1" x14ac:dyDescent="0.2">
      <c r="A149" s="30"/>
      <c r="B149" s="879" t="s">
        <v>341</v>
      </c>
      <c r="C149" s="1093"/>
      <c r="D149" s="484"/>
      <c r="E149" s="484"/>
      <c r="F149" s="484"/>
      <c r="G149" s="995"/>
      <c r="H149" s="484"/>
      <c r="I149" s="1093"/>
      <c r="J149" s="484"/>
      <c r="K149" s="484"/>
      <c r="L149" s="484"/>
      <c r="M149" s="995"/>
      <c r="N149" s="484"/>
      <c r="O149" s="1093"/>
      <c r="P149" s="484"/>
      <c r="Q149" s="484"/>
      <c r="R149" s="484"/>
      <c r="S149" s="995"/>
      <c r="T149" s="484"/>
      <c r="U149" s="1093"/>
      <c r="V149" s="484"/>
      <c r="W149" s="484"/>
      <c r="X149" s="484"/>
      <c r="Y149" s="995"/>
      <c r="Z149" s="484"/>
      <c r="AA149" s="1093"/>
      <c r="AB149" s="484"/>
      <c r="AC149" s="484"/>
      <c r="AD149" s="484"/>
      <c r="AE149" s="995"/>
      <c r="AF149" s="484"/>
      <c r="AG149" s="1093"/>
      <c r="AH149" s="484"/>
      <c r="AI149" s="484"/>
      <c r="AJ149" s="484"/>
      <c r="AK149" s="995"/>
      <c r="AL149" s="484"/>
      <c r="AM149" s="1093"/>
      <c r="AN149" s="484"/>
      <c r="AO149" s="484"/>
      <c r="AP149" s="484"/>
      <c r="AQ149" s="995">
        <f>+AQ148/RevBuild!AQ149</f>
        <v>0.11878300986987234</v>
      </c>
      <c r="AR149" s="484"/>
      <c r="AS149" s="1093"/>
      <c r="AT149" s="484"/>
      <c r="AU149" s="484"/>
      <c r="AV149" s="484"/>
      <c r="AW149" s="995">
        <f>+AW148/RevBuild!AW149</f>
        <v>0.11936830474648816</v>
      </c>
      <c r="AX149" s="484"/>
      <c r="AY149" s="1093">
        <f>+AY148/RevBuild!AY149</f>
        <v>0.1229068675603304</v>
      </c>
      <c r="AZ149" s="484">
        <f>+AZ148/RevBuild!AZ149</f>
        <v>0.1315875901845886</v>
      </c>
      <c r="BA149" s="484">
        <f>+BA148/RevBuild!BA149</f>
        <v>0.13549890533809281</v>
      </c>
      <c r="BB149" s="484">
        <f>+BB148/RevBuild!BB149</f>
        <v>0.13676769269118424</v>
      </c>
      <c r="BC149" s="995">
        <f>+BC148/RevBuild!BC149</f>
        <v>0.13205987735833041</v>
      </c>
      <c r="BD149" s="484"/>
      <c r="BE149" s="1093">
        <f>+BE148/RevBuild!BE149</f>
        <v>0.12456997569213712</v>
      </c>
      <c r="BF149" s="484">
        <f>+BF148/RevBuild!BF149</f>
        <v>0.13085227822079354</v>
      </c>
      <c r="BG149" s="484">
        <f>+BG148/RevBuild!BG149</f>
        <v>0.13640013245890273</v>
      </c>
      <c r="BH149" s="484">
        <f>+BH148/RevBuild!BH149</f>
        <v>0.14162577140777441</v>
      </c>
      <c r="BI149" s="995">
        <f>+BI148/RevBuild!BI149</f>
        <v>0.13370263068837601</v>
      </c>
      <c r="BJ149" s="484"/>
      <c r="BK149" s="1093">
        <f>+BK148/RevBuild!BK149</f>
        <v>0.11359022450787418</v>
      </c>
      <c r="BL149" s="484">
        <f>+BL148/RevBuild!BL149</f>
        <v>0.1330270240782104</v>
      </c>
      <c r="BM149" s="484">
        <f>+BM148/RevBuild!BM149</f>
        <v>6.8845030918832928E-2</v>
      </c>
      <c r="BN149" s="484">
        <f>+BN148/RevBuild!BN149</f>
        <v>0.14708074474343816</v>
      </c>
      <c r="BO149" s="995">
        <f>+BO148/RevBuild!BO149</f>
        <v>0.11526600700605256</v>
      </c>
      <c r="BP149" s="484"/>
      <c r="BQ149" s="1093">
        <f>+BQ148/RevBuild!BQ149</f>
        <v>0.11967633699436961</v>
      </c>
      <c r="BR149" s="484">
        <f>+BR148/RevBuild!BR149</f>
        <v>0.12273434934642127</v>
      </c>
      <c r="BS149" s="484">
        <f>+BS148/RevBuild!BS149</f>
        <v>0.10608057744508542</v>
      </c>
      <c r="BT149" s="1096"/>
      <c r="BU149" s="995"/>
      <c r="BV149" s="484"/>
      <c r="BW149" s="1095"/>
      <c r="BX149" s="1096"/>
      <c r="BY149" s="1096"/>
      <c r="BZ149" s="1096"/>
      <c r="CA149" s="995"/>
      <c r="CB149" s="484"/>
      <c r="CC149" s="1095"/>
      <c r="CD149" s="1096"/>
      <c r="CE149" s="1096"/>
      <c r="CF149" s="1096"/>
      <c r="CG149" s="995"/>
      <c r="CH149" s="484"/>
      <c r="CI149" s="1095"/>
      <c r="CJ149" s="1096"/>
      <c r="CK149" s="1096"/>
      <c r="CL149" s="1096"/>
      <c r="CM149" s="995"/>
      <c r="CQ149"/>
      <c r="CR149"/>
      <c r="CS149"/>
      <c r="CT149"/>
      <c r="CU149"/>
      <c r="CV149"/>
    </row>
    <row r="150" spans="1:100" hidden="1" outlineLevel="1" x14ac:dyDescent="0.2">
      <c r="B150" s="646" t="s">
        <v>311</v>
      </c>
      <c r="C150" s="1018"/>
      <c r="D150" s="1019"/>
      <c r="E150" s="1019"/>
      <c r="F150" s="1019"/>
      <c r="G150" s="1020"/>
      <c r="H150" s="85"/>
      <c r="I150" s="1018"/>
      <c r="J150" s="1019"/>
      <c r="K150" s="1019"/>
      <c r="L150" s="1019"/>
      <c r="M150" s="1020"/>
      <c r="N150" s="85"/>
      <c r="O150" s="1018"/>
      <c r="P150" s="1019"/>
      <c r="Q150" s="1019"/>
      <c r="R150" s="1019"/>
      <c r="S150" s="1020"/>
      <c r="T150" s="85"/>
      <c r="U150" s="1018"/>
      <c r="V150" s="1019"/>
      <c r="W150" s="1019"/>
      <c r="X150" s="1019"/>
      <c r="Y150" s="1020"/>
      <c r="Z150" s="85"/>
      <c r="AA150" s="1018"/>
      <c r="AB150" s="1019"/>
      <c r="AC150" s="1019"/>
      <c r="AD150" s="1019"/>
      <c r="AE150" s="1020"/>
      <c r="AF150" s="85"/>
      <c r="AG150" s="1018"/>
      <c r="AH150" s="1019"/>
      <c r="AI150" s="1019"/>
      <c r="AJ150" s="1019"/>
      <c r="AK150" s="1020"/>
      <c r="AL150" s="85"/>
      <c r="AM150" s="1021"/>
      <c r="AN150" s="8"/>
      <c r="AO150" s="8"/>
      <c r="AP150" s="8"/>
      <c r="AQ150" s="594">
        <f>+AQ143+AQ160</f>
        <v>49.363999999999997</v>
      </c>
      <c r="AR150" s="85"/>
      <c r="AS150" s="1021"/>
      <c r="AT150" s="8"/>
      <c r="AU150" s="8"/>
      <c r="AV150" s="8"/>
      <c r="AW150" s="594">
        <f>+AW143+AW160</f>
        <v>57.394999999999996</v>
      </c>
      <c r="AX150" s="85"/>
      <c r="AY150" s="1021">
        <f>+AY143+AY160</f>
        <v>16.337044488078156</v>
      </c>
      <c r="AZ150" s="8">
        <f>+AZ143+AZ160</f>
        <v>16.62626831116939</v>
      </c>
      <c r="BA150" s="8">
        <f>+BA143+BA160</f>
        <v>13.919087441729543</v>
      </c>
      <c r="BB150" s="8">
        <f>+BB143+BB160</f>
        <v>18.648599759022908</v>
      </c>
      <c r="BC150" s="594">
        <f>+BC143+BC160</f>
        <v>65.531000000000006</v>
      </c>
      <c r="BD150" s="85"/>
      <c r="BE150" s="1021">
        <f>+BE143+BE160</f>
        <v>21.586376726483266</v>
      </c>
      <c r="BF150" s="8">
        <f>+BF143+BF160</f>
        <v>37.148049366774167</v>
      </c>
      <c r="BG150" s="8">
        <f>+BG143+BG160</f>
        <v>37.54763266578135</v>
      </c>
      <c r="BH150" s="8">
        <f>+BH143+BH160</f>
        <v>42.27894124096121</v>
      </c>
      <c r="BI150" s="594">
        <f>+BI143+BI160</f>
        <v>138.56100000000001</v>
      </c>
      <c r="BJ150" s="85"/>
      <c r="BK150" s="1021">
        <f>+BK143+BK160</f>
        <v>26.931365403664632</v>
      </c>
      <c r="BL150" s="8">
        <f>+BL143+BL160</f>
        <v>34.662784098871263</v>
      </c>
      <c r="BM150" s="8">
        <f>+BM143+BM160</f>
        <v>35.87850846533955</v>
      </c>
      <c r="BN150" s="8">
        <f>+BN143+BN160</f>
        <v>40.803342032124561</v>
      </c>
      <c r="BO150" s="594">
        <f>+BO143+BO160</f>
        <v>138.27600000000001</v>
      </c>
      <c r="BP150" s="85"/>
      <c r="BQ150" s="1021">
        <f>+BQ143+BQ160</f>
        <v>28.992679331077092</v>
      </c>
      <c r="BR150" s="8">
        <f>+BR143+BR160</f>
        <v>36.286626603490191</v>
      </c>
      <c r="BS150" s="8">
        <f>+BS143+BS160</f>
        <v>30.650925845283886</v>
      </c>
      <c r="BT150" s="8"/>
      <c r="BU150" s="592"/>
      <c r="BV150" s="85"/>
      <c r="BW150" s="1021"/>
      <c r="BX150" s="8"/>
      <c r="BY150" s="8"/>
      <c r="BZ150" s="8"/>
      <c r="CA150" s="592"/>
      <c r="CB150" s="1022"/>
      <c r="CC150" s="1021"/>
      <c r="CD150" s="8"/>
      <c r="CE150" s="8"/>
      <c r="CF150" s="8"/>
      <c r="CG150" s="592"/>
      <c r="CH150" s="1022"/>
      <c r="CI150" s="1021"/>
      <c r="CJ150" s="8"/>
      <c r="CK150" s="8"/>
      <c r="CL150" s="8"/>
      <c r="CM150" s="592"/>
    </row>
    <row r="151" spans="1:100" s="1105" customFormat="1" hidden="1" outlineLevel="1" x14ac:dyDescent="0.2">
      <c r="A151" s="1104"/>
      <c r="B151" s="1120" t="s">
        <v>341</v>
      </c>
      <c r="C151" s="1093"/>
      <c r="D151" s="484"/>
      <c r="E151" s="484"/>
      <c r="F151" s="484"/>
      <c r="G151" s="995"/>
      <c r="H151" s="484"/>
      <c r="I151" s="1093"/>
      <c r="J151" s="484"/>
      <c r="K151" s="484"/>
      <c r="L151" s="484"/>
      <c r="M151" s="995"/>
      <c r="N151" s="484"/>
      <c r="O151" s="1093"/>
      <c r="P151" s="484"/>
      <c r="Q151" s="484"/>
      <c r="R151" s="484"/>
      <c r="S151" s="995"/>
      <c r="T151" s="484"/>
      <c r="U151" s="1093"/>
      <c r="V151" s="484"/>
      <c r="W151" s="484"/>
      <c r="X151" s="484"/>
      <c r="Y151" s="995"/>
      <c r="Z151" s="484"/>
      <c r="AA151" s="1093"/>
      <c r="AB151" s="484"/>
      <c r="AC151" s="484"/>
      <c r="AD151" s="484"/>
      <c r="AE151" s="995"/>
      <c r="AF151" s="484"/>
      <c r="AG151" s="1093"/>
      <c r="AH151" s="484"/>
      <c r="AI151" s="484"/>
      <c r="AJ151" s="484"/>
      <c r="AK151" s="995"/>
      <c r="AL151" s="484"/>
      <c r="AM151" s="1093"/>
      <c r="AN151" s="484"/>
      <c r="AO151" s="484"/>
      <c r="AP151" s="484"/>
      <c r="AQ151" s="995">
        <f>+AQ150/RevBuild!AQ152</f>
        <v>6.5361571410601851E-2</v>
      </c>
      <c r="AR151" s="484"/>
      <c r="AS151" s="1093"/>
      <c r="AT151" s="484"/>
      <c r="AU151" s="484"/>
      <c r="AV151" s="484"/>
      <c r="AW151" s="995">
        <f>+AW150/RevBuild!AW152</f>
        <v>4.7708147000442215E-2</v>
      </c>
      <c r="AX151" s="484"/>
      <c r="AY151" s="1093">
        <f>+AY150/RevBuild!AY150</f>
        <v>4.2291080735382236E-2</v>
      </c>
      <c r="AZ151" s="484">
        <f>+AZ150/RevBuild!AZ150</f>
        <v>4.4163124973223625E-2</v>
      </c>
      <c r="BA151" s="484">
        <f>+BA150/RevBuild!BA150</f>
        <v>4.1203284169529314E-2</v>
      </c>
      <c r="BB151" s="484">
        <f>+BB150/RevBuild!BB150</f>
        <v>5.2386503097139756E-2</v>
      </c>
      <c r="BC151" s="995">
        <f>+BC150/RevBuild!BC150</f>
        <v>4.4989942124305737E-2</v>
      </c>
      <c r="BD151" s="484"/>
      <c r="BE151" s="1093">
        <f>+BE150/RevBuild!BE150</f>
        <v>3.8734062315934348E-2</v>
      </c>
      <c r="BF151" s="484">
        <f>+BF150/RevBuild!BF150</f>
        <v>4.7966822217454345E-2</v>
      </c>
      <c r="BG151" s="484">
        <f>+BG150/RevBuild!BG150</f>
        <v>5.0082675191415044E-2</v>
      </c>
      <c r="BH151" s="484">
        <f>+BH150/RevBuild!BH150</f>
        <v>5.414920508431402E-2</v>
      </c>
      <c r="BI151" s="995">
        <f>+BI150/RevBuild!BI150</f>
        <v>4.8409834364515451E-2</v>
      </c>
      <c r="BJ151" s="484"/>
      <c r="BK151" s="1093">
        <f>+BK150/RevBuild!BK150</f>
        <v>3.5313756461073091E-2</v>
      </c>
      <c r="BL151" s="484">
        <f>+BL150/RevBuild!BL150</f>
        <v>4.2944875027406772E-2</v>
      </c>
      <c r="BM151" s="484">
        <f>+BM150/RevBuild!BM150</f>
        <v>4.7049030413111793E-2</v>
      </c>
      <c r="BN151" s="484">
        <f>+BN150/RevBuild!BN150</f>
        <v>4.9310843185176735E-2</v>
      </c>
      <c r="BO151" s="995">
        <f>+BO150/RevBuild!BO150</f>
        <v>4.3760637452821771E-2</v>
      </c>
      <c r="BP151" s="484"/>
      <c r="BQ151" s="1093">
        <f>+BQ150/RevBuild!BQ150</f>
        <v>3.735515338945377E-2</v>
      </c>
      <c r="BR151" s="484">
        <f>+BR150/RevBuild!BR150</f>
        <v>4.4059465291889456E-2</v>
      </c>
      <c r="BS151" s="484">
        <f>+BS150/RevBuild!BS150</f>
        <v>3.8561074802808376E-2</v>
      </c>
      <c r="BT151" s="484"/>
      <c r="BU151" s="995"/>
      <c r="BV151" s="484"/>
      <c r="BW151" s="1093"/>
      <c r="BX151" s="484"/>
      <c r="BY151" s="484"/>
      <c r="BZ151" s="484"/>
      <c r="CA151" s="995"/>
      <c r="CB151" s="484"/>
      <c r="CC151" s="1093"/>
      <c r="CD151" s="484"/>
      <c r="CE151" s="484"/>
      <c r="CF151" s="484"/>
      <c r="CG151" s="995"/>
      <c r="CH151" s="484"/>
      <c r="CI151" s="1093"/>
      <c r="CJ151" s="484"/>
      <c r="CK151" s="484"/>
      <c r="CL151" s="484"/>
      <c r="CM151" s="995"/>
      <c r="CQ151"/>
      <c r="CR151"/>
      <c r="CS151"/>
      <c r="CT151"/>
      <c r="CU151"/>
      <c r="CV151"/>
    </row>
    <row r="152" spans="1:100" hidden="1" outlineLevel="1" x14ac:dyDescent="0.2">
      <c r="B152" s="646" t="s">
        <v>466</v>
      </c>
      <c r="C152" s="996"/>
      <c r="D152" s="85"/>
      <c r="E152" s="85"/>
      <c r="F152" s="85"/>
      <c r="G152" s="589"/>
      <c r="H152" s="85"/>
      <c r="I152" s="121"/>
      <c r="J152" s="85"/>
      <c r="K152" s="85"/>
      <c r="L152" s="85"/>
      <c r="M152" s="589"/>
      <c r="N152" s="85"/>
      <c r="O152" s="121"/>
      <c r="P152" s="85"/>
      <c r="Q152" s="85"/>
      <c r="R152" s="85"/>
      <c r="S152" s="589"/>
      <c r="T152" s="85"/>
      <c r="U152" s="121"/>
      <c r="V152" s="85"/>
      <c r="W152" s="85"/>
      <c r="X152" s="85"/>
      <c r="Y152" s="589"/>
      <c r="Z152" s="85"/>
      <c r="AA152" s="121"/>
      <c r="AB152" s="85"/>
      <c r="AC152" s="85"/>
      <c r="AD152" s="85"/>
      <c r="AE152" s="589"/>
      <c r="AF152" s="85"/>
      <c r="AG152" s="121"/>
      <c r="AH152" s="85"/>
      <c r="AI152" s="85"/>
      <c r="AJ152" s="85"/>
      <c r="AK152" s="589"/>
      <c r="AL152" s="85"/>
      <c r="AM152" s="1021"/>
      <c r="AN152" s="8"/>
      <c r="AO152" s="8"/>
      <c r="AP152" s="8"/>
      <c r="AQ152" s="594">
        <f>+AQ145+AQ162</f>
        <v>68.393000000000001</v>
      </c>
      <c r="AR152" s="85"/>
      <c r="AS152" s="1021"/>
      <c r="AT152" s="8"/>
      <c r="AU152" s="8"/>
      <c r="AV152" s="8"/>
      <c r="AW152" s="594">
        <f>+AW145+AW162</f>
        <v>54</v>
      </c>
      <c r="AX152" s="85"/>
      <c r="AY152" s="1021">
        <f>+AY145+AY162</f>
        <v>-6.284337066069428</v>
      </c>
      <c r="AZ152" s="8">
        <f>+AZ145+AZ162</f>
        <v>-11.659690929451287</v>
      </c>
      <c r="BA152" s="8">
        <f>+BA145+BA162</f>
        <v>-8.1157581187010077</v>
      </c>
      <c r="BB152" s="8">
        <f>+BB145+BB162</f>
        <v>-9.287213885778284</v>
      </c>
      <c r="BC152" s="594">
        <f>+BC145+BC162</f>
        <v>-35.347000000000001</v>
      </c>
      <c r="BD152" s="85"/>
      <c r="BE152" s="1021">
        <f>+BE145+BE162</f>
        <v>-13.875658813770221</v>
      </c>
      <c r="BF152" s="8">
        <f>+BF145+BF162</f>
        <v>-10.448209560348403</v>
      </c>
      <c r="BG152" s="8">
        <f>+BG145+BG162</f>
        <v>-6.9566666735794263</v>
      </c>
      <c r="BH152" s="8">
        <f>+BH145+BH162</f>
        <v>-8.2634649523019466</v>
      </c>
      <c r="BI152" s="594">
        <f>+BI145+BI162</f>
        <v>-39.543999999999997</v>
      </c>
      <c r="BJ152" s="85"/>
      <c r="BK152" s="1021">
        <f>+BK145+BK162</f>
        <v>-2.2124134441297993</v>
      </c>
      <c r="BL152" s="8">
        <f>+BL145+BL162</f>
        <v>-14.258105009052507</v>
      </c>
      <c r="BM152" s="8">
        <f>+BM145+BM162</f>
        <v>-12.934205236525695</v>
      </c>
      <c r="BN152" s="8">
        <f>+BN145+BN162</f>
        <v>-12.636276310292001</v>
      </c>
      <c r="BO152" s="594">
        <f>+BO145+BO162</f>
        <v>-42.040999999999997</v>
      </c>
      <c r="BP152" s="85"/>
      <c r="BQ152" s="1021">
        <f>+BQ145+BQ162</f>
        <v>-14.7136213731953</v>
      </c>
      <c r="BR152" s="8">
        <f>+BR145+BR162</f>
        <v>-12.345028410937282</v>
      </c>
      <c r="BS152" s="8">
        <f>+BS145+BS162</f>
        <v>-25.174147161227427</v>
      </c>
      <c r="BT152" s="85"/>
      <c r="BU152" s="589"/>
      <c r="BV152" s="85"/>
      <c r="BW152" s="121"/>
      <c r="BX152" s="85"/>
      <c r="BY152" s="85"/>
      <c r="BZ152" s="85"/>
      <c r="CA152" s="589"/>
      <c r="CB152" s="85"/>
      <c r="CC152" s="121"/>
      <c r="CD152" s="85"/>
      <c r="CE152" s="85"/>
      <c r="CF152" s="85"/>
      <c r="CG152" s="589"/>
      <c r="CH152" s="85"/>
      <c r="CI152" s="121"/>
      <c r="CJ152" s="85"/>
      <c r="CK152" s="85"/>
      <c r="CL152" s="85"/>
      <c r="CM152" s="589"/>
    </row>
    <row r="153" spans="1:100" s="1094" customFormat="1" hidden="1" outlineLevel="1" x14ac:dyDescent="0.2">
      <c r="A153" s="30"/>
      <c r="B153" s="879" t="s">
        <v>341</v>
      </c>
      <c r="C153" s="1097"/>
      <c r="D153" s="1098"/>
      <c r="E153" s="1098"/>
      <c r="F153" s="1098"/>
      <c r="G153" s="1099"/>
      <c r="H153" s="1098"/>
      <c r="I153" s="1097"/>
      <c r="J153" s="1098"/>
      <c r="K153" s="1098"/>
      <c r="L153" s="1098"/>
      <c r="M153" s="1099"/>
      <c r="N153" s="1098"/>
      <c r="O153" s="1097"/>
      <c r="P153" s="1098"/>
      <c r="Q153" s="1098"/>
      <c r="R153" s="1098"/>
      <c r="S153" s="1099"/>
      <c r="T153" s="1098"/>
      <c r="U153" s="1097"/>
      <c r="V153" s="1098"/>
      <c r="W153" s="1098"/>
      <c r="X153" s="1098"/>
      <c r="Y153" s="1099"/>
      <c r="Z153" s="1098"/>
      <c r="AA153" s="1097"/>
      <c r="AB153" s="1098"/>
      <c r="AC153" s="1098"/>
      <c r="AD153" s="1098"/>
      <c r="AE153" s="1099"/>
      <c r="AF153" s="1098"/>
      <c r="AG153" s="1097"/>
      <c r="AH153" s="1098"/>
      <c r="AI153" s="1098"/>
      <c r="AJ153" s="1098"/>
      <c r="AK153" s="1099"/>
      <c r="AL153" s="1098"/>
      <c r="AM153" s="1093"/>
      <c r="AN153" s="1098"/>
      <c r="AO153" s="1098"/>
      <c r="AP153" s="1098"/>
      <c r="AQ153" s="995">
        <f>+AQ152/RevBuild!AQ153</f>
        <v>0.13624185005089673</v>
      </c>
      <c r="AR153" s="1098"/>
      <c r="AS153" s="1093"/>
      <c r="AT153" s="1098"/>
      <c r="AU153" s="1098"/>
      <c r="AV153" s="1098"/>
      <c r="AW153" s="995">
        <f>+AW152/RevBuild!AW153</f>
        <v>0.11283545039105843</v>
      </c>
      <c r="AX153" s="1098"/>
      <c r="AY153" s="1093">
        <f>+AY152/RevBuild!AY151</f>
        <v>-0.64243887406148315</v>
      </c>
      <c r="AZ153" s="1098">
        <f>+AZ152/RevBuild!AZ151</f>
        <v>-1.2798782578980556</v>
      </c>
      <c r="BA153" s="1098">
        <f>+BA152/RevBuild!BA151</f>
        <v>-0.79895236451082974</v>
      </c>
      <c r="BB153" s="1098">
        <f>+BB152/RevBuild!BB151</f>
        <v>-0.90677737607677045</v>
      </c>
      <c r="BC153" s="995">
        <f>+BC152/RevBuild!BC151</f>
        <v>-0.8995978825206149</v>
      </c>
      <c r="BD153" s="1098"/>
      <c r="BE153" s="1093">
        <f>+BE152/RevBuild!BE151</f>
        <v>-1.3270522966497915</v>
      </c>
      <c r="BF153" s="1098">
        <f>+BF152/RevBuild!BF151</f>
        <v>-0.77768586232589521</v>
      </c>
      <c r="BG153" s="1098">
        <f>+BG152/RevBuild!BG151</f>
        <v>-0.51572886600781565</v>
      </c>
      <c r="BH153" s="1098">
        <f>+BH152/RevBuild!BH151</f>
        <v>-0.76231226497250426</v>
      </c>
      <c r="BI153" s="995">
        <f>+BI152/RevBuild!BI151</f>
        <v>-0.82007465781833255</v>
      </c>
      <c r="BJ153" s="1098"/>
      <c r="BK153" s="1093">
        <f>+BK152/RevBuild!BK151</f>
        <v>-0.14958846816293439</v>
      </c>
      <c r="BL153" s="1098">
        <f>+BL152/RevBuild!BL151</f>
        <v>-1.49424701415348</v>
      </c>
      <c r="BM153" s="1098">
        <f>+BM152/RevBuild!BM151</f>
        <v>-1.5220293288451043</v>
      </c>
      <c r="BN153" s="1098">
        <f>+BN152/RevBuild!BN151</f>
        <v>-1.2325669440394069</v>
      </c>
      <c r="BO153" s="995">
        <f>+BO152/RevBuild!BO151</f>
        <v>-0.97583677637992661</v>
      </c>
      <c r="BP153" s="1098"/>
      <c r="BQ153" s="1399">
        <f>+BQ152/RevBuild!BQ151</f>
        <v>-1.6041889853025839</v>
      </c>
      <c r="BR153" s="1098">
        <f>+BR152/RevBuild!BR151</f>
        <v>-1.4482670590024969</v>
      </c>
      <c r="BS153" s="1098">
        <f>+BS152/RevBuild!BS151</f>
        <v>-10.159058579994925</v>
      </c>
      <c r="BT153" s="1098"/>
      <c r="BU153" s="1099"/>
      <c r="BV153" s="1098"/>
      <c r="BW153" s="1097"/>
      <c r="BX153" s="1098"/>
      <c r="BY153" s="1098"/>
      <c r="BZ153" s="1098"/>
      <c r="CA153" s="1099"/>
      <c r="CB153" s="1098"/>
      <c r="CC153" s="1097"/>
      <c r="CD153" s="1098"/>
      <c r="CE153" s="1098"/>
      <c r="CF153" s="1098"/>
      <c r="CG153" s="1099"/>
      <c r="CH153" s="1098"/>
      <c r="CI153" s="1097"/>
      <c r="CJ153" s="1098"/>
      <c r="CK153" s="1098"/>
      <c r="CL153" s="1098"/>
      <c r="CM153" s="1099"/>
      <c r="CQ153"/>
      <c r="CR153"/>
      <c r="CS153"/>
      <c r="CT153"/>
      <c r="CU153"/>
      <c r="CV153"/>
    </row>
    <row r="154" spans="1:100" hidden="1" outlineLevel="1" x14ac:dyDescent="0.2">
      <c r="B154" s="620" t="s">
        <v>467</v>
      </c>
      <c r="C154" s="1004"/>
      <c r="D154" s="136"/>
      <c r="E154" s="136"/>
      <c r="F154" s="136"/>
      <c r="G154" s="594"/>
      <c r="H154" s="136"/>
      <c r="I154" s="1004"/>
      <c r="J154" s="136"/>
      <c r="K154" s="136"/>
      <c r="L154" s="136"/>
      <c r="M154" s="594"/>
      <c r="N154" s="136"/>
      <c r="O154" s="1004"/>
      <c r="P154" s="136"/>
      <c r="Q154" s="136"/>
      <c r="R154" s="136"/>
      <c r="S154" s="594"/>
      <c r="T154" s="136"/>
      <c r="U154" s="1004"/>
      <c r="V154" s="136"/>
      <c r="W154" s="136"/>
      <c r="X154" s="136"/>
      <c r="Y154" s="594"/>
      <c r="Z154" s="136"/>
      <c r="AA154" s="1004"/>
      <c r="AB154" s="136"/>
      <c r="AC154" s="136"/>
      <c r="AD154" s="136"/>
      <c r="AE154" s="594"/>
      <c r="AF154" s="136"/>
      <c r="AG154" s="1004"/>
      <c r="AH154" s="136"/>
      <c r="AI154" s="136"/>
      <c r="AJ154" s="136"/>
      <c r="AK154" s="594"/>
      <c r="AL154" s="136"/>
      <c r="AM154" s="1004"/>
      <c r="AN154" s="136"/>
      <c r="AO154" s="136"/>
      <c r="AP154" s="136"/>
      <c r="AQ154" s="594">
        <f>+AQ152+AQ150+AQ148</f>
        <v>400.45700000000005</v>
      </c>
      <c r="AR154" s="136"/>
      <c r="AS154" s="1004"/>
      <c r="AT154" s="136"/>
      <c r="AU154" s="136"/>
      <c r="AV154" s="136"/>
      <c r="AW154" s="594">
        <f>+AW152+AW150+AW148</f>
        <v>395.74199999999996</v>
      </c>
      <c r="AX154" s="136"/>
      <c r="AY154" s="1004">
        <f>+AY152+AY150+AY148</f>
        <v>76.775650241955532</v>
      </c>
      <c r="AZ154" s="136">
        <f>+AZ152+AZ150+AZ148</f>
        <v>82.950120478351948</v>
      </c>
      <c r="BA154" s="136">
        <f>+BA152+BA150+BA148</f>
        <v>88.546413362261617</v>
      </c>
      <c r="BB154" s="136">
        <f>+BB152+BB150+BB148</f>
        <v>100.83681591743091</v>
      </c>
      <c r="BC154" s="594">
        <f>+BC152+BC150+BC148</f>
        <v>349.10900000000004</v>
      </c>
      <c r="BD154" s="136"/>
      <c r="BE154" s="1004">
        <f>+BE152+BE150+BE148</f>
        <v>79.353028622847873</v>
      </c>
      <c r="BF154" s="136">
        <f>+BF152+BF150+BF148</f>
        <v>105.38419345070977</v>
      </c>
      <c r="BG154" s="136">
        <f>+BG152+BG150+BG148</f>
        <v>117.56664685475369</v>
      </c>
      <c r="BH154" s="136">
        <f>+BH152+BH150+BH148</f>
        <v>127.79213107168866</v>
      </c>
      <c r="BI154" s="594">
        <f>+BI152+BI150+BI148</f>
        <v>430.096</v>
      </c>
      <c r="BJ154" s="136"/>
      <c r="BK154" s="1004">
        <f>+BK152+BK150+BK148</f>
        <v>87.763230414772622</v>
      </c>
      <c r="BL154" s="136">
        <f>+BL152+BL150+BL148</f>
        <v>100.42748450513845</v>
      </c>
      <c r="BM154" s="136">
        <f>+BM152+BM150+BM148</f>
        <v>66.064906429608428</v>
      </c>
      <c r="BN154" s="136">
        <f>+BN152+BN150+BN148</f>
        <v>117.49037865048051</v>
      </c>
      <c r="BO154" s="594">
        <f>+BO152+BO150+BO148</f>
        <v>371.74599999999998</v>
      </c>
      <c r="BP154" s="136"/>
      <c r="BQ154" s="1004">
        <f>+BQ152+BQ150+BQ148</f>
        <v>76.367979324919702</v>
      </c>
      <c r="BR154" s="136">
        <f>+BR152+BR150+BR148</f>
        <v>91.891016021212124</v>
      </c>
      <c r="BS154" s="136">
        <f>+BS152+BS150+BS148</f>
        <v>66.778304536290079</v>
      </c>
      <c r="BT154" s="136"/>
      <c r="BU154" s="594"/>
      <c r="BV154" s="136"/>
      <c r="BW154" s="1004"/>
      <c r="BX154" s="136"/>
      <c r="BY154" s="136"/>
      <c r="BZ154" s="136"/>
      <c r="CA154" s="594"/>
      <c r="CB154" s="136"/>
      <c r="CC154" s="1004"/>
      <c r="CD154" s="136"/>
      <c r="CE154" s="136"/>
      <c r="CF154" s="136"/>
      <c r="CG154" s="594"/>
      <c r="CH154" s="136"/>
      <c r="CI154" s="1004"/>
      <c r="CJ154" s="136"/>
      <c r="CK154" s="136"/>
      <c r="CL154" s="136"/>
      <c r="CM154" s="594"/>
    </row>
    <row r="155" spans="1:100" s="1094" customFormat="1" hidden="1" outlineLevel="1" x14ac:dyDescent="0.2">
      <c r="A155" s="30"/>
      <c r="B155" s="1100" t="s">
        <v>468</v>
      </c>
      <c r="C155" s="1101"/>
      <c r="D155" s="1102"/>
      <c r="E155" s="1102"/>
      <c r="F155" s="1102"/>
      <c r="G155" s="1103"/>
      <c r="H155" s="484"/>
      <c r="I155" s="1101"/>
      <c r="J155" s="1102"/>
      <c r="K155" s="1102"/>
      <c r="L155" s="1102"/>
      <c r="M155" s="1103"/>
      <c r="N155" s="484"/>
      <c r="O155" s="1101"/>
      <c r="P155" s="1102"/>
      <c r="Q155" s="1102"/>
      <c r="R155" s="1102"/>
      <c r="S155" s="1103"/>
      <c r="T155" s="484"/>
      <c r="U155" s="1101"/>
      <c r="V155" s="1102"/>
      <c r="W155" s="1102"/>
      <c r="X155" s="1102"/>
      <c r="Y155" s="1103"/>
      <c r="Z155" s="484"/>
      <c r="AA155" s="1101"/>
      <c r="AB155" s="1102"/>
      <c r="AC155" s="1102"/>
      <c r="AD155" s="1102"/>
      <c r="AE155" s="1103"/>
      <c r="AF155" s="484"/>
      <c r="AG155" s="1101"/>
      <c r="AH155" s="1102"/>
      <c r="AI155" s="1102"/>
      <c r="AJ155" s="1102"/>
      <c r="AK155" s="1103"/>
      <c r="AL155" s="484"/>
      <c r="AM155" s="1101"/>
      <c r="AN155" s="1102"/>
      <c r="AO155" s="1102"/>
      <c r="AP155" s="1102"/>
      <c r="AQ155" s="1103">
        <f>+AQ154/RevBuild!AQ154</f>
        <v>0.1100999886726427</v>
      </c>
      <c r="AR155" s="484"/>
      <c r="AS155" s="1101"/>
      <c r="AT155" s="1102"/>
      <c r="AU155" s="1102"/>
      <c r="AV155" s="1102"/>
      <c r="AW155" s="1103">
        <f>+AW154/RevBuild!AW154</f>
        <v>9.7384289990808892E-2</v>
      </c>
      <c r="AX155" s="484"/>
      <c r="AY155" s="1101">
        <f>+AY154/RevBuild!AY154</f>
        <v>8.1767037264744602E-2</v>
      </c>
      <c r="AZ155" s="1102">
        <f>+AZ154/RevBuild!AZ154</f>
        <v>8.4796999119167424E-2</v>
      </c>
      <c r="BA155" s="1102">
        <f>+BA154/RevBuild!BA154</f>
        <v>9.2367856313670796E-2</v>
      </c>
      <c r="BB155" s="1102">
        <f>+BB154/RevBuild!BB154</f>
        <v>9.7421133553897712E-2</v>
      </c>
      <c r="BC155" s="1103">
        <f>+BC154/RevBuild!BC154</f>
        <v>8.926644105587897E-2</v>
      </c>
      <c r="BD155" s="484"/>
      <c r="BE155" s="1101">
        <f>+BE154/RevBuild!BE154</f>
        <v>6.9433118922404016E-2</v>
      </c>
      <c r="BF155" s="1102">
        <f>+BF154/RevBuild!BF154</f>
        <v>7.5859080665061279E-2</v>
      </c>
      <c r="BG155" s="1102">
        <f>+BG154/RevBuild!BG154</f>
        <v>8.3925041995665264E-2</v>
      </c>
      <c r="BH155" s="1102">
        <f>+BH154/RevBuild!BH154</f>
        <v>8.7903953907212742E-2</v>
      </c>
      <c r="BI155" s="1103">
        <f>+BI154/RevBuild!BI154</f>
        <v>7.9844015903605597E-2</v>
      </c>
      <c r="BJ155" s="484"/>
      <c r="BK155" s="1101">
        <f>+BK154/RevBuild!BK154</f>
        <v>6.5866751134593046E-2</v>
      </c>
      <c r="BL155" s="1102">
        <f>+BL154/RevBuild!BL154</f>
        <v>7.0811296884759678E-2</v>
      </c>
      <c r="BM155" s="1102">
        <f>+BM154/RevBuild!BM154</f>
        <v>4.7276410086036121E-2</v>
      </c>
      <c r="BN155" s="1102">
        <f>+BN154/RevBuild!BN154</f>
        <v>8.1306419961966581E-2</v>
      </c>
      <c r="BO155" s="1103">
        <f>+BO154/RevBuild!BO154</f>
        <v>6.6464787944203657E-2</v>
      </c>
      <c r="BP155" s="484"/>
      <c r="BQ155" s="1101">
        <f>+BQ154/RevBuild!BQ154</f>
        <v>5.8559236972904757E-2</v>
      </c>
      <c r="BR155" s="1102">
        <f>+BR154/RevBuild!BR154</f>
        <v>6.6312017375022916E-2</v>
      </c>
      <c r="BS155" s="1102">
        <f>+BS154/RevBuild!BS154</f>
        <v>4.8558199720692426E-2</v>
      </c>
      <c r="BT155" s="1102"/>
      <c r="BU155" s="1103"/>
      <c r="BV155" s="484"/>
      <c r="BW155" s="1101"/>
      <c r="BX155" s="1102"/>
      <c r="BY155" s="1102"/>
      <c r="BZ155" s="1102"/>
      <c r="CA155" s="1103"/>
      <c r="CB155" s="484"/>
      <c r="CC155" s="1101"/>
      <c r="CD155" s="1102"/>
      <c r="CE155" s="1102"/>
      <c r="CF155" s="1102"/>
      <c r="CG155" s="1103"/>
      <c r="CH155" s="484"/>
      <c r="CI155" s="1101"/>
      <c r="CJ155" s="1102"/>
      <c r="CK155" s="1102"/>
      <c r="CL155" s="1102"/>
      <c r="CM155" s="1103"/>
      <c r="CQ155"/>
      <c r="CR155"/>
      <c r="CS155"/>
      <c r="CT155"/>
      <c r="CU155"/>
      <c r="CV155"/>
    </row>
    <row r="156" spans="1:100" hidden="1" outlineLevel="1" x14ac:dyDescent="0.2"/>
    <row r="157" spans="1:100" ht="11.25" customHeight="1" collapsed="1" x14ac:dyDescent="0.2">
      <c r="B157" s="1033" t="s">
        <v>482</v>
      </c>
      <c r="C157" s="1034"/>
      <c r="D157" s="1034"/>
      <c r="E157" s="1034"/>
      <c r="F157" s="1034"/>
      <c r="G157" s="1034"/>
      <c r="H157" s="1033"/>
      <c r="I157" s="1034"/>
      <c r="J157" s="1034"/>
      <c r="K157" s="1034"/>
      <c r="L157" s="1034"/>
      <c r="M157" s="1034"/>
      <c r="N157" s="1033"/>
      <c r="O157" s="1034"/>
      <c r="P157" s="1034"/>
      <c r="Q157" s="1034"/>
      <c r="R157" s="1034"/>
      <c r="S157" s="1034"/>
      <c r="T157" s="1033"/>
      <c r="U157" s="1034"/>
      <c r="V157" s="1034"/>
      <c r="W157" s="1034"/>
      <c r="X157" s="1034"/>
      <c r="Y157" s="1034"/>
      <c r="Z157" s="1033"/>
      <c r="AA157" s="1034"/>
      <c r="AB157" s="1034"/>
      <c r="AC157" s="1034"/>
      <c r="AD157" s="1034"/>
      <c r="AE157" s="1034"/>
      <c r="AF157" s="1033"/>
      <c r="AG157" s="1034"/>
      <c r="AH157" s="1034"/>
      <c r="AI157" s="1034"/>
      <c r="AJ157" s="1034"/>
      <c r="AK157" s="1034"/>
      <c r="AL157" s="1033"/>
      <c r="AM157" s="1034"/>
      <c r="AN157" s="1034"/>
      <c r="AO157" s="1034"/>
      <c r="AP157" s="1034"/>
      <c r="AQ157" s="1034"/>
      <c r="AR157" s="1033"/>
      <c r="AS157" s="1034"/>
      <c r="AT157" s="1034"/>
      <c r="AU157" s="1034"/>
      <c r="AV157" s="1034"/>
      <c r="AW157" s="1034"/>
      <c r="AX157" s="1033"/>
      <c r="AY157" s="1034"/>
      <c r="AZ157" s="1034"/>
      <c r="BA157" s="1034"/>
      <c r="BB157" s="1034"/>
      <c r="BC157" s="1034"/>
      <c r="BD157" s="1033"/>
      <c r="BE157" s="1034"/>
      <c r="BF157" s="1034"/>
      <c r="BG157" s="1034"/>
      <c r="BH157" s="1034"/>
      <c r="BI157" s="1034"/>
      <c r="BJ157" s="1033"/>
      <c r="BK157" s="1034"/>
      <c r="BL157" s="1034"/>
      <c r="BM157" s="1034"/>
      <c r="BN157" s="1034"/>
      <c r="BO157" s="1034"/>
      <c r="BP157" s="1033"/>
      <c r="BQ157" s="1034"/>
      <c r="BR157" s="1034"/>
      <c r="BS157" s="1034"/>
      <c r="BT157" s="1034"/>
      <c r="BU157" s="1034"/>
      <c r="BV157" s="1033"/>
      <c r="BW157" s="1034"/>
      <c r="BX157" s="1034"/>
      <c r="BY157" s="1034"/>
      <c r="BZ157" s="1034"/>
      <c r="CA157" s="1034"/>
      <c r="CB157" s="1033"/>
      <c r="CC157" s="1034"/>
      <c r="CD157" s="1034"/>
      <c r="CE157" s="1034"/>
      <c r="CF157" s="1034"/>
      <c r="CG157" s="1034"/>
      <c r="CH157" s="1033"/>
      <c r="CI157" s="1034"/>
      <c r="CJ157" s="1034"/>
      <c r="CK157" s="1034"/>
      <c r="CL157" s="1034"/>
      <c r="CM157" s="1034"/>
      <c r="CO157" s="1397" t="s">
        <v>599</v>
      </c>
      <c r="CP157" s="1398" t="s">
        <v>600</v>
      </c>
    </row>
    <row r="158" spans="1:100" ht="11.25" hidden="1" customHeight="1" outlineLevel="1" x14ac:dyDescent="0.2">
      <c r="B158" s="620" t="s">
        <v>473</v>
      </c>
      <c r="C158" s="647"/>
      <c r="D158" s="648"/>
      <c r="E158" s="648"/>
      <c r="F158" s="648"/>
      <c r="G158" s="1016">
        <v>262.35899999999998</v>
      </c>
      <c r="H158" s="136"/>
      <c r="I158" s="647"/>
      <c r="J158" s="648"/>
      <c r="K158" s="648"/>
      <c r="L158" s="648"/>
      <c r="M158" s="1016">
        <v>281.87700000000001</v>
      </c>
      <c r="N158" s="136"/>
      <c r="O158" s="647"/>
      <c r="P158" s="648"/>
      <c r="Q158" s="648"/>
      <c r="R158" s="648"/>
      <c r="S158" s="1016">
        <v>264.54399999999998</v>
      </c>
      <c r="T158" s="136"/>
      <c r="U158" s="647"/>
      <c r="V158" s="648"/>
      <c r="W158" s="648"/>
      <c r="X158" s="648"/>
      <c r="Y158" s="1016">
        <v>263.75</v>
      </c>
      <c r="Z158" s="136"/>
      <c r="AA158" s="647"/>
      <c r="AB158" s="648"/>
      <c r="AC158" s="648"/>
      <c r="AD158" s="648"/>
      <c r="AE158" s="1016">
        <v>272.185</v>
      </c>
      <c r="AF158" s="136"/>
      <c r="AG158" s="647"/>
      <c r="AH158" s="648"/>
      <c r="AI158" s="648"/>
      <c r="AJ158" s="648"/>
      <c r="AK158" s="1016">
        <v>246.755</v>
      </c>
      <c r="AL158" s="136"/>
      <c r="AM158" s="647"/>
      <c r="AN158" s="648"/>
      <c r="AO158" s="648"/>
      <c r="AP158" s="648"/>
      <c r="AQ158" s="1016">
        <f>247.747</f>
        <v>247.74700000000001</v>
      </c>
      <c r="AR158" s="136"/>
      <c r="AS158" s="647"/>
      <c r="AT158" s="648"/>
      <c r="AU158" s="648"/>
      <c r="AV158" s="648"/>
      <c r="AW158" s="1016">
        <v>249.13800000000001</v>
      </c>
      <c r="AX158" s="136"/>
      <c r="AY158" s="1027">
        <v>62.548999999999999</v>
      </c>
      <c r="AZ158" s="1030">
        <v>73.427000000000007</v>
      </c>
      <c r="BA158" s="1030">
        <v>78.048000000000002</v>
      </c>
      <c r="BB158" s="1031">
        <f>+BC158-BA158-AZ158-AY158</f>
        <v>86.332999999999998</v>
      </c>
      <c r="BC158" s="1016">
        <v>300.35700000000003</v>
      </c>
      <c r="BD158" s="136"/>
      <c r="BE158" s="1027">
        <v>67.251999999999995</v>
      </c>
      <c r="BF158" s="1030">
        <v>74.093999999999994</v>
      </c>
      <c r="BG158" s="1030">
        <v>82.108000000000004</v>
      </c>
      <c r="BH158" s="1031">
        <f>+BI158-BG158-BF158-BE158</f>
        <v>88.721999999999994</v>
      </c>
      <c r="BI158" s="1016">
        <v>312.17599999999999</v>
      </c>
      <c r="BJ158" s="136"/>
      <c r="BK158" s="1027">
        <v>60.295000000000002</v>
      </c>
      <c r="BL158" s="1030">
        <v>77.043000000000006</v>
      </c>
      <c r="BM158" s="1030">
        <v>40.018000000000001</v>
      </c>
      <c r="BN158" s="1031">
        <f>+BO158-BM158-BL158-BK158</f>
        <v>86.314999999999984</v>
      </c>
      <c r="BO158" s="1016">
        <v>263.67099999999999</v>
      </c>
      <c r="BP158" s="136"/>
      <c r="BQ158" s="1027">
        <v>59.518999999999998</v>
      </c>
      <c r="BR158" s="1030">
        <v>65.206999999999994</v>
      </c>
      <c r="BS158" s="1030">
        <v>58.439</v>
      </c>
      <c r="BT158" s="1031"/>
      <c r="BU158" s="1016"/>
      <c r="BV158" s="136"/>
      <c r="BW158" s="1027"/>
      <c r="BX158" s="1030"/>
      <c r="BY158" s="1030"/>
      <c r="BZ158" s="1031"/>
      <c r="CA158" s="1412"/>
      <c r="CB158" s="136"/>
      <c r="CC158" s="1027"/>
      <c r="CD158" s="1030"/>
      <c r="CE158" s="1030"/>
      <c r="CF158" s="1031"/>
      <c r="CG158" s="1016"/>
      <c r="CH158" s="136"/>
      <c r="CI158" s="1027"/>
      <c r="CJ158" s="1030"/>
      <c r="CK158" s="1030"/>
      <c r="CL158" s="1031"/>
      <c r="CM158" s="1016"/>
      <c r="CO158" s="1193"/>
      <c r="CP158" s="1193"/>
    </row>
    <row r="159" spans="1:100" s="1094" customFormat="1" ht="11.25" hidden="1" customHeight="1" outlineLevel="1" x14ac:dyDescent="0.2">
      <c r="A159" s="30"/>
      <c r="B159" s="879" t="s">
        <v>485</v>
      </c>
      <c r="C159" s="1109"/>
      <c r="D159" s="484"/>
      <c r="E159" s="484"/>
      <c r="F159" s="484"/>
      <c r="G159" s="1106">
        <f>G158/RevBuild!G$149</f>
        <v>0.12707313174757703</v>
      </c>
      <c r="H159" s="484"/>
      <c r="I159" s="1109"/>
      <c r="J159" s="484"/>
      <c r="K159" s="484"/>
      <c r="L159" s="484"/>
      <c r="M159" s="1106">
        <f>M158/RevBuild!M$149</f>
        <v>0.12922514516665859</v>
      </c>
      <c r="N159" s="484"/>
      <c r="O159" s="1109"/>
      <c r="P159" s="484"/>
      <c r="Q159" s="484"/>
      <c r="R159" s="484"/>
      <c r="S159" s="1106">
        <f>S158/RevBuild!S$149</f>
        <v>0.12166248392091829</v>
      </c>
      <c r="T159" s="484"/>
      <c r="U159" s="1109"/>
      <c r="V159" s="484"/>
      <c r="W159" s="484"/>
      <c r="X159" s="484"/>
      <c r="Y159" s="1106">
        <f>Y158/RevBuild!Y$149</f>
        <v>0.12168424840657073</v>
      </c>
      <c r="Z159" s="484"/>
      <c r="AA159" s="1109"/>
      <c r="AB159" s="484"/>
      <c r="AC159" s="484"/>
      <c r="AD159" s="484"/>
      <c r="AE159" s="1106">
        <f>AE158/RevBuild!AE$149</f>
        <v>0.12172548451380466</v>
      </c>
      <c r="AF159" s="484"/>
      <c r="AG159" s="1109"/>
      <c r="AH159" s="484"/>
      <c r="AI159" s="484"/>
      <c r="AJ159" s="484"/>
      <c r="AK159" s="1106">
        <f>AK158/RevBuild!AK$149</f>
        <v>0.10785335737310824</v>
      </c>
      <c r="AL159" s="484"/>
      <c r="AM159" s="1109"/>
      <c r="AN159" s="484"/>
      <c r="AO159" s="484"/>
      <c r="AP159" s="484"/>
      <c r="AQ159" s="1106">
        <f>AQ158/RevBuild!AQ$149</f>
        <v>0.10409669029441548</v>
      </c>
      <c r="AR159" s="484"/>
      <c r="AS159" s="1109"/>
      <c r="AT159" s="484"/>
      <c r="AU159" s="484"/>
      <c r="AV159" s="484"/>
      <c r="AW159" s="1106">
        <f>AW158/RevBuild!AW$149</f>
        <v>0.10458763661276739</v>
      </c>
      <c r="AX159" s="484"/>
      <c r="AY159" s="1110">
        <f>AY158/RevBuild!AY$149</f>
        <v>0.11521826427495145</v>
      </c>
      <c r="AZ159" s="1111">
        <f>AZ158/RevBuild!AZ$149</f>
        <v>0.12389898689920965</v>
      </c>
      <c r="BA159" s="1111">
        <f>BA158/RevBuild!BA$149</f>
        <v>0.12781030205271388</v>
      </c>
      <c r="BB159" s="1111">
        <f>BB158/RevBuild!BB$149</f>
        <v>0.12907908940580529</v>
      </c>
      <c r="BC159" s="1106">
        <f>BC158/RevBuild!BC$149</f>
        <v>0.1243712740729515</v>
      </c>
      <c r="BD159" s="484"/>
      <c r="BE159" s="1110">
        <f>BE158/RevBuild!BE$149</f>
        <v>0.11693620602416552</v>
      </c>
      <c r="BF159" s="1111">
        <f>BF158/RevBuild!BF$149</f>
        <v>0.12321850855282195</v>
      </c>
      <c r="BG159" s="1111">
        <f>BG158/RevBuild!BG$149</f>
        <v>0.12876636279093109</v>
      </c>
      <c r="BH159" s="1111">
        <f>BH158/RevBuild!BH$149</f>
        <v>0.1339920017398028</v>
      </c>
      <c r="BI159" s="1106">
        <f>BI158/RevBuild!BI$149</f>
        <v>0.1260688610204044</v>
      </c>
      <c r="BJ159" s="484"/>
      <c r="BK159" s="1110">
        <f>BK158/RevBuild!BK$149</f>
        <v>0.10863670351251768</v>
      </c>
      <c r="BL159" s="1111">
        <f>BL158/RevBuild!BL$149</f>
        <v>0.1280735030828539</v>
      </c>
      <c r="BM159" s="1111">
        <f>BM158/RevBuild!BM$149</f>
        <v>6.3891509923476433E-2</v>
      </c>
      <c r="BN159" s="1111">
        <f>BN158/RevBuild!BN$149</f>
        <v>0.14212722374808165</v>
      </c>
      <c r="BO159" s="1106">
        <f>BO158/RevBuild!BO$149</f>
        <v>0.11031248601069608</v>
      </c>
      <c r="BP159" s="484"/>
      <c r="BQ159" s="1110">
        <f>BQ158/RevBuild!BQ$149</f>
        <v>0.11472281599901311</v>
      </c>
      <c r="BR159" s="1111">
        <f>BR158/RevBuild!BR$149</f>
        <v>0.11778082835106478</v>
      </c>
      <c r="BS159" s="1111">
        <f>BS158/RevBuild!BS$149</f>
        <v>0.10112705644972893</v>
      </c>
      <c r="BT159" s="1112"/>
      <c r="BU159" s="1106"/>
      <c r="BV159" s="484"/>
      <c r="BW159" s="1110"/>
      <c r="BX159" s="1111"/>
      <c r="BY159" s="1111"/>
      <c r="BZ159" s="1112"/>
      <c r="CA159" s="1106"/>
      <c r="CB159" s="484"/>
      <c r="CC159" s="1110"/>
      <c r="CD159" s="1111"/>
      <c r="CE159" s="1111"/>
      <c r="CF159" s="1112"/>
      <c r="CG159" s="1106"/>
      <c r="CH159" s="484"/>
      <c r="CI159" s="1110"/>
      <c r="CJ159" s="1111"/>
      <c r="CK159" s="1111"/>
      <c r="CL159" s="1112"/>
      <c r="CM159" s="1106"/>
      <c r="CO159" s="1113"/>
      <c r="CP159" s="1113"/>
      <c r="CQ159"/>
      <c r="CR159"/>
      <c r="CS159"/>
      <c r="CT159"/>
      <c r="CU159"/>
      <c r="CV159"/>
    </row>
    <row r="160" spans="1:100" ht="11.25" hidden="1" customHeight="1" outlineLevel="1" x14ac:dyDescent="0.2">
      <c r="B160" s="620" t="s">
        <v>474</v>
      </c>
      <c r="C160" s="996"/>
      <c r="D160" s="85"/>
      <c r="E160" s="85"/>
      <c r="F160" s="85"/>
      <c r="G160" s="1017">
        <v>22.146000000000001</v>
      </c>
      <c r="H160" s="85"/>
      <c r="I160" s="996"/>
      <c r="J160" s="85"/>
      <c r="K160" s="85"/>
      <c r="L160" s="85"/>
      <c r="M160" s="1017">
        <v>24.684000000000001</v>
      </c>
      <c r="N160" s="85"/>
      <c r="O160" s="996"/>
      <c r="P160" s="85"/>
      <c r="Q160" s="85"/>
      <c r="R160" s="85"/>
      <c r="S160" s="1017">
        <v>26.097999999999999</v>
      </c>
      <c r="T160" s="85"/>
      <c r="U160" s="996"/>
      <c r="V160" s="85"/>
      <c r="W160" s="85"/>
      <c r="X160" s="85"/>
      <c r="Y160" s="1017">
        <v>31.619</v>
      </c>
      <c r="Z160" s="85"/>
      <c r="AA160" s="996"/>
      <c r="AB160" s="85"/>
      <c r="AC160" s="85"/>
      <c r="AD160" s="85"/>
      <c r="AE160" s="1017">
        <v>37.014000000000003</v>
      </c>
      <c r="AF160" s="85"/>
      <c r="AG160" s="996"/>
      <c r="AH160" s="85"/>
      <c r="AI160" s="85"/>
      <c r="AJ160" s="85"/>
      <c r="AK160" s="1017">
        <v>38.811999999999998</v>
      </c>
      <c r="AL160" s="85"/>
      <c r="AM160" s="996"/>
      <c r="AN160" s="85"/>
      <c r="AO160" s="85"/>
      <c r="AP160" s="85"/>
      <c r="AQ160" s="1017">
        <v>41.680999999999997</v>
      </c>
      <c r="AR160" s="85"/>
      <c r="AS160" s="996"/>
      <c r="AT160" s="85"/>
      <c r="AU160" s="85"/>
      <c r="AV160" s="85"/>
      <c r="AW160" s="1017">
        <v>49.854999999999997</v>
      </c>
      <c r="AX160" s="85"/>
      <c r="AY160" s="1028">
        <v>13.987</v>
      </c>
      <c r="AZ160" s="1029">
        <v>14.336</v>
      </c>
      <c r="BA160" s="1029">
        <v>11.864000000000001</v>
      </c>
      <c r="BB160" s="8">
        <f>+BC160-BA160-AZ160-AY160</f>
        <v>16.482999999999997</v>
      </c>
      <c r="BC160" s="1017">
        <v>56.67</v>
      </c>
      <c r="BD160" s="85"/>
      <c r="BE160" s="1028">
        <v>12.972</v>
      </c>
      <c r="BF160" s="1029">
        <v>25.177</v>
      </c>
      <c r="BG160" s="1029">
        <v>25.959</v>
      </c>
      <c r="BH160" s="8">
        <f>+BI160-BG160-BF160-BE160</f>
        <v>30.209999999999994</v>
      </c>
      <c r="BI160" s="1017">
        <v>94.317999999999998</v>
      </c>
      <c r="BJ160" s="85"/>
      <c r="BK160" s="1028">
        <v>14.829000000000001</v>
      </c>
      <c r="BL160" s="1029">
        <v>21.853999999999999</v>
      </c>
      <c r="BM160" s="1029">
        <v>23.777000000000001</v>
      </c>
      <c r="BN160" s="8">
        <f>+BO160-BM160-BL160-BK160</f>
        <v>27.672000000000004</v>
      </c>
      <c r="BO160" s="1017">
        <v>88.132000000000005</v>
      </c>
      <c r="BP160" s="85"/>
      <c r="BQ160" s="1028">
        <v>16.675999999999998</v>
      </c>
      <c r="BR160" s="1029">
        <v>23.216999999999999</v>
      </c>
      <c r="BS160" s="1029">
        <v>18.036999999999999</v>
      </c>
      <c r="BT160" s="644"/>
      <c r="BU160" s="589"/>
      <c r="BV160" s="85"/>
      <c r="BW160" s="1015"/>
      <c r="BX160" s="644"/>
      <c r="BY160" s="644"/>
      <c r="BZ160" s="644"/>
      <c r="CA160" s="589"/>
      <c r="CB160" s="85"/>
      <c r="CC160" s="1015"/>
      <c r="CD160" s="644"/>
      <c r="CE160" s="644"/>
      <c r="CF160" s="644"/>
      <c r="CG160" s="589"/>
      <c r="CH160" s="85"/>
      <c r="CI160" s="1015"/>
      <c r="CJ160" s="644"/>
      <c r="CK160" s="644"/>
      <c r="CL160" s="644"/>
      <c r="CM160" s="589"/>
      <c r="CO160" s="17"/>
      <c r="CP160" s="17"/>
    </row>
    <row r="161" spans="1:100" s="1094" customFormat="1" ht="11.25" hidden="1" customHeight="1" outlineLevel="1" x14ac:dyDescent="0.2">
      <c r="A161" s="30"/>
      <c r="B161" s="879" t="s">
        <v>485</v>
      </c>
      <c r="C161" s="1093"/>
      <c r="D161" s="484"/>
      <c r="E161" s="484"/>
      <c r="F161" s="484"/>
      <c r="G161" s="1106">
        <f>G160/RevBuild!G$152</f>
        <v>5.544456294783013E-2</v>
      </c>
      <c r="H161" s="484"/>
      <c r="I161" s="1109"/>
      <c r="J161" s="484"/>
      <c r="K161" s="484"/>
      <c r="L161" s="484"/>
      <c r="M161" s="1106">
        <f>M160/RevBuild!M$152</f>
        <v>5.5292354629088304E-2</v>
      </c>
      <c r="N161" s="484"/>
      <c r="O161" s="1109"/>
      <c r="P161" s="484"/>
      <c r="Q161" s="484"/>
      <c r="R161" s="484"/>
      <c r="S161" s="1106">
        <f>S160/RevBuild!S$152</f>
        <v>4.7394983010956161E-2</v>
      </c>
      <c r="T161" s="484"/>
      <c r="U161" s="1109"/>
      <c r="V161" s="484"/>
      <c r="W161" s="484"/>
      <c r="X161" s="484"/>
      <c r="Y161" s="1106">
        <f>Y160/RevBuild!Y$152</f>
        <v>4.9129561953062853E-2</v>
      </c>
      <c r="Z161" s="484"/>
      <c r="AA161" s="1109"/>
      <c r="AB161" s="484"/>
      <c r="AC161" s="484"/>
      <c r="AD161" s="484"/>
      <c r="AE161" s="1106">
        <f>AE160/RevBuild!AE$152</f>
        <v>5.4845143299124884E-2</v>
      </c>
      <c r="AF161" s="484"/>
      <c r="AG161" s="1109"/>
      <c r="AH161" s="484"/>
      <c r="AI161" s="484"/>
      <c r="AJ161" s="484"/>
      <c r="AK161" s="1106">
        <f>AK160/RevBuild!AK$152</f>
        <v>5.2845273852672618E-2</v>
      </c>
      <c r="AL161" s="484"/>
      <c r="AM161" s="1109"/>
      <c r="AN161" s="484"/>
      <c r="AO161" s="484"/>
      <c r="AP161" s="484"/>
      <c r="AQ161" s="1106">
        <f>AQ160/RevBuild!AQ$152</f>
        <v>5.5188713596250216E-2</v>
      </c>
      <c r="AR161" s="484"/>
      <c r="AS161" s="1109"/>
      <c r="AT161" s="484"/>
      <c r="AU161" s="484"/>
      <c r="AV161" s="484"/>
      <c r="AW161" s="1106">
        <f>AW160/RevBuild!AW$152</f>
        <v>4.1440712060406767E-2</v>
      </c>
      <c r="AX161" s="484"/>
      <c r="AY161" s="1110">
        <f>AY160/RevBuild!AY$150</f>
        <v>3.620761066528605E-2</v>
      </c>
      <c r="AZ161" s="1111">
        <f>AZ160/RevBuild!AZ$150</f>
        <v>3.8079654903127445E-2</v>
      </c>
      <c r="BA161" s="1111">
        <f>BA160/RevBuild!BA$150</f>
        <v>3.5119814099433128E-2</v>
      </c>
      <c r="BB161" s="1111">
        <f>BB160/RevBuild!BB$150</f>
        <v>4.6303033027043569E-2</v>
      </c>
      <c r="BC161" s="1106">
        <f>BC160/RevBuild!BC$150</f>
        <v>3.8906472054209551E-2</v>
      </c>
      <c r="BD161" s="484"/>
      <c r="BE161" s="1110">
        <f>BE160/RevBuild!BE$150</f>
        <v>2.3276637053492123E-2</v>
      </c>
      <c r="BF161" s="1111">
        <f>BF160/RevBuild!BF$150</f>
        <v>3.2509396955012121E-2</v>
      </c>
      <c r="BG161" s="1111">
        <f>BG160/RevBuild!BG$150</f>
        <v>3.4625249928972819E-2</v>
      </c>
      <c r="BH161" s="1111">
        <f>BH160/RevBuild!BH$150</f>
        <v>3.8691779821871795E-2</v>
      </c>
      <c r="BI161" s="1106">
        <f>BI160/RevBuild!BI$150</f>
        <v>3.2952409102073227E-2</v>
      </c>
      <c r="BJ161" s="484"/>
      <c r="BK161" s="1110">
        <f>BK160/RevBuild!BK$150</f>
        <v>1.9444528218758483E-2</v>
      </c>
      <c r="BL161" s="1111">
        <f>BL160/RevBuild!BL$150</f>
        <v>2.7075646785092163E-2</v>
      </c>
      <c r="BM161" s="1111">
        <f>BM160/RevBuild!BM$150</f>
        <v>3.1179802170797181E-2</v>
      </c>
      <c r="BN161" s="1111">
        <f>BN160/RevBuild!BN$150</f>
        <v>3.3441614942862123E-2</v>
      </c>
      <c r="BO161" s="1106">
        <f>BO160/RevBuild!BO$150</f>
        <v>2.7891409210507163E-2</v>
      </c>
      <c r="BP161" s="484"/>
      <c r="BQ161" s="1110">
        <f>BQ160/RevBuild!BQ$150</f>
        <v>2.1485925147139158E-2</v>
      </c>
      <c r="BR161" s="1111">
        <f>BR160/RevBuild!BR$150</f>
        <v>2.8190237049574844E-2</v>
      </c>
      <c r="BS161" s="1111">
        <f>BS160/RevBuild!BS$150</f>
        <v>2.2691846560493768E-2</v>
      </c>
      <c r="BT161" s="1096"/>
      <c r="BU161" s="995"/>
      <c r="BV161" s="484"/>
      <c r="BW161" s="1095"/>
      <c r="BX161" s="1096"/>
      <c r="BY161" s="1096"/>
      <c r="BZ161" s="1096"/>
      <c r="CA161" s="995"/>
      <c r="CB161" s="484"/>
      <c r="CC161" s="1095"/>
      <c r="CD161" s="1096"/>
      <c r="CE161" s="1096"/>
      <c r="CF161" s="1096"/>
      <c r="CG161" s="995"/>
      <c r="CH161" s="484"/>
      <c r="CI161" s="1095"/>
      <c r="CJ161" s="1096"/>
      <c r="CK161" s="1096"/>
      <c r="CL161" s="1096"/>
      <c r="CM161" s="995"/>
      <c r="CO161" s="1113"/>
      <c r="CP161" s="1113"/>
      <c r="CQ161"/>
      <c r="CR161"/>
      <c r="CS161"/>
      <c r="CT161"/>
      <c r="CU161"/>
      <c r="CV161"/>
    </row>
    <row r="162" spans="1:100" ht="11.25" hidden="1" customHeight="1" outlineLevel="1" x14ac:dyDescent="0.2">
      <c r="B162" s="620" t="s">
        <v>475</v>
      </c>
      <c r="C162" s="996"/>
      <c r="D162" s="85"/>
      <c r="E162" s="85"/>
      <c r="F162" s="85"/>
      <c r="G162" s="1017">
        <v>51.185000000000002</v>
      </c>
      <c r="H162" s="85"/>
      <c r="I162" s="996"/>
      <c r="J162" s="85"/>
      <c r="K162" s="85"/>
      <c r="L162" s="85"/>
      <c r="M162" s="1017">
        <v>52.642000000000003</v>
      </c>
      <c r="N162" s="85"/>
      <c r="O162" s="996"/>
      <c r="P162" s="85"/>
      <c r="Q162" s="85"/>
      <c r="R162" s="85"/>
      <c r="S162" s="1017">
        <v>55.584000000000003</v>
      </c>
      <c r="T162" s="85"/>
      <c r="U162" s="996"/>
      <c r="V162" s="85"/>
      <c r="W162" s="85"/>
      <c r="X162" s="85"/>
      <c r="Y162" s="1017">
        <v>59.921999999999997</v>
      </c>
      <c r="Z162" s="85"/>
      <c r="AA162" s="996"/>
      <c r="AB162" s="85"/>
      <c r="AC162" s="85"/>
      <c r="AD162" s="85"/>
      <c r="AE162" s="1017">
        <v>66.808999999999997</v>
      </c>
      <c r="AF162" s="85"/>
      <c r="AG162" s="996"/>
      <c r="AH162" s="85"/>
      <c r="AI162" s="85"/>
      <c r="AJ162" s="85"/>
      <c r="AK162" s="1017">
        <v>72.441999999999993</v>
      </c>
      <c r="AL162" s="85"/>
      <c r="AM162" s="996"/>
      <c r="AN162" s="85"/>
      <c r="AO162" s="85"/>
      <c r="AP162" s="85"/>
      <c r="AQ162" s="1017">
        <v>65.027000000000001</v>
      </c>
      <c r="AR162" s="85"/>
      <c r="AS162" s="996"/>
      <c r="AT162" s="85"/>
      <c r="AU162" s="85"/>
      <c r="AV162" s="85"/>
      <c r="AW162" s="1017">
        <v>46.762999999999998</v>
      </c>
      <c r="AX162" s="85"/>
      <c r="AY162" s="1028">
        <v>-10.54</v>
      </c>
      <c r="AZ162" s="1029">
        <v>-15.622999999999999</v>
      </c>
      <c r="BA162" s="1029">
        <v>-12.535</v>
      </c>
      <c r="BB162" s="8">
        <f>+BC162-BA162-AZ162-AY162</f>
        <v>-13.743000000000009</v>
      </c>
      <c r="BC162" s="1017">
        <v>-52.441000000000003</v>
      </c>
      <c r="BD162" s="85"/>
      <c r="BE162" s="1028">
        <v>-18.047000000000001</v>
      </c>
      <c r="BF162" s="1029">
        <v>-15.808</v>
      </c>
      <c r="BG162" s="1029">
        <v>-12.337999999999999</v>
      </c>
      <c r="BH162" s="8">
        <f>+BI162-BG162-BF162-BE162</f>
        <v>-12.587999999999997</v>
      </c>
      <c r="BI162" s="1017">
        <v>-58.780999999999999</v>
      </c>
      <c r="BJ162" s="85"/>
      <c r="BK162" s="1028">
        <v>-9.7080000000000002</v>
      </c>
      <c r="BL162" s="1029">
        <v>-19.094000000000001</v>
      </c>
      <c r="BM162" s="1029">
        <v>-17.241</v>
      </c>
      <c r="BN162" s="8">
        <f>+BO162-BM162-BL162-BK162</f>
        <v>-17.832000000000001</v>
      </c>
      <c r="BO162" s="1017">
        <v>-63.875</v>
      </c>
      <c r="BP162" s="85"/>
      <c r="BQ162" s="1028">
        <v>-19.361999999999998</v>
      </c>
      <c r="BR162" s="1029">
        <v>-16.664999999999999</v>
      </c>
      <c r="BS162" s="1029">
        <v>-26.43</v>
      </c>
      <c r="BT162" s="644"/>
      <c r="BU162" s="589"/>
      <c r="BV162" s="85"/>
      <c r="BW162" s="1015"/>
      <c r="BX162" s="644"/>
      <c r="BY162" s="644"/>
      <c r="BZ162" s="644"/>
      <c r="CA162" s="589"/>
      <c r="CB162" s="85"/>
      <c r="CC162" s="1015"/>
      <c r="CD162" s="644"/>
      <c r="CE162" s="644"/>
      <c r="CF162" s="644"/>
      <c r="CG162" s="589"/>
      <c r="CH162" s="85"/>
      <c r="CI162" s="1015"/>
      <c r="CJ162" s="644"/>
      <c r="CK162" s="644"/>
      <c r="CL162" s="644"/>
      <c r="CM162" s="589"/>
      <c r="CO162" s="17"/>
      <c r="CP162" s="17"/>
    </row>
    <row r="163" spans="1:100" s="1094" customFormat="1" ht="11.25" hidden="1" customHeight="1" outlineLevel="1" x14ac:dyDescent="0.2">
      <c r="A163" s="30"/>
      <c r="B163" s="879" t="s">
        <v>485</v>
      </c>
      <c r="C163" s="1093"/>
      <c r="D163" s="484"/>
      <c r="E163" s="484"/>
      <c r="F163" s="484"/>
      <c r="G163" s="1106">
        <f>G162/RevBuild!G$153</f>
        <v>0.15309174438150155</v>
      </c>
      <c r="H163" s="484"/>
      <c r="I163" s="1109"/>
      <c r="J163" s="484"/>
      <c r="K163" s="484"/>
      <c r="L163" s="484"/>
      <c r="M163" s="1106">
        <f>M162/RevBuild!M$153</f>
        <v>0.14188606421286415</v>
      </c>
      <c r="N163" s="484"/>
      <c r="O163" s="1093"/>
      <c r="P163" s="484"/>
      <c r="Q163" s="484"/>
      <c r="R163" s="484"/>
      <c r="S163" s="1106">
        <f>S162/RevBuild!S$153</f>
        <v>0.15056518830129292</v>
      </c>
      <c r="T163" s="484"/>
      <c r="U163" s="1093"/>
      <c r="V163" s="484"/>
      <c r="W163" s="484"/>
      <c r="X163" s="484"/>
      <c r="Y163" s="1106">
        <f>Y162/RevBuild!Y$153</f>
        <v>0.14056397300473611</v>
      </c>
      <c r="Z163" s="484"/>
      <c r="AA163" s="1093"/>
      <c r="AB163" s="484"/>
      <c r="AC163" s="484"/>
      <c r="AD163" s="484"/>
      <c r="AE163" s="1106">
        <f>AE162/RevBuild!AE$153</f>
        <v>0.13236477035428562</v>
      </c>
      <c r="AF163" s="484"/>
      <c r="AG163" s="1093"/>
      <c r="AH163" s="484"/>
      <c r="AI163" s="484"/>
      <c r="AJ163" s="484"/>
      <c r="AK163" s="1106">
        <f>AK162/RevBuild!AK$153</f>
        <v>0.1411189465071882</v>
      </c>
      <c r="AL163" s="484"/>
      <c r="AM163" s="1109"/>
      <c r="AN163" s="484"/>
      <c r="AO163" s="484"/>
      <c r="AP163" s="484"/>
      <c r="AQ163" s="1106">
        <f>AQ162/RevBuild!AQ$153</f>
        <v>0.1295366306969962</v>
      </c>
      <c r="AR163" s="484"/>
      <c r="AS163" s="1109"/>
      <c r="AT163" s="484"/>
      <c r="AU163" s="484"/>
      <c r="AV163" s="484"/>
      <c r="AW163" s="1106">
        <f>AW162/RevBuild!AW$153</f>
        <v>9.7713410493278974E-2</v>
      </c>
      <c r="AX163" s="484"/>
      <c r="AY163" s="1110">
        <f>AY162/RevBuild!AY$151</f>
        <v>-1.0774892659987731</v>
      </c>
      <c r="AZ163" s="1111">
        <f>AZ162/RevBuild!AZ$151</f>
        <v>-1.7149286498353458</v>
      </c>
      <c r="BA163" s="1111">
        <f>BA162/RevBuild!BA$151</f>
        <v>-1.2340027564481197</v>
      </c>
      <c r="BB163" s="1111">
        <f>BB162/RevBuild!BB$151</f>
        <v>-1.3418277680140605</v>
      </c>
      <c r="BC163" s="1106">
        <f>BC162/RevBuild!BC$151</f>
        <v>-1.3346482744579049</v>
      </c>
      <c r="BD163" s="484"/>
      <c r="BE163" s="1110">
        <f>BE162/RevBuild!BE$151</f>
        <v>-1.7259946442234124</v>
      </c>
      <c r="BF163" s="1111">
        <f>BF162/RevBuild!BF$151</f>
        <v>-1.1766282098995162</v>
      </c>
      <c r="BG163" s="1111">
        <f>BG162/RevBuild!BG$151</f>
        <v>-0.91467121358143666</v>
      </c>
      <c r="BH163" s="1111">
        <f>BH162/RevBuild!BH$151</f>
        <v>-1.1612546125461252</v>
      </c>
      <c r="BI163" s="1106">
        <f>BI162/RevBuild!BI$151</f>
        <v>-1.2190170053919536</v>
      </c>
      <c r="BJ163" s="484"/>
      <c r="BK163" s="1110">
        <f>BK162/RevBuild!BK$151</f>
        <v>-0.65638945233265722</v>
      </c>
      <c r="BL163" s="1111">
        <f>BL162/RevBuild!BL$151</f>
        <v>-2.001047998323203</v>
      </c>
      <c r="BM163" s="1111">
        <f>BM162/RevBuild!BM$151</f>
        <v>-2.0288303130148271</v>
      </c>
      <c r="BN163" s="1111">
        <f>BN162/RevBuild!BN$151</f>
        <v>-1.7393679282091299</v>
      </c>
      <c r="BO163" s="1106">
        <f>BO162/RevBuild!BO$151</f>
        <v>-1.4826377605496495</v>
      </c>
      <c r="BP163" s="484"/>
      <c r="BQ163" s="1110">
        <f>BQ162/RevBuild!BQ$151</f>
        <v>-2.1109899694723069</v>
      </c>
      <c r="BR163" s="1111">
        <f>BR162/RevBuild!BR$151</f>
        <v>-1.9550680431722196</v>
      </c>
      <c r="BS163" s="1409">
        <f>BS162/RevBuild!BS$151</f>
        <v>-10.665859564164649</v>
      </c>
      <c r="BT163" s="1096"/>
      <c r="BU163" s="995"/>
      <c r="BV163" s="484"/>
      <c r="BW163" s="1095"/>
      <c r="BX163" s="1096"/>
      <c r="BY163" s="1096"/>
      <c r="BZ163" s="1096"/>
      <c r="CA163" s="995"/>
      <c r="CB163" s="484"/>
      <c r="CC163" s="1095"/>
      <c r="CD163" s="1096"/>
      <c r="CE163" s="1096"/>
      <c r="CF163" s="1096"/>
      <c r="CG163" s="995"/>
      <c r="CH163" s="484"/>
      <c r="CI163" s="1095"/>
      <c r="CJ163" s="1096"/>
      <c r="CK163" s="1096"/>
      <c r="CL163" s="1096"/>
      <c r="CM163" s="995"/>
      <c r="CO163" s="1113"/>
      <c r="CP163" s="1113"/>
      <c r="CQ163"/>
      <c r="CR163"/>
      <c r="CS163"/>
      <c r="CT163"/>
      <c r="CU163"/>
      <c r="CV163"/>
    </row>
    <row r="164" spans="1:100" ht="11.25" hidden="1" customHeight="1" outlineLevel="1" x14ac:dyDescent="0.2">
      <c r="B164" s="620" t="s">
        <v>476</v>
      </c>
      <c r="C164" s="1018"/>
      <c r="D164" s="1019"/>
      <c r="E164" s="1019"/>
      <c r="F164" s="1019"/>
      <c r="G164" s="592">
        <f>+G162+G160+G158</f>
        <v>335.69</v>
      </c>
      <c r="H164" s="85"/>
      <c r="I164" s="1018"/>
      <c r="J164" s="1019"/>
      <c r="K164" s="1019"/>
      <c r="L164" s="1019"/>
      <c r="M164" s="592">
        <f>+M162+M160+M158</f>
        <v>359.20300000000003</v>
      </c>
      <c r="N164" s="85"/>
      <c r="O164" s="1018"/>
      <c r="P164" s="1019"/>
      <c r="Q164" s="1019"/>
      <c r="R164" s="1019"/>
      <c r="S164" s="592">
        <f>+S162+S160+S158</f>
        <v>346.226</v>
      </c>
      <c r="T164" s="85"/>
      <c r="U164" s="1018"/>
      <c r="V164" s="1019"/>
      <c r="W164" s="1019"/>
      <c r="X164" s="1019"/>
      <c r="Y164" s="592">
        <f>+Y162+Y160+Y158</f>
        <v>355.291</v>
      </c>
      <c r="Z164" s="85"/>
      <c r="AA164" s="1018"/>
      <c r="AB164" s="1019"/>
      <c r="AC164" s="1019"/>
      <c r="AD164" s="1019"/>
      <c r="AE164" s="592">
        <f>+AE162+AE160+AE158</f>
        <v>376.00800000000004</v>
      </c>
      <c r="AF164" s="85"/>
      <c r="AG164" s="1018"/>
      <c r="AH164" s="1019"/>
      <c r="AI164" s="1019"/>
      <c r="AJ164" s="1019"/>
      <c r="AK164" s="592">
        <f>+AK162+AK160+AK158</f>
        <v>358.00900000000001</v>
      </c>
      <c r="AL164" s="85"/>
      <c r="AM164" s="1018"/>
      <c r="AN164" s="1019"/>
      <c r="AO164" s="1019"/>
      <c r="AP164" s="1019"/>
      <c r="AQ164" s="592">
        <f>+AQ162+AQ160+AQ158</f>
        <v>354.45500000000004</v>
      </c>
      <c r="AR164" s="85"/>
      <c r="AS164" s="1018"/>
      <c r="AT164" s="1019"/>
      <c r="AU164" s="1019"/>
      <c r="AV164" s="1019"/>
      <c r="AW164" s="592">
        <f>+AW162+AW160+AW158</f>
        <v>345.75599999999997</v>
      </c>
      <c r="AX164" s="85"/>
      <c r="AY164" s="1004">
        <f>+AY162+AY160+AY158</f>
        <v>65.995999999999995</v>
      </c>
      <c r="AZ164" s="136">
        <f>+AZ162+AZ160+AZ158</f>
        <v>72.140000000000015</v>
      </c>
      <c r="BA164" s="136">
        <f>+BA162+BA160+BA158</f>
        <v>77.37700000000001</v>
      </c>
      <c r="BB164" s="136">
        <f>+BB162+BB160+BB158</f>
        <v>89.072999999999979</v>
      </c>
      <c r="BC164" s="594">
        <f>+BC162+BC160+BC158</f>
        <v>304.58600000000001</v>
      </c>
      <c r="BD164" s="382"/>
      <c r="BE164" s="1004">
        <f>+BE162+BE160+BE158</f>
        <v>62.176999999999992</v>
      </c>
      <c r="BF164" s="136">
        <f>+BF162+BF160+BF158</f>
        <v>83.462999999999994</v>
      </c>
      <c r="BG164" s="136">
        <f>+BG162+BG160+BG158</f>
        <v>95.728999999999999</v>
      </c>
      <c r="BH164" s="136">
        <f>+BH162+BH160+BH158</f>
        <v>106.34399999999999</v>
      </c>
      <c r="BI164" s="594">
        <f>+BI162+BI160+BI158</f>
        <v>347.71299999999997</v>
      </c>
      <c r="BJ164" s="382"/>
      <c r="BK164" s="1004">
        <f>+BK162+BK160+BK158</f>
        <v>65.415999999999997</v>
      </c>
      <c r="BL164" s="136">
        <f>+BL162+BL160+BL158</f>
        <v>79.802999999999997</v>
      </c>
      <c r="BM164" s="136">
        <f>+BM162+BM160+BM158</f>
        <v>46.554000000000002</v>
      </c>
      <c r="BN164" s="136">
        <f>+BN162+BN160+BN158</f>
        <v>96.154999999999987</v>
      </c>
      <c r="BO164" s="594">
        <f>+BO162+BO160+BO158</f>
        <v>287.928</v>
      </c>
      <c r="BP164" s="382"/>
      <c r="BQ164" s="1004">
        <f>+BQ162+BQ160+BQ158</f>
        <v>56.832999999999998</v>
      </c>
      <c r="BR164" s="136">
        <f>+BR162+BR160+BR158</f>
        <v>71.758999999999986</v>
      </c>
      <c r="BS164" s="136">
        <f>+BS162+BS160+BS158</f>
        <v>50.045999999999999</v>
      </c>
      <c r="BT164" s="136">
        <f>+BT162+BT160+BT174</f>
        <v>56.079805997129554</v>
      </c>
      <c r="BU164" s="594">
        <f>+BU162+BU160+BU174</f>
        <v>272.29380599712954</v>
      </c>
      <c r="BV164" s="382"/>
      <c r="BW164" s="1004">
        <f>+BW162+BW160+BW174</f>
        <v>52.945381917179219</v>
      </c>
      <c r="BX164" s="136">
        <f>+BX162+BX160+BX174</f>
        <v>57.661175592930263</v>
      </c>
      <c r="BY164" s="136">
        <f>+BY162+BY160+BY174</f>
        <v>60.813466606869468</v>
      </c>
      <c r="BZ164" s="136">
        <f>+BZ162+BZ160+BZ174</f>
        <v>64.062513073575076</v>
      </c>
      <c r="CA164" s="594">
        <f>+CA162+CA160+CA174</f>
        <v>235.48253719055401</v>
      </c>
      <c r="CB164" s="1024"/>
      <c r="CC164" s="1004">
        <f>+CC162+CC160+CC174</f>
        <v>54.492351462922606</v>
      </c>
      <c r="CD164" s="136">
        <f>+CD162+CD160+CD174</f>
        <v>59.286790217043411</v>
      </c>
      <c r="CE164" s="136">
        <f>+CE162+CE160+CE174</f>
        <v>62.581576391573989</v>
      </c>
      <c r="CF164" s="136">
        <f>+CF162+CF160+CF174</f>
        <v>66.010138661695066</v>
      </c>
      <c r="CG164" s="594">
        <f>+CG162+CG160+CG174</f>
        <v>242.37085673323509</v>
      </c>
      <c r="CH164" s="1024"/>
      <c r="CI164" s="1004">
        <f>+CI162+CI160+CI174</f>
        <v>52.219607887938743</v>
      </c>
      <c r="CJ164" s="136">
        <f>+CJ162+CJ160+CJ174</f>
        <v>56.781176343165541</v>
      </c>
      <c r="CK164" s="136">
        <f>+CK162+CK160+CK174</f>
        <v>59.998918796129225</v>
      </c>
      <c r="CL164" s="136">
        <f>+CL162+CL160+CL174</f>
        <v>63.352036588374766</v>
      </c>
      <c r="CM164" s="594">
        <f>+CM162+CM160+CM174</f>
        <v>232.35173961560827</v>
      </c>
      <c r="CO164" s="17"/>
      <c r="CP164" s="17"/>
    </row>
    <row r="165" spans="1:100" s="1094" customFormat="1" ht="11.25" hidden="1" customHeight="1" outlineLevel="1" x14ac:dyDescent="0.2">
      <c r="A165" s="30"/>
      <c r="B165" s="880" t="s">
        <v>341</v>
      </c>
      <c r="C165" s="1101"/>
      <c r="D165" s="1102"/>
      <c r="E165" s="1102"/>
      <c r="F165" s="1102"/>
      <c r="G165" s="1114">
        <f>G164/RevBuild!G$154</f>
        <v>0.11995791878067379</v>
      </c>
      <c r="H165" s="1102"/>
      <c r="I165" s="1101"/>
      <c r="J165" s="1102"/>
      <c r="K165" s="1102"/>
      <c r="L165" s="1102"/>
      <c r="M165" s="1114">
        <f>M164/RevBuild!M$154</f>
        <v>0.11978508227985925</v>
      </c>
      <c r="N165" s="1102"/>
      <c r="O165" s="1101"/>
      <c r="P165" s="1102"/>
      <c r="Q165" s="1102"/>
      <c r="R165" s="1102"/>
      <c r="S165" s="1114">
        <f>S164/RevBuild!S$154</f>
        <v>0.11189418229496416</v>
      </c>
      <c r="T165" s="1102"/>
      <c r="U165" s="1101"/>
      <c r="V165" s="1102"/>
      <c r="W165" s="1102"/>
      <c r="X165" s="1102"/>
      <c r="Y165" s="1114">
        <f>Y164/RevBuild!Y$154</f>
        <v>0.10974659724418789</v>
      </c>
      <c r="Z165" s="1102"/>
      <c r="AA165" s="1101"/>
      <c r="AB165" s="1102"/>
      <c r="AC165" s="1102"/>
      <c r="AD165" s="1102"/>
      <c r="AE165" s="1114">
        <f>AE164/RevBuild!AE$154</f>
        <v>0.1100831695783436</v>
      </c>
      <c r="AF165" s="1102"/>
      <c r="AG165" s="1101"/>
      <c r="AH165" s="1102"/>
      <c r="AI165" s="1102"/>
      <c r="AJ165" s="1102"/>
      <c r="AK165" s="1114">
        <f>AK164/RevBuild!AK$154</f>
        <v>0.10125659671557878</v>
      </c>
      <c r="AL165" s="1102"/>
      <c r="AM165" s="1101"/>
      <c r="AN165" s="1102"/>
      <c r="AO165" s="1102"/>
      <c r="AP165" s="1102"/>
      <c r="AQ165" s="1114">
        <f>AQ164/RevBuild!AQ$154</f>
        <v>9.745238935756291E-2</v>
      </c>
      <c r="AR165" s="1102"/>
      <c r="AS165" s="1101"/>
      <c r="AT165" s="1102"/>
      <c r="AU165" s="1102"/>
      <c r="AV165" s="1102"/>
      <c r="AW165" s="1114">
        <f>AW164/RevBuild!AW$154</f>
        <v>8.5083722652794291E-2</v>
      </c>
      <c r="AX165" s="1102"/>
      <c r="AY165" s="1115">
        <f>AY164/RevBuild!AY$154</f>
        <v>7.0286573598762878E-2</v>
      </c>
      <c r="AZ165" s="1116">
        <f>AZ164/RevBuild!AZ$154</f>
        <v>7.374619206313511E-2</v>
      </c>
      <c r="BA165" s="1116">
        <f>BA164/RevBuild!BA$154</f>
        <v>8.0716398853361265E-2</v>
      </c>
      <c r="BB165" s="1116">
        <f>BB164/RevBuild!BB$154</f>
        <v>8.6055797677624779E-2</v>
      </c>
      <c r="BC165" s="1114">
        <f>BC164/RevBuild!BC$154</f>
        <v>7.7882003086273771E-2</v>
      </c>
      <c r="BD165" s="1116"/>
      <c r="BE165" s="1115">
        <f>BE164/RevBuild!BE$154</f>
        <v>5.4404262952041788E-2</v>
      </c>
      <c r="BF165" s="1116">
        <f>BF164/RevBuild!BF$154</f>
        <v>6.007946962662232E-2</v>
      </c>
      <c r="BG165" s="1116">
        <f>BG164/RevBuild!BG$154</f>
        <v>6.8336220859719035E-2</v>
      </c>
      <c r="BH165" s="1116">
        <f>BH164/RevBuild!BH$154</f>
        <v>7.3150498359437877E-2</v>
      </c>
      <c r="BI165" s="1114">
        <f>BI164/RevBuild!BI$154</f>
        <v>6.45502452984692E-2</v>
      </c>
      <c r="BJ165" s="1116"/>
      <c r="BK165" s="1115">
        <f>BK164/RevBuild!BK$154</f>
        <v>4.909504096256781E-2</v>
      </c>
      <c r="BL165" s="1116">
        <f>BL164/RevBuild!BL$154</f>
        <v>5.6268998005275545E-2</v>
      </c>
      <c r="BM165" s="1116">
        <f>BM164/RevBuild!BM$154</f>
        <v>3.3314298227158944E-2</v>
      </c>
      <c r="BN165" s="1116">
        <f>BN164/RevBuild!BN$154</f>
        <v>6.6541779005586013E-2</v>
      </c>
      <c r="BO165" s="1114">
        <f>BO164/RevBuild!BO$154</f>
        <v>5.1478895437203548E-2</v>
      </c>
      <c r="BP165" s="1102"/>
      <c r="BQ165" s="1115">
        <f>BQ164/RevBuild!BQ$154</f>
        <v>4.3579745651265406E-2</v>
      </c>
      <c r="BR165" s="1116">
        <f>BR164/RevBuild!BR$154</f>
        <v>5.1783996530366146E-2</v>
      </c>
      <c r="BS165" s="1116">
        <f>BS164/RevBuild!BS$154</f>
        <v>3.6391215381952877E-2</v>
      </c>
      <c r="BT165" s="1102">
        <f>BT164/RevBuild!BT$154</f>
        <v>3.8902090836960779E-2</v>
      </c>
      <c r="BU165" s="1114">
        <f>BU164/RevBuild!BU$154</f>
        <v>4.9448296147423673E-2</v>
      </c>
      <c r="BV165" s="1116"/>
      <c r="BW165" s="1115">
        <f>BW164/RevBuild!BW$154</f>
        <v>4.0392651671961981E-2</v>
      </c>
      <c r="BX165" s="1116">
        <f>BX164/RevBuild!BX$154</f>
        <v>4.025577210897803E-2</v>
      </c>
      <c r="BY165" s="1116">
        <f>BY164/RevBuild!BY$154</f>
        <v>4.3054429694898963E-2</v>
      </c>
      <c r="BZ165" s="1116">
        <f>BZ164/RevBuild!BZ$154</f>
        <v>4.2817746574848367E-2</v>
      </c>
      <c r="CA165" s="1114">
        <f>CA164/RevBuild!CA$154</f>
        <v>4.1665168497825929E-2</v>
      </c>
      <c r="CB165" s="1116"/>
      <c r="CC165" s="1115">
        <f>CC164/RevBuild!CC$154</f>
        <v>4.0564860160739555E-2</v>
      </c>
      <c r="CD165" s="1116">
        <f>CD164/RevBuild!CD$154</f>
        <v>4.0404152279972926E-2</v>
      </c>
      <c r="CE165" s="1116">
        <f>CE164/RevBuild!CE$154</f>
        <v>4.3155429218668634E-2</v>
      </c>
      <c r="CF165" s="1116">
        <f>CF164/RevBuild!CF$154</f>
        <v>4.2967362027422802E-2</v>
      </c>
      <c r="CG165" s="1114">
        <f>CG164/RevBuild!CG$154</f>
        <v>4.1808895568041383E-2</v>
      </c>
      <c r="CH165" s="1116"/>
      <c r="CI165" s="1115">
        <f>CI164/RevBuild!CI$154</f>
        <v>3.7850256103771865E-2</v>
      </c>
      <c r="CJ165" s="1116">
        <f>CJ164/RevBuild!CJ$154</f>
        <v>3.7676566818141473E-2</v>
      </c>
      <c r="CK165" s="1116">
        <f>CK164/RevBuild!CK$154</f>
        <v>4.0295641157714772E-2</v>
      </c>
      <c r="CL165" s="1116">
        <f>CL164/RevBuild!CL$154</f>
        <v>4.0156112297354961E-2</v>
      </c>
      <c r="CM165" s="1114">
        <f>CM164/RevBuild!CM$154</f>
        <v>3.9028953203186507E-2</v>
      </c>
      <c r="CO165" s="1193">
        <f>+(BO165-G165)/10</f>
        <v>-6.8479023343470235E-3</v>
      </c>
      <c r="CP165" s="1193">
        <f>+(BO165-AK165)/5</f>
        <v>-9.9555402556750459E-3</v>
      </c>
      <c r="CQ165"/>
      <c r="CR165"/>
      <c r="CS165"/>
      <c r="CT165"/>
      <c r="CU165"/>
      <c r="CV165"/>
    </row>
    <row r="166" spans="1:100" s="488" customFormat="1" ht="11.25" customHeight="1" collapsed="1" x14ac:dyDescent="0.2">
      <c r="A166" s="10"/>
      <c r="B166" s="620" t="s">
        <v>462</v>
      </c>
      <c r="C166" s="1063"/>
      <c r="D166" s="382"/>
      <c r="E166" s="382"/>
      <c r="F166" s="382"/>
      <c r="G166" s="594">
        <f>+G158-G172</f>
        <v>295.93977599999999</v>
      </c>
      <c r="H166" s="382"/>
      <c r="I166" s="1063"/>
      <c r="J166" s="382"/>
      <c r="K166" s="382"/>
      <c r="L166" s="382"/>
      <c r="M166" s="594">
        <f>+M158-M172</f>
        <v>317.86174800000003</v>
      </c>
      <c r="N166" s="382"/>
      <c r="O166" s="1063"/>
      <c r="P166" s="382"/>
      <c r="Q166" s="382"/>
      <c r="R166" s="382"/>
      <c r="S166" s="594">
        <f>+S158-S172</f>
        <v>301.67472399999997</v>
      </c>
      <c r="T166" s="382"/>
      <c r="U166" s="1063"/>
      <c r="V166" s="382"/>
      <c r="W166" s="382"/>
      <c r="X166" s="382"/>
      <c r="Y166" s="594">
        <f>+Y158-Y172</f>
        <v>302.59851200000003</v>
      </c>
      <c r="Z166" s="382"/>
      <c r="AA166" s="1063"/>
      <c r="AB166" s="382"/>
      <c r="AC166" s="382"/>
      <c r="AD166" s="382"/>
      <c r="AE166" s="594">
        <f>+AE158-AE172</f>
        <v>313.17304000000001</v>
      </c>
      <c r="AF166" s="382"/>
      <c r="AG166" s="1063"/>
      <c r="AH166" s="382"/>
      <c r="AI166" s="382"/>
      <c r="AJ166" s="382"/>
      <c r="AK166" s="594">
        <f>+AK158-AK172</f>
        <v>289.18293199999999</v>
      </c>
      <c r="AL166" s="382"/>
      <c r="AM166" s="1063"/>
      <c r="AN166" s="382"/>
      <c r="AO166" s="382"/>
      <c r="AP166" s="382"/>
      <c r="AQ166" s="594">
        <f>+AQ158-AQ172</f>
        <v>291.39354400000002</v>
      </c>
      <c r="AR166" s="382"/>
      <c r="AS166" s="1063"/>
      <c r="AT166" s="382"/>
      <c r="AU166" s="382"/>
      <c r="AV166" s="382"/>
      <c r="AW166" s="594">
        <f>+AW158-AW172</f>
        <v>297.90258</v>
      </c>
      <c r="AX166" s="382"/>
      <c r="AY166" s="1004">
        <f>+AY158+AY57+AY59+AY61</f>
        <v>62.548999999999999</v>
      </c>
      <c r="AZ166" s="136">
        <f>+AZ158+AZ57+AZ59+AZ61</f>
        <v>73.427000000000007</v>
      </c>
      <c r="BA166" s="136">
        <f>+BA158+BA57+BA59+BA61</f>
        <v>78.048000000000002</v>
      </c>
      <c r="BB166" s="136">
        <f>+BB158+BB57+BB59+BB61</f>
        <v>86.332999999999998</v>
      </c>
      <c r="BC166" s="594">
        <f>+SUM(AY166:BB166)</f>
        <v>300.35699999999997</v>
      </c>
      <c r="BD166" s="1064"/>
      <c r="BE166" s="1004">
        <f>+BE158+BE57+BE59+BE61</f>
        <v>81.016999999999996</v>
      </c>
      <c r="BF166" s="136">
        <f>+BF158+BF57+BF59+BF61</f>
        <v>77</v>
      </c>
      <c r="BG166" s="136">
        <f>+BG158+BG57+BG59+BG61</f>
        <v>83.138000000000005</v>
      </c>
      <c r="BH166" s="136">
        <f>+BH158+BH57+BH59+BH61</f>
        <v>90.500999999999991</v>
      </c>
      <c r="BI166" s="594">
        <f>+SUM(BE166:BH166)</f>
        <v>331.65600000000001</v>
      </c>
      <c r="BJ166" s="1064"/>
      <c r="BK166" s="1004">
        <f>+BK158+BK57+BK59+BK61</f>
        <v>65.516999999999996</v>
      </c>
      <c r="BL166" s="136">
        <f>+BL158+BL57+BL59+BL61</f>
        <v>78.743000000000009</v>
      </c>
      <c r="BM166" s="136">
        <f>+BM158+BM57+BM59+BM61</f>
        <v>77.191000000000003</v>
      </c>
      <c r="BN166" s="136">
        <f>+BN158+BN57+BN59+BN61</f>
        <v>86.749999999999986</v>
      </c>
      <c r="BO166" s="594">
        <f>+SUM(BK166:BN166)</f>
        <v>308.20099999999996</v>
      </c>
      <c r="BP166" s="382"/>
      <c r="BQ166" s="1004">
        <f>+BQ158+BQ57+BQ59*20%</f>
        <v>60.900199999999998</v>
      </c>
      <c r="BR166" s="136">
        <f>+BR158+BR57+BR62+BR61</f>
        <v>65.206999999999994</v>
      </c>
      <c r="BS166" s="136">
        <f>+BS158+BS57+BS59+BS61</f>
        <v>58.439</v>
      </c>
      <c r="BT166" s="1025">
        <f>+BT167*RevBuild!BT28</f>
        <v>55.298404457609465</v>
      </c>
      <c r="BU166" s="594">
        <f>+SUM(BQ166:BT166)</f>
        <v>239.84460445760948</v>
      </c>
      <c r="BV166" s="382"/>
      <c r="BW166" s="1163">
        <f>+BW167*RevBuild!BW28</f>
        <v>45.693444167179223</v>
      </c>
      <c r="BX166" s="1025">
        <f>+BX167*RevBuild!BX28</f>
        <v>49.504525673828361</v>
      </c>
      <c r="BY166" s="1025">
        <f>+BY167*RevBuild!BY28</f>
        <v>53.16248770686947</v>
      </c>
      <c r="BZ166" s="1025">
        <f>+BZ167*RevBuild!BZ28</f>
        <v>55.129163608272087</v>
      </c>
      <c r="CA166" s="594">
        <f>+SUM(BW166:BZ166)</f>
        <v>203.48962115614913</v>
      </c>
      <c r="CB166" s="382"/>
      <c r="CC166" s="1163">
        <f>+CC167*RevBuild!CC28</f>
        <v>43.598416236930909</v>
      </c>
      <c r="CD166" s="1025">
        <f>+CD167*RevBuild!CD28</f>
        <v>47.124302763559797</v>
      </c>
      <c r="CE166" s="1025">
        <f>+CE167*RevBuild!CE28</f>
        <v>50.990096852441582</v>
      </c>
      <c r="CF166" s="1025">
        <f>+CF167*RevBuild!CF28</f>
        <v>52.892533305416066</v>
      </c>
      <c r="CG166" s="594">
        <f>+SUM(CC166:CF166)</f>
        <v>194.60534915834836</v>
      </c>
      <c r="CH166" s="382"/>
      <c r="CI166" s="1163">
        <f>+CI167*RevBuild!CI28</f>
        <v>41.686102765147716</v>
      </c>
      <c r="CJ166" s="1025">
        <f>+CJ167*RevBuild!CJ28</f>
        <v>44.993785538384714</v>
      </c>
      <c r="CK166" s="1025">
        <f>+CK167*RevBuild!CK28</f>
        <v>48.742831999219483</v>
      </c>
      <c r="CL166" s="1025">
        <f>+CL167*RevBuild!CL28</f>
        <v>50.579649387097184</v>
      </c>
      <c r="CM166" s="594">
        <f>+SUM(CI166:CL166)</f>
        <v>186.0023696898491</v>
      </c>
      <c r="CO166" s="18"/>
      <c r="CP166" s="18"/>
      <c r="CQ166"/>
      <c r="CR166"/>
      <c r="CS166"/>
      <c r="CT166"/>
      <c r="CU166"/>
      <c r="CV166"/>
    </row>
    <row r="167" spans="1:100" s="1094" customFormat="1" ht="11.25" customHeight="1" x14ac:dyDescent="0.2">
      <c r="A167" s="30"/>
      <c r="B167" s="879" t="s">
        <v>485</v>
      </c>
      <c r="C167" s="1093"/>
      <c r="D167" s="484"/>
      <c r="E167" s="484"/>
      <c r="F167" s="484"/>
      <c r="G167" s="1106">
        <f>G166/RevBuild!G$149</f>
        <v>0.14333792301768356</v>
      </c>
      <c r="H167" s="484"/>
      <c r="I167" s="1093"/>
      <c r="J167" s="484"/>
      <c r="K167" s="484"/>
      <c r="L167" s="484"/>
      <c r="M167" s="1106">
        <f>M166/RevBuild!M$149</f>
        <v>0.14572217856805578</v>
      </c>
      <c r="N167" s="484"/>
      <c r="O167" s="1093"/>
      <c r="P167" s="484"/>
      <c r="Q167" s="484"/>
      <c r="R167" s="484"/>
      <c r="S167" s="1106">
        <f>S166/RevBuild!S$149</f>
        <v>0.13873872118814815</v>
      </c>
      <c r="T167" s="484"/>
      <c r="U167" s="1093"/>
      <c r="V167" s="484"/>
      <c r="W167" s="484"/>
      <c r="X167" s="484"/>
      <c r="Y167" s="1106">
        <f>Y166/RevBuild!Y$149</f>
        <v>0.13960747867930492</v>
      </c>
      <c r="Z167" s="484"/>
      <c r="AA167" s="1093"/>
      <c r="AB167" s="484"/>
      <c r="AC167" s="484"/>
      <c r="AD167" s="484"/>
      <c r="AE167" s="1106">
        <f>AE166/RevBuild!AE$149</f>
        <v>0.14005599144207481</v>
      </c>
      <c r="AF167" s="484"/>
      <c r="AG167" s="1093"/>
      <c r="AH167" s="484"/>
      <c r="AI167" s="484"/>
      <c r="AJ167" s="484"/>
      <c r="AK167" s="1106">
        <f>AK166/RevBuild!AK$149</f>
        <v>0.12639804709610447</v>
      </c>
      <c r="AL167" s="484"/>
      <c r="AM167" s="1093"/>
      <c r="AN167" s="484"/>
      <c r="AO167" s="484"/>
      <c r="AP167" s="484"/>
      <c r="AQ167" s="1106">
        <f>AQ166/RevBuild!AQ$149</f>
        <v>0.12243580549334657</v>
      </c>
      <c r="AR167" s="484"/>
      <c r="AS167" s="1093"/>
      <c r="AT167" s="484"/>
      <c r="AU167" s="484"/>
      <c r="AV167" s="484"/>
      <c r="AW167" s="1106">
        <f>AW166/RevBuild!AW$149</f>
        <v>0.12505891025474181</v>
      </c>
      <c r="AX167" s="484"/>
      <c r="AY167" s="1117">
        <f>AY166/RevBuild!AY$149</f>
        <v>0.11521826427495145</v>
      </c>
      <c r="AZ167" s="1111">
        <f>AZ166/RevBuild!AZ$149</f>
        <v>0.12389898689920965</v>
      </c>
      <c r="BA167" s="1111">
        <f>BA166/RevBuild!BA$149</f>
        <v>0.12781030205271388</v>
      </c>
      <c r="BB167" s="1111">
        <f>BB166/RevBuild!BB$149</f>
        <v>0.12907908940580529</v>
      </c>
      <c r="BC167" s="1106">
        <f>BC166/RevBuild!BC$149</f>
        <v>0.12437127407295147</v>
      </c>
      <c r="BD167" s="1111"/>
      <c r="BE167" s="1117">
        <f>BE166/RevBuild!BE$149</f>
        <v>0.14087046635728034</v>
      </c>
      <c r="BF167" s="1111">
        <f>BF166/RevBuild!BF$149</f>
        <v>0.12805119386950753</v>
      </c>
      <c r="BG167" s="1111">
        <f>BG166/RevBuild!BG$149</f>
        <v>0.13038166646017965</v>
      </c>
      <c r="BH167" s="1111">
        <f>BH166/RevBuild!BH$149</f>
        <v>0.13667872849410398</v>
      </c>
      <c r="BI167" s="1106">
        <f>BI166/RevBuild!BI$149</f>
        <v>0.13393564582345613</v>
      </c>
      <c r="BJ167" s="1111"/>
      <c r="BK167" s="1117">
        <f>BK166/RevBuild!BK$149</f>
        <v>0.11804545823085862</v>
      </c>
      <c r="BL167" s="1111">
        <f>BL166/RevBuild!BL$149</f>
        <v>0.13089952173790176</v>
      </c>
      <c r="BM167" s="1111">
        <f>BM166/RevBuild!BM$149</f>
        <v>0.12324078021148158</v>
      </c>
      <c r="BN167" s="1111">
        <f>BN166/RevBuild!BN$149</f>
        <v>0.14284349950930988</v>
      </c>
      <c r="BO167" s="1106">
        <f>BO166/RevBuild!BO$149</f>
        <v>0.12894257806502249</v>
      </c>
      <c r="BP167" s="484"/>
      <c r="BQ167" s="1117">
        <f>BQ166/RevBuild!BQ$149</f>
        <v>0.11738507768784923</v>
      </c>
      <c r="BR167" s="1111">
        <f>BR166/RevBuild!BR$149</f>
        <v>0.11778082835106478</v>
      </c>
      <c r="BS167" s="1111">
        <f>BS166/RevBuild!BS$149</f>
        <v>0.10112705644972893</v>
      </c>
      <c r="BT167" s="484">
        <f t="shared" ref="BS167:BT167" si="84">+BN167+BT168/10000</f>
        <v>9.2843499509309882E-2</v>
      </c>
      <c r="BU167" s="1106">
        <f>BU166/RevBuild!BU$149</f>
        <v>0.10679111742473013</v>
      </c>
      <c r="BV167" s="484"/>
      <c r="BW167" s="1093">
        <f t="shared" ref="BW167" si="85">+BQ167+BW168/10000</f>
        <v>9.2385077687849232E-2</v>
      </c>
      <c r="BX167" s="484">
        <f t="shared" ref="BX167" si="86">+BR167+BX168/10000</f>
        <v>8.9780828351064781E-2</v>
      </c>
      <c r="BY167" s="484">
        <f t="shared" ref="BY167" si="87">+BS167+BY168/10000</f>
        <v>9.1127056449728933E-2</v>
      </c>
      <c r="BZ167" s="484">
        <f t="shared" ref="BZ167" si="88">+BT167+BZ168/10000</f>
        <v>9.1843499509309881E-2</v>
      </c>
      <c r="CA167" s="1106">
        <f>CA166/RevBuild!CA$149</f>
        <v>9.1266074684602363E-2</v>
      </c>
      <c r="CB167" s="484"/>
      <c r="CC167" s="1093">
        <f t="shared" ref="CC167" si="89">+BW167+CC168/10000</f>
        <v>8.7385077687849227E-2</v>
      </c>
      <c r="CD167" s="484">
        <f t="shared" ref="CD167" si="90">+BX167+CD168/10000</f>
        <v>8.4780828351064777E-2</v>
      </c>
      <c r="CE167" s="484">
        <f t="shared" ref="CE167" si="91">+BY167+CE168/10000</f>
        <v>8.6127056449728928E-2</v>
      </c>
      <c r="CF167" s="484">
        <f t="shared" ref="CF167" si="92">+BZ167+CF168/10000</f>
        <v>8.6843499509309877E-2</v>
      </c>
      <c r="CG167" s="1106">
        <f>CG166/RevBuild!CG$149</f>
        <v>8.6267015417260701E-2</v>
      </c>
      <c r="CH167" s="484"/>
      <c r="CI167" s="1093">
        <f t="shared" ref="CI167" si="93">+CC167+CI168/10000</f>
        <v>8.2385077687849223E-2</v>
      </c>
      <c r="CJ167" s="484">
        <f t="shared" ref="CJ167" si="94">+CD167+CJ168/10000</f>
        <v>7.9780828351064773E-2</v>
      </c>
      <c r="CK167" s="484">
        <f t="shared" ref="CK167" si="95">+CE167+CK168/10000</f>
        <v>8.1127056449728924E-2</v>
      </c>
      <c r="CL167" s="484">
        <f t="shared" ref="CL167" si="96">+CF167+CL168/10000</f>
        <v>8.1843499509309872E-2</v>
      </c>
      <c r="CM167" s="1106">
        <f>CM166/RevBuild!CM$149</f>
        <v>8.1266905233826264E-2</v>
      </c>
      <c r="CO167" s="1193">
        <f>+(BO167-G167)/10</f>
        <v>-1.4395344952661065E-3</v>
      </c>
      <c r="CP167" s="1193">
        <f>+(BO167-AK167)/5</f>
        <v>5.0890619378360369E-4</v>
      </c>
      <c r="CQ167"/>
      <c r="CR167"/>
      <c r="CS167"/>
      <c r="CT167"/>
      <c r="CU167"/>
      <c r="CV167"/>
    </row>
    <row r="168" spans="1:100" s="1094" customFormat="1" ht="11.25" customHeight="1" x14ac:dyDescent="0.2">
      <c r="A168" s="30"/>
      <c r="B168" s="1164" t="s">
        <v>490</v>
      </c>
      <c r="C168" s="1093"/>
      <c r="D168" s="484"/>
      <c r="E168" s="484"/>
      <c r="F168" s="484"/>
      <c r="G168" s="1106"/>
      <c r="H168" s="484"/>
      <c r="I168" s="1093"/>
      <c r="J168" s="484"/>
      <c r="K168" s="484"/>
      <c r="L168" s="484"/>
      <c r="M168" s="1106"/>
      <c r="N168" s="484"/>
      <c r="O168" s="1093"/>
      <c r="P168" s="484"/>
      <c r="Q168" s="484"/>
      <c r="R168" s="484"/>
      <c r="S168" s="1106"/>
      <c r="T168" s="484"/>
      <c r="U168" s="1093"/>
      <c r="V168" s="484"/>
      <c r="W168" s="484"/>
      <c r="X168" s="484"/>
      <c r="Y168" s="1106"/>
      <c r="Z168" s="484"/>
      <c r="AA168" s="1093"/>
      <c r="AB168" s="484"/>
      <c r="AC168" s="484"/>
      <c r="AD168" s="484"/>
      <c r="AE168" s="1106"/>
      <c r="AF168" s="484"/>
      <c r="AG168" s="1093"/>
      <c r="AH168" s="484"/>
      <c r="AI168" s="484"/>
      <c r="AJ168" s="484"/>
      <c r="AK168" s="1159">
        <f>+(AK167-AE167)*10000</f>
        <v>-136.57944345970341</v>
      </c>
      <c r="AL168" s="484"/>
      <c r="AM168" s="1093"/>
      <c r="AN168" s="484"/>
      <c r="AO168" s="484"/>
      <c r="AP168" s="484"/>
      <c r="AQ168" s="1159">
        <f>+(AQ167-AK167)*10000</f>
        <v>-39.622416027579042</v>
      </c>
      <c r="AR168" s="484"/>
      <c r="AS168" s="1093"/>
      <c r="AT168" s="484"/>
      <c r="AU168" s="484"/>
      <c r="AV168" s="484"/>
      <c r="AW168" s="1159">
        <f>+(AW167-AQ167)*10000</f>
        <v>26.231047613952395</v>
      </c>
      <c r="AX168" s="484"/>
      <c r="AY168" s="1165"/>
      <c r="AZ168" s="1166"/>
      <c r="BA168" s="1166"/>
      <c r="BB168" s="1166"/>
      <c r="BC168" s="1159">
        <f>+(BC167-AW167)*10000</f>
        <v>-6.8763618179033816</v>
      </c>
      <c r="BD168" s="484"/>
      <c r="BE168" s="1165">
        <f>+(BE167-AY167)*10000</f>
        <v>256.52202082328893</v>
      </c>
      <c r="BF168" s="1166">
        <f>+(BF167-AZ167)*10000</f>
        <v>41.522069702978754</v>
      </c>
      <c r="BG168" s="1166">
        <f>+(BG167-BA167)*10000</f>
        <v>25.713644074657761</v>
      </c>
      <c r="BH168" s="1166">
        <f>+(BH167-BB167)*10000</f>
        <v>75.99639088298693</v>
      </c>
      <c r="BI168" s="1159">
        <f>+(BI167-BC167)*10000</f>
        <v>95.64371750504661</v>
      </c>
      <c r="BJ168" s="484"/>
      <c r="BK168" s="1165">
        <f>+(BK167-BE167)*10000</f>
        <v>-228.25008126421727</v>
      </c>
      <c r="BL168" s="1166">
        <f>+(BL167-BF167)*10000</f>
        <v>28.483278683942292</v>
      </c>
      <c r="BM168" s="1166">
        <f>+(BM167-BG167)*10000</f>
        <v>-71.408862486980752</v>
      </c>
      <c r="BN168" s="1166">
        <f>+(BN167-BH167)*10000</f>
        <v>61.647710152059055</v>
      </c>
      <c r="BO168" s="1159">
        <f>+(BO167-BI167)*10000</f>
        <v>-49.930677584336394</v>
      </c>
      <c r="BP168" s="484"/>
      <c r="BQ168" s="1165">
        <f>+(BQ167-BK167)*10000</f>
        <v>-6.6038054300938951</v>
      </c>
      <c r="BR168" s="1166">
        <f>+(BR167-BL167)*10000</f>
        <v>-131.18693386836981</v>
      </c>
      <c r="BS168" s="1166">
        <f>+(BS167-BM167)*10000</f>
        <v>-221.13723761752649</v>
      </c>
      <c r="BT168" s="1174">
        <v>-500</v>
      </c>
      <c r="BU168" s="1159">
        <f>+(BU167-BO167)*10000</f>
        <v>-221.51460640292359</v>
      </c>
      <c r="BV168" s="484"/>
      <c r="BW168" s="1173">
        <v>-250</v>
      </c>
      <c r="BX168" s="1174">
        <v>-280</v>
      </c>
      <c r="BY168" s="1174">
        <v>-100</v>
      </c>
      <c r="BZ168" s="1174">
        <v>-10</v>
      </c>
      <c r="CA168" s="1159">
        <f t="shared" ref="CA168" si="97">+(CA167-BU167)*10000</f>
        <v>-155.25042740127768</v>
      </c>
      <c r="CB168" s="484"/>
      <c r="CC168" s="1173">
        <v>-50</v>
      </c>
      <c r="CD168" s="1174">
        <f t="shared" ref="CD168" si="98">+CC168</f>
        <v>-50</v>
      </c>
      <c r="CE168" s="1174">
        <f t="shared" ref="CE168" si="99">+CD168</f>
        <v>-50</v>
      </c>
      <c r="CF168" s="1174">
        <f t="shared" ref="CF168" si="100">+CE168</f>
        <v>-50</v>
      </c>
      <c r="CG168" s="1159">
        <f t="shared" ref="CG168" si="101">+(CG167-CA167)*10000</f>
        <v>-49.990592673416629</v>
      </c>
      <c r="CH168" s="484"/>
      <c r="CI168" s="1173">
        <f>+CC168</f>
        <v>-50</v>
      </c>
      <c r="CJ168" s="1174">
        <f t="shared" ref="CJ168" si="102">+CI168</f>
        <v>-50</v>
      </c>
      <c r="CK168" s="1174">
        <f t="shared" ref="CK168" si="103">+CJ168</f>
        <v>-50</v>
      </c>
      <c r="CL168" s="1174">
        <f t="shared" ref="CL168" si="104">+CK168</f>
        <v>-50</v>
      </c>
      <c r="CM168" s="1159">
        <f t="shared" ref="CM168" si="105">+(CM167-CG167)*10000</f>
        <v>-50.001101834344361</v>
      </c>
      <c r="CO168" s="1193"/>
      <c r="CP168" s="1193"/>
      <c r="CQ168"/>
      <c r="CR168"/>
      <c r="CS168"/>
      <c r="CT168"/>
      <c r="CU168"/>
      <c r="CV168"/>
    </row>
    <row r="169" spans="1:100" s="488" customFormat="1" ht="11.25" customHeight="1" x14ac:dyDescent="0.2">
      <c r="A169" s="10"/>
      <c r="B169" s="620" t="s">
        <v>463</v>
      </c>
      <c r="C169" s="1063"/>
      <c r="D169" s="382"/>
      <c r="E169" s="382"/>
      <c r="F169" s="382"/>
      <c r="G169" s="594">
        <f>+G160</f>
        <v>22.146000000000001</v>
      </c>
      <c r="H169" s="382"/>
      <c r="I169" s="1063"/>
      <c r="J169" s="382"/>
      <c r="K169" s="382"/>
      <c r="L169" s="382"/>
      <c r="M169" s="594">
        <f>+M160</f>
        <v>24.684000000000001</v>
      </c>
      <c r="N169" s="382"/>
      <c r="O169" s="1063"/>
      <c r="P169" s="382"/>
      <c r="Q169" s="382"/>
      <c r="R169" s="382"/>
      <c r="S169" s="594">
        <f>+S160</f>
        <v>26.097999999999999</v>
      </c>
      <c r="T169" s="382"/>
      <c r="U169" s="1063"/>
      <c r="V169" s="382"/>
      <c r="W169" s="382"/>
      <c r="X169" s="382"/>
      <c r="Y169" s="594">
        <f>+Y160</f>
        <v>31.619</v>
      </c>
      <c r="Z169" s="382"/>
      <c r="AA169" s="1063"/>
      <c r="AB169" s="382"/>
      <c r="AC169" s="382"/>
      <c r="AD169" s="382"/>
      <c r="AE169" s="594">
        <f>+AE160</f>
        <v>37.014000000000003</v>
      </c>
      <c r="AF169" s="382"/>
      <c r="AG169" s="1063"/>
      <c r="AH169" s="382"/>
      <c r="AI169" s="382"/>
      <c r="AJ169" s="382"/>
      <c r="AK169" s="594">
        <f>+AK160</f>
        <v>38.811999999999998</v>
      </c>
      <c r="AL169" s="382"/>
      <c r="AM169" s="1063"/>
      <c r="AN169" s="382"/>
      <c r="AO169" s="382"/>
      <c r="AP169" s="382"/>
      <c r="AQ169" s="594">
        <f>+AQ160</f>
        <v>41.680999999999997</v>
      </c>
      <c r="AR169" s="382"/>
      <c r="AS169" s="1063"/>
      <c r="AT169" s="382"/>
      <c r="AU169" s="382"/>
      <c r="AV169" s="382"/>
      <c r="AW169" s="594">
        <f>+AW160+AW59-AV63-AU63</f>
        <v>71.533816999999999</v>
      </c>
      <c r="AX169" s="382"/>
      <c r="AY169" s="1004">
        <f>+AY160+AY58+AY60</f>
        <v>16.72</v>
      </c>
      <c r="AZ169" s="136">
        <f>+AZ160+AZ58</f>
        <v>17.071999999999999</v>
      </c>
      <c r="BA169" s="136">
        <f>+BA160+BA58+BA60</f>
        <v>14.635000000000002</v>
      </c>
      <c r="BB169" s="136">
        <f>+BB160+BB58+BB60</f>
        <v>20.795999999999996</v>
      </c>
      <c r="BC169" s="594">
        <f>+SUM(AY169:BB169)</f>
        <v>69.222999999999999</v>
      </c>
      <c r="BD169" s="1064"/>
      <c r="BE169" s="1004">
        <f>+BE160+BE58+BE60</f>
        <v>20.006</v>
      </c>
      <c r="BF169" s="136">
        <f>+BF160+BF58</f>
        <v>36.039000000000001</v>
      </c>
      <c r="BG169" s="136">
        <f>+BG160+BG58+BG60-BG63</f>
        <v>37.536677000000005</v>
      </c>
      <c r="BH169" s="136">
        <f>+BH160+BH58+BH60-BH63</f>
        <v>41.728929999999991</v>
      </c>
      <c r="BI169" s="594">
        <f>+SUM(BE169:BH169)</f>
        <v>135.310607</v>
      </c>
      <c r="BJ169" s="1064"/>
      <c r="BK169" s="1004">
        <f>+BK160+BK58+BK60</f>
        <v>24.843</v>
      </c>
      <c r="BL169" s="136">
        <f>+BL160+BL58+BL60</f>
        <v>32.100999999999999</v>
      </c>
      <c r="BM169" s="136">
        <f>+BM160+BM58+BM60</f>
        <v>33.728000000000002</v>
      </c>
      <c r="BN169" s="136">
        <f>+BN160+BN58+BN60</f>
        <v>37.417000000000002</v>
      </c>
      <c r="BO169" s="594">
        <f>+SUM(BK169:BN169)</f>
        <v>128.089</v>
      </c>
      <c r="BP169" s="382"/>
      <c r="BQ169" s="1004">
        <f>+BQ160+BQ58+BQ60+50%*BQ59</f>
        <v>29.758999999999997</v>
      </c>
      <c r="BR169" s="136">
        <f>+BR160+BR58+BR59</f>
        <v>34.564999999999998</v>
      </c>
      <c r="BS169" s="136">
        <f>+BS160+BS58+BS60</f>
        <v>27.728999999999999</v>
      </c>
      <c r="BT169" s="1025">
        <f>+BT170*RevBuild!BT78</f>
        <v>29.612657027643245</v>
      </c>
      <c r="BU169" s="594">
        <f>+SUM(BQ169:BT169)</f>
        <v>121.66565702764325</v>
      </c>
      <c r="BV169" s="382"/>
      <c r="BW169" s="1163">
        <f>+BW170*RevBuild!BW78</f>
        <v>26.913452799999998</v>
      </c>
      <c r="BX169" s="1025">
        <f>+BX170*RevBuild!BX78</f>
        <v>29.642205619101897</v>
      </c>
      <c r="BY169" s="1025">
        <f>+BY170*RevBuild!BY78</f>
        <v>28.838160000000002</v>
      </c>
      <c r="BZ169" s="1025">
        <f>+BZ170*RevBuild!BZ78</f>
        <v>31.375859241566925</v>
      </c>
      <c r="CA169" s="594">
        <f>+SUM(BW169:BZ169)</f>
        <v>116.76967766066883</v>
      </c>
      <c r="CB169" s="382"/>
      <c r="CC169" s="1163">
        <f>+CC170*RevBuild!CC78</f>
        <v>27.014001089991698</v>
      </c>
      <c r="CD169" s="1025">
        <f>+CD170*RevBuild!CD78</f>
        <v>29.770615392283613</v>
      </c>
      <c r="CE169" s="1025">
        <f>+CE170*RevBuild!CE78</f>
        <v>28.993204659132402</v>
      </c>
      <c r="CF169" s="1025">
        <f>+CF170*RevBuild!CF78</f>
        <v>31.553032307432993</v>
      </c>
      <c r="CG169" s="594">
        <f>+SUM(CC169:CF169)</f>
        <v>117.33085344884071</v>
      </c>
      <c r="CH169" s="382"/>
      <c r="CI169" s="1163">
        <f>+CI170*RevBuild!CI78</f>
        <v>27.089147254703029</v>
      </c>
      <c r="CJ169" s="1025">
        <f>+CJ170*RevBuild!CJ78</f>
        <v>29.872215767916824</v>
      </c>
      <c r="CK169" s="1025">
        <f>+CK170*RevBuild!CK78</f>
        <v>29.123702371893742</v>
      </c>
      <c r="CL169" s="1025">
        <f>+CL170*RevBuild!CL78</f>
        <v>31.704111304224977</v>
      </c>
      <c r="CM169" s="594">
        <f>+SUM(CI169:CL169)</f>
        <v>117.78917669873857</v>
      </c>
      <c r="CO169" s="18"/>
      <c r="CP169" s="18"/>
      <c r="CQ169"/>
      <c r="CR169"/>
      <c r="CS169"/>
      <c r="CT169"/>
      <c r="CU169"/>
      <c r="CV169"/>
    </row>
    <row r="170" spans="1:100" s="1094" customFormat="1" ht="11.25" customHeight="1" x14ac:dyDescent="0.2">
      <c r="A170" s="30"/>
      <c r="B170" s="879" t="s">
        <v>485</v>
      </c>
      <c r="C170" s="1093"/>
      <c r="D170" s="484"/>
      <c r="E170" s="484"/>
      <c r="F170" s="484"/>
      <c r="G170" s="1106">
        <f>G169/RevBuild!G$152</f>
        <v>5.544456294783013E-2</v>
      </c>
      <c r="H170" s="484"/>
      <c r="I170" s="1093"/>
      <c r="J170" s="484"/>
      <c r="K170" s="484"/>
      <c r="L170" s="484"/>
      <c r="M170" s="1106">
        <f>M169/RevBuild!M$152</f>
        <v>5.5292354629088304E-2</v>
      </c>
      <c r="N170" s="484"/>
      <c r="O170" s="1093"/>
      <c r="P170" s="484"/>
      <c r="Q170" s="484"/>
      <c r="R170" s="484"/>
      <c r="S170" s="1106">
        <f>S169/RevBuild!S$152</f>
        <v>4.7394983010956161E-2</v>
      </c>
      <c r="T170" s="484"/>
      <c r="U170" s="1093"/>
      <c r="V170" s="484"/>
      <c r="W170" s="484"/>
      <c r="X170" s="484"/>
      <c r="Y170" s="1106">
        <f>Y169/RevBuild!Y$152</f>
        <v>4.9129561953062853E-2</v>
      </c>
      <c r="Z170" s="484"/>
      <c r="AA170" s="1093"/>
      <c r="AB170" s="484"/>
      <c r="AC170" s="484"/>
      <c r="AD170" s="484"/>
      <c r="AE170" s="1106">
        <f>AE169/RevBuild!AE$152</f>
        <v>5.4845143299124884E-2</v>
      </c>
      <c r="AF170" s="484"/>
      <c r="AG170" s="1093"/>
      <c r="AH170" s="484"/>
      <c r="AI170" s="484"/>
      <c r="AJ170" s="484"/>
      <c r="AK170" s="1106">
        <f>AK169/RevBuild!AK$152</f>
        <v>5.2845273852672618E-2</v>
      </c>
      <c r="AL170" s="484"/>
      <c r="AM170" s="1093"/>
      <c r="AN170" s="484"/>
      <c r="AO170" s="484"/>
      <c r="AP170" s="484"/>
      <c r="AQ170" s="1106">
        <f>AQ169/RevBuild!AQ$152</f>
        <v>5.5188713596250216E-2</v>
      </c>
      <c r="AR170" s="484"/>
      <c r="AS170" s="1093"/>
      <c r="AT170" s="484"/>
      <c r="AU170" s="484"/>
      <c r="AV170" s="484"/>
      <c r="AW170" s="1106">
        <f>AW169/RevBuild!AW$152</f>
        <v>5.9460682236061199E-2</v>
      </c>
      <c r="AX170" s="484"/>
      <c r="AY170" s="1117">
        <f>AY169/RevBuild!AY$150</f>
        <v>4.3282422987315557E-2</v>
      </c>
      <c r="AZ170" s="1111">
        <f>AZ169/RevBuild!AZ$150</f>
        <v>4.5347089042005559E-2</v>
      </c>
      <c r="BA170" s="1111">
        <f>BA169/RevBuild!BA$150</f>
        <v>4.332252860293357E-2</v>
      </c>
      <c r="BB170" s="1111">
        <f>BB169/RevBuild!BB$150</f>
        <v>5.8418848196954323E-2</v>
      </c>
      <c r="BC170" s="1106">
        <f>BC169/RevBuild!BC$150</f>
        <v>4.7524664108144481E-2</v>
      </c>
      <c r="BD170" s="1111"/>
      <c r="BE170" s="1117">
        <f>BE169/RevBuild!BE$150</f>
        <v>3.5898273272599708E-2</v>
      </c>
      <c r="BF170" s="1111">
        <f>BF169/RevBuild!BF$150</f>
        <v>4.6534780031841833E-2</v>
      </c>
      <c r="BG170" s="1111">
        <f>BG169/RevBuild!BG$150</f>
        <v>5.0068062045075919E-2</v>
      </c>
      <c r="BH170" s="1111">
        <f>BH169/RevBuild!BH$150</f>
        <v>5.3444772319175791E-2</v>
      </c>
      <c r="BI170" s="1106">
        <f>BI169/RevBuild!BI$150</f>
        <v>4.7274226316438572E-2</v>
      </c>
      <c r="BJ170" s="1111"/>
      <c r="BK170" s="1117">
        <f>BK169/RevBuild!BK$150</f>
        <v>3.2575387048257937E-2</v>
      </c>
      <c r="BL170" s="1111">
        <f>BL169/RevBuild!BL$150</f>
        <v>3.9770995581964105E-2</v>
      </c>
      <c r="BM170" s="1111">
        <f>BM169/RevBuild!BM$150</f>
        <v>4.4228976221417644E-2</v>
      </c>
      <c r="BN170" s="1111">
        <f>BN169/RevBuild!BN$150</f>
        <v>4.5218448479223468E-2</v>
      </c>
      <c r="BO170" s="1106">
        <f>BO169/RevBuild!BO$150</f>
        <v>4.0536725756418229E-2</v>
      </c>
      <c r="BP170" s="484"/>
      <c r="BQ170" s="1117">
        <f>BQ169/RevBuild!BQ$150</f>
        <v>3.8342506983312194E-2</v>
      </c>
      <c r="BR170" s="1111">
        <f>BR169/RevBuild!BR$150</f>
        <v>4.196905472793877E-2</v>
      </c>
      <c r="BS170" s="1111">
        <f>BS169/RevBuild!BS$150</f>
        <v>3.4885081403555562E-2</v>
      </c>
      <c r="BT170" s="484">
        <f t="shared" ref="BT170" si="106">+BN170+BT171/10000</f>
        <v>3.5218448479223466E-2</v>
      </c>
      <c r="BU170" s="1106">
        <f>BU169/RevBuild!BU$150</f>
        <v>3.7604355311722175E-2</v>
      </c>
      <c r="BV170" s="484"/>
      <c r="BW170" s="1093">
        <f t="shared" ref="BW170" si="107">+BQ170+BW171/10000</f>
        <v>3.3342506983312196E-2</v>
      </c>
      <c r="BX170" s="484">
        <f t="shared" ref="BX170" si="108">+BR170+BX171/10000</f>
        <v>3.396905472793877E-2</v>
      </c>
      <c r="BY170" s="484">
        <f t="shared" ref="BY170" si="109">+BS170+BY171/10000</f>
        <v>3.4885081403555562E-2</v>
      </c>
      <c r="BZ170" s="484">
        <f t="shared" ref="BZ170" si="110">+BT170+BZ171/10000</f>
        <v>3.5218448479223466E-2</v>
      </c>
      <c r="CA170" s="1106">
        <f>CA169/RevBuild!CA$150</f>
        <v>3.4370714363372593E-2</v>
      </c>
      <c r="CB170" s="484"/>
      <c r="CC170" s="1093">
        <f t="shared" ref="CC170" si="111">+BW170+CC171/10000</f>
        <v>3.2342506983312196E-2</v>
      </c>
      <c r="CD170" s="484">
        <f t="shared" ref="CD170" si="112">+BX170+CD171/10000</f>
        <v>3.2969054727938769E-2</v>
      </c>
      <c r="CE170" s="484">
        <f t="shared" ref="CE170" si="113">+BY170+CE171/10000</f>
        <v>3.3885081403555561E-2</v>
      </c>
      <c r="CF170" s="484">
        <f t="shared" ref="CF170" si="114">+BZ170+CF171/10000</f>
        <v>3.4218448479223465E-2</v>
      </c>
      <c r="CG170" s="1106">
        <f>CG169/RevBuild!CG$150</f>
        <v>3.3370802295823031E-2</v>
      </c>
      <c r="CH170" s="484"/>
      <c r="CI170" s="1093">
        <f t="shared" ref="CI170" si="115">+CC170+CI171/10000</f>
        <v>3.1342506983312195E-2</v>
      </c>
      <c r="CJ170" s="484">
        <f t="shared" ref="CJ170" si="116">+CD170+CJ171/10000</f>
        <v>3.1969054727938769E-2</v>
      </c>
      <c r="CK170" s="484">
        <f t="shared" ref="CK170" si="117">+CE170+CK171/10000</f>
        <v>3.2885081403555561E-2</v>
      </c>
      <c r="CL170" s="484">
        <f t="shared" ref="CL170" si="118">+CF170+CL171/10000</f>
        <v>3.3218448479223464E-2</v>
      </c>
      <c r="CM170" s="1106">
        <f>CM169/RevBuild!CM$150</f>
        <v>3.2370888504589766E-2</v>
      </c>
      <c r="CO170" s="1193">
        <f>+(BO170-G170)/10</f>
        <v>-1.49078371914119E-3</v>
      </c>
      <c r="CP170" s="1193">
        <f>+(BO170-AK170)/5</f>
        <v>-2.4617096192508779E-3</v>
      </c>
      <c r="CQ170"/>
      <c r="CR170"/>
      <c r="CS170"/>
      <c r="CT170"/>
      <c r="CU170"/>
      <c r="CV170"/>
    </row>
    <row r="171" spans="1:100" s="1094" customFormat="1" ht="11.25" customHeight="1" x14ac:dyDescent="0.2">
      <c r="A171" s="30"/>
      <c r="B171" s="1143" t="s">
        <v>490</v>
      </c>
      <c r="C171" s="1093"/>
      <c r="D171" s="484"/>
      <c r="E171" s="484"/>
      <c r="F171" s="484"/>
      <c r="G171" s="1106"/>
      <c r="H171" s="484"/>
      <c r="I171" s="1093"/>
      <c r="J171" s="484"/>
      <c r="K171" s="484"/>
      <c r="L171" s="484"/>
      <c r="M171" s="1106"/>
      <c r="N171" s="484"/>
      <c r="O171" s="1093"/>
      <c r="P171" s="484"/>
      <c r="Q171" s="484"/>
      <c r="R171" s="484"/>
      <c r="S171" s="1106"/>
      <c r="T171" s="484"/>
      <c r="U171" s="1093"/>
      <c r="V171" s="484"/>
      <c r="W171" s="484"/>
      <c r="X171" s="484"/>
      <c r="Y171" s="1106"/>
      <c r="Z171" s="484"/>
      <c r="AA171" s="1093"/>
      <c r="AB171" s="484"/>
      <c r="AC171" s="484"/>
      <c r="AD171" s="484"/>
      <c r="AE171" s="1106"/>
      <c r="AF171" s="484"/>
      <c r="AG171" s="1093"/>
      <c r="AH171" s="484"/>
      <c r="AI171" s="484"/>
      <c r="AJ171" s="484"/>
      <c r="AK171" s="1159">
        <f>+(AK170-AE170)*10000</f>
        <v>-19.998694464522654</v>
      </c>
      <c r="AL171" s="484"/>
      <c r="AM171" s="1093"/>
      <c r="AN171" s="484"/>
      <c r="AO171" s="484"/>
      <c r="AP171" s="484"/>
      <c r="AQ171" s="1159">
        <f>+(AQ170-AK170)*10000</f>
        <v>23.434397435775981</v>
      </c>
      <c r="AR171" s="484"/>
      <c r="AS171" s="1093"/>
      <c r="AT171" s="484"/>
      <c r="AU171" s="484"/>
      <c r="AV171" s="484"/>
      <c r="AW171" s="1159">
        <f>+(AW170-AQ170)*10000</f>
        <v>42.719686398109829</v>
      </c>
      <c r="AX171" s="484"/>
      <c r="AY171" s="1093"/>
      <c r="AZ171" s="484"/>
      <c r="BA171" s="484"/>
      <c r="BB171" s="484"/>
      <c r="BC171" s="1159">
        <f>+(BC170-AW170)*10000</f>
        <v>-119.36018127916718</v>
      </c>
      <c r="BD171" s="484"/>
      <c r="BE171" s="1165">
        <f>+(BE170-AY170)*10000</f>
        <v>-73.841497147158492</v>
      </c>
      <c r="BF171" s="1166">
        <f>+(BF170-AZ170)*10000</f>
        <v>11.876909898362737</v>
      </c>
      <c r="BG171" s="1166">
        <f>+(BG170-BA170)*10000</f>
        <v>67.455334421423487</v>
      </c>
      <c r="BH171" s="1166">
        <f>+(BH170-BB170)*10000</f>
        <v>-49.740758777785317</v>
      </c>
      <c r="BI171" s="1159">
        <f>+(BI170-BC170)*10000</f>
        <v>-2.5043779170590836</v>
      </c>
      <c r="BJ171" s="484"/>
      <c r="BK171" s="1165">
        <f>+(BK170-BE170)*10000</f>
        <v>-33.228862243417716</v>
      </c>
      <c r="BL171" s="1166">
        <f>+(BL170-BF170)*10000</f>
        <v>-67.63784449877727</v>
      </c>
      <c r="BM171" s="1166">
        <f>+(BM170-BG170)*10000</f>
        <v>-58.390858236582744</v>
      </c>
      <c r="BN171" s="1166">
        <f>+(BN170-BH170)*10000</f>
        <v>-82.263238399523232</v>
      </c>
      <c r="BO171" s="1159">
        <f>+(BO170-BI170)*10000</f>
        <v>-67.375005600203437</v>
      </c>
      <c r="BP171" s="484"/>
      <c r="BQ171" s="1165">
        <f>+(BQ170-BK170)*10000</f>
        <v>57.671199350542572</v>
      </c>
      <c r="BR171" s="1166">
        <f>+(BR170-BL170)*10000</f>
        <v>21.980591459746652</v>
      </c>
      <c r="BS171" s="1166">
        <f>+(BS170-BM170)*10000</f>
        <v>-93.438948178620819</v>
      </c>
      <c r="BT171" s="1174">
        <v>-100</v>
      </c>
      <c r="BU171" s="1159">
        <f>+(BU170-BO170)*10000</f>
        <v>-29.323704446960544</v>
      </c>
      <c r="BV171" s="484"/>
      <c r="BW171" s="1173">
        <v>-50</v>
      </c>
      <c r="BX171" s="1174">
        <v>-80</v>
      </c>
      <c r="BY171" s="1174">
        <v>0</v>
      </c>
      <c r="BZ171" s="1174">
        <f t="shared" ref="BX171:BZ171" si="119">+BY171</f>
        <v>0</v>
      </c>
      <c r="CA171" s="1159">
        <f t="shared" ref="CA171" si="120">+(CA170-BU170)*10000</f>
        <v>-32.336409483495821</v>
      </c>
      <c r="CB171" s="484"/>
      <c r="CC171" s="1173">
        <v>-10</v>
      </c>
      <c r="CD171" s="1174">
        <f t="shared" ref="CD171:CF171" si="121">+CC171</f>
        <v>-10</v>
      </c>
      <c r="CE171" s="1174">
        <f t="shared" si="121"/>
        <v>-10</v>
      </c>
      <c r="CF171" s="1174">
        <f t="shared" si="121"/>
        <v>-10</v>
      </c>
      <c r="CG171" s="1159">
        <f t="shared" ref="CG171" si="122">+(CG170-CA170)*10000</f>
        <v>-9.9991206754956181</v>
      </c>
      <c r="CH171" s="484"/>
      <c r="CI171" s="1173">
        <f>+CC171</f>
        <v>-10</v>
      </c>
      <c r="CJ171" s="1174">
        <f t="shared" ref="CJ171" si="123">+CI171</f>
        <v>-10</v>
      </c>
      <c r="CK171" s="1174">
        <f t="shared" ref="CK171" si="124">+CJ171</f>
        <v>-10</v>
      </c>
      <c r="CL171" s="1174">
        <f t="shared" ref="CL171" si="125">+CK171</f>
        <v>-10</v>
      </c>
      <c r="CM171" s="1159">
        <f t="shared" ref="CM171" si="126">+(CM170-CG170)*10000</f>
        <v>-9.999137912332646</v>
      </c>
      <c r="CO171" s="1193"/>
      <c r="CP171" s="1193"/>
      <c r="CQ171"/>
      <c r="CR171"/>
      <c r="CS171"/>
      <c r="CT171"/>
      <c r="CU171"/>
      <c r="CV171"/>
    </row>
    <row r="172" spans="1:100" s="488" customFormat="1" ht="11.25" customHeight="1" x14ac:dyDescent="0.2">
      <c r="A172" s="10"/>
      <c r="B172" s="620" t="s">
        <v>598</v>
      </c>
      <c r="C172" s="1063"/>
      <c r="D172" s="382"/>
      <c r="E172" s="382"/>
      <c r="F172" s="382"/>
      <c r="G172" s="594">
        <f>+G173*G8</f>
        <v>-33.580776</v>
      </c>
      <c r="H172" s="382"/>
      <c r="I172" s="1063"/>
      <c r="J172" s="382"/>
      <c r="K172" s="382"/>
      <c r="L172" s="382"/>
      <c r="M172" s="594">
        <f>+M173*M8</f>
        <v>-35.984747999999996</v>
      </c>
      <c r="N172" s="382"/>
      <c r="O172" s="1063"/>
      <c r="P172" s="382"/>
      <c r="Q172" s="382"/>
      <c r="R172" s="382"/>
      <c r="S172" s="594">
        <f>+S173*S8</f>
        <v>-37.130724000000008</v>
      </c>
      <c r="T172" s="382"/>
      <c r="U172" s="1063"/>
      <c r="V172" s="382"/>
      <c r="W172" s="382"/>
      <c r="X172" s="382"/>
      <c r="Y172" s="594">
        <f>+Y173*Y8</f>
        <v>-38.848512000000007</v>
      </c>
      <c r="Z172" s="382"/>
      <c r="AA172" s="1063"/>
      <c r="AB172" s="382"/>
      <c r="AC172" s="382"/>
      <c r="AD172" s="382"/>
      <c r="AE172" s="594">
        <f>+AE173*AE8</f>
        <v>-40.988040000000005</v>
      </c>
      <c r="AF172" s="382"/>
      <c r="AG172" s="1063"/>
      <c r="AH172" s="382"/>
      <c r="AI172" s="382"/>
      <c r="AJ172" s="382"/>
      <c r="AK172" s="594">
        <f>+AK173*AK8</f>
        <v>-42.427931999999998</v>
      </c>
      <c r="AL172" s="382"/>
      <c r="AM172" s="1063"/>
      <c r="AN172" s="382"/>
      <c r="AO172" s="382"/>
      <c r="AP172" s="382"/>
      <c r="AQ172" s="594">
        <f>+AQ173*AQ8</f>
        <v>-43.646543999999999</v>
      </c>
      <c r="AR172" s="382"/>
      <c r="AS172" s="1063"/>
      <c r="AT172" s="382"/>
      <c r="AU172" s="382"/>
      <c r="AV172" s="382"/>
      <c r="AW172" s="594">
        <f>+AW173*AW8</f>
        <v>-48.764580000000002</v>
      </c>
      <c r="AX172" s="382"/>
      <c r="AY172" s="1004">
        <f>+AY162</f>
        <v>-10.54</v>
      </c>
      <c r="AZ172" s="136">
        <f>+AZ162</f>
        <v>-15.622999999999999</v>
      </c>
      <c r="BA172" s="136">
        <f>+BA162</f>
        <v>-12.535</v>
      </c>
      <c r="BB172" s="136">
        <f>+BB162</f>
        <v>-13.743000000000009</v>
      </c>
      <c r="BC172" s="594">
        <f>+SUM(AY172:BB172)</f>
        <v>-52.441000000000003</v>
      </c>
      <c r="BD172" s="1064"/>
      <c r="BE172" s="1004">
        <f>+BE162</f>
        <v>-18.047000000000001</v>
      </c>
      <c r="BF172" s="136">
        <f>+BF162</f>
        <v>-15.808</v>
      </c>
      <c r="BG172" s="136">
        <f>+BG162</f>
        <v>-12.337999999999999</v>
      </c>
      <c r="BH172" s="136">
        <f>+BH162</f>
        <v>-12.587999999999997</v>
      </c>
      <c r="BI172" s="594">
        <f>+SUM(BE172:BH172)</f>
        <v>-58.781000000000006</v>
      </c>
      <c r="BJ172" s="1064"/>
      <c r="BK172" s="1004">
        <f>+BK162</f>
        <v>-9.7080000000000002</v>
      </c>
      <c r="BL172" s="136">
        <f>+BL162</f>
        <v>-19.094000000000001</v>
      </c>
      <c r="BM172" s="136">
        <f>+BM162</f>
        <v>-17.241</v>
      </c>
      <c r="BN172" s="136">
        <f>+BN162</f>
        <v>-17.832000000000001</v>
      </c>
      <c r="BO172" s="594">
        <f>+SUM(BK172:BN172)</f>
        <v>-63.875</v>
      </c>
      <c r="BP172" s="382"/>
      <c r="BQ172" s="1004">
        <f>+BQ162+BQ59*30%</f>
        <v>-17.290199999999999</v>
      </c>
      <c r="BR172" s="136">
        <f>+BR162</f>
        <v>-16.664999999999999</v>
      </c>
      <c r="BS172" s="136">
        <f>+BS162</f>
        <v>-26.43</v>
      </c>
      <c r="BT172" s="136">
        <f>+BT173*BT8</f>
        <v>-28.831255488123158</v>
      </c>
      <c r="BU172" s="594">
        <f>+SUM(BQ172:BT172)</f>
        <v>-89.21645548812316</v>
      </c>
      <c r="BV172" s="382"/>
      <c r="BW172" s="1004">
        <f>+BW173*BW8</f>
        <v>-19.661515050000002</v>
      </c>
      <c r="BX172" s="136">
        <f>+BX173*BX8</f>
        <v>-21.485555699999999</v>
      </c>
      <c r="BY172" s="136">
        <f>+BY173*BY8</f>
        <v>-21.1871811</v>
      </c>
      <c r="BZ172" s="136">
        <f>+BZ173*BZ8</f>
        <v>-22.442509776263933</v>
      </c>
      <c r="CA172" s="594">
        <f>+SUM(BW172:BZ172)</f>
        <v>-84.776761626263934</v>
      </c>
      <c r="CB172" s="382"/>
      <c r="CC172" s="1004">
        <f>+CC173*CC8</f>
        <v>-16.120065864000001</v>
      </c>
      <c r="CD172" s="136">
        <f>+CD173*CD8</f>
        <v>-17.608127938799999</v>
      </c>
      <c r="CE172" s="136">
        <f>+CE173*CE8</f>
        <v>-17.401725119999998</v>
      </c>
      <c r="CF172" s="136">
        <f>+CF173*CF8</f>
        <v>-18.435426951153989</v>
      </c>
      <c r="CG172" s="594">
        <f>+SUM(CC172:CF172)</f>
        <v>-69.565345873953987</v>
      </c>
      <c r="CH172" s="382"/>
      <c r="CI172" s="1004">
        <f>+CI173*CI8</f>
        <v>-16.555642131912002</v>
      </c>
      <c r="CJ172" s="136">
        <f>+CJ173*CJ8</f>
        <v>-18.084824963136001</v>
      </c>
      <c r="CK172" s="136">
        <f>+CK173*CK8</f>
        <v>-17.867615574984001</v>
      </c>
      <c r="CL172" s="136">
        <f>+CL173*CL8</f>
        <v>-18.931724102947395</v>
      </c>
      <c r="CM172" s="594">
        <f>+SUM(CI172:CL172)</f>
        <v>-71.439806772979395</v>
      </c>
      <c r="CN172" s="18"/>
      <c r="CO172" s="18"/>
      <c r="CP172" s="18"/>
      <c r="CQ172"/>
      <c r="CR172"/>
      <c r="CS172"/>
      <c r="CT172"/>
      <c r="CU172"/>
      <c r="CV172"/>
    </row>
    <row r="173" spans="1:100" s="1094" customFormat="1" ht="11.25" customHeight="1" x14ac:dyDescent="0.2">
      <c r="A173" s="30"/>
      <c r="B173" s="879" t="s">
        <v>487</v>
      </c>
      <c r="C173" s="1093"/>
      <c r="D173" s="484"/>
      <c r="E173" s="484"/>
      <c r="F173" s="484"/>
      <c r="G173" s="1121">
        <f>+M173</f>
        <v>-1.2E-2</v>
      </c>
      <c r="H173" s="484"/>
      <c r="I173" s="1093"/>
      <c r="J173" s="484"/>
      <c r="K173" s="484"/>
      <c r="L173" s="484"/>
      <c r="M173" s="1121">
        <f>+S173</f>
        <v>-1.2E-2</v>
      </c>
      <c r="N173" s="484"/>
      <c r="O173" s="1093"/>
      <c r="P173" s="484"/>
      <c r="Q173" s="484"/>
      <c r="R173" s="484"/>
      <c r="S173" s="1121">
        <f>+Y173</f>
        <v>-1.2E-2</v>
      </c>
      <c r="T173" s="484"/>
      <c r="U173" s="1093"/>
      <c r="V173" s="484"/>
      <c r="W173" s="484"/>
      <c r="X173" s="484"/>
      <c r="Y173" s="1121">
        <f>+AE173</f>
        <v>-1.2E-2</v>
      </c>
      <c r="Z173" s="484"/>
      <c r="AA173" s="1093"/>
      <c r="AB173" s="484"/>
      <c r="AC173" s="484"/>
      <c r="AD173" s="484"/>
      <c r="AE173" s="1121">
        <f>+AK173</f>
        <v>-1.2E-2</v>
      </c>
      <c r="AF173" s="484"/>
      <c r="AG173" s="1093"/>
      <c r="AH173" s="484"/>
      <c r="AI173" s="484"/>
      <c r="AJ173" s="484"/>
      <c r="AK173" s="1121">
        <f>+AQ173</f>
        <v>-1.2E-2</v>
      </c>
      <c r="AL173" s="484"/>
      <c r="AM173" s="1093"/>
      <c r="AN173" s="484"/>
      <c r="AO173" s="484"/>
      <c r="AP173" s="484"/>
      <c r="AQ173" s="1121">
        <f>+AW173</f>
        <v>-1.2E-2</v>
      </c>
      <c r="AR173" s="1122"/>
      <c r="AS173" s="1123"/>
      <c r="AT173" s="1122"/>
      <c r="AU173" s="1122"/>
      <c r="AV173" s="1122"/>
      <c r="AW173" s="1121">
        <v>-1.2E-2</v>
      </c>
      <c r="AX173" s="484"/>
      <c r="AY173" s="1093">
        <f>AY172/AY8</f>
        <v>-1.1225233131264936E-2</v>
      </c>
      <c r="AZ173" s="484">
        <f>AZ172/AZ8</f>
        <v>-1.5970845004191284E-2</v>
      </c>
      <c r="BA173" s="484">
        <f>BA172/BA8</f>
        <v>-1.3075979420588591E-2</v>
      </c>
      <c r="BB173" s="484">
        <f>BB172/BB8</f>
        <v>-1.3277478332194923E-2</v>
      </c>
      <c r="BC173" s="995">
        <f>BC172/BC8</f>
        <v>-1.3409054007233695E-2</v>
      </c>
      <c r="BD173" s="484"/>
      <c r="BE173" s="1093">
        <f>BE172/BE8</f>
        <v>-1.5790947351842295E-2</v>
      </c>
      <c r="BF173" s="484">
        <f>BF172/BF8</f>
        <v>-1.1379129145341596E-2</v>
      </c>
      <c r="BG173" s="484">
        <f>BG172/BG8</f>
        <v>-8.8074908644947027E-3</v>
      </c>
      <c r="BH173" s="484">
        <f>BH172/BH8</f>
        <v>-8.6588662580738343E-3</v>
      </c>
      <c r="BI173" s="995">
        <f>BI172/BI8</f>
        <v>-1.0912240752831558E-2</v>
      </c>
      <c r="BJ173" s="484"/>
      <c r="BK173" s="1093">
        <f>BK172/BK8</f>
        <v>-7.2859034129969472E-3</v>
      </c>
      <c r="BL173" s="484">
        <f>BL172/BL8</f>
        <v>-1.3463156120856752E-2</v>
      </c>
      <c r="BM173" s="484">
        <f>BM172/BM8</f>
        <v>-1.2337754344083159E-2</v>
      </c>
      <c r="BN173" s="484">
        <f>BN172/BN8</f>
        <v>-1.2340211151033335E-2</v>
      </c>
      <c r="BO173" s="995">
        <f>BO172/BO8</f>
        <v>-1.1420266337596126E-2</v>
      </c>
      <c r="BP173" s="484"/>
      <c r="BQ173" s="1093">
        <f>BQ172/BQ8</f>
        <v>-1.3258186586305655E-2</v>
      </c>
      <c r="BR173" s="484">
        <f>BR172/BR8</f>
        <v>-1.2026091531076963E-2</v>
      </c>
      <c r="BS173" s="484">
        <f>BS172/BS8</f>
        <v>-1.9218715232886038E-2</v>
      </c>
      <c r="BT173" s="1122">
        <v>-0.02</v>
      </c>
      <c r="BU173" s="995">
        <f>BU172/BU8</f>
        <v>-1.6201623448778204E-2</v>
      </c>
      <c r="BV173" s="484"/>
      <c r="BW173" s="1123">
        <v>-1.4999999999999999E-2</v>
      </c>
      <c r="BX173" s="1122">
        <f>+BW173</f>
        <v>-1.4999999999999999E-2</v>
      </c>
      <c r="BY173" s="1122">
        <f>+BX173</f>
        <v>-1.4999999999999999E-2</v>
      </c>
      <c r="BZ173" s="1122">
        <f>+BY173</f>
        <v>-1.4999999999999999E-2</v>
      </c>
      <c r="CA173" s="995">
        <f>CA172/CA8</f>
        <v>-1.4999999999999998E-2</v>
      </c>
      <c r="CB173" s="484"/>
      <c r="CC173" s="1123">
        <v>-1.2E-2</v>
      </c>
      <c r="CD173" s="1122">
        <f>+CC173</f>
        <v>-1.2E-2</v>
      </c>
      <c r="CE173" s="1122">
        <f>+CD173</f>
        <v>-1.2E-2</v>
      </c>
      <c r="CF173" s="1122">
        <f>+CE173</f>
        <v>-1.2E-2</v>
      </c>
      <c r="CG173" s="995">
        <f>CG172/CG8</f>
        <v>-1.2E-2</v>
      </c>
      <c r="CH173" s="484"/>
      <c r="CI173" s="1123">
        <f>+CG173</f>
        <v>-1.2E-2</v>
      </c>
      <c r="CJ173" s="1122">
        <f>+CI173</f>
        <v>-1.2E-2</v>
      </c>
      <c r="CK173" s="1122">
        <f>+CJ173</f>
        <v>-1.2E-2</v>
      </c>
      <c r="CL173" s="1122">
        <f>+CK173</f>
        <v>-1.2E-2</v>
      </c>
      <c r="CM173" s="995">
        <f>CM172/CM8</f>
        <v>-1.2000000000000002E-2</v>
      </c>
      <c r="CN173" s="1113"/>
      <c r="CO173" s="1113"/>
      <c r="CP173" s="1113"/>
      <c r="CQ173"/>
      <c r="CR173"/>
      <c r="CS173"/>
      <c r="CT173"/>
      <c r="CU173"/>
      <c r="CV173"/>
    </row>
    <row r="174" spans="1:100" ht="11.25" customHeight="1" x14ac:dyDescent="0.2">
      <c r="B174" s="1128" t="s">
        <v>563</v>
      </c>
      <c r="C174" s="996"/>
      <c r="D174" s="85"/>
      <c r="E174" s="85"/>
      <c r="F174" s="85"/>
      <c r="G174" s="594">
        <f>+G169+G166+G172</f>
        <v>284.505</v>
      </c>
      <c r="H174" s="85"/>
      <c r="I174" s="996"/>
      <c r="J174" s="85"/>
      <c r="K174" s="85"/>
      <c r="L174" s="85"/>
      <c r="M174" s="594">
        <f>+M169+M166+M172</f>
        <v>306.56100000000004</v>
      </c>
      <c r="N174" s="85"/>
      <c r="O174" s="996"/>
      <c r="P174" s="85"/>
      <c r="Q174" s="85"/>
      <c r="R174" s="85"/>
      <c r="S174" s="594">
        <f>+S169+S166+S172</f>
        <v>290.642</v>
      </c>
      <c r="T174" s="85"/>
      <c r="U174" s="996"/>
      <c r="V174" s="85"/>
      <c r="W174" s="85"/>
      <c r="X174" s="85"/>
      <c r="Y174" s="594">
        <f>+Y169+Y166+Y172</f>
        <v>295.36900000000003</v>
      </c>
      <c r="Z174" s="85"/>
      <c r="AA174" s="996"/>
      <c r="AB174" s="85"/>
      <c r="AC174" s="85"/>
      <c r="AD174" s="85"/>
      <c r="AE174" s="594">
        <f>+AE169+AE166+AE172</f>
        <v>309.19900000000001</v>
      </c>
      <c r="AF174" s="85"/>
      <c r="AG174" s="996"/>
      <c r="AH174" s="85"/>
      <c r="AI174" s="85"/>
      <c r="AJ174" s="85"/>
      <c r="AK174" s="594">
        <f>+AK169+AK166+AK172</f>
        <v>285.56700000000001</v>
      </c>
      <c r="AL174" s="85"/>
      <c r="AM174" s="996"/>
      <c r="AN174" s="85"/>
      <c r="AO174" s="85"/>
      <c r="AP174" s="85"/>
      <c r="AQ174" s="594">
        <f>+AQ169+AQ166+AQ172</f>
        <v>289.428</v>
      </c>
      <c r="AR174" s="136"/>
      <c r="AS174" s="1004"/>
      <c r="AT174" s="136"/>
      <c r="AU174" s="136"/>
      <c r="AV174" s="136"/>
      <c r="AW174" s="594">
        <f>+AW169+AW166+AW172</f>
        <v>320.67181699999998</v>
      </c>
      <c r="AX174" s="136"/>
      <c r="AY174" s="1004">
        <f>+AY172+AY169+AY166</f>
        <v>68.728999999999999</v>
      </c>
      <c r="AZ174" s="136">
        <f>+AZ172+AZ169+AZ166</f>
        <v>74.876000000000005</v>
      </c>
      <c r="BA174" s="136">
        <f>+BA172+BA169+BA166</f>
        <v>80.147999999999996</v>
      </c>
      <c r="BB174" s="136">
        <f>+BB172+BB169+BB166</f>
        <v>93.385999999999981</v>
      </c>
      <c r="BC174" s="594">
        <f>+BC172+BC169+BC166</f>
        <v>317.13899999999995</v>
      </c>
      <c r="BD174" s="136"/>
      <c r="BE174" s="1004">
        <f>+BE172+BE169+BE166</f>
        <v>82.975999999999999</v>
      </c>
      <c r="BF174" s="136">
        <f>+BF172+BF169+BF166</f>
        <v>97.230999999999995</v>
      </c>
      <c r="BG174" s="136">
        <f>+BG172+BG169+BG166</f>
        <v>108.33667700000001</v>
      </c>
      <c r="BH174" s="136">
        <f>+BH172+BH169+BH166</f>
        <v>119.64192999999999</v>
      </c>
      <c r="BI174" s="594">
        <f>+BI172+BI169+BI166</f>
        <v>408.185607</v>
      </c>
      <c r="BJ174" s="136"/>
      <c r="BK174" s="1004">
        <f>+BK172+BK169+BK166</f>
        <v>80.652000000000001</v>
      </c>
      <c r="BL174" s="136">
        <f>+BL172+BL169+BL166</f>
        <v>91.75</v>
      </c>
      <c r="BM174" s="136">
        <f>+BM172+BM169+BM166</f>
        <v>93.677999999999997</v>
      </c>
      <c r="BN174" s="136">
        <f>+BN172+BN169+BN166</f>
        <v>106.33499999999998</v>
      </c>
      <c r="BO174" s="594">
        <f>+BO172+BO169+BO166</f>
        <v>372.41499999999996</v>
      </c>
      <c r="BP174" s="136"/>
      <c r="BQ174" s="1004">
        <f>+BQ172+BQ169+BQ166</f>
        <v>73.369</v>
      </c>
      <c r="BR174" s="136">
        <f>+BR172+BR169+BR166</f>
        <v>83.106999999999999</v>
      </c>
      <c r="BS174" s="136">
        <f>+BS172+BS169+BS166</f>
        <v>59.738</v>
      </c>
      <c r="BT174" s="136">
        <f>+BT172+BT169+BT166</f>
        <v>56.079805997129554</v>
      </c>
      <c r="BU174" s="594">
        <f>+BU172+BU169+BU166</f>
        <v>272.29380599712954</v>
      </c>
      <c r="BV174" s="136"/>
      <c r="BW174" s="1004">
        <f>+BW172+BW169+BW166</f>
        <v>52.945381917179219</v>
      </c>
      <c r="BX174" s="136">
        <f>+BX172+BX169+BX166</f>
        <v>57.661175592930263</v>
      </c>
      <c r="BY174" s="136">
        <f>+BY172+BY169+BY166</f>
        <v>60.813466606869468</v>
      </c>
      <c r="BZ174" s="136">
        <f>+BZ172+BZ169+BZ166</f>
        <v>64.062513073575076</v>
      </c>
      <c r="CA174" s="594">
        <f>+CA172+CA169+CA166</f>
        <v>235.48253719055401</v>
      </c>
      <c r="CB174" s="136"/>
      <c r="CC174" s="1004">
        <f>+CC172+CC169+CC166</f>
        <v>54.492351462922606</v>
      </c>
      <c r="CD174" s="136">
        <f>+CD172+CD169+CD166</f>
        <v>59.286790217043411</v>
      </c>
      <c r="CE174" s="136">
        <f>+CE172+CE169+CE166</f>
        <v>62.581576391573989</v>
      </c>
      <c r="CF174" s="136">
        <f>+CF172+CF169+CF166</f>
        <v>66.010138661695066</v>
      </c>
      <c r="CG174" s="594">
        <f>+CG172+CG169+CG166</f>
        <v>242.37085673323509</v>
      </c>
      <c r="CH174" s="136"/>
      <c r="CI174" s="1004">
        <f>+CI172+CI169+CI166</f>
        <v>52.219607887938743</v>
      </c>
      <c r="CJ174" s="136">
        <f>+CJ172+CJ169+CJ166</f>
        <v>56.781176343165541</v>
      </c>
      <c r="CK174" s="136">
        <f>+CK172+CK169+CK166</f>
        <v>59.998918796129225</v>
      </c>
      <c r="CL174" s="136">
        <f>+CL172+CL169+CL166</f>
        <v>63.352036588374766</v>
      </c>
      <c r="CM174" s="594">
        <f>+CM172+CM169+CM166</f>
        <v>232.35173961560827</v>
      </c>
      <c r="CN174" s="17"/>
      <c r="CO174" s="17"/>
      <c r="CP174" s="17"/>
    </row>
    <row r="175" spans="1:100" s="1094" customFormat="1" ht="11.25" customHeight="1" x14ac:dyDescent="0.2">
      <c r="A175" s="30"/>
      <c r="B175" s="880" t="s">
        <v>341</v>
      </c>
      <c r="C175" s="1101"/>
      <c r="D175" s="1102"/>
      <c r="E175" s="1102"/>
      <c r="F175" s="1102"/>
      <c r="G175" s="1103">
        <f>+G174/G8</f>
        <v>0.10166709667459739</v>
      </c>
      <c r="H175" s="1102"/>
      <c r="I175" s="1101"/>
      <c r="J175" s="1102"/>
      <c r="K175" s="1102"/>
      <c r="L175" s="1102"/>
      <c r="M175" s="1103">
        <f>+M174/M8</f>
        <v>0.10223031157533743</v>
      </c>
      <c r="N175" s="1102"/>
      <c r="O175" s="1101"/>
      <c r="P175" s="1102"/>
      <c r="Q175" s="1102"/>
      <c r="R175" s="1102"/>
      <c r="S175" s="1103">
        <f>+S174/S8</f>
        <v>9.3930406528027824E-2</v>
      </c>
      <c r="T175" s="1102"/>
      <c r="U175" s="1101"/>
      <c r="V175" s="1102"/>
      <c r="W175" s="1102"/>
      <c r="X175" s="1102"/>
      <c r="Y175" s="1103">
        <f>+Y174/Y8</f>
        <v>9.123716244266962E-2</v>
      </c>
      <c r="Z175" s="1102"/>
      <c r="AA175" s="1101"/>
      <c r="AB175" s="1102"/>
      <c r="AC175" s="1102"/>
      <c r="AD175" s="1102"/>
      <c r="AE175" s="1103">
        <f>+AE174/AE8</f>
        <v>9.0523674710964466E-2</v>
      </c>
      <c r="AF175" s="1102"/>
      <c r="AG175" s="1101"/>
      <c r="AH175" s="1102"/>
      <c r="AI175" s="1102"/>
      <c r="AJ175" s="1102"/>
      <c r="AK175" s="1103">
        <f>+AK174/AK8</f>
        <v>8.0767641467889603E-2</v>
      </c>
      <c r="AL175" s="1102"/>
      <c r="AM175" s="1101"/>
      <c r="AN175" s="1102"/>
      <c r="AO175" s="1102"/>
      <c r="AP175" s="1102"/>
      <c r="AQ175" s="1103">
        <f>+AQ174/AQ8</f>
        <v>7.9574135354221864E-2</v>
      </c>
      <c r="AR175" s="1116"/>
      <c r="AS175" s="1115"/>
      <c r="AT175" s="1116"/>
      <c r="AU175" s="1116"/>
      <c r="AV175" s="1116"/>
      <c r="AW175" s="1103">
        <f>+AW174/AW8</f>
        <v>7.891100064842145E-2</v>
      </c>
      <c r="AX175" s="1116"/>
      <c r="AY175" s="1101">
        <f>+AY174/AY8</f>
        <v>7.319725311942199E-2</v>
      </c>
      <c r="AZ175" s="1102">
        <f>+AZ174/AZ8</f>
        <v>7.6543108912105667E-2</v>
      </c>
      <c r="BA175" s="1102">
        <f>+BA174/BA8</f>
        <v>8.3606988320808484E-2</v>
      </c>
      <c r="BB175" s="1102">
        <f>+BB174/BB8</f>
        <v>9.0222701850422332E-2</v>
      </c>
      <c r="BC175" s="1103">
        <f>+BC174/BC8</f>
        <v>8.1091778928702465E-2</v>
      </c>
      <c r="BD175" s="1116"/>
      <c r="BE175" s="1101">
        <f>+BE174/BE8</f>
        <v>7.2603183214188849E-2</v>
      </c>
      <c r="BF175" s="1102">
        <f>+BF174/BF8</f>
        <v>6.9990138280029646E-2</v>
      </c>
      <c r="BG175" s="1102">
        <f>+BG174/BG8</f>
        <v>7.7336220859719043E-2</v>
      </c>
      <c r="BH175" s="1102">
        <f>+BH174/BH8</f>
        <v>8.2297701837292001E-2</v>
      </c>
      <c r="BI175" s="1103">
        <f>+BI174/BI8</f>
        <v>7.5776519886097307E-2</v>
      </c>
      <c r="BJ175" s="1116"/>
      <c r="BK175" s="1101">
        <f>+BK174/BK8</f>
        <v>6.0529736512673037E-2</v>
      </c>
      <c r="BL175" s="1102">
        <f>+BL174/BL8</f>
        <v>6.4692813139656802E-2</v>
      </c>
      <c r="BM175" s="1102">
        <f>+BM174/BM8</f>
        <v>6.7036491586626196E-2</v>
      </c>
      <c r="BN175" s="1102">
        <f>+BN174/BN8</f>
        <v>7.3586605694545157E-2</v>
      </c>
      <c r="BO175" s="1103">
        <f>+BO174/BO8</f>
        <v>6.6584399031168071E-2</v>
      </c>
      <c r="BP175" s="1116"/>
      <c r="BQ175" s="1101">
        <f>+BQ174/BQ8</f>
        <v>5.6259609006874392E-2</v>
      </c>
      <c r="BR175" s="1102">
        <f>+BR174/BR8</f>
        <v>5.9973140646457437E-2</v>
      </c>
      <c r="BS175" s="1102">
        <f>+BS174/BS8</f>
        <v>4.343880478933583E-2</v>
      </c>
      <c r="BT175" s="1102">
        <f>+BT174/BT8</f>
        <v>3.8902090836960779E-2</v>
      </c>
      <c r="BU175" s="1103">
        <f>+BU174/BU8</f>
        <v>4.944829614742368E-2</v>
      </c>
      <c r="BV175" s="1116"/>
      <c r="BW175" s="1101">
        <f>+BW174/BW8</f>
        <v>4.0392651671961981E-2</v>
      </c>
      <c r="BX175" s="1102">
        <f>+BX174/BX8</f>
        <v>4.025577210897803E-2</v>
      </c>
      <c r="BY175" s="1102">
        <f>+BY174/BY8</f>
        <v>4.3054429694898963E-2</v>
      </c>
      <c r="BZ175" s="1102">
        <f>+BZ174/BZ8</f>
        <v>4.2817746574848367E-2</v>
      </c>
      <c r="CA175" s="1103">
        <f>+CA174/CA8</f>
        <v>4.1665168497825929E-2</v>
      </c>
      <c r="CB175" s="1116"/>
      <c r="CC175" s="1101">
        <f>+CC174/CC8</f>
        <v>4.0564860160739555E-2</v>
      </c>
      <c r="CD175" s="1102">
        <f>+CD174/CD8</f>
        <v>4.0404152279972926E-2</v>
      </c>
      <c r="CE175" s="1102">
        <f>+CE174/CE8</f>
        <v>4.3155429218668634E-2</v>
      </c>
      <c r="CF175" s="1102">
        <f>+CF174/CF8</f>
        <v>4.2967362027422802E-2</v>
      </c>
      <c r="CG175" s="1103">
        <f>+CG174/CG8</f>
        <v>4.1808895568041383E-2</v>
      </c>
      <c r="CH175" s="1116"/>
      <c r="CI175" s="1101">
        <f>+CI174/CI8</f>
        <v>3.7850256103771865E-2</v>
      </c>
      <c r="CJ175" s="1102">
        <f>+CJ174/CJ8</f>
        <v>3.7676566818141473E-2</v>
      </c>
      <c r="CK175" s="1102">
        <f>+CK174/CK8</f>
        <v>4.0295641157714772E-2</v>
      </c>
      <c r="CL175" s="1102">
        <f>+CL174/CL8</f>
        <v>4.0156112297354961E-2</v>
      </c>
      <c r="CM175" s="1103">
        <f>+CM174/CM8</f>
        <v>3.9028953203186514E-2</v>
      </c>
      <c r="CN175" s="1113"/>
      <c r="CO175" s="1193">
        <f>+(BO175-G175)/10</f>
        <v>-3.5082697643429319E-3</v>
      </c>
      <c r="CP175" s="1193">
        <f>+(BO175-AK175)/5</f>
        <v>-2.8366484873443066E-3</v>
      </c>
      <c r="CQ175"/>
      <c r="CR175"/>
      <c r="CS175"/>
      <c r="CT175"/>
      <c r="CU175"/>
      <c r="CV175"/>
    </row>
    <row r="176" spans="1:100" ht="11.25" hidden="1" customHeight="1" outlineLevel="1" x14ac:dyDescent="0.2">
      <c r="B176" s="1124" t="s">
        <v>488</v>
      </c>
      <c r="C176" s="1125"/>
      <c r="D176" s="1126"/>
      <c r="E176" s="1126"/>
      <c r="F176" s="1126"/>
      <c r="G176" s="1129">
        <f>G13-G174-G162</f>
        <v>-1.7053025658242404E-13</v>
      </c>
      <c r="H176" s="1127"/>
      <c r="I176" s="1125"/>
      <c r="J176" s="1126"/>
      <c r="K176" s="1126"/>
      <c r="L176" s="1126"/>
      <c r="M176" s="1129">
        <f>M13-M174-M162</f>
        <v>-6.3948846218409017E-14</v>
      </c>
      <c r="N176" s="1127"/>
      <c r="O176" s="1125"/>
      <c r="P176" s="1126"/>
      <c r="Q176" s="1126"/>
      <c r="R176" s="1126"/>
      <c r="S176" s="1129">
        <f>S13-S174-S162</f>
        <v>3.4106051316484809E-13</v>
      </c>
      <c r="T176" s="1127"/>
      <c r="U176" s="1125"/>
      <c r="V176" s="1126"/>
      <c r="W176" s="1126"/>
      <c r="X176" s="1126"/>
      <c r="Y176" s="1129">
        <f>Y13-Y174-Y162</f>
        <v>3.694822225952521E-13</v>
      </c>
      <c r="Z176" s="1127"/>
      <c r="AA176" s="1125"/>
      <c r="AB176" s="1126"/>
      <c r="AC176" s="1126"/>
      <c r="AD176" s="1126"/>
      <c r="AE176" s="1129">
        <f>AE13-AE174-AE162</f>
        <v>2.5579538487363607E-13</v>
      </c>
      <c r="AF176" s="1127"/>
      <c r="AG176" s="1125"/>
      <c r="AH176" s="1126"/>
      <c r="AI176" s="1126"/>
      <c r="AJ176" s="1126"/>
      <c r="AK176" s="1129">
        <f>AK13-AK174-AK162</f>
        <v>1.2789769243681803E-13</v>
      </c>
      <c r="AL176" s="1127"/>
      <c r="AM176" s="1125"/>
      <c r="AN176" s="1126"/>
      <c r="AO176" s="1126"/>
      <c r="AP176" s="1126"/>
      <c r="AQ176" s="1129">
        <f>AQ13-AQ174-AQ162</f>
        <v>-1.8474111129762605E-13</v>
      </c>
      <c r="AR176" s="1130"/>
      <c r="AS176" s="1131"/>
      <c r="AT176" s="1132"/>
      <c r="AU176" s="1132"/>
      <c r="AV176" s="1132"/>
      <c r="AW176" s="1129">
        <f>AW13-AW174-AW162</f>
        <v>-1.3500311979441904E-13</v>
      </c>
      <c r="AX176" s="1130"/>
      <c r="AY176" s="1131">
        <f>AY13-AY174</f>
        <v>0</v>
      </c>
      <c r="AZ176" s="1132">
        <f>AZ13-AZ174</f>
        <v>0</v>
      </c>
      <c r="BA176" s="1132">
        <f>BA13-BA174</f>
        <v>0</v>
      </c>
      <c r="BB176" s="1132">
        <f>BB13-BB174</f>
        <v>0</v>
      </c>
      <c r="BC176" s="1129">
        <f>BC13-BC174</f>
        <v>0</v>
      </c>
      <c r="BD176" s="1130"/>
      <c r="BE176" s="1131">
        <f>BE13-BE174</f>
        <v>0</v>
      </c>
      <c r="BF176" s="1132">
        <f>BF13-BF174</f>
        <v>1.1368683772161603E-13</v>
      </c>
      <c r="BG176" s="1132">
        <f>BG13-BG174</f>
        <v>0</v>
      </c>
      <c r="BH176" s="1132">
        <f>BH13-BH174</f>
        <v>0</v>
      </c>
      <c r="BI176" s="1129">
        <f>BI13-BI174</f>
        <v>-4.5474735088646412E-13</v>
      </c>
      <c r="BJ176" s="1130"/>
      <c r="BK176" s="1131">
        <f>BK13-BK174</f>
        <v>0</v>
      </c>
      <c r="BL176" s="1132">
        <f>BL13-BL174</f>
        <v>0</v>
      </c>
      <c r="BM176" s="1132">
        <f>BM13-BM174</f>
        <v>0</v>
      </c>
      <c r="BN176" s="1132">
        <f>BN13-BN174</f>
        <v>0</v>
      </c>
      <c r="BO176" s="1129">
        <f>BO13-BO174</f>
        <v>0</v>
      </c>
      <c r="BP176" s="1130"/>
      <c r="BQ176" s="1131">
        <f>BQ13-BQ174</f>
        <v>0</v>
      </c>
      <c r="BR176" s="1132">
        <f>BR13-BR174</f>
        <v>0</v>
      </c>
      <c r="BS176" s="1132">
        <f>BS13-BS174</f>
        <v>0</v>
      </c>
      <c r="BT176" s="1132">
        <f>BT13-BT174</f>
        <v>0</v>
      </c>
      <c r="BU176" s="1129">
        <f>BU13-BU174</f>
        <v>0</v>
      </c>
      <c r="BV176" s="1130"/>
      <c r="BW176" s="1131">
        <f>BW13-BW174</f>
        <v>0</v>
      </c>
      <c r="BX176" s="1132">
        <f>BX13-BX174</f>
        <v>0</v>
      </c>
      <c r="BY176" s="1132">
        <f>BY13-BY174</f>
        <v>0</v>
      </c>
      <c r="BZ176" s="1132">
        <f>BZ13-BZ174</f>
        <v>0</v>
      </c>
      <c r="CA176" s="1129">
        <f>CA13-CA174</f>
        <v>0</v>
      </c>
      <c r="CB176" s="1130"/>
      <c r="CC176" s="1131">
        <f>CC13-CC174</f>
        <v>0</v>
      </c>
      <c r="CD176" s="1132">
        <f>CD13-CD174</f>
        <v>0</v>
      </c>
      <c r="CE176" s="1132">
        <f>CE13-CE174</f>
        <v>0</v>
      </c>
      <c r="CF176" s="1132">
        <f>CF13-CF174</f>
        <v>0</v>
      </c>
      <c r="CG176" s="1129">
        <f>CG13-CG174</f>
        <v>2.2737367544323206E-13</v>
      </c>
      <c r="CH176" s="1130"/>
      <c r="CI176" s="1131">
        <f>CI13-CI174</f>
        <v>0</v>
      </c>
      <c r="CJ176" s="1132">
        <f>CJ13-CJ174</f>
        <v>0</v>
      </c>
      <c r="CK176" s="1132">
        <f>CK13-CK174</f>
        <v>0</v>
      </c>
      <c r="CL176" s="1132">
        <f>CL13-CL174</f>
        <v>0</v>
      </c>
      <c r="CM176" s="1129">
        <f>CM13-CM174</f>
        <v>-2.2737367544323206E-13</v>
      </c>
    </row>
    <row r="177" spans="2:91" ht="11.25" customHeight="1" collapsed="1" x14ac:dyDescent="0.2">
      <c r="B177" s="14"/>
      <c r="C177" s="14"/>
      <c r="D177" s="14"/>
      <c r="E177" s="14"/>
      <c r="F177" s="14"/>
      <c r="G177" s="14"/>
      <c r="H177" s="17"/>
      <c r="I177" s="14"/>
      <c r="J177" s="14"/>
      <c r="K177" s="14"/>
      <c r="L177" s="14"/>
      <c r="M177" s="14"/>
      <c r="N177" s="17"/>
      <c r="O177" s="14"/>
      <c r="P177" s="14"/>
      <c r="Q177" s="14"/>
      <c r="R177" s="14"/>
      <c r="S177" s="14"/>
      <c r="T177" s="17"/>
      <c r="U177" s="14"/>
      <c r="V177" s="14"/>
      <c r="W177" s="14"/>
      <c r="X177" s="14"/>
      <c r="Y177" s="14"/>
      <c r="Z177" s="17"/>
      <c r="AA177" s="14"/>
      <c r="AB177" s="14"/>
      <c r="AC177" s="14"/>
      <c r="AD177" s="14"/>
      <c r="AE177" s="14"/>
      <c r="AF177" s="17"/>
      <c r="AG177" s="14"/>
      <c r="AH177" s="14"/>
      <c r="AI177" s="14"/>
      <c r="AJ177" s="14"/>
      <c r="AK177" s="14"/>
      <c r="AL177" s="17"/>
      <c r="AM177" s="14"/>
      <c r="AN177" s="14"/>
      <c r="AO177" s="14"/>
      <c r="AP177" s="14"/>
      <c r="AQ177" s="14"/>
      <c r="AR177" s="17"/>
      <c r="AS177" s="14"/>
      <c r="AT177" s="14"/>
      <c r="AU177" s="14"/>
      <c r="AV177" s="14"/>
      <c r="AW177" s="14"/>
      <c r="AX177" s="17"/>
      <c r="AY177" s="14"/>
      <c r="AZ177" s="14"/>
      <c r="BA177" s="14"/>
      <c r="BB177" s="14"/>
      <c r="BC177" s="14"/>
      <c r="BD177" s="17"/>
      <c r="BE177" s="14"/>
      <c r="BF177" s="14"/>
      <c r="BG177" s="14"/>
      <c r="BH177" s="14"/>
      <c r="BI177" s="14"/>
      <c r="BJ177" s="17"/>
      <c r="BK177" s="14"/>
      <c r="BL177" s="14"/>
      <c r="BM177" s="14"/>
      <c r="BN177" s="14"/>
      <c r="BO177" s="14"/>
      <c r="BP177" s="17"/>
      <c r="BQ177" s="14"/>
      <c r="BR177" s="14"/>
      <c r="BS177" s="14"/>
      <c r="BT177" s="14"/>
      <c r="BU177" s="14"/>
      <c r="BV177" s="17"/>
      <c r="BW177" s="14"/>
      <c r="BX177" s="14"/>
      <c r="BY177" s="14"/>
      <c r="BZ177" s="14"/>
      <c r="CA177" s="14"/>
      <c r="CB177" s="17"/>
      <c r="CC177" s="14"/>
      <c r="CD177" s="14"/>
      <c r="CE177" s="14"/>
      <c r="CF177" s="14"/>
      <c r="CG177" s="14"/>
      <c r="CH177" s="17"/>
      <c r="CI177" s="14"/>
      <c r="CJ177" s="14"/>
      <c r="CK177" s="14"/>
      <c r="CL177" s="14"/>
      <c r="CM177" s="14"/>
    </row>
    <row r="178" spans="2:91" x14ac:dyDescent="0.2">
      <c r="B178" s="1033" t="s">
        <v>489</v>
      </c>
      <c r="C178" s="1034"/>
      <c r="D178" s="1034"/>
      <c r="E178" s="1034"/>
      <c r="F178" s="1034"/>
      <c r="G178" s="1034"/>
      <c r="H178" s="1033"/>
      <c r="I178" s="1034"/>
      <c r="J178" s="1034"/>
      <c r="K178" s="1034"/>
      <c r="L178" s="1034"/>
      <c r="M178" s="1034"/>
      <c r="N178" s="1033"/>
      <c r="O178" s="1034"/>
      <c r="P178" s="1034"/>
      <c r="Q178" s="1034"/>
      <c r="R178" s="1034"/>
      <c r="S178" s="1034"/>
      <c r="T178" s="1033"/>
      <c r="U178" s="1034"/>
      <c r="V178" s="1034"/>
      <c r="W178" s="1034"/>
      <c r="X178" s="1034"/>
      <c r="Y178" s="1034"/>
      <c r="Z178" s="1033"/>
      <c r="AA178" s="1034"/>
      <c r="AB178" s="1034"/>
      <c r="AC178" s="1034"/>
      <c r="AD178" s="1034"/>
      <c r="AE178" s="1034"/>
      <c r="AF178" s="1033"/>
      <c r="AG178" s="1034"/>
      <c r="AH178" s="1034"/>
      <c r="AI178" s="1034"/>
      <c r="AJ178" s="1034"/>
      <c r="AK178" s="1034"/>
      <c r="AL178" s="1033"/>
      <c r="AM178" s="1034"/>
      <c r="AN178" s="1034"/>
      <c r="AO178" s="1034"/>
      <c r="AP178" s="1034"/>
      <c r="AQ178" s="1034"/>
      <c r="AR178" s="1033"/>
      <c r="AS178" s="1034"/>
      <c r="AT178" s="1034"/>
      <c r="AU178" s="1034"/>
      <c r="AV178" s="1034"/>
      <c r="AW178" s="1034"/>
      <c r="AX178" s="1033"/>
      <c r="AY178" s="1034"/>
      <c r="AZ178" s="1034"/>
      <c r="BA178" s="1034"/>
      <c r="BB178" s="1034"/>
      <c r="BC178" s="1034"/>
      <c r="BD178" s="1033"/>
      <c r="BE178" s="1034"/>
      <c r="BF178" s="1034"/>
      <c r="BG178" s="1034"/>
      <c r="BH178" s="1034"/>
      <c r="BI178" s="1034"/>
      <c r="BJ178" s="1033"/>
      <c r="BK178" s="1034"/>
      <c r="BL178" s="1034"/>
      <c r="BM178" s="1034"/>
      <c r="BN178" s="1034"/>
      <c r="BO178" s="1034"/>
      <c r="BP178" s="1033"/>
      <c r="BQ178" s="1034"/>
      <c r="BR178" s="1034"/>
      <c r="BS178" s="1034"/>
      <c r="BT178" s="1034"/>
      <c r="BU178" s="1034"/>
      <c r="BV178" s="1033"/>
      <c r="BW178" s="1034"/>
      <c r="BX178" s="1034"/>
      <c r="BY178" s="1034"/>
      <c r="BZ178" s="1034"/>
      <c r="CA178" s="1034"/>
      <c r="CB178" s="1033"/>
      <c r="CC178" s="1034"/>
      <c r="CD178" s="1034"/>
      <c r="CE178" s="1034"/>
      <c r="CF178" s="1034"/>
      <c r="CG178" s="1035"/>
      <c r="CH178" s="1033"/>
      <c r="CI178" s="1034"/>
      <c r="CJ178" s="1034"/>
      <c r="CK178" s="1034"/>
      <c r="CL178" s="1034"/>
      <c r="CM178" s="1035"/>
    </row>
    <row r="179" spans="2:91" x14ac:dyDescent="0.2">
      <c r="B179" s="543" t="s">
        <v>470</v>
      </c>
      <c r="C179" s="238">
        <f>'P&amp;L'!C13</f>
        <v>68.537000000000035</v>
      </c>
      <c r="D179" s="234">
        <f>'P&amp;L'!D13</f>
        <v>78.021000000000015</v>
      </c>
      <c r="E179" s="234">
        <f>'P&amp;L'!E13</f>
        <v>92.686000000000007</v>
      </c>
      <c r="F179" s="234">
        <f>'P&amp;L'!F13</f>
        <v>96.445999999999998</v>
      </c>
      <c r="G179" s="263">
        <f>'P&amp;L'!G13</f>
        <v>335.68999999999983</v>
      </c>
      <c r="H179" s="90"/>
      <c r="I179" s="238">
        <f>'P&amp;L'!I13</f>
        <v>75.207000000000022</v>
      </c>
      <c r="J179" s="234">
        <f>'P&amp;L'!J13</f>
        <v>85.612999999999971</v>
      </c>
      <c r="K179" s="234">
        <f>'P&amp;L'!K13</f>
        <v>97.114000000000033</v>
      </c>
      <c r="L179" s="234">
        <f>'P&amp;L'!L13</f>
        <v>101.26900000000001</v>
      </c>
      <c r="M179" s="263">
        <f>'P&amp;L'!M13</f>
        <v>359.20299999999997</v>
      </c>
      <c r="N179" s="90"/>
      <c r="O179" s="238">
        <f>'P&amp;L'!O13</f>
        <v>79.594000000000023</v>
      </c>
      <c r="P179" s="234">
        <f>'P&amp;L'!P13</f>
        <v>82.601999999999975</v>
      </c>
      <c r="Q179" s="234">
        <f>'P&amp;L'!Q13</f>
        <v>91.54200000000003</v>
      </c>
      <c r="R179" s="234">
        <f>'P&amp;L'!R13</f>
        <v>92.488</v>
      </c>
      <c r="S179" s="263">
        <f>'P&amp;L'!S13</f>
        <v>346.22600000000034</v>
      </c>
      <c r="T179" s="90"/>
      <c r="U179" s="238">
        <f>'P&amp;L'!U13</f>
        <v>76.789999999999964</v>
      </c>
      <c r="V179" s="234">
        <f>'P&amp;L'!V13</f>
        <v>84.486000000000047</v>
      </c>
      <c r="W179" s="234">
        <f>'P&amp;L'!W13</f>
        <v>93.766999999999967</v>
      </c>
      <c r="X179" s="234">
        <f>'P&amp;L'!X13</f>
        <v>100.24799999999999</v>
      </c>
      <c r="Y179" s="263">
        <f>'P&amp;L'!Y13</f>
        <v>355.29100000000039</v>
      </c>
      <c r="Z179" s="90"/>
      <c r="AA179" s="238">
        <f>'P&amp;L'!AA13</f>
        <v>89.024000000000058</v>
      </c>
      <c r="AB179" s="234">
        <f>'P&amp;L'!AB13</f>
        <v>90.152000000000015</v>
      </c>
      <c r="AC179" s="234">
        <f>'P&amp;L'!AC13</f>
        <v>92.706999999999994</v>
      </c>
      <c r="AD179" s="234">
        <f>'P&amp;L'!AD13</f>
        <v>104.12500000000006</v>
      </c>
      <c r="AE179" s="263">
        <f>'P&amp;L'!AE13</f>
        <v>376.00800000000027</v>
      </c>
      <c r="AF179" s="90"/>
      <c r="AG179" s="227">
        <f>'P&amp;L'!AG13</f>
        <v>81.99300000000008</v>
      </c>
      <c r="AH179" s="195">
        <f>'P&amp;L'!AH13</f>
        <v>83.258999999999958</v>
      </c>
      <c r="AI179" s="195">
        <f>'P&amp;L'!AI13</f>
        <v>89.906000000000006</v>
      </c>
      <c r="AJ179" s="195">
        <f>'P&amp;L'!AJ13</f>
        <v>102.851</v>
      </c>
      <c r="AK179" s="263">
        <f>'P&amp;L'!AK13</f>
        <v>358.00900000000013</v>
      </c>
      <c r="AL179" s="90"/>
      <c r="AM179" s="227">
        <f>'P&amp;L'!AM13</f>
        <v>82.591999999999928</v>
      </c>
      <c r="AN179" s="195">
        <f>'P&amp;L'!AN13</f>
        <v>77.868999999999943</v>
      </c>
      <c r="AO179" s="195">
        <f>'P&amp;L'!AO13</f>
        <v>89.538000000000011</v>
      </c>
      <c r="AP179" s="195">
        <f>'P&amp;L'!AP13</f>
        <v>104.45600000000002</v>
      </c>
      <c r="AQ179" s="263">
        <f>'P&amp;L'!AQ13</f>
        <v>354.45499999999981</v>
      </c>
      <c r="AR179" s="90"/>
      <c r="AS179" s="227">
        <f>'P&amp;L'!AS13</f>
        <v>81.281000000000034</v>
      </c>
      <c r="AT179" s="195">
        <f>'P&amp;L'!AT13</f>
        <v>89.206675999999902</v>
      </c>
      <c r="AU179" s="195">
        <f>'P&amp;L'!AU13</f>
        <v>97.733678999999995</v>
      </c>
      <c r="AV179" s="195">
        <f>'P&amp;L'!AV13</f>
        <v>99.213461999999936</v>
      </c>
      <c r="AW179" s="263">
        <f>'P&amp;L'!AW13</f>
        <v>367.43481699999984</v>
      </c>
      <c r="AX179" s="90"/>
      <c r="AY179" s="227">
        <f>'P&amp;L'!AY13</f>
        <v>68.728999999999957</v>
      </c>
      <c r="AZ179" s="195">
        <f>'P&amp;L'!AZ13</f>
        <v>74.876000000000033</v>
      </c>
      <c r="BA179" s="195">
        <f>'P&amp;L'!BA13</f>
        <v>80.147999999999996</v>
      </c>
      <c r="BB179" s="195">
        <f>'P&amp;L'!BB13</f>
        <v>93.385999999999967</v>
      </c>
      <c r="BC179" s="263">
        <f>'P&amp;L'!BC13</f>
        <v>317.13900000000001</v>
      </c>
      <c r="BD179" s="90"/>
      <c r="BE179" s="227">
        <f>'P&amp;L'!BE13</f>
        <v>82.975999999999914</v>
      </c>
      <c r="BF179" s="195">
        <f>'P&amp;L'!BF13</f>
        <v>97.231000000000108</v>
      </c>
      <c r="BG179" s="195">
        <f>'P&amp;L'!BG13</f>
        <v>108.33667700000004</v>
      </c>
      <c r="BH179" s="195">
        <f>'P&amp;L'!BH13</f>
        <v>119.64193</v>
      </c>
      <c r="BI179" s="263">
        <f>'P&amp;L'!BI13</f>
        <v>408.18560699999955</v>
      </c>
      <c r="BJ179" s="90"/>
      <c r="BK179" s="227">
        <f>'P&amp;L'!BK13</f>
        <v>80.651999999999902</v>
      </c>
      <c r="BL179" s="195">
        <f>'P&amp;L'!BL13</f>
        <v>91.750000000000028</v>
      </c>
      <c r="BM179" s="195">
        <f>'P&amp;L'!BM13</f>
        <v>93.677999999999997</v>
      </c>
      <c r="BN179" s="195">
        <f>'P&amp;L'!BN13</f>
        <v>106.33500000000001</v>
      </c>
      <c r="BO179" s="263">
        <f>'P&amp;L'!BO13</f>
        <v>372.41499999999996</v>
      </c>
      <c r="BP179" s="90"/>
      <c r="BQ179" s="227">
        <f>'P&amp;L'!BQ13</f>
        <v>73.369</v>
      </c>
      <c r="BR179" s="195">
        <f>'P&amp;L'!BR13</f>
        <v>83.106999999999971</v>
      </c>
      <c r="BS179" s="195">
        <f>'P&amp;L'!BS13</f>
        <v>59.738</v>
      </c>
      <c r="BT179" s="195">
        <f>'P&amp;L'!BT13</f>
        <v>56.079805997129569</v>
      </c>
      <c r="BU179" s="263">
        <f>'P&amp;L'!BU13</f>
        <v>272.29380599712931</v>
      </c>
      <c r="BV179" s="90"/>
      <c r="BW179" s="227">
        <f>'P&amp;L'!BW13</f>
        <v>52.945381917179219</v>
      </c>
      <c r="BX179" s="195">
        <f>'P&amp;L'!BX13</f>
        <v>57.661175592930249</v>
      </c>
      <c r="BY179" s="195">
        <f>'P&amp;L'!BY13</f>
        <v>60.813466606869468</v>
      </c>
      <c r="BZ179" s="195">
        <f>'P&amp;L'!BZ13</f>
        <v>64.062513073575076</v>
      </c>
      <c r="CA179" s="263">
        <f>'P&amp;L'!CA13</f>
        <v>235.4825371905539</v>
      </c>
      <c r="CB179" s="90"/>
      <c r="CC179" s="227">
        <f>'P&amp;L'!CC13</f>
        <v>54.492351462922585</v>
      </c>
      <c r="CD179" s="195">
        <f>'P&amp;L'!CD13</f>
        <v>59.286790217043404</v>
      </c>
      <c r="CE179" s="195">
        <f>'P&amp;L'!CE13</f>
        <v>62.581576391573975</v>
      </c>
      <c r="CF179" s="195">
        <f>'P&amp;L'!CF13</f>
        <v>66.010138661695066</v>
      </c>
      <c r="CG179" s="263">
        <f>'P&amp;L'!CG13</f>
        <v>242.37085673323531</v>
      </c>
      <c r="CH179" s="90"/>
      <c r="CI179" s="227">
        <f>'P&amp;L'!CI13</f>
        <v>52.219607887938736</v>
      </c>
      <c r="CJ179" s="195">
        <f>'P&amp;L'!CJ13</f>
        <v>56.781176343165555</v>
      </c>
      <c r="CK179" s="195">
        <f>'P&amp;L'!CK13</f>
        <v>59.998918796129203</v>
      </c>
      <c r="CL179" s="195">
        <f>'P&amp;L'!CL13</f>
        <v>63.352036588374744</v>
      </c>
      <c r="CM179" s="263">
        <f>'P&amp;L'!CM13</f>
        <v>232.35173961560804</v>
      </c>
    </row>
    <row r="180" spans="2:91" x14ac:dyDescent="0.2">
      <c r="B180" s="262" t="s">
        <v>429</v>
      </c>
      <c r="C180" s="264">
        <f>'P&amp;L'!C36</f>
        <v>0.10455874096856087</v>
      </c>
      <c r="D180" s="141">
        <f>'P&amp;L'!D36</f>
        <v>0.11237798387665948</v>
      </c>
      <c r="E180" s="141">
        <f>'P&amp;L'!E36</f>
        <v>0.1306367636653728</v>
      </c>
      <c r="F180" s="141">
        <f>'P&amp;L'!F36</f>
        <v>0.1304835464855921</v>
      </c>
      <c r="G180" s="265">
        <f>'P&amp;L'!G36</f>
        <v>0.11995791878067373</v>
      </c>
      <c r="H180" s="17"/>
      <c r="I180" s="264">
        <f>'P&amp;L'!I36</f>
        <v>0.10722366456944156</v>
      </c>
      <c r="J180" s="141">
        <f>'P&amp;L'!J36</f>
        <v>0.11538264563499334</v>
      </c>
      <c r="K180" s="141">
        <f>'P&amp;L'!K36</f>
        <v>0.12499452986436642</v>
      </c>
      <c r="L180" s="141">
        <f>'P&amp;L'!L36</f>
        <v>0.13010092653021371</v>
      </c>
      <c r="M180" s="265">
        <f>'P&amp;L'!M36</f>
        <v>0.11978508227985923</v>
      </c>
      <c r="N180" s="17"/>
      <c r="O180" s="264">
        <f>'P&amp;L'!O36</f>
        <v>0.10700146129844502</v>
      </c>
      <c r="P180" s="141">
        <f>'P&amp;L'!P36</f>
        <v>0.10876397866381549</v>
      </c>
      <c r="Q180" s="141">
        <f>'P&amp;L'!Q36</f>
        <v>0.11287226132921017</v>
      </c>
      <c r="R180" s="141">
        <f>'P&amp;L'!R36</f>
        <v>0.11859199573269871</v>
      </c>
      <c r="S180" s="265">
        <f>'P&amp;L'!S36</f>
        <v>0.11189418229496424</v>
      </c>
      <c r="T180" s="17"/>
      <c r="U180" s="264">
        <f>'P&amp;L'!U36</f>
        <v>9.7254359601762416E-2</v>
      </c>
      <c r="V180" s="141">
        <f>'P&amp;L'!V36</f>
        <v>0.10367003660342775</v>
      </c>
      <c r="W180" s="141">
        <f>'P&amp;L'!W36</f>
        <v>0.11433828729739877</v>
      </c>
      <c r="X180" s="141">
        <f>'P&amp;L'!X36</f>
        <v>0.12334238067232474</v>
      </c>
      <c r="Y180" s="265">
        <f>'P&amp;L'!Y36</f>
        <v>0.109746597244188</v>
      </c>
      <c r="Z180" s="17"/>
      <c r="AA180" s="264">
        <f>'P&amp;L'!AA36</f>
        <v>0.10476036936314635</v>
      </c>
      <c r="AB180" s="141">
        <f>'P&amp;L'!AB36</f>
        <v>0.10514407275831747</v>
      </c>
      <c r="AC180" s="141">
        <f>'P&amp;L'!AC36</f>
        <v>0.11241981446674346</v>
      </c>
      <c r="AD180" s="141">
        <f>'P&amp;L'!AD36</f>
        <v>0.11781258379826645</v>
      </c>
      <c r="AE180" s="265">
        <f>'P&amp;L'!AE36</f>
        <v>0.11008323403607499</v>
      </c>
      <c r="AF180" s="17"/>
      <c r="AG180" s="264">
        <f>'P&amp;L'!AG36</f>
        <v>9.6755807614152187E-2</v>
      </c>
      <c r="AH180" s="182">
        <f>'P&amp;L'!AH36</f>
        <v>9.7165864332603893E-2</v>
      </c>
      <c r="AI180" s="182">
        <f>'P&amp;L'!AI36</f>
        <v>0.10045026423695295</v>
      </c>
      <c r="AJ180" s="182">
        <f>'P&amp;L'!AJ36</f>
        <v>0.10984435041342086</v>
      </c>
      <c r="AK180" s="265">
        <f>'P&amp;L'!AK36</f>
        <v>0.10125659671557882</v>
      </c>
      <c r="AL180" s="17"/>
      <c r="AM180" s="264">
        <f>'P&amp;L'!AM36</f>
        <v>9.2880879417470183E-2</v>
      </c>
      <c r="AN180" s="182">
        <f>'P&amp;L'!AN36</f>
        <v>8.9794313376606982E-2</v>
      </c>
      <c r="AO180" s="182">
        <f>'P&amp;L'!AO36</f>
        <v>9.7763743624851379E-2</v>
      </c>
      <c r="AP180" s="182">
        <f>'P&amp;L'!AP36</f>
        <v>0.1082520755327054</v>
      </c>
      <c r="AQ180" s="265">
        <f>'P&amp;L'!AQ36</f>
        <v>9.7452389357562827E-2</v>
      </c>
      <c r="AR180" s="17"/>
      <c r="AS180" s="264">
        <f>'P&amp;L'!AS36</f>
        <v>9.2351654594517857E-2</v>
      </c>
      <c r="AT180" s="182">
        <f>'P&amp;L'!AT36</f>
        <v>8.9310812407266779E-2</v>
      </c>
      <c r="AU180" s="182">
        <f>'P&amp;L'!AU36</f>
        <v>9.0270226909360929E-2</v>
      </c>
      <c r="AV180" s="182">
        <f>'P&amp;L'!AV36</f>
        <v>9.0024074542885787E-2</v>
      </c>
      <c r="AW180" s="265">
        <f>'P&amp;L'!AW36</f>
        <v>9.0418451343167477E-2</v>
      </c>
      <c r="AX180" s="17"/>
      <c r="AY180" s="264">
        <f>'P&amp;L'!AY36</f>
        <v>7.3197253119421948E-2</v>
      </c>
      <c r="AZ180" s="182">
        <f>'P&amp;L'!AZ36</f>
        <v>7.6543108912105695E-2</v>
      </c>
      <c r="BA180" s="182">
        <f>'P&amp;L'!BA36</f>
        <v>8.3606988320808484E-2</v>
      </c>
      <c r="BB180" s="182">
        <f>'P&amp;L'!BB36</f>
        <v>9.0222701850422318E-2</v>
      </c>
      <c r="BC180" s="265">
        <f>'P&amp;L'!BC36</f>
        <v>8.1091778928702479E-2</v>
      </c>
      <c r="BD180" s="17"/>
      <c r="BE180" s="264">
        <f>'P&amp;L'!BE36</f>
        <v>7.2603183214188766E-2</v>
      </c>
      <c r="BF180" s="182">
        <f>'P&amp;L'!BF36</f>
        <v>6.9990138280029729E-2</v>
      </c>
      <c r="BG180" s="182">
        <f>'P&amp;L'!BG36</f>
        <v>7.7336220859719071E-2</v>
      </c>
      <c r="BH180" s="182">
        <f>'P&amp;L'!BH36</f>
        <v>8.2297701837292014E-2</v>
      </c>
      <c r="BI180" s="265">
        <f>'P&amp;L'!BI36</f>
        <v>7.5776519886097224E-2</v>
      </c>
      <c r="BJ180" s="17"/>
      <c r="BK180" s="264">
        <f>'P&amp;L'!BK36</f>
        <v>6.052973651267296E-2</v>
      </c>
      <c r="BL180" s="182">
        <f>'P&amp;L'!BL36</f>
        <v>6.4692813139656816E-2</v>
      </c>
      <c r="BM180" s="182">
        <f>'P&amp;L'!BM36</f>
        <v>6.7036491586626196E-2</v>
      </c>
      <c r="BN180" s="182">
        <f>'P&amp;L'!BN36</f>
        <v>7.3586605694545185E-2</v>
      </c>
      <c r="BO180" s="265">
        <f>'P&amp;L'!BO36</f>
        <v>6.6584399031168071E-2</v>
      </c>
      <c r="BP180" s="17"/>
      <c r="BQ180" s="264">
        <f>'P&amp;L'!BQ36</f>
        <v>5.6259609006874392E-2</v>
      </c>
      <c r="BR180" s="182">
        <f>'P&amp;L'!BR36</f>
        <v>5.9973140646457423E-2</v>
      </c>
      <c r="BS180" s="182">
        <f>'P&amp;L'!BS36</f>
        <v>4.343880478933583E-2</v>
      </c>
      <c r="BT180" s="182">
        <f>'P&amp;L'!BT36</f>
        <v>3.8902090836960793E-2</v>
      </c>
      <c r="BU180" s="265">
        <f>'P&amp;L'!BU36</f>
        <v>4.9448296147423638E-2</v>
      </c>
      <c r="BV180" s="17"/>
      <c r="BW180" s="264">
        <f>'P&amp;L'!BW36</f>
        <v>4.0392651671961981E-2</v>
      </c>
      <c r="BX180" s="182">
        <f>'P&amp;L'!BX36</f>
        <v>4.0255772108978016E-2</v>
      </c>
      <c r="BY180" s="182">
        <f>'P&amp;L'!BY36</f>
        <v>4.3054429694898963E-2</v>
      </c>
      <c r="BZ180" s="182">
        <f>'P&amp;L'!BZ36</f>
        <v>4.2817746574848367E-2</v>
      </c>
      <c r="CA180" s="265">
        <f>'P&amp;L'!CA36</f>
        <v>4.1665168497825908E-2</v>
      </c>
      <c r="CB180" s="17"/>
      <c r="CC180" s="264">
        <f>'P&amp;L'!CC36</f>
        <v>4.0564860160739534E-2</v>
      </c>
      <c r="CD180" s="182">
        <f>'P&amp;L'!CD36</f>
        <v>4.0404152279972919E-2</v>
      </c>
      <c r="CE180" s="182">
        <f>'P&amp;L'!CE36</f>
        <v>4.315542921866862E-2</v>
      </c>
      <c r="CF180" s="182">
        <f>'P&amp;L'!CF36</f>
        <v>4.2967362027422802E-2</v>
      </c>
      <c r="CG180" s="265">
        <f>'P&amp;L'!CG36</f>
        <v>4.1808895568041425E-2</v>
      </c>
      <c r="CH180" s="17"/>
      <c r="CI180" s="264">
        <f>'P&amp;L'!CI36</f>
        <v>3.7850256103771865E-2</v>
      </c>
      <c r="CJ180" s="182">
        <f>'P&amp;L'!CJ36</f>
        <v>3.7676566818141487E-2</v>
      </c>
      <c r="CK180" s="182">
        <f>'P&amp;L'!CK36</f>
        <v>4.0295641157714758E-2</v>
      </c>
      <c r="CL180" s="182">
        <f>'P&amp;L'!CL36</f>
        <v>4.0156112297354947E-2</v>
      </c>
      <c r="CM180" s="265">
        <f>'P&amp;L'!CM36</f>
        <v>3.9028953203186473E-2</v>
      </c>
    </row>
    <row r="181" spans="2:91" x14ac:dyDescent="0.2">
      <c r="B181" s="262" t="s">
        <v>434</v>
      </c>
      <c r="C181" s="264"/>
      <c r="D181" s="141"/>
      <c r="E181" s="141"/>
      <c r="F181" s="141"/>
      <c r="G181" s="265"/>
      <c r="H181" s="17"/>
      <c r="I181" s="264">
        <f>+I180-C180</f>
        <v>2.664923600880692E-3</v>
      </c>
      <c r="J181" s="141">
        <f>+J180-D180</f>
        <v>3.0046617583338597E-3</v>
      </c>
      <c r="K181" s="141">
        <f>+K180-E180</f>
        <v>-5.6422338010063827E-3</v>
      </c>
      <c r="L181" s="141">
        <f>+L180-F180</f>
        <v>-3.8261995537838822E-4</v>
      </c>
      <c r="M181" s="265">
        <f>+M180-G180</f>
        <v>-1.7283650081449664E-4</v>
      </c>
      <c r="N181" s="17"/>
      <c r="O181" s="264">
        <f>+O180-I180</f>
        <v>-2.2220327099653492E-4</v>
      </c>
      <c r="P181" s="141">
        <f>+P180-J180</f>
        <v>-6.6186669711778556E-3</v>
      </c>
      <c r="Q181" s="141">
        <f>+Q180-K180</f>
        <v>-1.2122268535156244E-2</v>
      </c>
      <c r="R181" s="141">
        <f>+R180-L180</f>
        <v>-1.1508930797514999E-2</v>
      </c>
      <c r="S181" s="265">
        <f>+S180-M180</f>
        <v>-7.8908999848949918E-3</v>
      </c>
      <c r="T181" s="17"/>
      <c r="U181" s="264">
        <f>+U180-O180</f>
        <v>-9.7471016966826085E-3</v>
      </c>
      <c r="V181" s="141">
        <f>+V180-P180</f>
        <v>-5.0939420603877406E-3</v>
      </c>
      <c r="W181" s="141">
        <f>+W180-Q180</f>
        <v>1.4660259681885945E-3</v>
      </c>
      <c r="X181" s="141">
        <f>+X180-R180</f>
        <v>4.7503849396260261E-3</v>
      </c>
      <c r="Y181" s="265">
        <f>+Y180-S180</f>
        <v>-2.1475850507762378E-3</v>
      </c>
      <c r="Z181" s="17"/>
      <c r="AA181" s="264">
        <f>+AA180-U180</f>
        <v>7.5060097613839361E-3</v>
      </c>
      <c r="AB181" s="141">
        <f>+AB180-V180</f>
        <v>1.4740361548897241E-3</v>
      </c>
      <c r="AC181" s="141">
        <f>+AC180-W180</f>
        <v>-1.9184728306553128E-3</v>
      </c>
      <c r="AD181" s="141">
        <f>+AD180-X180</f>
        <v>-5.5297968740582876E-3</v>
      </c>
      <c r="AE181" s="265">
        <f>+AE180-Y180</f>
        <v>3.3663679188698781E-4</v>
      </c>
      <c r="AF181" s="17"/>
      <c r="AG181" s="264">
        <f>+AG180-AA180</f>
        <v>-8.0045617489941656E-3</v>
      </c>
      <c r="AH181" s="182">
        <f>+AH180-AB180</f>
        <v>-7.978208425713576E-3</v>
      </c>
      <c r="AI181" s="182">
        <f>+AI180-AC180</f>
        <v>-1.1969550229790502E-2</v>
      </c>
      <c r="AJ181" s="182">
        <f>+AJ180-AD180</f>
        <v>-7.9682333848455911E-3</v>
      </c>
      <c r="AK181" s="1052">
        <f>+AK180-AE180</f>
        <v>-8.8266373204961696E-3</v>
      </c>
      <c r="AL181" s="1053"/>
      <c r="AM181" s="1054">
        <f>+AM180-AG180</f>
        <v>-3.8749281966820037E-3</v>
      </c>
      <c r="AN181" s="1055">
        <f>+AN180-AH180</f>
        <v>-7.3715509559969111E-3</v>
      </c>
      <c r="AO181" s="1055">
        <f>+AO180-AI180</f>
        <v>-2.6865206121015756E-3</v>
      </c>
      <c r="AP181" s="1055">
        <f>+AP180-AJ180</f>
        <v>-1.5922748807154635E-3</v>
      </c>
      <c r="AQ181" s="1052">
        <f>+AQ180-AK180</f>
        <v>-3.8042073580159957E-3</v>
      </c>
      <c r="AR181" s="1053"/>
      <c r="AS181" s="1054">
        <f>+AS180-AM180</f>
        <v>-5.2922482295232609E-4</v>
      </c>
      <c r="AT181" s="1055">
        <f>+AT180-AN180</f>
        <v>-4.8350096934020315E-4</v>
      </c>
      <c r="AU181" s="1055">
        <f>+AU180-AO180</f>
        <v>-7.4935167154904503E-3</v>
      </c>
      <c r="AV181" s="1055">
        <f>+AV180-AP180</f>
        <v>-1.8228000989819609E-2</v>
      </c>
      <c r="AW181" s="1052">
        <f>+AW180-AQ180</f>
        <v>-7.0339380143953495E-3</v>
      </c>
      <c r="AX181" s="1053"/>
      <c r="AY181" s="1054">
        <f>+AY180-AS180</f>
        <v>-1.9154401475095909E-2</v>
      </c>
      <c r="AZ181" s="1055">
        <f>+AZ180-AT180</f>
        <v>-1.2767703495161084E-2</v>
      </c>
      <c r="BA181" s="1055">
        <f>+BA180-AU180</f>
        <v>-6.6632385885524448E-3</v>
      </c>
      <c r="BB181" s="1055">
        <f>+BB180-AV180</f>
        <v>1.9862730753653079E-4</v>
      </c>
      <c r="BC181" s="1052">
        <f>+BC180-AW180</f>
        <v>-9.3266724144649982E-3</v>
      </c>
      <c r="BD181" s="1053"/>
      <c r="BE181" s="1054">
        <f>+BE180-AY180</f>
        <v>-5.940699052331827E-4</v>
      </c>
      <c r="BF181" s="1055">
        <f>+BF180-AZ180</f>
        <v>-6.5529706320759662E-3</v>
      </c>
      <c r="BG181" s="1055">
        <f>+BG180-BA180</f>
        <v>-6.2707674610894132E-3</v>
      </c>
      <c r="BH181" s="1055">
        <f>+BH180-BB180</f>
        <v>-7.9250000131303039E-3</v>
      </c>
      <c r="BI181" s="1052">
        <f>+BI180-BC180</f>
        <v>-5.3152590426052554E-3</v>
      </c>
      <c r="BJ181" s="1053"/>
      <c r="BK181" s="1054">
        <f>+BK180-BE180</f>
        <v>-1.2073446701515805E-2</v>
      </c>
      <c r="BL181" s="1055">
        <f>+BL180-BF180</f>
        <v>-5.2973251403729132E-3</v>
      </c>
      <c r="BM181" s="1055">
        <f>+BM180-BG180</f>
        <v>-1.0299729273092875E-2</v>
      </c>
      <c r="BN181" s="1055">
        <f>+BN180-BH180</f>
        <v>-8.7110961427468298E-3</v>
      </c>
      <c r="BO181" s="1052">
        <f>+BO180-BI180</f>
        <v>-9.1921208549291533E-3</v>
      </c>
      <c r="BP181" s="1053"/>
      <c r="BQ181" s="1054">
        <f>+BQ180-BK180</f>
        <v>-4.2701275057985683E-3</v>
      </c>
      <c r="BR181" s="1055">
        <f>+BR180-BL180</f>
        <v>-4.7196724931993922E-3</v>
      </c>
      <c r="BS181" s="1055">
        <f>+BS180-BM180</f>
        <v>-2.3597686797290365E-2</v>
      </c>
      <c r="BT181" s="1055">
        <f>+BT180-BN180</f>
        <v>-3.4684514857584392E-2</v>
      </c>
      <c r="BU181" s="1052">
        <f>+BU180-BO180</f>
        <v>-1.7136102883744432E-2</v>
      </c>
      <c r="BV181" s="1053"/>
      <c r="BW181" s="1054">
        <f>+BW180-BQ180</f>
        <v>-1.5866957334912411E-2</v>
      </c>
      <c r="BX181" s="1055">
        <f>+BX180-BR180</f>
        <v>-1.9717368537479407E-2</v>
      </c>
      <c r="BY181" s="1055">
        <f>+BY180-BS180</f>
        <v>-3.8437509443686735E-4</v>
      </c>
      <c r="BZ181" s="1055">
        <f>+BZ180-BT180</f>
        <v>3.9156557378875745E-3</v>
      </c>
      <c r="CA181" s="1052">
        <f>+CA180-BU180</f>
        <v>-7.7831276495977306E-3</v>
      </c>
      <c r="CB181" s="1053"/>
      <c r="CC181" s="1054">
        <f>+CC180-BW180</f>
        <v>1.7220848877755324E-4</v>
      </c>
      <c r="CD181" s="1055">
        <f>+CD180-BX180</f>
        <v>1.4838017099490231E-4</v>
      </c>
      <c r="CE181" s="1055">
        <f>+CE180-BY180</f>
        <v>1.0099952376965704E-4</v>
      </c>
      <c r="CF181" s="1055">
        <f>+CF180-BZ180</f>
        <v>1.4961545257443504E-4</v>
      </c>
      <c r="CG181" s="1052">
        <f>+CG180-CA180</f>
        <v>1.4372707021551717E-4</v>
      </c>
      <c r="CH181" s="1053"/>
      <c r="CI181" s="1054">
        <f>+CI180-CC180</f>
        <v>-2.7146040569676691E-3</v>
      </c>
      <c r="CJ181" s="1055">
        <f>+CJ180-CD180</f>
        <v>-2.7275854618314319E-3</v>
      </c>
      <c r="CK181" s="1055">
        <f>+CK180-CE180</f>
        <v>-2.859788060953862E-3</v>
      </c>
      <c r="CL181" s="1055">
        <f>+CL180-CF180</f>
        <v>-2.8112497300678552E-3</v>
      </c>
      <c r="CM181" s="1052">
        <f>+CM180-CG180</f>
        <v>-2.7799423648549523E-3</v>
      </c>
    </row>
    <row r="182" spans="2:91" x14ac:dyDescent="0.2">
      <c r="B182" s="267" t="s">
        <v>435</v>
      </c>
      <c r="C182" s="268">
        <v>0</v>
      </c>
      <c r="D182" s="584">
        <v>0</v>
      </c>
      <c r="E182" s="584">
        <v>0</v>
      </c>
      <c r="F182" s="584">
        <v>0</v>
      </c>
      <c r="G182" s="270">
        <f>SUM(C182:F182)</f>
        <v>0</v>
      </c>
      <c r="H182" s="17"/>
      <c r="I182" s="1171">
        <f>+I198*I45*C8</f>
        <v>2.9434800000019096E-3</v>
      </c>
      <c r="J182" s="292">
        <f>+J198*J45*D8</f>
        <v>-9.2720000000007172E-3</v>
      </c>
      <c r="K182" s="292">
        <f>+K198*K45*E8</f>
        <v>-4.8688000000235681E-4</v>
      </c>
      <c r="L182" s="292">
        <f>+L198*L45*F8</f>
        <v>-3.4301000000006514E-2</v>
      </c>
      <c r="M182" s="270">
        <f>SUM(I182:L182)</f>
        <v>-4.1116400000007679E-2</v>
      </c>
      <c r="N182" s="17"/>
      <c r="O182" s="1171">
        <f>+O198*O45*I8</f>
        <v>6.7568000000027394E-3</v>
      </c>
      <c r="P182" s="292">
        <f>+P198*P45*J8</f>
        <v>7.759199999998005E-3</v>
      </c>
      <c r="Q182" s="292">
        <f>+Q198*Q45*K8</f>
        <v>0</v>
      </c>
      <c r="R182" s="292">
        <f>+R198*R45*L8</f>
        <v>-0.90035607999999978</v>
      </c>
      <c r="S182" s="270">
        <f>SUM(O182:R182)</f>
        <v>-0.88584007999999903</v>
      </c>
      <c r="T182" s="17"/>
      <c r="U182" s="1171">
        <f>+U198*U45*O8</f>
        <v>-0.27257840000000033</v>
      </c>
      <c r="V182" s="292">
        <f>+V198*V45*P8</f>
        <v>-8.2734800000039566E-3</v>
      </c>
      <c r="W182" s="292">
        <f>+W198*W45*Q8</f>
        <v>-0.62287359999999981</v>
      </c>
      <c r="X182" s="292">
        <f>+X198*X45*R8</f>
        <v>0.36623640000000102</v>
      </c>
      <c r="Y182" s="270">
        <f>SUM(U182:X182)</f>
        <v>-0.53748908000000306</v>
      </c>
      <c r="Z182" s="17"/>
      <c r="AA182" s="1171">
        <f>+AA198*AA45*U8</f>
        <v>0.16591564000000084</v>
      </c>
      <c r="AB182" s="292">
        <f>+AB198*AB45*V8</f>
        <v>6.8618000000001581E-2</v>
      </c>
      <c r="AC182" s="292">
        <f>+AC198*AC45*W8</f>
        <v>5.1426560000000947E-2</v>
      </c>
      <c r="AD182" s="292">
        <f>+AD198*AD45*X8</f>
        <v>0.24163276000000436</v>
      </c>
      <c r="AE182" s="270">
        <f>SUM(AA182:AD182)</f>
        <v>0.52759296000000777</v>
      </c>
      <c r="AF182" s="17"/>
      <c r="AG182" s="1171">
        <f>+AG198*AG45*AA8</f>
        <v>-0.26455740000000061</v>
      </c>
      <c r="AH182" s="292">
        <f>+AH198*AH45*AB8</f>
        <v>0.14992280000000172</v>
      </c>
      <c r="AI182" s="292">
        <f>+AI198*AI45*AC8</f>
        <v>4.4376000000005633E-2</v>
      </c>
      <c r="AJ182" s="292">
        <f>+AJ198*AJ45*AD8</f>
        <v>0.3611307427947944</v>
      </c>
      <c r="AK182" s="270">
        <f>SUM(AG182:AJ182)</f>
        <v>0.29087214279480111</v>
      </c>
      <c r="AL182" s="17"/>
      <c r="AM182" s="1171">
        <f>+AM198*AM45*AG8</f>
        <v>-0.19220839999999578</v>
      </c>
      <c r="AN182" s="292">
        <f>+AN198*AN45*AH8</f>
        <v>1.4199999999981354E-3</v>
      </c>
      <c r="AO182" s="292">
        <f>+AO198*AO45*AI8</f>
        <v>0.1172159999999894</v>
      </c>
      <c r="AP182" s="292">
        <f>+AP198*AP45*AJ8</f>
        <v>-0.24860723999999443</v>
      </c>
      <c r="AQ182" s="270">
        <f>SUM(AM182:AP182)</f>
        <v>-0.32217964000000265</v>
      </c>
      <c r="AR182" s="17"/>
      <c r="AS182" s="1171">
        <f>+AS198*AS45*AM8</f>
        <v>-4.3879000000003776E-2</v>
      </c>
      <c r="AT182" s="292">
        <f>+AT198*AT45*AN8</f>
        <v>-0.14564431999999508</v>
      </c>
      <c r="AU182" s="292">
        <f>+AU198*AU45*AO8</f>
        <v>-0.17792027999999613</v>
      </c>
      <c r="AV182" s="292">
        <f>+AV198*AV45*AP8</f>
        <v>-0.17654247999999684</v>
      </c>
      <c r="AW182" s="270">
        <f>SUM(AS182:AV182)</f>
        <v>-0.54398607999999182</v>
      </c>
      <c r="AX182" s="17"/>
      <c r="AY182" s="1171">
        <f>+AY198*AY45*AS8</f>
        <v>1.0762776895412172</v>
      </c>
      <c r="AZ182" s="292">
        <f>+AZ198*AZ45*AT8</f>
        <v>-3.5963710407335023</v>
      </c>
      <c r="BA182" s="292">
        <f>+BA198*BA45*AU8</f>
        <v>-5.8048999137523341</v>
      </c>
      <c r="BB182" s="292">
        <f>+BB198*BB45*AV8</f>
        <v>-5.6342063600000039</v>
      </c>
      <c r="BC182" s="270">
        <f>SUM(AY182:BB182)</f>
        <v>-13.959199624944624</v>
      </c>
      <c r="BD182" s="17"/>
      <c r="BE182" s="1171">
        <f>+BE198*BE45*AY8</f>
        <v>-0.86458136000000796</v>
      </c>
      <c r="BF182" s="292">
        <f>+BF198*BF45*AZ8</f>
        <v>-0.62149763999999608</v>
      </c>
      <c r="BG182" s="292">
        <f>+BG198*BG45*BA8</f>
        <v>-0.55784600000000006</v>
      </c>
      <c r="BH182" s="292">
        <f>+BH198*BH45*BB8</f>
        <v>-0.42312688000000631</v>
      </c>
      <c r="BI182" s="270">
        <f>SUM(BE182:BH182)</f>
        <v>-2.4670518800000103</v>
      </c>
      <c r="BJ182" s="17"/>
      <c r="BK182" s="1171">
        <f>+BK198*BK45*BE8</f>
        <v>-3.0689083999999984</v>
      </c>
      <c r="BL182" s="292">
        <f>+BL198*BL45*BF8</f>
        <v>-1.1170644000000065</v>
      </c>
      <c r="BM182" s="292">
        <f>+BM198*BM45*BG8</f>
        <v>-0.92187767999999481</v>
      </c>
      <c r="BN182" s="292">
        <f>+BN198*BN45*BH8</f>
        <v>-0.84180363999999164</v>
      </c>
      <c r="BO182" s="270">
        <f>SUM(BK182:BN182)</f>
        <v>-5.9496541199999911</v>
      </c>
      <c r="BP182" s="17"/>
      <c r="BQ182" s="1171">
        <f>+BQ198*BQ45*BK8</f>
        <v>-0.54656815999998987</v>
      </c>
      <c r="BR182" s="292">
        <f>+BR198*BR45*BL8</f>
        <v>0.2882699199999923</v>
      </c>
      <c r="BS182" s="292">
        <f>+BS198*BS45*BM8</f>
        <v>0.62137143999999678</v>
      </c>
      <c r="BT182" s="292">
        <f>+BT198*BT45*BN8</f>
        <v>0.40773297624630639</v>
      </c>
      <c r="BU182" s="270">
        <f>SUM(BQ182:BT182)</f>
        <v>0.77080617624630565</v>
      </c>
      <c r="BV182" s="17"/>
      <c r="BW182" s="1171">
        <f>+BW198*BW45*BQ8</f>
        <v>-7.3376000000071329E-3</v>
      </c>
      <c r="BX182" s="292">
        <f>+BX198*BX45*BR8</f>
        <v>-6.8191999999975567E-3</v>
      </c>
      <c r="BY182" s="292">
        <f>+BY198*BY45*BS8</f>
        <v>-1.9824000000055889E-3</v>
      </c>
      <c r="BZ182" s="292">
        <f>+BZ198*BZ45*BT8</f>
        <v>-4.1007999999995281E-3</v>
      </c>
      <c r="CA182" s="270">
        <f>SUM(BW182:BZ182)</f>
        <v>-2.0240000000009806E-2</v>
      </c>
      <c r="CB182" s="17"/>
      <c r="CC182" s="1171">
        <f>+CC198*CC45*BW8</f>
        <v>7.1908480000009685E-3</v>
      </c>
      <c r="CD182" s="292">
        <f>+CD198*CD45*BX8</f>
        <v>6.682815999997386E-3</v>
      </c>
      <c r="CE182" s="292">
        <f>+CE198*CE45*BY8</f>
        <v>1.9427519999989341E-3</v>
      </c>
      <c r="CF182" s="292">
        <f>+CF198*CF45*BZ8</f>
        <v>4.0187839999911547E-3</v>
      </c>
      <c r="CG182" s="270">
        <f>SUM(CC182:CF182)</f>
        <v>1.9835199999988444E-2</v>
      </c>
      <c r="CH182" s="17"/>
      <c r="CI182" s="1171">
        <f>+CI198*CI45*CC8</f>
        <v>7.3346649599999349E-3</v>
      </c>
      <c r="CJ182" s="292">
        <f>+CJ198*CJ45*CD8</f>
        <v>6.8164723200121796E-3</v>
      </c>
      <c r="CK182" s="292">
        <f>+CK198*CK45*CE8</f>
        <v>1.9816070399995634E-3</v>
      </c>
      <c r="CL182" s="292">
        <f>+CL198*CL45*CF8</f>
        <v>4.099159679991398E-3</v>
      </c>
      <c r="CM182" s="270">
        <f>SUM(CI182:CL182)</f>
        <v>2.0231904000003076E-2</v>
      </c>
    </row>
    <row r="183" spans="2:91" x14ac:dyDescent="0.2">
      <c r="B183" s="271" t="s">
        <v>436</v>
      </c>
      <c r="C183" s="272">
        <f>+IFERROR(C182/'P&amp;L'!C$8,"NM")</f>
        <v>0</v>
      </c>
      <c r="D183" s="651">
        <f>+IFERROR(D182/'P&amp;L'!D$8,"NM")</f>
        <v>0</v>
      </c>
      <c r="E183" s="651">
        <f>+IFERROR(E182/'P&amp;L'!E$8,"NM")</f>
        <v>0</v>
      </c>
      <c r="F183" s="651">
        <f>+IFERROR(F182/'P&amp;L'!F$8,"NM")</f>
        <v>0</v>
      </c>
      <c r="G183" s="274">
        <f>+IFERROR(G182/'P&amp;L'!G$8,"NM")</f>
        <v>0</v>
      </c>
      <c r="H183" s="586"/>
      <c r="I183" s="272">
        <f>+IFERROR(I182/'P&amp;L'!I$8,"NM")</f>
        <v>4.1965603226702898E-6</v>
      </c>
      <c r="J183" s="651">
        <f>+IFERROR(J182/'P&amp;L'!J$8,"NM")</f>
        <v>-1.2496091602066758E-5</v>
      </c>
      <c r="K183" s="651">
        <f>+IFERROR(K182/'P&amp;L'!K$8,"NM")</f>
        <v>-6.2665873819075817E-7</v>
      </c>
      <c r="L183" s="651">
        <f>+IFERROR(L182/'P&amp;L'!L$8,"NM")</f>
        <v>-4.4066712230926622E-5</v>
      </c>
      <c r="M183" s="274">
        <f>+IFERROR(M182/'P&amp;L'!M$8,"NM")</f>
        <v>-1.3711275677131105E-5</v>
      </c>
      <c r="N183" s="586"/>
      <c r="O183" s="272">
        <f>+IFERROR(O182/'P&amp;L'!O$8,"NM")</f>
        <v>9.0834418888562737E-6</v>
      </c>
      <c r="P183" s="651">
        <f>+IFERROR(P182/'P&amp;L'!P$8,"NM")</f>
        <v>1.0216719489214067E-5</v>
      </c>
      <c r="Q183" s="651">
        <f>+IFERROR(Q182/'P&amp;L'!Q$8,"NM")</f>
        <v>0</v>
      </c>
      <c r="R183" s="651">
        <f>+IFERROR(R182/'P&amp;L'!R$8,"NM")</f>
        <v>-1.1544743577249948E-3</v>
      </c>
      <c r="S183" s="274">
        <f>+IFERROR(S182/'P&amp;L'!S$8,"NM")</f>
        <v>-2.8628800666531543E-4</v>
      </c>
      <c r="T183" s="586"/>
      <c r="U183" s="272">
        <f>+IFERROR(U182/'P&amp;L'!U$8,"NM")</f>
        <v>-3.452199209958729E-4</v>
      </c>
      <c r="V183" s="651">
        <f>+IFERROR(V182/'P&amp;L'!V$8,"NM")</f>
        <v>-1.0152119575292204E-5</v>
      </c>
      <c r="W183" s="651">
        <f>+IFERROR(W182/'P&amp;L'!W$8,"NM")</f>
        <v>-7.5952414630696353E-4</v>
      </c>
      <c r="X183" s="651">
        <f>+IFERROR(X182/'P&amp;L'!X$8,"NM")</f>
        <v>4.5060718882034473E-4</v>
      </c>
      <c r="Y183" s="274">
        <f>+IFERROR(Y182/'P&amp;L'!Y$8,"NM")</f>
        <v>-1.6602615204412555E-4</v>
      </c>
      <c r="Z183" s="586"/>
      <c r="AA183" s="272">
        <f>+IFERROR(AA182/'P&amp;L'!AA$8,"NM")</f>
        <v>1.9524379638662491E-4</v>
      </c>
      <c r="AB183" s="651">
        <f>+IFERROR(AB182/'P&amp;L'!AB$8,"NM")</f>
        <v>8.0029017487469971E-5</v>
      </c>
      <c r="AC183" s="651">
        <f>+IFERROR(AC182/'P&amp;L'!AC$8,"NM")</f>
        <v>6.2361680713030914E-5</v>
      </c>
      <c r="AD183" s="651">
        <f>+IFERROR(AD182/'P&amp;L'!AD$8,"NM")</f>
        <v>2.7339620442647685E-4</v>
      </c>
      <c r="AE183" s="274">
        <f>+IFERROR(AE182/'P&amp;L'!AE$8,"NM")</f>
        <v>1.5446250955156903E-4</v>
      </c>
      <c r="AF183" s="586"/>
      <c r="AG183" s="272">
        <f>+IFERROR(AG182/'P&amp;L'!AG$8,"NM")</f>
        <v>-3.1219085650360811E-4</v>
      </c>
      <c r="AH183" s="273">
        <f>+IFERROR(AH182/'P&amp;L'!AH$8,"NM")</f>
        <v>1.7496460977388967E-4</v>
      </c>
      <c r="AI183" s="273">
        <f>+IFERROR(AI182/'P&amp;L'!AI$8,"NM")</f>
        <v>4.9580460990140703E-5</v>
      </c>
      <c r="AJ183" s="273">
        <f>+IFERROR(AJ182/'P&amp;L'!AJ$8,"NM")</f>
        <v>3.8568581595327568E-4</v>
      </c>
      <c r="AK183" s="1056">
        <f>+IFERROR(AK182/'P&amp;L'!AK$8,"NM")</f>
        <v>8.2268108507801261E-5</v>
      </c>
      <c r="AL183" s="1057"/>
      <c r="AM183" s="1058">
        <f>+IFERROR(AM182/'P&amp;L'!AM$8,"NM")</f>
        <v>-2.1615271725378366E-4</v>
      </c>
      <c r="AN183" s="1059">
        <f>+IFERROR(AN182/'P&amp;L'!AN$8,"NM")</f>
        <v>1.6374670920984549E-6</v>
      </c>
      <c r="AO183" s="1059">
        <f>+IFERROR(AO182/'P&amp;L'!AO$8,"NM")</f>
        <v>1.2798448672886976E-4</v>
      </c>
      <c r="AP183" s="1059">
        <f>+IFERROR(AP182/'P&amp;L'!AP$8,"NM")</f>
        <v>-2.5764197099694428E-4</v>
      </c>
      <c r="AQ183" s="1056">
        <f>+IFERROR(AQ182/'P&amp;L'!AQ$8,"NM")</f>
        <v>-8.8578735580989679E-5</v>
      </c>
      <c r="AR183" s="1057"/>
      <c r="AS183" s="1058">
        <f>+IFERROR(AS182/'P&amp;L'!AS$8,"NM")</f>
        <v>-4.9855418264455361E-5</v>
      </c>
      <c r="AT183" s="1059">
        <f>+IFERROR(AT182/'P&amp;L'!AT$8,"NM")</f>
        <v>-1.4581433951987526E-4</v>
      </c>
      <c r="AU183" s="1059">
        <f>+IFERROR(AU182/'P&amp;L'!AU$8,"NM")</f>
        <v>-1.643333619660085E-4</v>
      </c>
      <c r="AV183" s="1059">
        <f>+IFERROR(AV182/'P&amp;L'!AV$8,"NM")</f>
        <v>-1.6019069447960246E-4</v>
      </c>
      <c r="AW183" s="1056">
        <f>+IFERROR(AW182/'P&amp;L'!AW$8,"NM")</f>
        <v>-1.3386423014409029E-4</v>
      </c>
      <c r="AX183" s="1057"/>
      <c r="AY183" s="1058">
        <f>+IFERROR(AY182/'P&amp;L'!AY$8,"NM")</f>
        <v>1.146249333878496E-3</v>
      </c>
      <c r="AZ183" s="1059">
        <f>+IFERROR(AZ182/'P&amp;L'!AZ$8,"NM")</f>
        <v>-3.6764439908543089E-3</v>
      </c>
      <c r="BA183" s="1059">
        <f>+IFERROR(BA182/'P&amp;L'!BA$8,"NM")</f>
        <v>-6.0554249549901878E-3</v>
      </c>
      <c r="BB183" s="1059">
        <f>+IFERROR(BB182/'P&amp;L'!BB$8,"NM")</f>
        <v>-5.4433568263126562E-3</v>
      </c>
      <c r="BC183" s="1056">
        <f>+IFERROR(BC182/'P&amp;L'!BC$8,"NM")</f>
        <v>-3.5693381451276443E-3</v>
      </c>
      <c r="BD183" s="1057"/>
      <c r="BE183" s="1058">
        <f>+IFERROR(BE182/'P&amp;L'!BE$8,"NM")</f>
        <v>-7.5650017937298913E-4</v>
      </c>
      <c r="BF183" s="1059">
        <f>+IFERROR(BF182/'P&amp;L'!BF$8,"NM")</f>
        <v>-4.4737486773057788E-4</v>
      </c>
      <c r="BG183" s="1059">
        <f>+IFERROR(BG182/'P&amp;L'!BG$8,"NM")</f>
        <v>-3.982187995457054E-4</v>
      </c>
      <c r="BH183" s="1059">
        <f>+IFERROR(BH182/'P&amp;L'!BH$8,"NM")</f>
        <v>-2.9105489864284331E-4</v>
      </c>
      <c r="BI183" s="1056">
        <f>+IFERROR(BI182/'P&amp;L'!BI$8,"NM")</f>
        <v>-4.5798921529551759E-4</v>
      </c>
      <c r="BJ183" s="1057"/>
      <c r="BK183" s="1058">
        <f>+IFERROR(BK182/'P&amp;L'!BK$8,"NM")</f>
        <v>-2.3032313747151823E-3</v>
      </c>
      <c r="BL183" s="1059">
        <f>+IFERROR(BL182/'P&amp;L'!BL$8,"NM")</f>
        <v>-7.8764074653038974E-4</v>
      </c>
      <c r="BM183" s="1059">
        <f>+IFERROR(BM182/'P&amp;L'!BM$8,"NM")</f>
        <v>-6.5970073378187125E-4</v>
      </c>
      <c r="BN183" s="1059">
        <f>+IFERROR(BN182/'P&amp;L'!BN$8,"NM")</f>
        <v>-5.8255017189930169E-4</v>
      </c>
      <c r="BO183" s="1056">
        <f>+IFERROR(BO182/'P&amp;L'!BO$8,"NM")</f>
        <v>-1.0637437912638121E-3</v>
      </c>
      <c r="BP183" s="1057"/>
      <c r="BQ183" s="1058">
        <f>+IFERROR(BQ182/'P&amp;L'!BQ$8,"NM")</f>
        <v>-4.1911040053982189E-4</v>
      </c>
      <c r="BR183" s="1059">
        <f>+IFERROR(BR182/'P&amp;L'!BR$8,"NM")</f>
        <v>2.0802642925749423E-4</v>
      </c>
      <c r="BS183" s="1059">
        <f>+IFERROR(BS182/'P&amp;L'!BS$8,"NM")</f>
        <v>4.518335512375433E-4</v>
      </c>
      <c r="BT183" s="1059">
        <f>+IFERROR(BT182/'P&amp;L'!BT$8,"NM")</f>
        <v>2.8284094420672683E-4</v>
      </c>
      <c r="BU183" s="1056">
        <f>+IFERROR(BU182/'P&amp;L'!BU$8,"NM")</f>
        <v>1.3997766837080521E-4</v>
      </c>
      <c r="BV183" s="1057"/>
      <c r="BW183" s="1058">
        <f>+IFERROR(BW182/'P&amp;L'!BW$8,"NM")</f>
        <v>-5.5979409379292459E-6</v>
      </c>
      <c r="BX183" s="1059">
        <f>+IFERROR(BX182/'P&amp;L'!BX$8,"NM")</f>
        <v>-4.7607798200892403E-6</v>
      </c>
      <c r="BY183" s="1059">
        <f>+IFERROR(BY182/'P&amp;L'!BY$8,"NM")</f>
        <v>-1.4034901509424411E-6</v>
      </c>
      <c r="BZ183" s="1059">
        <f>+IFERROR(BZ182/'P&amp;L'!BZ$8,"NM")</f>
        <v>-2.7408699211106233E-6</v>
      </c>
      <c r="CA183" s="1056">
        <f>+IFERROR(CA182/'P&amp;L'!CA$8,"NM")</f>
        <v>-3.5811700538711241E-6</v>
      </c>
      <c r="CB183" s="1057"/>
      <c r="CC183" s="1058">
        <f>+IFERROR(CC182/'P&amp;L'!CC$8,"NM")</f>
        <v>5.3529667141570691E-6</v>
      </c>
      <c r="CD183" s="1059">
        <f>+IFERROR(CD182/'P&amp;L'!CD$8,"NM")</f>
        <v>4.5543621831176831E-6</v>
      </c>
      <c r="CE183" s="1059">
        <f>+IFERROR(CE182/'P&amp;L'!CE$8,"NM")</f>
        <v>1.3396961415735321E-6</v>
      </c>
      <c r="CF183" s="1059">
        <f>+IFERROR(CF182/'P&amp;L'!CF$8,"NM")</f>
        <v>2.6159094729767097E-6</v>
      </c>
      <c r="CG183" s="1056">
        <f>+IFERROR(CG182/'P&amp;L'!CG$8,"NM")</f>
        <v>3.4215656805780284E-6</v>
      </c>
      <c r="CH183" s="1057"/>
      <c r="CI183" s="1058">
        <f>+IFERROR(CI182/'P&amp;L'!CI$8,"NM")</f>
        <v>5.3163736458366115E-6</v>
      </c>
      <c r="CJ183" s="1059">
        <f>+IFERROR(CJ182/'P&amp;L'!CJ$8,"NM")</f>
        <v>4.5230002505903172E-6</v>
      </c>
      <c r="CK183" s="1059">
        <f>+IFERROR(CK182/'P&amp;L'!CK$8,"NM")</f>
        <v>1.3308594188296474E-6</v>
      </c>
      <c r="CL183" s="1059">
        <f>+IFERROR(CL182/'P&amp;L'!CL$8,"NM")</f>
        <v>2.5982797917617353E-6</v>
      </c>
      <c r="CM183" s="1056">
        <f>+IFERROR(CM182/'P&amp;L'!CM$8,"NM")</f>
        <v>3.3984253172961331E-6</v>
      </c>
    </row>
    <row r="184" spans="2:91" x14ac:dyDescent="0.2">
      <c r="B184" s="267" t="s">
        <v>267</v>
      </c>
      <c r="C184" s="268">
        <v>0</v>
      </c>
      <c r="D184" s="584">
        <v>0</v>
      </c>
      <c r="E184" s="584">
        <v>0</v>
      </c>
      <c r="F184" s="584">
        <v>0</v>
      </c>
      <c r="G184" s="270">
        <f>SUM(C184:F184)</f>
        <v>0</v>
      </c>
      <c r="H184" s="17"/>
      <c r="I184" s="268">
        <v>0</v>
      </c>
      <c r="J184" s="584">
        <v>0</v>
      </c>
      <c r="K184" s="584">
        <v>0</v>
      </c>
      <c r="L184" s="584">
        <v>0</v>
      </c>
      <c r="M184" s="270">
        <f>SUM(I184:L184)</f>
        <v>0</v>
      </c>
      <c r="N184" s="17"/>
      <c r="O184" s="268">
        <v>0</v>
      </c>
      <c r="P184" s="584">
        <v>-6</v>
      </c>
      <c r="Q184" s="584">
        <v>-6</v>
      </c>
      <c r="R184" s="584">
        <v>-6</v>
      </c>
      <c r="S184" s="270">
        <f>SUM(O184:R184)</f>
        <v>-18</v>
      </c>
      <c r="T184" s="17"/>
      <c r="U184" s="268">
        <v>-6</v>
      </c>
      <c r="V184" s="584">
        <v>0</v>
      </c>
      <c r="W184" s="584">
        <v>0</v>
      </c>
      <c r="X184" s="584">
        <v>0</v>
      </c>
      <c r="Y184" s="270">
        <f>SUM(U184:X184)</f>
        <v>-6</v>
      </c>
      <c r="Z184" s="17"/>
      <c r="AA184" s="268">
        <v>0</v>
      </c>
      <c r="AB184" s="584">
        <v>0</v>
      </c>
      <c r="AC184" s="584">
        <v>0</v>
      </c>
      <c r="AD184" s="584">
        <v>0</v>
      </c>
      <c r="AE184" s="270">
        <f>SUM(AA184:AD184)</f>
        <v>0</v>
      </c>
      <c r="AF184" s="17"/>
      <c r="AG184" s="268">
        <v>0</v>
      </c>
      <c r="AH184" s="269">
        <v>0</v>
      </c>
      <c r="AI184" s="269">
        <v>0</v>
      </c>
      <c r="AJ184" s="269">
        <v>0</v>
      </c>
      <c r="AK184" s="270">
        <f>SUM(AG184:AJ184)</f>
        <v>0</v>
      </c>
      <c r="AL184" s="17"/>
      <c r="AM184" s="268">
        <v>0</v>
      </c>
      <c r="AN184" s="269">
        <v>0</v>
      </c>
      <c r="AO184" s="269">
        <v>0</v>
      </c>
      <c r="AP184" s="269">
        <v>0</v>
      </c>
      <c r="AQ184" s="270">
        <f>SUM(AM184:AP184)</f>
        <v>0</v>
      </c>
      <c r="AR184" s="17"/>
      <c r="AS184" s="268">
        <v>-4</v>
      </c>
      <c r="AT184" s="269">
        <v>-4</v>
      </c>
      <c r="AU184" s="269">
        <v>-4</v>
      </c>
      <c r="AV184" s="269">
        <v>-4</v>
      </c>
      <c r="AW184" s="270">
        <f>SUM(AS184:AV184)</f>
        <v>-16</v>
      </c>
      <c r="AX184" s="17"/>
      <c r="AY184" s="268">
        <v>-1</v>
      </c>
      <c r="AZ184" s="269">
        <v>-1</v>
      </c>
      <c r="BA184" s="269">
        <v>-1</v>
      </c>
      <c r="BB184" s="269">
        <v>-1</v>
      </c>
      <c r="BC184" s="270">
        <f>SUM(AY184:BB184)</f>
        <v>-4</v>
      </c>
      <c r="BD184" s="17"/>
      <c r="BE184" s="268">
        <v>-2.5</v>
      </c>
      <c r="BF184" s="269">
        <v>-11</v>
      </c>
      <c r="BG184" s="269">
        <v>-19</v>
      </c>
      <c r="BH184" s="269">
        <v>-15</v>
      </c>
      <c r="BI184" s="270">
        <f>SUM(BE184:BH184)</f>
        <v>-47.5</v>
      </c>
      <c r="BJ184" s="17"/>
      <c r="BK184" s="268">
        <v>0</v>
      </c>
      <c r="BL184" s="269">
        <v>0</v>
      </c>
      <c r="BM184" s="269">
        <v>0</v>
      </c>
      <c r="BN184" s="269">
        <v>0</v>
      </c>
      <c r="BO184" s="270">
        <f>SUM(BK184:BN184)</f>
        <v>0</v>
      </c>
      <c r="BP184" s="17"/>
      <c r="BQ184" s="268">
        <v>0</v>
      </c>
      <c r="BR184" s="269">
        <v>0</v>
      </c>
      <c r="BS184" s="269">
        <v>0</v>
      </c>
      <c r="BT184" s="269">
        <v>0</v>
      </c>
      <c r="BU184" s="270">
        <f>SUM(BQ184:BT184)</f>
        <v>0</v>
      </c>
      <c r="BV184" s="17"/>
      <c r="BW184" s="268">
        <v>0</v>
      </c>
      <c r="BX184" s="269">
        <v>0</v>
      </c>
      <c r="BY184" s="269">
        <v>0</v>
      </c>
      <c r="BZ184" s="269">
        <v>0</v>
      </c>
      <c r="CA184" s="270">
        <f>SUM(BW184:BZ184)</f>
        <v>0</v>
      </c>
      <c r="CB184" s="17"/>
      <c r="CC184" s="268">
        <v>0</v>
      </c>
      <c r="CD184" s="269">
        <v>0</v>
      </c>
      <c r="CE184" s="269">
        <v>0</v>
      </c>
      <c r="CF184" s="269">
        <v>0</v>
      </c>
      <c r="CG184" s="270">
        <f>SUM(CC184:CF184)</f>
        <v>0</v>
      </c>
      <c r="CH184" s="17"/>
      <c r="CI184" s="268">
        <v>0</v>
      </c>
      <c r="CJ184" s="269">
        <v>0</v>
      </c>
      <c r="CK184" s="269">
        <v>0</v>
      </c>
      <c r="CL184" s="269">
        <v>0</v>
      </c>
      <c r="CM184" s="270">
        <f>SUM(CI184:CL184)</f>
        <v>0</v>
      </c>
    </row>
    <row r="185" spans="2:91" x14ac:dyDescent="0.2">
      <c r="B185" s="271" t="s">
        <v>436</v>
      </c>
      <c r="C185" s="272">
        <f>+IFERROR(C184/'P&amp;L'!C$8,"NM")</f>
        <v>0</v>
      </c>
      <c r="D185" s="651">
        <f>+IFERROR(D184/'P&amp;L'!D$8,"NM")</f>
        <v>0</v>
      </c>
      <c r="E185" s="651">
        <f>+IFERROR(E184/'P&amp;L'!E$8,"NM")</f>
        <v>0</v>
      </c>
      <c r="F185" s="651">
        <f>+IFERROR(F184/'P&amp;L'!F$8,"NM")</f>
        <v>0</v>
      </c>
      <c r="G185" s="274">
        <f>+IFERROR(G184/'P&amp;L'!G$8,"NM")</f>
        <v>0</v>
      </c>
      <c r="H185" s="586"/>
      <c r="I185" s="272">
        <f>+IFERROR(I184/'P&amp;L'!I$8,"NM")</f>
        <v>0</v>
      </c>
      <c r="J185" s="651">
        <f>+IFERROR(J184/'P&amp;L'!J$8,"NM")</f>
        <v>0</v>
      </c>
      <c r="K185" s="651">
        <f>+IFERROR(K184/'P&amp;L'!K$8,"NM")</f>
        <v>0</v>
      </c>
      <c r="L185" s="651">
        <f>+IFERROR(L184/'P&amp;L'!L$8,"NM")</f>
        <v>0</v>
      </c>
      <c r="M185" s="274">
        <f>+IFERROR(M184/'P&amp;L'!M$8,"NM")</f>
        <v>0</v>
      </c>
      <c r="N185" s="586"/>
      <c r="O185" s="272">
        <f>+IFERROR(O184/'P&amp;L'!O$8,"NM")</f>
        <v>0</v>
      </c>
      <c r="P185" s="651">
        <f>+IFERROR(P184/'P&amp;L'!P$8,"NM")</f>
        <v>-7.9003398462857213E-3</v>
      </c>
      <c r="Q185" s="651">
        <f>+IFERROR(Q184/'P&amp;L'!Q$8,"NM")</f>
        <v>-7.3980639266703905E-3</v>
      </c>
      <c r="R185" s="651">
        <f>+IFERROR(R184/'P&amp;L'!R$8,"NM")</f>
        <v>-7.6934518466848911E-3</v>
      </c>
      <c r="S185" s="274">
        <f>+IFERROR(S184/'P&amp;L'!S$8,"NM")</f>
        <v>-5.8172848986192665E-3</v>
      </c>
      <c r="T185" s="586"/>
      <c r="U185" s="272">
        <f>+IFERROR(U184/'P&amp;L'!U$8,"NM")</f>
        <v>-7.5989862952282172E-3</v>
      </c>
      <c r="V185" s="651">
        <f>+IFERROR(V184/'P&amp;L'!V$8,"NM")</f>
        <v>0</v>
      </c>
      <c r="W185" s="651">
        <f>+IFERROR(W184/'P&amp;L'!W$8,"NM")</f>
        <v>0</v>
      </c>
      <c r="X185" s="651">
        <f>+IFERROR(X184/'P&amp;L'!X$8,"NM")</f>
        <v>0</v>
      </c>
      <c r="Y185" s="274">
        <f>+IFERROR(Y184/'P&amp;L'!Y$8,"NM")</f>
        <v>-1.8533528388423215E-3</v>
      </c>
      <c r="Z185" s="586"/>
      <c r="AA185" s="272">
        <f>+IFERROR(AA184/'P&amp;L'!AA$8,"NM")</f>
        <v>0</v>
      </c>
      <c r="AB185" s="651">
        <f>+IFERROR(AB184/'P&amp;L'!AB$8,"NM")</f>
        <v>0</v>
      </c>
      <c r="AC185" s="651">
        <f>+IFERROR(AC184/'P&amp;L'!AC$8,"NM")</f>
        <v>0</v>
      </c>
      <c r="AD185" s="651">
        <f>+IFERROR(AD184/'P&amp;L'!AD$8,"NM")</f>
        <v>0</v>
      </c>
      <c r="AE185" s="274">
        <f>+IFERROR(AE184/'P&amp;L'!AE$8,"NM")</f>
        <v>0</v>
      </c>
      <c r="AF185" s="586"/>
      <c r="AG185" s="272">
        <f>+IFERROR(AG184/'P&amp;L'!AG$8,"NM")</f>
        <v>0</v>
      </c>
      <c r="AH185" s="273">
        <f>+IFERROR(AH184/'P&amp;L'!AH$8,"NM")</f>
        <v>0</v>
      </c>
      <c r="AI185" s="273">
        <f>+IFERROR(AI184/'P&amp;L'!AI$8,"NM")</f>
        <v>0</v>
      </c>
      <c r="AJ185" s="273">
        <f>+IFERROR(AJ184/'P&amp;L'!AJ$8,"NM")</f>
        <v>0</v>
      </c>
      <c r="AK185" s="1056">
        <f>+IFERROR(AK184/'P&amp;L'!AK$8,"NM")</f>
        <v>0</v>
      </c>
      <c r="AL185" s="1057"/>
      <c r="AM185" s="1058">
        <f>+IFERROR(AM184/'P&amp;L'!AM$8,"NM")</f>
        <v>0</v>
      </c>
      <c r="AN185" s="1059">
        <f>+IFERROR(AN184/'P&amp;L'!AN$8,"NM")</f>
        <v>0</v>
      </c>
      <c r="AO185" s="1059">
        <f>+IFERROR(AO184/'P&amp;L'!AO$8,"NM")</f>
        <v>0</v>
      </c>
      <c r="AP185" s="1059">
        <f>+IFERROR(AP184/'P&amp;L'!AP$8,"NM")</f>
        <v>0</v>
      </c>
      <c r="AQ185" s="1056">
        <f>+IFERROR(AQ184/'P&amp;L'!AQ$8,"NM")</f>
        <v>0</v>
      </c>
      <c r="AR185" s="1057"/>
      <c r="AS185" s="1058">
        <f>+IFERROR(AS184/'P&amp;L'!AS$8,"NM")</f>
        <v>-4.544808975997728E-3</v>
      </c>
      <c r="AT185" s="1059">
        <f>+IFERROR(AT184/'P&amp;L'!AT$8,"NM")</f>
        <v>-4.0046694445723717E-3</v>
      </c>
      <c r="AU185" s="1059">
        <f>+IFERROR(AU184/'P&amp;L'!AU$8,"NM")</f>
        <v>-3.6945391939808563E-3</v>
      </c>
      <c r="AV185" s="1059">
        <f>+IFERROR(AV184/'P&amp;L'!AV$8,"NM")</f>
        <v>-3.6295104607028364E-3</v>
      </c>
      <c r="AW185" s="1056">
        <f>+IFERROR(AW184/'P&amp;L'!AW$8,"NM")</f>
        <v>-3.9372839876812222E-3</v>
      </c>
      <c r="AX185" s="1057"/>
      <c r="AY185" s="1058">
        <f>+IFERROR(AY184/'P&amp;L'!AY$8,"NM")</f>
        <v>-1.0650126310498042E-3</v>
      </c>
      <c r="AZ185" s="1059">
        <f>+IFERROR(AZ184/'P&amp;L'!AZ$8,"NM")</f>
        <v>-1.0222649301793053E-3</v>
      </c>
      <c r="BA185" s="1059">
        <f>+IFERROR(BA184/'P&amp;L'!BA$8,"NM")</f>
        <v>-1.0431575126117743E-3</v>
      </c>
      <c r="BB185" s="1059">
        <f>+IFERROR(BB184/'P&amp;L'!BB$8,"NM")</f>
        <v>-9.6612663408243574E-4</v>
      </c>
      <c r="BC185" s="1056">
        <f>+IFERROR(BC184/'P&amp;L'!BC$8,"NM")</f>
        <v>-1.0227916330530459E-3</v>
      </c>
      <c r="BD185" s="1057"/>
      <c r="BE185" s="1058">
        <f>+IFERROR(BE184/'P&amp;L'!BE$8,"NM")</f>
        <v>-2.1874753909018525E-3</v>
      </c>
      <c r="BF185" s="1059">
        <f>+IFERROR(BF184/'P&amp;L'!BF$8,"NM")</f>
        <v>-7.9181693192533886E-3</v>
      </c>
      <c r="BG185" s="1059">
        <f>+IFERROR(BG184/'P&amp;L'!BG$8,"NM")</f>
        <v>-1.3563164728918737E-2</v>
      </c>
      <c r="BH185" s="1059">
        <f>+IFERROR(BH184/'P&amp;L'!BH$8,"NM")</f>
        <v>-1.0318000784168059E-2</v>
      </c>
      <c r="BI185" s="1056">
        <f>+IFERROR(BI184/'P&amp;L'!BI$8,"NM")</f>
        <v>-8.8180098290178612E-3</v>
      </c>
      <c r="BJ185" s="1057"/>
      <c r="BK185" s="1058">
        <f>+IFERROR(BK184/'P&amp;L'!BK$8,"NM")</f>
        <v>0</v>
      </c>
      <c r="BL185" s="1059">
        <f>+IFERROR(BL184/'P&amp;L'!BL$8,"NM")</f>
        <v>0</v>
      </c>
      <c r="BM185" s="1059">
        <f>+IFERROR(BM184/'P&amp;L'!BM$8,"NM")</f>
        <v>0</v>
      </c>
      <c r="BN185" s="1059">
        <f>+IFERROR(BN184/'P&amp;L'!BN$8,"NM")</f>
        <v>0</v>
      </c>
      <c r="BO185" s="1056">
        <f>+IFERROR(BO184/'P&amp;L'!BO$8,"NM")</f>
        <v>0</v>
      </c>
      <c r="BP185" s="1057"/>
      <c r="BQ185" s="1058">
        <f>+IFERROR(BQ184/'P&amp;L'!BQ$8,"NM")</f>
        <v>0</v>
      </c>
      <c r="BR185" s="1059">
        <f>+IFERROR(BR184/'P&amp;L'!BR$8,"NM")</f>
        <v>0</v>
      </c>
      <c r="BS185" s="1059">
        <f>+IFERROR(BS184/'P&amp;L'!BS$8,"NM")</f>
        <v>0</v>
      </c>
      <c r="BT185" s="1059">
        <f>+IFERROR(BT184/'P&amp;L'!BT$8,"NM")</f>
        <v>0</v>
      </c>
      <c r="BU185" s="1056">
        <f>+IFERROR(BU184/'P&amp;L'!BU$8,"NM")</f>
        <v>0</v>
      </c>
      <c r="BV185" s="1057"/>
      <c r="BW185" s="1058">
        <f>+IFERROR(BW184/'P&amp;L'!BW$8,"NM")</f>
        <v>0</v>
      </c>
      <c r="BX185" s="1059">
        <f>+IFERROR(BX184/'P&amp;L'!BX$8,"NM")</f>
        <v>0</v>
      </c>
      <c r="BY185" s="1059">
        <f>+IFERROR(BY184/'P&amp;L'!BY$8,"NM")</f>
        <v>0</v>
      </c>
      <c r="BZ185" s="1059">
        <f>+IFERROR(BZ184/'P&amp;L'!BZ$8,"NM")</f>
        <v>0</v>
      </c>
      <c r="CA185" s="1056">
        <f>+IFERROR(CA184/'P&amp;L'!CA$8,"NM")</f>
        <v>0</v>
      </c>
      <c r="CB185" s="1057"/>
      <c r="CC185" s="1058">
        <f>+IFERROR(CC184/'P&amp;L'!CC$8,"NM")</f>
        <v>0</v>
      </c>
      <c r="CD185" s="1059">
        <f>+IFERROR(CD184/'P&amp;L'!CD$8,"NM")</f>
        <v>0</v>
      </c>
      <c r="CE185" s="1059">
        <f>+IFERROR(CE184/'P&amp;L'!CE$8,"NM")</f>
        <v>0</v>
      </c>
      <c r="CF185" s="1059">
        <f>+IFERROR(CF184/'P&amp;L'!CF$8,"NM")</f>
        <v>0</v>
      </c>
      <c r="CG185" s="1056">
        <f>+IFERROR(CG184/'P&amp;L'!CG$8,"NM")</f>
        <v>0</v>
      </c>
      <c r="CH185" s="1057"/>
      <c r="CI185" s="1058">
        <f>+IFERROR(CI184/'P&amp;L'!CI$8,"NM")</f>
        <v>0</v>
      </c>
      <c r="CJ185" s="1059">
        <f>+IFERROR(CJ184/'P&amp;L'!CJ$8,"NM")</f>
        <v>0</v>
      </c>
      <c r="CK185" s="1059">
        <f>+IFERROR(CK184/'P&amp;L'!CK$8,"NM")</f>
        <v>0</v>
      </c>
      <c r="CL185" s="1059">
        <f>+IFERROR(CL184/'P&amp;L'!CL$8,"NM")</f>
        <v>0</v>
      </c>
      <c r="CM185" s="1056">
        <f>+IFERROR(CM184/'P&amp;L'!CM$8,"NM")</f>
        <v>0</v>
      </c>
    </row>
    <row r="186" spans="2:91" x14ac:dyDescent="0.2">
      <c r="B186" s="267" t="s">
        <v>496</v>
      </c>
      <c r="C186" s="268">
        <v>0</v>
      </c>
      <c r="D186" s="584">
        <v>0</v>
      </c>
      <c r="E186" s="584">
        <v>0</v>
      </c>
      <c r="F186" s="584">
        <v>0</v>
      </c>
      <c r="G186" s="270">
        <f>SUM(C186:F186)</f>
        <v>0</v>
      </c>
      <c r="H186" s="17"/>
      <c r="I186" s="268">
        <v>0</v>
      </c>
      <c r="J186" s="584">
        <v>0</v>
      </c>
      <c r="K186" s="584">
        <v>0</v>
      </c>
      <c r="L186" s="584">
        <v>0</v>
      </c>
      <c r="M186" s="270">
        <f>SUM(I186:L186)</f>
        <v>0</v>
      </c>
      <c r="N186" s="17"/>
      <c r="O186" s="268">
        <v>0</v>
      </c>
      <c r="P186" s="584">
        <v>0</v>
      </c>
      <c r="Q186" s="584">
        <v>0</v>
      </c>
      <c r="R186" s="584">
        <v>0</v>
      </c>
      <c r="S186" s="270">
        <f>SUM(O186:R186)</f>
        <v>0</v>
      </c>
      <c r="T186" s="17"/>
      <c r="U186" s="268">
        <v>0</v>
      </c>
      <c r="V186" s="584">
        <v>0</v>
      </c>
      <c r="W186" s="584">
        <v>0</v>
      </c>
      <c r="X186" s="584">
        <v>0</v>
      </c>
      <c r="Y186" s="270">
        <f>SUM(U186:X186)</f>
        <v>0</v>
      </c>
      <c r="Z186" s="17"/>
      <c r="AA186" s="268">
        <v>0</v>
      </c>
      <c r="AB186" s="584">
        <v>0</v>
      </c>
      <c r="AC186" s="584">
        <v>0</v>
      </c>
      <c r="AD186" s="584">
        <v>0</v>
      </c>
      <c r="AE186" s="270">
        <f>SUM(AA186:AD186)</f>
        <v>0</v>
      </c>
      <c r="AF186" s="17"/>
      <c r="AG186" s="268">
        <v>-7</v>
      </c>
      <c r="AH186" s="584">
        <v>-7</v>
      </c>
      <c r="AI186" s="584">
        <v>-6.5</v>
      </c>
      <c r="AJ186" s="584">
        <v>-3.496</v>
      </c>
      <c r="AK186" s="270">
        <f>SUM(AG186:AJ186)</f>
        <v>-23.995999999999999</v>
      </c>
      <c r="AL186" s="17"/>
      <c r="AM186" s="268">
        <v>-5</v>
      </c>
      <c r="AN186" s="269">
        <v>-5</v>
      </c>
      <c r="AO186" s="269">
        <v>-5</v>
      </c>
      <c r="AP186" s="269">
        <v>-5</v>
      </c>
      <c r="AQ186" s="270">
        <f>SUM(AM186:AP186)</f>
        <v>-20</v>
      </c>
      <c r="AR186" s="17"/>
      <c r="AS186" s="268">
        <v>-4</v>
      </c>
      <c r="AT186" s="269">
        <v>-4</v>
      </c>
      <c r="AU186" s="269">
        <v>-4</v>
      </c>
      <c r="AV186" s="269">
        <v>-5</v>
      </c>
      <c r="AW186" s="270">
        <f>SUM(AS186:AV186)</f>
        <v>-17</v>
      </c>
      <c r="AX186" s="17"/>
      <c r="AY186" s="268">
        <v>0</v>
      </c>
      <c r="AZ186" s="269">
        <v>-11.2</v>
      </c>
      <c r="BA186" s="269">
        <v>-2</v>
      </c>
      <c r="BB186" s="269">
        <v>0</v>
      </c>
      <c r="BC186" s="270">
        <f>SUM(AY186:BB186)</f>
        <v>-13.2</v>
      </c>
      <c r="BD186" s="17"/>
      <c r="BE186" s="268">
        <v>0</v>
      </c>
      <c r="BF186" s="269">
        <v>-5</v>
      </c>
      <c r="BG186" s="269">
        <v>0</v>
      </c>
      <c r="BH186" s="269">
        <v>0</v>
      </c>
      <c r="BI186" s="270">
        <f>SUM(BE186:BH186)</f>
        <v>-5</v>
      </c>
      <c r="BJ186" s="17"/>
      <c r="BK186" s="268">
        <v>0</v>
      </c>
      <c r="BL186" s="269">
        <v>-4</v>
      </c>
      <c r="BM186" s="269">
        <v>-11</v>
      </c>
      <c r="BN186" s="269">
        <v>-10</v>
      </c>
      <c r="BO186" s="270">
        <f>SUM(BK186:BN186)</f>
        <v>-25</v>
      </c>
      <c r="BP186" s="17"/>
      <c r="BQ186" s="268">
        <v>-1.25</v>
      </c>
      <c r="BR186" s="269">
        <v>-1.25</v>
      </c>
      <c r="BS186" s="269">
        <v>-1.25</v>
      </c>
      <c r="BT186" s="269">
        <v>-1.25</v>
      </c>
      <c r="BU186" s="270">
        <f>SUM(BQ186:BT186)</f>
        <v>-5</v>
      </c>
      <c r="BV186" s="17"/>
      <c r="BW186" s="268">
        <v>-1</v>
      </c>
      <c r="BX186" s="269">
        <f>+BW186</f>
        <v>-1</v>
      </c>
      <c r="BY186" s="269">
        <f>+BX186</f>
        <v>-1</v>
      </c>
      <c r="BZ186" s="269">
        <f>+BY186</f>
        <v>-1</v>
      </c>
      <c r="CA186" s="270">
        <f>SUM(BW186:BZ186)</f>
        <v>-4</v>
      </c>
      <c r="CB186" s="17"/>
      <c r="CC186" s="268"/>
      <c r="CD186" s="269"/>
      <c r="CE186" s="269"/>
      <c r="CF186" s="269"/>
      <c r="CG186" s="270">
        <f>SUM(CC186:CF186)</f>
        <v>0</v>
      </c>
      <c r="CH186" s="17"/>
      <c r="CI186" s="268"/>
      <c r="CJ186" s="269"/>
      <c r="CK186" s="269"/>
      <c r="CL186" s="269"/>
      <c r="CM186" s="270">
        <f>SUM(CI186:CL186)</f>
        <v>0</v>
      </c>
    </row>
    <row r="187" spans="2:91" x14ac:dyDescent="0.2">
      <c r="B187" s="271" t="s">
        <v>436</v>
      </c>
      <c r="C187" s="272">
        <f>+IFERROR(C186/'P&amp;L'!C$8,"NM")</f>
        <v>0</v>
      </c>
      <c r="D187" s="651">
        <f>+IFERROR(D186/'P&amp;L'!D$8,"NM")</f>
        <v>0</v>
      </c>
      <c r="E187" s="651">
        <f>+IFERROR(E186/'P&amp;L'!E$8,"NM")</f>
        <v>0</v>
      </c>
      <c r="F187" s="651">
        <f>+IFERROR(F186/'P&amp;L'!F$8,"NM")</f>
        <v>0</v>
      </c>
      <c r="G187" s="274">
        <f>+IFERROR(G186/'P&amp;L'!G$8,"NM")</f>
        <v>0</v>
      </c>
      <c r="H187" s="586"/>
      <c r="I187" s="272">
        <f>+IFERROR(I186/'P&amp;L'!I$8,"NM")</f>
        <v>0</v>
      </c>
      <c r="J187" s="651">
        <f>+IFERROR(J186/'P&amp;L'!J$8,"NM")</f>
        <v>0</v>
      </c>
      <c r="K187" s="651">
        <f>+IFERROR(K186/'P&amp;L'!K$8,"NM")</f>
        <v>0</v>
      </c>
      <c r="L187" s="651">
        <f>+IFERROR(L186/'P&amp;L'!L$8,"NM")</f>
        <v>0</v>
      </c>
      <c r="M187" s="274">
        <f>+IFERROR(M186/'P&amp;L'!M$8,"NM")</f>
        <v>0</v>
      </c>
      <c r="N187" s="586"/>
      <c r="O187" s="272">
        <f>+IFERROR(O186/'P&amp;L'!O$8,"NM")</f>
        <v>0</v>
      </c>
      <c r="P187" s="651">
        <f>+IFERROR(P186/'P&amp;L'!P$8,"NM")</f>
        <v>0</v>
      </c>
      <c r="Q187" s="651">
        <f>+IFERROR(Q186/'P&amp;L'!Q$8,"NM")</f>
        <v>0</v>
      </c>
      <c r="R187" s="651">
        <f>+IFERROR(R186/'P&amp;L'!R$8,"NM")</f>
        <v>0</v>
      </c>
      <c r="S187" s="274">
        <f>+IFERROR(S186/'P&amp;L'!S$8,"NM")</f>
        <v>0</v>
      </c>
      <c r="T187" s="586"/>
      <c r="U187" s="272">
        <f>+IFERROR(U186/'P&amp;L'!U$8,"NM")</f>
        <v>0</v>
      </c>
      <c r="V187" s="651">
        <f>+IFERROR(V186/'P&amp;L'!V$8,"NM")</f>
        <v>0</v>
      </c>
      <c r="W187" s="651">
        <f>+IFERROR(W186/'P&amp;L'!W$8,"NM")</f>
        <v>0</v>
      </c>
      <c r="X187" s="651">
        <f>+IFERROR(X186/'P&amp;L'!X$8,"NM")</f>
        <v>0</v>
      </c>
      <c r="Y187" s="274">
        <f>+IFERROR(Y186/'P&amp;L'!Y$8,"NM")</f>
        <v>0</v>
      </c>
      <c r="Z187" s="586"/>
      <c r="AA187" s="272">
        <f>+IFERROR(AA186/'P&amp;L'!AA$8,"NM")</f>
        <v>0</v>
      </c>
      <c r="AB187" s="651">
        <f>+IFERROR(AB186/'P&amp;L'!AB$8,"NM")</f>
        <v>0</v>
      </c>
      <c r="AC187" s="651">
        <f>+IFERROR(AC186/'P&amp;L'!AC$8,"NM")</f>
        <v>0</v>
      </c>
      <c r="AD187" s="651">
        <f>+IFERROR(AD186/'P&amp;L'!AD$8,"NM")</f>
        <v>0</v>
      </c>
      <c r="AE187" s="274">
        <f>+IFERROR(AE186/'P&amp;L'!AE$8,"NM")</f>
        <v>0</v>
      </c>
      <c r="AF187" s="586"/>
      <c r="AG187" s="272">
        <f>+IFERROR(AG186/'P&amp;L'!AG$8,"NM")</f>
        <v>-8.2603472649990205E-3</v>
      </c>
      <c r="AH187" s="273">
        <f>+IFERROR(AH186/'P&amp;L'!AH$8,"NM")</f>
        <v>-8.169219547775346E-3</v>
      </c>
      <c r="AI187" s="273">
        <f>+IFERROR(AI186/'P&amp;L'!AI$8,"NM")</f>
        <v>-7.2623264024669568E-3</v>
      </c>
      <c r="AJ187" s="273">
        <f>+IFERROR(AJ186/'P&amp;L'!AJ$8,"NM")</f>
        <v>-3.7337104067565637E-3</v>
      </c>
      <c r="AK187" s="1056">
        <f>+IFERROR(AK186/'P&amp;L'!AK$8,"NM")</f>
        <v>-6.7868497573721001E-3</v>
      </c>
      <c r="AL187" s="1057"/>
      <c r="AM187" s="1058">
        <f>+IFERROR(AM186/'P&amp;L'!AM$8,"NM")</f>
        <v>-5.6228738508251564E-3</v>
      </c>
      <c r="AN187" s="1059">
        <f>+IFERROR(AN186/'P&amp;L'!AN$8,"NM")</f>
        <v>-5.7657291975373422E-3</v>
      </c>
      <c r="AO187" s="1059">
        <f>+IFERROR(AO186/'P&amp;L'!AO$8,"NM")</f>
        <v>-5.459343721372566E-3</v>
      </c>
      <c r="AP187" s="1059">
        <f>+IFERROR(AP186/'P&amp;L'!AP$8,"NM")</f>
        <v>-5.1817069164387577E-3</v>
      </c>
      <c r="AQ187" s="1056">
        <f>+IFERROR(AQ186/'P&amp;L'!AQ$8,"NM")</f>
        <v>-5.4987171492890709E-3</v>
      </c>
      <c r="AR187" s="1057"/>
      <c r="AS187" s="1058">
        <f>+IFERROR(AS186/'P&amp;L'!AS$8,"NM")</f>
        <v>-4.544808975997728E-3</v>
      </c>
      <c r="AT187" s="1059">
        <f>+IFERROR(AT186/'P&amp;L'!AT$8,"NM")</f>
        <v>-4.0046694445723717E-3</v>
      </c>
      <c r="AU187" s="1059">
        <f>+IFERROR(AU186/'P&amp;L'!AU$8,"NM")</f>
        <v>-3.6945391939808563E-3</v>
      </c>
      <c r="AV187" s="1059">
        <f>+IFERROR(AV186/'P&amp;L'!AV$8,"NM")</f>
        <v>-4.5368880758785458E-3</v>
      </c>
      <c r="AW187" s="1056">
        <f>+IFERROR(AW186/'P&amp;L'!AW$8,"NM")</f>
        <v>-4.1833642369112989E-3</v>
      </c>
      <c r="AX187" s="1057"/>
      <c r="AY187" s="1058">
        <f>+IFERROR(AY186/'P&amp;L'!AY$8,"NM")</f>
        <v>0</v>
      </c>
      <c r="AZ187" s="1059">
        <f>+IFERROR(AZ186/'P&amp;L'!AZ$8,"NM")</f>
        <v>-1.1449367218008218E-2</v>
      </c>
      <c r="BA187" s="1059">
        <f>+IFERROR(BA186/'P&amp;L'!BA$8,"NM")</f>
        <v>-2.0863150252235486E-3</v>
      </c>
      <c r="BB187" s="1059">
        <f>+IFERROR(BB186/'P&amp;L'!BB$8,"NM")</f>
        <v>0</v>
      </c>
      <c r="BC187" s="1056">
        <f>+IFERROR(BC186/'P&amp;L'!BC$8,"NM")</f>
        <v>-3.3752123890750511E-3</v>
      </c>
      <c r="BD187" s="1057"/>
      <c r="BE187" s="1058">
        <f>+IFERROR(BE186/'P&amp;L'!BE$8,"NM")</f>
        <v>0</v>
      </c>
      <c r="BF187" s="1059">
        <f>+IFERROR(BF186/'P&amp;L'!BF$8,"NM")</f>
        <v>-3.599167872387904E-3</v>
      </c>
      <c r="BG187" s="1059">
        <f>+IFERROR(BG186/'P&amp;L'!BG$8,"NM")</f>
        <v>0</v>
      </c>
      <c r="BH187" s="1059">
        <f>+IFERROR(BH186/'P&amp;L'!BH$8,"NM")</f>
        <v>0</v>
      </c>
      <c r="BI187" s="1056">
        <f>+IFERROR(BI186/'P&amp;L'!BI$8,"NM")</f>
        <v>-9.2821156094924861E-4</v>
      </c>
      <c r="BJ187" s="1057"/>
      <c r="BK187" s="1058">
        <f>+IFERROR(BK186/'P&amp;L'!BK$8,"NM")</f>
        <v>0</v>
      </c>
      <c r="BL187" s="1059">
        <f>+IFERROR(BL186/'P&amp;L'!BL$8,"NM")</f>
        <v>-2.8203951232547925E-3</v>
      </c>
      <c r="BM187" s="1059">
        <f>+IFERROR(BM186/'P&amp;L'!BM$8,"NM")</f>
        <v>-7.8716604480549134E-3</v>
      </c>
      <c r="BN187" s="1059">
        <f>+IFERROR(BN186/'P&amp;L'!BN$8,"NM")</f>
        <v>-6.920261973437267E-3</v>
      </c>
      <c r="BO187" s="1056">
        <f>+IFERROR(BO186/'P&amp;L'!BO$8,"NM")</f>
        <v>-4.4697715607029849E-3</v>
      </c>
      <c r="BP187" s="1057"/>
      <c r="BQ187" s="1058">
        <f>+IFERROR(BQ186/'P&amp;L'!BQ$8,"NM")</f>
        <v>-9.58504426373441E-4</v>
      </c>
      <c r="BR187" s="1059">
        <f>+IFERROR(BR186/'P&amp;L'!BR$8,"NM")</f>
        <v>-9.0204706953772606E-4</v>
      </c>
      <c r="BS187" s="1059">
        <f>+IFERROR(BS186/'P&amp;L'!BS$8,"NM")</f>
        <v>-9.0894415592537056E-4</v>
      </c>
      <c r="BT187" s="1059">
        <f>+IFERROR(BT186/'P&amp;L'!BT$8,"NM")</f>
        <v>-8.6711451085779399E-4</v>
      </c>
      <c r="BU187" s="1056">
        <f>+IFERROR(BU186/'P&amp;L'!BU$8,"NM")</f>
        <v>-9.0799524371011501E-4</v>
      </c>
      <c r="BV187" s="1057"/>
      <c r="BW187" s="1058">
        <f>+IFERROR(BW186/'P&amp;L'!BW$8,"NM")</f>
        <v>-7.6291170654216691E-4</v>
      </c>
      <c r="BX187" s="1059">
        <f>+IFERROR(BX186/'P&amp;L'!BX$8,"NM")</f>
        <v>-6.9814345085801057E-4</v>
      </c>
      <c r="BY187" s="1059">
        <f>+IFERROR(BY186/'P&amp;L'!BY$8,"NM")</f>
        <v>-7.0797525773733062E-4</v>
      </c>
      <c r="BZ187" s="1059">
        <f>+IFERROR(BZ186/'P&amp;L'!BZ$8,"NM")</f>
        <v>-6.6837444428183247E-4</v>
      </c>
      <c r="CA187" s="1056">
        <f>+IFERROR(CA186/'P&amp;L'!CA$8,"NM")</f>
        <v>-7.077411173654919E-4</v>
      </c>
      <c r="CB187" s="1057"/>
      <c r="CC187" s="1058">
        <f>+IFERROR(CC186/'P&amp;L'!CC$8,"NM")</f>
        <v>0</v>
      </c>
      <c r="CD187" s="1059">
        <f>+IFERROR(CD186/'P&amp;L'!CD$8,"NM")</f>
        <v>0</v>
      </c>
      <c r="CE187" s="1059">
        <f>+IFERROR(CE186/'P&amp;L'!CE$8,"NM")</f>
        <v>0</v>
      </c>
      <c r="CF187" s="1059">
        <f>+IFERROR(CF186/'P&amp;L'!CF$8,"NM")</f>
        <v>0</v>
      </c>
      <c r="CG187" s="1056">
        <f>+IFERROR(CG186/'P&amp;L'!CG$8,"NM")</f>
        <v>0</v>
      </c>
      <c r="CH187" s="1057"/>
      <c r="CI187" s="1058">
        <f>+IFERROR(CI186/'P&amp;L'!CI$8,"NM")</f>
        <v>0</v>
      </c>
      <c r="CJ187" s="1059">
        <f>+IFERROR(CJ186/'P&amp;L'!CJ$8,"NM")</f>
        <v>0</v>
      </c>
      <c r="CK187" s="1059">
        <f>+IFERROR(CK186/'P&amp;L'!CK$8,"NM")</f>
        <v>0</v>
      </c>
      <c r="CL187" s="1059">
        <f>+IFERROR(CL186/'P&amp;L'!CL$8,"NM")</f>
        <v>0</v>
      </c>
      <c r="CM187" s="1056">
        <f>+IFERROR(CM186/'P&amp;L'!CM$8,"NM")</f>
        <v>0</v>
      </c>
    </row>
    <row r="188" spans="2:91" x14ac:dyDescent="0.2">
      <c r="B188" s="267" t="s">
        <v>437</v>
      </c>
      <c r="C188" s="268">
        <v>0</v>
      </c>
      <c r="D188" s="584">
        <v>0</v>
      </c>
      <c r="E188" s="584">
        <v>0</v>
      </c>
      <c r="F188" s="584">
        <v>0</v>
      </c>
      <c r="G188" s="270">
        <f>SUM(C188:F188)</f>
        <v>0</v>
      </c>
      <c r="H188" s="17"/>
      <c r="I188" s="268">
        <v>0</v>
      </c>
      <c r="J188" s="584">
        <v>0</v>
      </c>
      <c r="K188" s="584">
        <v>0</v>
      </c>
      <c r="L188" s="584">
        <v>0</v>
      </c>
      <c r="M188" s="270">
        <f>SUM(I188:L188)</f>
        <v>0</v>
      </c>
      <c r="N188" s="17"/>
      <c r="O188" s="268">
        <v>0</v>
      </c>
      <c r="P188" s="584">
        <v>0</v>
      </c>
      <c r="Q188" s="584">
        <v>0</v>
      </c>
      <c r="R188" s="584">
        <v>0</v>
      </c>
      <c r="S188" s="270">
        <f>SUM(O188:R188)</f>
        <v>0</v>
      </c>
      <c r="T188" s="17"/>
      <c r="U188" s="268">
        <v>0</v>
      </c>
      <c r="V188" s="584">
        <v>0</v>
      </c>
      <c r="W188" s="584">
        <v>0</v>
      </c>
      <c r="X188" s="584">
        <v>0</v>
      </c>
      <c r="Y188" s="270">
        <f>SUM(U188:X188)</f>
        <v>0</v>
      </c>
      <c r="Z188" s="17"/>
      <c r="AA188" s="268">
        <v>0</v>
      </c>
      <c r="AB188" s="584">
        <v>0</v>
      </c>
      <c r="AC188" s="584">
        <v>0</v>
      </c>
      <c r="AD188" s="584">
        <v>0</v>
      </c>
      <c r="AE188" s="270">
        <f>SUM(AA188:AD188)</f>
        <v>0</v>
      </c>
      <c r="AF188" s="17"/>
      <c r="AG188" s="268">
        <v>0</v>
      </c>
      <c r="AH188" s="269">
        <v>0</v>
      </c>
      <c r="AI188" s="269">
        <v>0</v>
      </c>
      <c r="AJ188" s="269">
        <v>0</v>
      </c>
      <c r="AK188" s="270">
        <f>SUM(AG188:AJ188)</f>
        <v>0</v>
      </c>
      <c r="AL188" s="17"/>
      <c r="AM188" s="268">
        <v>0</v>
      </c>
      <c r="AN188" s="269">
        <v>0</v>
      </c>
      <c r="AO188" s="269">
        <v>0</v>
      </c>
      <c r="AP188" s="269">
        <v>0</v>
      </c>
      <c r="AQ188" s="270">
        <f>SUM(AM188:AP188)</f>
        <v>0</v>
      </c>
      <c r="AR188" s="17"/>
      <c r="AS188" s="268">
        <v>0</v>
      </c>
      <c r="AT188" s="269">
        <v>0</v>
      </c>
      <c r="AU188" s="269">
        <v>0</v>
      </c>
      <c r="AV188" s="269">
        <v>0</v>
      </c>
      <c r="AW188" s="270">
        <f>SUM(AS188:AV188)</f>
        <v>0</v>
      </c>
      <c r="AX188" s="17"/>
      <c r="AY188" s="268">
        <v>0</v>
      </c>
      <c r="AZ188" s="269">
        <v>0</v>
      </c>
      <c r="BA188" s="269">
        <v>0</v>
      </c>
      <c r="BB188" s="269">
        <v>0</v>
      </c>
      <c r="BC188" s="270">
        <f>SUM(AY188:BB188)</f>
        <v>0</v>
      </c>
      <c r="BD188" s="17"/>
      <c r="BE188" s="268">
        <v>0</v>
      </c>
      <c r="BF188" s="269">
        <v>0</v>
      </c>
      <c r="BG188" s="269">
        <v>0</v>
      </c>
      <c r="BH188" s="269">
        <v>0</v>
      </c>
      <c r="BI188" s="270">
        <f>SUM(BE188:BH188)</f>
        <v>0</v>
      </c>
      <c r="BJ188" s="17"/>
      <c r="BK188" s="268">
        <v>0</v>
      </c>
      <c r="BL188" s="269">
        <v>0</v>
      </c>
      <c r="BM188" s="269">
        <v>0</v>
      </c>
      <c r="BN188" s="269">
        <v>0</v>
      </c>
      <c r="BO188" s="270">
        <f>SUM(BK188:BN188)</f>
        <v>0</v>
      </c>
      <c r="BP188" s="17"/>
      <c r="BQ188" s="268">
        <v>0</v>
      </c>
      <c r="BR188" s="269">
        <v>0</v>
      </c>
      <c r="BS188" s="269">
        <v>0</v>
      </c>
      <c r="BT188" s="269">
        <v>0</v>
      </c>
      <c r="BU188" s="270">
        <f>SUM(BQ188:BT188)</f>
        <v>0</v>
      </c>
      <c r="BV188" s="17"/>
      <c r="BW188" s="268">
        <v>0</v>
      </c>
      <c r="BX188" s="269">
        <v>0</v>
      </c>
      <c r="BY188" s="269">
        <v>0</v>
      </c>
      <c r="BZ188" s="269">
        <v>0</v>
      </c>
      <c r="CA188" s="270">
        <f>SUM(BW188:BZ188)</f>
        <v>0</v>
      </c>
      <c r="CB188" s="17"/>
      <c r="CC188" s="268">
        <v>0</v>
      </c>
      <c r="CD188" s="269">
        <v>0</v>
      </c>
      <c r="CE188" s="269">
        <v>0</v>
      </c>
      <c r="CF188" s="269">
        <v>0</v>
      </c>
      <c r="CG188" s="270">
        <f>SUM(CC188:CF188)</f>
        <v>0</v>
      </c>
      <c r="CH188" s="17"/>
      <c r="CI188" s="268">
        <v>0</v>
      </c>
      <c r="CJ188" s="269">
        <v>0</v>
      </c>
      <c r="CK188" s="269">
        <v>0</v>
      </c>
      <c r="CL188" s="269">
        <v>0</v>
      </c>
      <c r="CM188" s="270">
        <f>SUM(CI188:CL188)</f>
        <v>0</v>
      </c>
    </row>
    <row r="189" spans="2:91" x14ac:dyDescent="0.2">
      <c r="B189" s="271" t="s">
        <v>436</v>
      </c>
      <c r="C189" s="272">
        <f>+IFERROR(C188/'P&amp;L'!C$8,"NM")</f>
        <v>0</v>
      </c>
      <c r="D189" s="651">
        <f>+IFERROR(D188/'P&amp;L'!D$8,"NM")</f>
        <v>0</v>
      </c>
      <c r="E189" s="651">
        <f>+IFERROR(E188/'P&amp;L'!E$8,"NM")</f>
        <v>0</v>
      </c>
      <c r="F189" s="651">
        <f>+IFERROR(F188/'P&amp;L'!F$8,"NM")</f>
        <v>0</v>
      </c>
      <c r="G189" s="274">
        <f>+IFERROR(G188/'P&amp;L'!G$8,"NM")</f>
        <v>0</v>
      </c>
      <c r="H189" s="586"/>
      <c r="I189" s="272">
        <f>+IFERROR(I188/'P&amp;L'!I$8,"NM")</f>
        <v>0</v>
      </c>
      <c r="J189" s="651">
        <f>+IFERROR(J188/'P&amp;L'!J$8,"NM")</f>
        <v>0</v>
      </c>
      <c r="K189" s="651">
        <f>+IFERROR(K188/'P&amp;L'!K$8,"NM")</f>
        <v>0</v>
      </c>
      <c r="L189" s="651">
        <f>+IFERROR(L188/'P&amp;L'!L$8,"NM")</f>
        <v>0</v>
      </c>
      <c r="M189" s="274">
        <f>+IFERROR(M188/'P&amp;L'!M$8,"NM")</f>
        <v>0</v>
      </c>
      <c r="N189" s="586"/>
      <c r="O189" s="272">
        <f>+IFERROR(O188/'P&amp;L'!O$8,"NM")</f>
        <v>0</v>
      </c>
      <c r="P189" s="651">
        <f>+IFERROR(P188/'P&amp;L'!P$8,"NM")</f>
        <v>0</v>
      </c>
      <c r="Q189" s="651">
        <f>+IFERROR(Q188/'P&amp;L'!Q$8,"NM")</f>
        <v>0</v>
      </c>
      <c r="R189" s="651">
        <f>+IFERROR(R188/'P&amp;L'!R$8,"NM")</f>
        <v>0</v>
      </c>
      <c r="S189" s="274">
        <f>+IFERROR(S188/'P&amp;L'!S$8,"NM")</f>
        <v>0</v>
      </c>
      <c r="T189" s="586"/>
      <c r="U189" s="272">
        <f>+IFERROR(U188/'P&amp;L'!U$8,"NM")</f>
        <v>0</v>
      </c>
      <c r="V189" s="651">
        <f>+IFERROR(V188/'P&amp;L'!V$8,"NM")</f>
        <v>0</v>
      </c>
      <c r="W189" s="651">
        <f>+IFERROR(W188/'P&amp;L'!W$8,"NM")</f>
        <v>0</v>
      </c>
      <c r="X189" s="651">
        <f>+IFERROR(X188/'P&amp;L'!X$8,"NM")</f>
        <v>0</v>
      </c>
      <c r="Y189" s="274">
        <f>+IFERROR(Y188/'P&amp;L'!Y$8,"NM")</f>
        <v>0</v>
      </c>
      <c r="Z189" s="586"/>
      <c r="AA189" s="272">
        <f>+IFERROR(AA188/'P&amp;L'!AA$8,"NM")</f>
        <v>0</v>
      </c>
      <c r="AB189" s="651">
        <f>+IFERROR(AB188/'P&amp;L'!AB$8,"NM")</f>
        <v>0</v>
      </c>
      <c r="AC189" s="651">
        <f>+IFERROR(AC188/'P&amp;L'!AC$8,"NM")</f>
        <v>0</v>
      </c>
      <c r="AD189" s="651">
        <f>+IFERROR(AD188/'P&amp;L'!AD$8,"NM")</f>
        <v>0</v>
      </c>
      <c r="AE189" s="274">
        <f>+IFERROR(AE188/'P&amp;L'!AE$8,"NM")</f>
        <v>0</v>
      </c>
      <c r="AF189" s="586"/>
      <c r="AG189" s="272">
        <f>+IFERROR(AG188/'P&amp;L'!AG$8,"NM")</f>
        <v>0</v>
      </c>
      <c r="AH189" s="273">
        <f>+IFERROR(AH188/'P&amp;L'!AH$8,"NM")</f>
        <v>0</v>
      </c>
      <c r="AI189" s="273">
        <f>+IFERROR(AI188/'P&amp;L'!AI$8,"NM")</f>
        <v>0</v>
      </c>
      <c r="AJ189" s="273">
        <f>+IFERROR(AJ188/'P&amp;L'!AJ$8,"NM")</f>
        <v>0</v>
      </c>
      <c r="AK189" s="1056">
        <f>+IFERROR(AK188/'P&amp;L'!AK$8,"NM")</f>
        <v>0</v>
      </c>
      <c r="AL189" s="1057"/>
      <c r="AM189" s="1058">
        <f>+IFERROR(AM188/'P&amp;L'!AM$8,"NM")</f>
        <v>0</v>
      </c>
      <c r="AN189" s="1059">
        <f>+IFERROR(AN188/'P&amp;L'!AN$8,"NM")</f>
        <v>0</v>
      </c>
      <c r="AO189" s="1059">
        <f>+IFERROR(AO188/'P&amp;L'!AO$8,"NM")</f>
        <v>0</v>
      </c>
      <c r="AP189" s="1059">
        <f>+IFERROR(AP188/'P&amp;L'!AP$8,"NM")</f>
        <v>0</v>
      </c>
      <c r="AQ189" s="1056">
        <f>+IFERROR(AQ188/'P&amp;L'!AQ$8,"NM")</f>
        <v>0</v>
      </c>
      <c r="AR189" s="1057"/>
      <c r="AS189" s="1058">
        <f>+IFERROR(AS188/'P&amp;L'!AS$8,"NM")</f>
        <v>0</v>
      </c>
      <c r="AT189" s="1059">
        <f>+IFERROR(AT188/'P&amp;L'!AT$8,"NM")</f>
        <v>0</v>
      </c>
      <c r="AU189" s="1059">
        <f>+IFERROR(AU188/'P&amp;L'!AU$8,"NM")</f>
        <v>0</v>
      </c>
      <c r="AV189" s="1059">
        <f>+IFERROR(AV188/'P&amp;L'!AV$8,"NM")</f>
        <v>0</v>
      </c>
      <c r="AW189" s="1056">
        <f>+IFERROR(AW188/'P&amp;L'!AW$8,"NM")</f>
        <v>0</v>
      </c>
      <c r="AX189" s="1057"/>
      <c r="AY189" s="1058">
        <f>+IFERROR(AY188/'P&amp;L'!AY$8,"NM")</f>
        <v>0</v>
      </c>
      <c r="AZ189" s="1059">
        <f>+IFERROR(AZ188/'P&amp;L'!AZ$8,"NM")</f>
        <v>0</v>
      </c>
      <c r="BA189" s="1059">
        <f>+IFERROR(BA188/'P&amp;L'!BA$8,"NM")</f>
        <v>0</v>
      </c>
      <c r="BB189" s="1059">
        <f>+IFERROR(BB188/'P&amp;L'!BB$8,"NM")</f>
        <v>0</v>
      </c>
      <c r="BC189" s="1056">
        <f>+IFERROR(BC188/'P&amp;L'!BC$8,"NM")</f>
        <v>0</v>
      </c>
      <c r="BD189" s="1057"/>
      <c r="BE189" s="1058">
        <f>+IFERROR(BE188/'P&amp;L'!BE$8,"NM")</f>
        <v>0</v>
      </c>
      <c r="BF189" s="1059">
        <f>+IFERROR(BF188/'P&amp;L'!BF$8,"NM")</f>
        <v>0</v>
      </c>
      <c r="BG189" s="1059">
        <f>+IFERROR(BG188/'P&amp;L'!BG$8,"NM")</f>
        <v>0</v>
      </c>
      <c r="BH189" s="1059">
        <f>+IFERROR(BH188/'P&amp;L'!BH$8,"NM")</f>
        <v>0</v>
      </c>
      <c r="BI189" s="1056">
        <f>+IFERROR(BI188/'P&amp;L'!BI$8,"NM")</f>
        <v>0</v>
      </c>
      <c r="BJ189" s="1057"/>
      <c r="BK189" s="1058">
        <f>+IFERROR(BK188/'P&amp;L'!BK$8,"NM")</f>
        <v>0</v>
      </c>
      <c r="BL189" s="1059">
        <f>+IFERROR(BL188/'P&amp;L'!BL$8,"NM")</f>
        <v>0</v>
      </c>
      <c r="BM189" s="1059">
        <f>+IFERROR(BM188/'P&amp;L'!BM$8,"NM")</f>
        <v>0</v>
      </c>
      <c r="BN189" s="1059">
        <f>+IFERROR(BN188/'P&amp;L'!BN$8,"NM")</f>
        <v>0</v>
      </c>
      <c r="BO189" s="1056">
        <f>+IFERROR(BO188/'P&amp;L'!BO$8,"NM")</f>
        <v>0</v>
      </c>
      <c r="BP189" s="1057"/>
      <c r="BQ189" s="1058">
        <f>+IFERROR(BQ188/'P&amp;L'!BQ$8,"NM")</f>
        <v>0</v>
      </c>
      <c r="BR189" s="1059">
        <f>+IFERROR(BR188/'P&amp;L'!BR$8,"NM")</f>
        <v>0</v>
      </c>
      <c r="BS189" s="1059">
        <f>+IFERROR(BS188/'P&amp;L'!BS$8,"NM")</f>
        <v>0</v>
      </c>
      <c r="BT189" s="1059">
        <f>+IFERROR(BT188/'P&amp;L'!BT$8,"NM")</f>
        <v>0</v>
      </c>
      <c r="BU189" s="1056">
        <f>+IFERROR(BU188/'P&amp;L'!BU$8,"NM")</f>
        <v>0</v>
      </c>
      <c r="BV189" s="1057"/>
      <c r="BW189" s="1058">
        <f>+IFERROR(BW188/'P&amp;L'!BW$8,"NM")</f>
        <v>0</v>
      </c>
      <c r="BX189" s="1059">
        <f>+IFERROR(BX188/'P&amp;L'!BX$8,"NM")</f>
        <v>0</v>
      </c>
      <c r="BY189" s="1059">
        <f>+IFERROR(BY188/'P&amp;L'!BY$8,"NM")</f>
        <v>0</v>
      </c>
      <c r="BZ189" s="1059">
        <f>+IFERROR(BZ188/'P&amp;L'!BZ$8,"NM")</f>
        <v>0</v>
      </c>
      <c r="CA189" s="1056">
        <f>+IFERROR(CA188/'P&amp;L'!CA$8,"NM")</f>
        <v>0</v>
      </c>
      <c r="CB189" s="1057"/>
      <c r="CC189" s="1058">
        <f>+IFERROR(CC188/'P&amp;L'!CC$8,"NM")</f>
        <v>0</v>
      </c>
      <c r="CD189" s="1059">
        <f>+IFERROR(CD188/'P&amp;L'!CD$8,"NM")</f>
        <v>0</v>
      </c>
      <c r="CE189" s="1059">
        <f>+IFERROR(CE188/'P&amp;L'!CE$8,"NM")</f>
        <v>0</v>
      </c>
      <c r="CF189" s="1059">
        <f>+IFERROR(CF188/'P&amp;L'!CF$8,"NM")</f>
        <v>0</v>
      </c>
      <c r="CG189" s="1056">
        <f>+IFERROR(CG188/'P&amp;L'!CG$8,"NM")</f>
        <v>0</v>
      </c>
      <c r="CH189" s="1057"/>
      <c r="CI189" s="1058">
        <f>+IFERROR(CI188/'P&amp;L'!CI$8,"NM")</f>
        <v>0</v>
      </c>
      <c r="CJ189" s="1059">
        <f>+IFERROR(CJ188/'P&amp;L'!CJ$8,"NM")</f>
        <v>0</v>
      </c>
      <c r="CK189" s="1059">
        <f>+IFERROR(CK188/'P&amp;L'!CK$8,"NM")</f>
        <v>0</v>
      </c>
      <c r="CL189" s="1059">
        <f>+IFERROR(CL188/'P&amp;L'!CL$8,"NM")</f>
        <v>0</v>
      </c>
      <c r="CM189" s="1056">
        <f>+IFERROR(CM188/'P&amp;L'!CM$8,"NM")</f>
        <v>0</v>
      </c>
    </row>
    <row r="190" spans="2:91" x14ac:dyDescent="0.2">
      <c r="B190" s="267" t="s">
        <v>430</v>
      </c>
      <c r="C190" s="268">
        <v>0</v>
      </c>
      <c r="D190" s="584">
        <v>0</v>
      </c>
      <c r="E190" s="584">
        <v>0</v>
      </c>
      <c r="F190" s="584">
        <v>0</v>
      </c>
      <c r="G190" s="270">
        <f>SUM(C190:F190)</f>
        <v>0</v>
      </c>
      <c r="H190" s="17"/>
      <c r="I190" s="268">
        <v>0</v>
      </c>
      <c r="J190" s="584">
        <v>0</v>
      </c>
      <c r="K190" s="584">
        <v>0</v>
      </c>
      <c r="L190" s="584">
        <v>0</v>
      </c>
      <c r="M190" s="270">
        <f>SUM(I190:L190)</f>
        <v>0</v>
      </c>
      <c r="N190" s="17"/>
      <c r="O190" s="268">
        <v>0</v>
      </c>
      <c r="P190" s="584">
        <v>0</v>
      </c>
      <c r="Q190" s="584">
        <v>0</v>
      </c>
      <c r="R190" s="584">
        <v>0</v>
      </c>
      <c r="S190" s="270">
        <f>SUM(O190:R190)</f>
        <v>0</v>
      </c>
      <c r="T190" s="17"/>
      <c r="U190" s="268">
        <v>0</v>
      </c>
      <c r="V190" s="584">
        <v>0</v>
      </c>
      <c r="W190" s="584">
        <v>0</v>
      </c>
      <c r="X190" s="584">
        <v>0</v>
      </c>
      <c r="Y190" s="270">
        <f>SUM(U190:X190)</f>
        <v>0</v>
      </c>
      <c r="Z190" s="17"/>
      <c r="AA190" s="268">
        <v>0</v>
      </c>
      <c r="AB190" s="584">
        <v>0</v>
      </c>
      <c r="AC190" s="584">
        <v>0</v>
      </c>
      <c r="AD190" s="584">
        <v>0</v>
      </c>
      <c r="AE190" s="270">
        <f>SUM(AA190:AD190)</f>
        <v>0</v>
      </c>
      <c r="AF190" s="17"/>
      <c r="AG190" s="268">
        <v>0</v>
      </c>
      <c r="AH190" s="269">
        <v>0</v>
      </c>
      <c r="AI190" s="269">
        <v>0</v>
      </c>
      <c r="AJ190" s="269">
        <v>0</v>
      </c>
      <c r="AK190" s="270">
        <f>SUM(AG190:AJ190)</f>
        <v>0</v>
      </c>
      <c r="AL190" s="17"/>
      <c r="AM190" s="268">
        <v>0</v>
      </c>
      <c r="AN190" s="269">
        <v>0</v>
      </c>
      <c r="AO190" s="269">
        <v>0</v>
      </c>
      <c r="AP190" s="269">
        <v>0</v>
      </c>
      <c r="AQ190" s="270">
        <f>SUM(AM190:AP190)</f>
        <v>0</v>
      </c>
      <c r="AR190" s="17"/>
      <c r="AS190" s="268">
        <v>0</v>
      </c>
      <c r="AT190" s="269">
        <v>0</v>
      </c>
      <c r="AU190" s="269">
        <v>0</v>
      </c>
      <c r="AV190" s="269">
        <v>0</v>
      </c>
      <c r="AW190" s="270">
        <f>SUM(AS190:AV190)</f>
        <v>0</v>
      </c>
      <c r="AX190" s="17"/>
      <c r="AY190" s="268">
        <v>0</v>
      </c>
      <c r="AZ190" s="269">
        <v>0</v>
      </c>
      <c r="BA190" s="269">
        <v>0</v>
      </c>
      <c r="BB190" s="269">
        <v>0</v>
      </c>
      <c r="BC190" s="270">
        <f>SUM(AY190:BB190)</f>
        <v>0</v>
      </c>
      <c r="BD190" s="17"/>
      <c r="BE190" s="268">
        <v>0</v>
      </c>
      <c r="BF190" s="269">
        <v>2</v>
      </c>
      <c r="BG190" s="269">
        <v>3</v>
      </c>
      <c r="BH190" s="269">
        <v>3</v>
      </c>
      <c r="BI190" s="270">
        <f>SUM(BE190:BH190)</f>
        <v>8</v>
      </c>
      <c r="BJ190" s="17"/>
      <c r="BK190" s="268">
        <v>2.75</v>
      </c>
      <c r="BL190" s="269">
        <v>2.75</v>
      </c>
      <c r="BM190" s="269">
        <v>2.75</v>
      </c>
      <c r="BN190" s="269">
        <v>2.75</v>
      </c>
      <c r="BO190" s="270">
        <f>SUM(BK190:BN190)</f>
        <v>11</v>
      </c>
      <c r="BP190" s="17"/>
      <c r="BQ190" s="268">
        <v>3.25</v>
      </c>
      <c r="BR190" s="269">
        <v>3.25</v>
      </c>
      <c r="BS190" s="269">
        <v>3.25</v>
      </c>
      <c r="BT190" s="269">
        <v>3.25</v>
      </c>
      <c r="BU190" s="270">
        <f>SUM(BQ190:BT190)</f>
        <v>13</v>
      </c>
      <c r="BV190" s="17"/>
      <c r="BW190" s="268"/>
      <c r="BX190" s="269"/>
      <c r="BY190" s="269"/>
      <c r="BZ190" s="269"/>
      <c r="CA190" s="270">
        <f>SUM(BW190:BZ190)</f>
        <v>0</v>
      </c>
      <c r="CB190" s="17"/>
      <c r="CC190" s="268"/>
      <c r="CD190" s="269"/>
      <c r="CE190" s="269"/>
      <c r="CF190" s="269"/>
      <c r="CG190" s="270">
        <f t="shared" ref="CG190" si="127">SUM(CC190:CF190)</f>
        <v>0</v>
      </c>
      <c r="CH190" s="17"/>
      <c r="CI190" s="268"/>
      <c r="CJ190" s="269"/>
      <c r="CK190" s="269"/>
      <c r="CL190" s="269"/>
      <c r="CM190" s="270">
        <f t="shared" ref="CM190" si="128">SUM(CI190:CL190)</f>
        <v>0</v>
      </c>
    </row>
    <row r="191" spans="2:91" x14ac:dyDescent="0.2">
      <c r="B191" s="271" t="s">
        <v>436</v>
      </c>
      <c r="C191" s="272">
        <f>+IFERROR(C190/'P&amp;L'!C$8,"NM")</f>
        <v>0</v>
      </c>
      <c r="D191" s="651">
        <f>+IFERROR(D190/'P&amp;L'!D$8,"NM")</f>
        <v>0</v>
      </c>
      <c r="E191" s="651">
        <f>+IFERROR(E190/'P&amp;L'!E$8,"NM")</f>
        <v>0</v>
      </c>
      <c r="F191" s="651">
        <f>+IFERROR(F190/'P&amp;L'!F$8,"NM")</f>
        <v>0</v>
      </c>
      <c r="G191" s="274">
        <f>+IFERROR(G190/'P&amp;L'!G$8,"NM")</f>
        <v>0</v>
      </c>
      <c r="H191" s="586"/>
      <c r="I191" s="272">
        <f>+IFERROR(I190/'P&amp;L'!I$8,"NM")</f>
        <v>0</v>
      </c>
      <c r="J191" s="651">
        <f>+IFERROR(J190/'P&amp;L'!J$8,"NM")</f>
        <v>0</v>
      </c>
      <c r="K191" s="651">
        <f>+IFERROR(K190/'P&amp;L'!K$8,"NM")</f>
        <v>0</v>
      </c>
      <c r="L191" s="651">
        <f>+IFERROR(L190/'P&amp;L'!L$8,"NM")</f>
        <v>0</v>
      </c>
      <c r="M191" s="274">
        <f>+IFERROR(M190/'P&amp;L'!M$8,"NM")</f>
        <v>0</v>
      </c>
      <c r="N191" s="586"/>
      <c r="O191" s="272">
        <f>+IFERROR(O190/'P&amp;L'!O$8,"NM")</f>
        <v>0</v>
      </c>
      <c r="P191" s="651">
        <f>+IFERROR(P190/'P&amp;L'!P$8,"NM")</f>
        <v>0</v>
      </c>
      <c r="Q191" s="651">
        <f>+IFERROR(Q190/'P&amp;L'!Q$8,"NM")</f>
        <v>0</v>
      </c>
      <c r="R191" s="651">
        <f>+IFERROR(R190/'P&amp;L'!R$8,"NM")</f>
        <v>0</v>
      </c>
      <c r="S191" s="274">
        <f>+IFERROR(S190/'P&amp;L'!S$8,"NM")</f>
        <v>0</v>
      </c>
      <c r="T191" s="586"/>
      <c r="U191" s="272">
        <f>+IFERROR(U190/'P&amp;L'!U$8,"NM")</f>
        <v>0</v>
      </c>
      <c r="V191" s="651">
        <f>+IFERROR(V190/'P&amp;L'!V$8,"NM")</f>
        <v>0</v>
      </c>
      <c r="W191" s="651">
        <f>+IFERROR(W190/'P&amp;L'!W$8,"NM")</f>
        <v>0</v>
      </c>
      <c r="X191" s="651">
        <f>+IFERROR(X190/'P&amp;L'!X$8,"NM")</f>
        <v>0</v>
      </c>
      <c r="Y191" s="274">
        <f>+IFERROR(Y190/'P&amp;L'!Y$8,"NM")</f>
        <v>0</v>
      </c>
      <c r="Z191" s="586"/>
      <c r="AA191" s="272">
        <f>+IFERROR(AA190/'P&amp;L'!AA$8,"NM")</f>
        <v>0</v>
      </c>
      <c r="AB191" s="651">
        <f>+IFERROR(AB190/'P&amp;L'!AB$8,"NM")</f>
        <v>0</v>
      </c>
      <c r="AC191" s="651">
        <f>+IFERROR(AC190/'P&amp;L'!AC$8,"NM")</f>
        <v>0</v>
      </c>
      <c r="AD191" s="651">
        <f>+IFERROR(AD190/'P&amp;L'!AD$8,"NM")</f>
        <v>0</v>
      </c>
      <c r="AE191" s="274">
        <f>+IFERROR(AE190/'P&amp;L'!AE$8,"NM")</f>
        <v>0</v>
      </c>
      <c r="AF191" s="586"/>
      <c r="AG191" s="272">
        <f>+IFERROR(AG190/'P&amp;L'!AG$8,"NM")</f>
        <v>0</v>
      </c>
      <c r="AH191" s="273">
        <f>+IFERROR(AH190/'P&amp;L'!AH$8,"NM")</f>
        <v>0</v>
      </c>
      <c r="AI191" s="273">
        <f>+IFERROR(AI190/'P&amp;L'!AI$8,"NM")</f>
        <v>0</v>
      </c>
      <c r="AJ191" s="273">
        <f>+IFERROR(AJ190/'P&amp;L'!AJ$8,"NM")</f>
        <v>0</v>
      </c>
      <c r="AK191" s="1056">
        <f>+IFERROR(AK190/'P&amp;L'!AK$8,"NM")</f>
        <v>0</v>
      </c>
      <c r="AL191" s="1057"/>
      <c r="AM191" s="1058">
        <f>+IFERROR(AM190/'P&amp;L'!AM$8,"NM")</f>
        <v>0</v>
      </c>
      <c r="AN191" s="1059">
        <f>+IFERROR(AN190/'P&amp;L'!AN$8,"NM")</f>
        <v>0</v>
      </c>
      <c r="AO191" s="1059">
        <f>+IFERROR(AO190/'P&amp;L'!AO$8,"NM")</f>
        <v>0</v>
      </c>
      <c r="AP191" s="1059">
        <f>+IFERROR(AP190/'P&amp;L'!AP$8,"NM")</f>
        <v>0</v>
      </c>
      <c r="AQ191" s="1056">
        <f>+IFERROR(AQ190/'P&amp;L'!AQ$8,"NM")</f>
        <v>0</v>
      </c>
      <c r="AR191" s="1057"/>
      <c r="AS191" s="1058">
        <f>+IFERROR(AS190/'P&amp;L'!AS$8,"NM")</f>
        <v>0</v>
      </c>
      <c r="AT191" s="1059">
        <f>+IFERROR(AT190/'P&amp;L'!AT$8,"NM")</f>
        <v>0</v>
      </c>
      <c r="AU191" s="1059">
        <f>+IFERROR(AU190/'P&amp;L'!AU$8,"NM")</f>
        <v>0</v>
      </c>
      <c r="AV191" s="1059">
        <f>+IFERROR(AV190/'P&amp;L'!AV$8,"NM")</f>
        <v>0</v>
      </c>
      <c r="AW191" s="1056">
        <f>+IFERROR(AW190/'P&amp;L'!AW$8,"NM")</f>
        <v>0</v>
      </c>
      <c r="AX191" s="1057"/>
      <c r="AY191" s="1058">
        <f>+IFERROR(AY190/'P&amp;L'!AY$8,"NM")</f>
        <v>0</v>
      </c>
      <c r="AZ191" s="1059">
        <f>+IFERROR(AZ190/'P&amp;L'!AZ$8,"NM")</f>
        <v>0</v>
      </c>
      <c r="BA191" s="1059">
        <f>+IFERROR(BA190/'P&amp;L'!BA$8,"NM")</f>
        <v>0</v>
      </c>
      <c r="BB191" s="1059">
        <f>+IFERROR(BB190/'P&amp;L'!BB$8,"NM")</f>
        <v>0</v>
      </c>
      <c r="BC191" s="1056">
        <f>+IFERROR(BC190/'P&amp;L'!BC$8,"NM")</f>
        <v>0</v>
      </c>
      <c r="BD191" s="1057"/>
      <c r="BE191" s="1058">
        <f>+IFERROR(BE190/'P&amp;L'!BE$8,"NM")</f>
        <v>0</v>
      </c>
      <c r="BF191" s="1059">
        <f>+IFERROR(BF190/'P&amp;L'!BF$8,"NM")</f>
        <v>1.4396671489551615E-3</v>
      </c>
      <c r="BG191" s="1059">
        <f>+IFERROR(BG190/'P&amp;L'!BG$8,"NM")</f>
        <v>2.1415523256187478E-3</v>
      </c>
      <c r="BH191" s="1059">
        <f>+IFERROR(BH190/'P&amp;L'!BH$8,"NM")</f>
        <v>2.0636001568336121E-3</v>
      </c>
      <c r="BI191" s="1056">
        <f>+IFERROR(BI190/'P&amp;L'!BI$8,"NM")</f>
        <v>1.4851384975187979E-3</v>
      </c>
      <c r="BJ191" s="1057"/>
      <c r="BK191" s="1058">
        <f>+IFERROR(BK190/'P&amp;L'!BK$8,"NM")</f>
        <v>2.0638889972951799E-3</v>
      </c>
      <c r="BL191" s="1059">
        <f>+IFERROR(BL190/'P&amp;L'!BL$8,"NM")</f>
        <v>1.9390216472376697E-3</v>
      </c>
      <c r="BM191" s="1059">
        <f>+IFERROR(BM190/'P&amp;L'!BM$8,"NM")</f>
        <v>1.9679151120137284E-3</v>
      </c>
      <c r="BN191" s="1059">
        <f>+IFERROR(BN190/'P&amp;L'!BN$8,"NM")</f>
        <v>1.9030720426952484E-3</v>
      </c>
      <c r="BO191" s="1056">
        <f>+IFERROR(BO190/'P&amp;L'!BO$8,"NM")</f>
        <v>1.9666994867093132E-3</v>
      </c>
      <c r="BP191" s="1057"/>
      <c r="BQ191" s="1058">
        <f>+IFERROR(BQ190/'P&amp;L'!BQ$8,"NM")</f>
        <v>2.4921115085709466E-3</v>
      </c>
      <c r="BR191" s="1059">
        <f>+IFERROR(BR190/'P&amp;L'!BR$8,"NM")</f>
        <v>2.3453223807980879E-3</v>
      </c>
      <c r="BS191" s="1059">
        <f>+IFERROR(BS190/'P&amp;L'!BS$8,"NM")</f>
        <v>2.3632548054059637E-3</v>
      </c>
      <c r="BT191" s="1059">
        <f>+IFERROR(BT190/'P&amp;L'!BT$8,"NM")</f>
        <v>2.2544977282302646E-3</v>
      </c>
      <c r="BU191" s="1056">
        <f>+IFERROR(BU190/'P&amp;L'!BU$8,"NM")</f>
        <v>2.3607876336462987E-3</v>
      </c>
      <c r="BV191" s="1057"/>
      <c r="BW191" s="1058">
        <f>+IFERROR(BW190/'P&amp;L'!BW$8,"NM")</f>
        <v>0</v>
      </c>
      <c r="BX191" s="1059">
        <f>+IFERROR(BX190/'P&amp;L'!BX$8,"NM")</f>
        <v>0</v>
      </c>
      <c r="BY191" s="1059">
        <f>+IFERROR(BY190/'P&amp;L'!BY$8,"NM")</f>
        <v>0</v>
      </c>
      <c r="BZ191" s="1059">
        <f>+IFERROR(BZ190/'P&amp;L'!BZ$8,"NM")</f>
        <v>0</v>
      </c>
      <c r="CA191" s="1056">
        <f>+IFERROR(CA190/'P&amp;L'!CA$8,"NM")</f>
        <v>0</v>
      </c>
      <c r="CB191" s="1057"/>
      <c r="CC191" s="1058">
        <f>+IFERROR(CC190/'P&amp;L'!CC$8,"NM")</f>
        <v>0</v>
      </c>
      <c r="CD191" s="1059">
        <f>+IFERROR(CD190/'P&amp;L'!CD$8,"NM")</f>
        <v>0</v>
      </c>
      <c r="CE191" s="1059">
        <f>+IFERROR(CE190/'P&amp;L'!CE$8,"NM")</f>
        <v>0</v>
      </c>
      <c r="CF191" s="1059">
        <f>+IFERROR(CF190/'P&amp;L'!CF$8,"NM")</f>
        <v>0</v>
      </c>
      <c r="CG191" s="1056">
        <f>+IFERROR(CG190/'P&amp;L'!CG$8,"NM")</f>
        <v>0</v>
      </c>
      <c r="CH191" s="1057"/>
      <c r="CI191" s="1058">
        <f>+IFERROR(CI190/'P&amp;L'!CI$8,"NM")</f>
        <v>0</v>
      </c>
      <c r="CJ191" s="1059">
        <f>+IFERROR(CJ190/'P&amp;L'!CJ$8,"NM")</f>
        <v>0</v>
      </c>
      <c r="CK191" s="1059">
        <f>+IFERROR(CK190/'P&amp;L'!CK$8,"NM")</f>
        <v>0</v>
      </c>
      <c r="CL191" s="1059">
        <f>+IFERROR(CL190/'P&amp;L'!CL$8,"NM")</f>
        <v>0</v>
      </c>
      <c r="CM191" s="1056">
        <f>+IFERROR(CM190/'P&amp;L'!CM$8,"NM")</f>
        <v>0</v>
      </c>
    </row>
    <row r="192" spans="2:91" x14ac:dyDescent="0.2">
      <c r="B192" s="224" t="s">
        <v>431</v>
      </c>
      <c r="C192" s="227">
        <f>+C179-C182-C184-C186-C188-C190</f>
        <v>68.537000000000035</v>
      </c>
      <c r="D192" s="195">
        <f>+D179-D182-D184-D186-D188-D190</f>
        <v>78.021000000000015</v>
      </c>
      <c r="E192" s="195">
        <f>+E179-E182-E184-E186-E188-E190</f>
        <v>92.686000000000007</v>
      </c>
      <c r="F192" s="195">
        <f>+F179-F182-F184-F186-F188-F190</f>
        <v>96.445999999999998</v>
      </c>
      <c r="G192" s="275">
        <f>SUM(C192:F192)</f>
        <v>335.69000000000005</v>
      </c>
      <c r="H192" s="17"/>
      <c r="I192" s="227">
        <f>+I179-I182-I184-I186-I188-I190</f>
        <v>75.204056520000023</v>
      </c>
      <c r="J192" s="195">
        <f>+J179-J182-J184-J186-J188-J190</f>
        <v>85.622271999999967</v>
      </c>
      <c r="K192" s="195">
        <f>+K179-K182-K184-K186-K188-K190</f>
        <v>97.11448688000003</v>
      </c>
      <c r="L192" s="195">
        <f>+L179-L182-L184-L186-L188-L190</f>
        <v>101.30330100000002</v>
      </c>
      <c r="M192" s="275">
        <f>SUM(I192:L192)</f>
        <v>359.24411640000005</v>
      </c>
      <c r="N192" s="17"/>
      <c r="O192" s="227">
        <f>+O179-O182-O184-O186-O188-O190</f>
        <v>79.587243200000017</v>
      </c>
      <c r="P192" s="195">
        <f>+P179-P182-P184-P186-P188-P190</f>
        <v>88.59424079999998</v>
      </c>
      <c r="Q192" s="195">
        <f>+Q179-Q182-Q184-Q186-Q188-Q190</f>
        <v>97.54200000000003</v>
      </c>
      <c r="R192" s="195">
        <f>+R179-R182-R184-R186-R188-R190</f>
        <v>99.388356079999994</v>
      </c>
      <c r="S192" s="275">
        <f>SUM(O192:R192)</f>
        <v>365.11184008000004</v>
      </c>
      <c r="T192" s="17"/>
      <c r="U192" s="227">
        <f>+U179-U182-U184-U186-U188-U190</f>
        <v>83.062578399999964</v>
      </c>
      <c r="V192" s="195">
        <f>+V179-V182-V184-V186-V188-V190</f>
        <v>84.494273480000047</v>
      </c>
      <c r="W192" s="195">
        <f>+W179-W182-W184-W186-W188-W190</f>
        <v>94.389873599999973</v>
      </c>
      <c r="X192" s="195">
        <f>+X179-X182-X184-X186-X188-X190</f>
        <v>99.881763599999985</v>
      </c>
      <c r="Y192" s="275">
        <f>SUM(U192:X192)</f>
        <v>361.82848908</v>
      </c>
      <c r="Z192" s="17"/>
      <c r="AA192" s="227">
        <f>+AA179-AA182-AA184-AA186-AA188-AA190</f>
        <v>88.858084360000063</v>
      </c>
      <c r="AB192" s="195">
        <f>+AB179-AB182-AB184-AB186-AB188-AB190</f>
        <v>90.083382000000015</v>
      </c>
      <c r="AC192" s="195">
        <f>+AC179-AC182-AC184-AC186-AC188-AC190</f>
        <v>92.655573439999998</v>
      </c>
      <c r="AD192" s="195">
        <f>+AD179-AD182-AD184-AD186-AD188-AD190</f>
        <v>103.88336724000006</v>
      </c>
      <c r="AE192" s="275">
        <f>SUM(AA192:AD192)</f>
        <v>375.4804070400001</v>
      </c>
      <c r="AF192" s="17"/>
      <c r="AG192" s="227">
        <f>+AG179-AG182-AG184-AG186-AG188-AG190</f>
        <v>89.257557400000081</v>
      </c>
      <c r="AH192" s="195">
        <f>+AH179-AH182-AH184-AH186-AH188-AH190</f>
        <v>90.109077199999959</v>
      </c>
      <c r="AI192" s="195">
        <f>+AI179-AI182-AI184-AI186-AI188-AI190</f>
        <v>96.361624000000006</v>
      </c>
      <c r="AJ192" s="195">
        <f>+AJ179-AJ182-AJ184-AJ186-AJ188-AJ190</f>
        <v>105.9858692572052</v>
      </c>
      <c r="AK192" s="275">
        <f>SUM(AG192:AJ192)</f>
        <v>381.71412785720526</v>
      </c>
      <c r="AL192" s="17"/>
      <c r="AM192" s="227">
        <f>+AM179-AM182-AM184-AM186-AM188-AM190</f>
        <v>87.784208399999926</v>
      </c>
      <c r="AN192" s="195">
        <f>+AN179-AN182-AN184-AN186-AN188-AN190</f>
        <v>82.867579999999947</v>
      </c>
      <c r="AO192" s="195">
        <f>+AO179-AO182-AO184-AO186-AO188-AO190</f>
        <v>94.420784000000026</v>
      </c>
      <c r="AP192" s="195">
        <f>+AP179-AP182-AP184-AP186-AP188-AP190</f>
        <v>109.70460724000002</v>
      </c>
      <c r="AQ192" s="275">
        <f>SUM(AM192:AP192)</f>
        <v>374.77717963999993</v>
      </c>
      <c r="AR192" s="17"/>
      <c r="AS192" s="227">
        <f>+AS179-AS182-AS184-AS186-AS188-AS190</f>
        <v>89.324879000000038</v>
      </c>
      <c r="AT192" s="195">
        <f>+AT179-AT182-AT184-AT186-AT188-AT190</f>
        <v>97.35232031999989</v>
      </c>
      <c r="AU192" s="195">
        <f>+AU179-AU182-AU184-AU186-AU188-AU190</f>
        <v>105.91159927999999</v>
      </c>
      <c r="AV192" s="195">
        <f>+AV179-AV182-AV184-AV186-AV188-AV190</f>
        <v>108.39000447999993</v>
      </c>
      <c r="AW192" s="275">
        <f>SUM(AS192:AV192)</f>
        <v>400.97880307999981</v>
      </c>
      <c r="AX192" s="17"/>
      <c r="AY192" s="227">
        <f>+AY179-AY182-AY184-AY186-AY188-AY190</f>
        <v>68.652722310458742</v>
      </c>
      <c r="AZ192" s="195">
        <f>+AZ179-AZ182-AZ184-AZ186-AZ188-AZ190</f>
        <v>90.672371040733537</v>
      </c>
      <c r="BA192" s="195">
        <f>+BA179-BA182-BA184-BA186-BA188-BA190</f>
        <v>88.952899913752333</v>
      </c>
      <c r="BB192" s="195">
        <f>+BB179-BB182-BB184-BB186-BB188-BB190</f>
        <v>100.02020635999997</v>
      </c>
      <c r="BC192" s="275">
        <f>SUM(AY192:BB192)</f>
        <v>348.29819962494457</v>
      </c>
      <c r="BD192" s="17"/>
      <c r="BE192" s="227">
        <f>+BE179-BE182-BE184-BE186-BE188-BE190</f>
        <v>86.340581359999916</v>
      </c>
      <c r="BF192" s="195">
        <f>+BF179-BF182-BF184-BF186-BF188-BF190</f>
        <v>111.85249764000011</v>
      </c>
      <c r="BG192" s="195">
        <f>+BG179-BG182-BG184-BG186-BG188-BG190</f>
        <v>124.89452300000004</v>
      </c>
      <c r="BH192" s="195">
        <f>+BH179-BH182-BH184-BH186-BH188-BH190</f>
        <v>132.06505688000001</v>
      </c>
      <c r="BI192" s="275">
        <f>SUM(BE192:BH192)</f>
        <v>455.1526588800001</v>
      </c>
      <c r="BJ192" s="17"/>
      <c r="BK192" s="227">
        <f>+BK179-BK182-BK184-BK186-BK188-BK190</f>
        <v>80.9709083999999</v>
      </c>
      <c r="BL192" s="195">
        <f>+BL179-BL182-BL184-BL186-BL188-BL190</f>
        <v>94.117064400000032</v>
      </c>
      <c r="BM192" s="195">
        <f>+BM179-BM182-BM184-BM186-BM188-BM190</f>
        <v>102.84987767999999</v>
      </c>
      <c r="BN192" s="195">
        <f>+BN179-BN182-BN184-BN186-BN188-BN190</f>
        <v>114.42680364</v>
      </c>
      <c r="BO192" s="275">
        <f>SUM(BK192:BN192)</f>
        <v>392.36465411999995</v>
      </c>
      <c r="BP192" s="17"/>
      <c r="BQ192" s="227">
        <f>+BQ179-BQ182-BQ184-BQ186-BQ188-BQ190</f>
        <v>71.915568159999992</v>
      </c>
      <c r="BR192" s="195">
        <f>+BR179-BR182-BR184-BR186-BR188-BR190</f>
        <v>80.81873007999998</v>
      </c>
      <c r="BS192" s="195">
        <f>+BS179-BS182-BS184-BS186-BS188-BS190</f>
        <v>57.116628560000002</v>
      </c>
      <c r="BT192" s="195">
        <f>+BT179-BT182-BT184-BT186-BT188-BT190</f>
        <v>53.672073020883261</v>
      </c>
      <c r="BU192" s="275">
        <f>SUM(BQ192:BT192)</f>
        <v>263.52299982088323</v>
      </c>
      <c r="BV192" s="17"/>
      <c r="BW192" s="227">
        <f>+BW179-BW182-BW184-BW186-BW188-BW190</f>
        <v>53.952719517179226</v>
      </c>
      <c r="BX192" s="195">
        <f>+BX179-BX182-BX184-BX186-BX188-BX190</f>
        <v>58.667994792930244</v>
      </c>
      <c r="BY192" s="195">
        <f>+BY179-BY182-BY184-BY186-BY188-BY190</f>
        <v>61.815449006869471</v>
      </c>
      <c r="BZ192" s="195">
        <f>+BZ179-BZ182-BZ184-BZ186-BZ188-BZ190</f>
        <v>65.066613873575079</v>
      </c>
      <c r="CA192" s="275">
        <f>SUM(BW192:BZ192)</f>
        <v>239.50277719055401</v>
      </c>
      <c r="CB192" s="17"/>
      <c r="CC192" s="227">
        <f>+CC179-CC182-CC184-CC186-CC188-CC190</f>
        <v>54.485160614922584</v>
      </c>
      <c r="CD192" s="195">
        <f>+CD179-CD182-CD184-CD186-CD188-CD190</f>
        <v>59.280107401043409</v>
      </c>
      <c r="CE192" s="195">
        <f>+CE179-CE182-CE184-CE186-CE188-CE190</f>
        <v>62.579633639573977</v>
      </c>
      <c r="CF192" s="195">
        <f>+CF179-CF182-CF184-CF186-CF188-CF190</f>
        <v>66.00611987769507</v>
      </c>
      <c r="CG192" s="275">
        <f>SUM(CC192:CF192)</f>
        <v>242.35102153323504</v>
      </c>
      <c r="CH192" s="17"/>
      <c r="CI192" s="227">
        <f>+CI179-CI182-CI184-CI186-CI188-CI190</f>
        <v>52.212273222978737</v>
      </c>
      <c r="CJ192" s="195">
        <f>+CJ179-CJ182-CJ184-CJ186-CJ188-CJ190</f>
        <v>56.774359870845544</v>
      </c>
      <c r="CK192" s="195">
        <f>+CK179-CK182-CK184-CK186-CK188-CK190</f>
        <v>59.996937189089202</v>
      </c>
      <c r="CL192" s="195">
        <f>+CL179-CL182-CL184-CL186-CL188-CL190</f>
        <v>63.347937428694756</v>
      </c>
      <c r="CM192" s="275">
        <f>SUM(CI192:CL192)</f>
        <v>232.33150771160825</v>
      </c>
    </row>
    <row r="193" spans="1:100" x14ac:dyDescent="0.2">
      <c r="B193" s="224" t="s">
        <v>432</v>
      </c>
      <c r="C193" s="254">
        <f>+C192/'P&amp;L'!C8</f>
        <v>0.10455874096856087</v>
      </c>
      <c r="D193" s="212">
        <f>+D192/'P&amp;L'!D8</f>
        <v>0.11237798387665948</v>
      </c>
      <c r="E193" s="212">
        <f>+E192/'P&amp;L'!E8</f>
        <v>0.1306367636653728</v>
      </c>
      <c r="F193" s="212">
        <f>+F192/'P&amp;L'!F8</f>
        <v>0.1304835464855921</v>
      </c>
      <c r="G193" s="255">
        <f>+G192/'P&amp;L'!G8</f>
        <v>0.11995791878067381</v>
      </c>
      <c r="H193" s="17"/>
      <c r="I193" s="254">
        <f>+I192/'P&amp;L'!I8</f>
        <v>0.1072194680091189</v>
      </c>
      <c r="J193" s="212">
        <f>+J192/'P&amp;L'!J8</f>
        <v>0.1153951417265954</v>
      </c>
      <c r="K193" s="212">
        <f>+K192/'P&amp;L'!K8</f>
        <v>0.1249951565231046</v>
      </c>
      <c r="L193" s="212">
        <f>+L192/'P&amp;L'!L8</f>
        <v>0.13014499324244466</v>
      </c>
      <c r="M193" s="255">
        <f>+M192/'P&amp;L'!M8</f>
        <v>0.11979879355553638</v>
      </c>
      <c r="N193" s="17"/>
      <c r="O193" s="254">
        <f>+O192/'P&amp;L'!O8</f>
        <v>0.10699237785655617</v>
      </c>
      <c r="P193" s="212">
        <f>+P192/'P&amp;L'!P8</f>
        <v>0.116654101790612</v>
      </c>
      <c r="Q193" s="212">
        <f>+Q192/'P&amp;L'!Q8</f>
        <v>0.12027032525588056</v>
      </c>
      <c r="R193" s="212">
        <f>+R192/'P&amp;L'!R8</f>
        <v>0.1274399219371086</v>
      </c>
      <c r="S193" s="255">
        <f>+S192/'P&amp;L'!S8</f>
        <v>0.11799775520024872</v>
      </c>
      <c r="T193" s="17"/>
      <c r="U193" s="254">
        <f>+U192/'P&amp;L'!U8</f>
        <v>0.10519856581798651</v>
      </c>
      <c r="V193" s="212">
        <f>+V192/'P&amp;L'!V8</f>
        <v>0.10368018872300304</v>
      </c>
      <c r="W193" s="212">
        <f>+W192/'P&amp;L'!W8</f>
        <v>0.11509781144370575</v>
      </c>
      <c r="X193" s="212">
        <f>+X192/'P&amp;L'!X8</f>
        <v>0.12289177348350439</v>
      </c>
      <c r="Y193" s="255">
        <f>+Y192/'P&amp;L'!Y8</f>
        <v>0.11176597623507432</v>
      </c>
      <c r="Z193" s="17"/>
      <c r="AA193" s="254">
        <f>+AA192/'P&amp;L'!AA8</f>
        <v>0.10456512556675975</v>
      </c>
      <c r="AB193" s="212">
        <f>+AB192/'P&amp;L'!AB8</f>
        <v>0.10506404374083</v>
      </c>
      <c r="AC193" s="212">
        <f>+AC192/'P&amp;L'!AC8</f>
        <v>0.11235745278603043</v>
      </c>
      <c r="AD193" s="212">
        <f>+AD192/'P&amp;L'!AD8</f>
        <v>0.11753918759383998</v>
      </c>
      <c r="AE193" s="255">
        <f>+AE192/'P&amp;L'!AE8</f>
        <v>0.10992877152652338</v>
      </c>
      <c r="AF193" s="17"/>
      <c r="AG193" s="254">
        <f>+AG192/'P&amp;L'!AG8</f>
        <v>0.10532834573565482</v>
      </c>
      <c r="AH193" s="207">
        <f>+AH192/'P&amp;L'!AH8</f>
        <v>0.10516011927060535</v>
      </c>
      <c r="AI193" s="207">
        <f>+AI192/'P&amp;L'!AI8</f>
        <v>0.10766301017842979</v>
      </c>
      <c r="AJ193" s="207">
        <f>+AJ192/'P&amp;L'!AJ8</f>
        <v>0.11319237500422413</v>
      </c>
      <c r="AK193" s="255">
        <f>+AK192/'P&amp;L'!AK8</f>
        <v>0.10796117836444309</v>
      </c>
      <c r="AL193" s="17"/>
      <c r="AM193" s="254">
        <f>+AM192/'P&amp;L'!AM8</f>
        <v>9.8719905985549125E-2</v>
      </c>
      <c r="AN193" s="207">
        <f>+AN192/'P&amp;L'!AN8</f>
        <v>9.5558405107052241E-2</v>
      </c>
      <c r="AO193" s="207">
        <f>+AO192/'P&amp;L'!AO8</f>
        <v>0.10309510285949508</v>
      </c>
      <c r="AP193" s="207">
        <f>+AP192/'P&amp;L'!AP8</f>
        <v>0.1136914244201411</v>
      </c>
      <c r="AQ193" s="255">
        <f>+AQ192/'P&amp;L'!AQ8</f>
        <v>0.10303968524243293</v>
      </c>
      <c r="AR193" s="17"/>
      <c r="AS193" s="254">
        <f>+AS192/'P&amp;L'!AS8</f>
        <v>0.10149112796477777</v>
      </c>
      <c r="AT193" s="207">
        <f>+AT192/'P&amp;L'!AT8</f>
        <v>9.7465965635931393E-2</v>
      </c>
      <c r="AU193" s="207">
        <f>+AU192/'P&amp;L'!AU8</f>
        <v>9.7823638659288656E-2</v>
      </c>
      <c r="AV193" s="207">
        <f>+AV192/'P&amp;L'!AV8</f>
        <v>9.8350663773946773E-2</v>
      </c>
      <c r="AW193" s="255">
        <f>+AW192/'P&amp;L'!AW8</f>
        <v>9.8672963797904079E-2</v>
      </c>
      <c r="AX193" s="17"/>
      <c r="AY193" s="254">
        <f>+AY192/'P&amp;L'!AY8</f>
        <v>7.3116016416593266E-2</v>
      </c>
      <c r="AZ193" s="207">
        <f>+AZ192/'P&amp;L'!AZ8</f>
        <v>9.2691185051147526E-2</v>
      </c>
      <c r="BA193" s="207">
        <f>+BA192/'P&amp;L'!BA8</f>
        <v>9.2791885813633998E-2</v>
      </c>
      <c r="BB193" s="207">
        <f>+BB192/'P&amp;L'!BB8</f>
        <v>9.6632185310817409E-2</v>
      </c>
      <c r="BC193" s="255">
        <f>+BC192/'P&amp;L'!BC8</f>
        <v>8.9059121095958205E-2</v>
      </c>
      <c r="BD193" s="17"/>
      <c r="BE193" s="254">
        <f>+BE192/'P&amp;L'!BE8</f>
        <v>7.5547158784463608E-2</v>
      </c>
      <c r="BF193" s="207">
        <f>+BF192/'P&amp;L'!BF8</f>
        <v>8.051518319044644E-2</v>
      </c>
      <c r="BG193" s="207">
        <f>+BG192/'P&amp;L'!BG8</f>
        <v>8.9156052062564758E-2</v>
      </c>
      <c r="BH193" s="207">
        <f>+BH192/'P&amp;L'!BH8</f>
        <v>9.0843157363269297E-2</v>
      </c>
      <c r="BI193" s="255">
        <f>+BI192/'P&amp;L'!BI8</f>
        <v>8.4495591993841157E-2</v>
      </c>
      <c r="BJ193" s="17"/>
      <c r="BK193" s="254">
        <f>+BK192/'P&amp;L'!BK8</f>
        <v>6.0769078890092962E-2</v>
      </c>
      <c r="BL193" s="207">
        <f>+BL192/'P&amp;L'!BL8</f>
        <v>6.6361827362204334E-2</v>
      </c>
      <c r="BM193" s="207">
        <f>+BM192/'P&amp;L'!BM8</f>
        <v>7.3599937656449246E-2</v>
      </c>
      <c r="BN193" s="207">
        <f>+BN192/'P&amp;L'!BN8</f>
        <v>7.9186345797186503E-2</v>
      </c>
      <c r="BO193" s="255">
        <f>+BO192/'P&amp;L'!BO8</f>
        <v>7.0151214896425562E-2</v>
      </c>
      <c r="BP193" s="17"/>
      <c r="BQ193" s="254">
        <f>+BQ192/'P&amp;L'!BQ8</f>
        <v>5.5145112325216711E-2</v>
      </c>
      <c r="BR193" s="207">
        <f>+BR192/'P&amp;L'!BR8</f>
        <v>5.8321838905939567E-2</v>
      </c>
      <c r="BS193" s="207">
        <f>+BS192/'P&amp;L'!BS8</f>
        <v>4.1532660588617695E-2</v>
      </c>
      <c r="BT193" s="207">
        <f>+BT192/'P&amp;L'!BT8</f>
        <v>3.7231866675381593E-2</v>
      </c>
      <c r="BU193" s="255">
        <f>+BU192/'P&amp;L'!BU8</f>
        <v>4.7855526089116689E-2</v>
      </c>
      <c r="BV193" s="17"/>
      <c r="BW193" s="254">
        <f>+BW192/'P&amp;L'!BW8</f>
        <v>4.1161161319442079E-2</v>
      </c>
      <c r="BX193" s="207">
        <f>+BX192/'P&amp;L'!BX8</f>
        <v>4.0958676339656115E-2</v>
      </c>
      <c r="BY193" s="207">
        <f>+BY192/'P&amp;L'!BY8</f>
        <v>4.3763808442787232E-2</v>
      </c>
      <c r="BZ193" s="207">
        <f>+BZ192/'P&amp;L'!BZ8</f>
        <v>4.3488861889051315E-2</v>
      </c>
      <c r="CA193" s="255">
        <f>+CA192/'P&amp;L'!CA8</f>
        <v>4.2376490785245288E-2</v>
      </c>
      <c r="CB193" s="17"/>
      <c r="CC193" s="254">
        <f>+CC192/'P&amp;L'!CC8</f>
        <v>4.0559507194025381E-2</v>
      </c>
      <c r="CD193" s="207">
        <f>+CD192/'P&amp;L'!CD8</f>
        <v>4.0399597917789805E-2</v>
      </c>
      <c r="CE193" s="207">
        <f>+CE192/'P&amp;L'!CE8</f>
        <v>4.3154089522527049E-2</v>
      </c>
      <c r="CF193" s="207">
        <f>+CF192/'P&amp;L'!CF8</f>
        <v>4.2964746117949829E-2</v>
      </c>
      <c r="CG193" s="255">
        <f>+CG192/'P&amp;L'!CG8</f>
        <v>4.1805474002360801E-2</v>
      </c>
      <c r="CH193" s="17"/>
      <c r="CI193" s="254">
        <f>+CI192/'P&amp;L'!CI8</f>
        <v>3.784493973012603E-2</v>
      </c>
      <c r="CJ193" s="207">
        <f>+CJ192/'P&amp;L'!CJ8</f>
        <v>3.7672043817890896E-2</v>
      </c>
      <c r="CK193" s="207">
        <f>+CK192/'P&amp;L'!CK8</f>
        <v>4.0294310298295923E-2</v>
      </c>
      <c r="CL193" s="207">
        <f>+CL192/'P&amp;L'!CL8</f>
        <v>4.0153514017563188E-2</v>
      </c>
      <c r="CM193" s="255">
        <f>+CM192/'P&amp;L'!CM8</f>
        <v>3.9025554777869217E-2</v>
      </c>
    </row>
    <row r="194" spans="1:100" x14ac:dyDescent="0.2">
      <c r="B194" s="276" t="s">
        <v>433</v>
      </c>
      <c r="C194" s="277"/>
      <c r="D194" s="17"/>
      <c r="E194" s="17"/>
      <c r="F194" s="17"/>
      <c r="G194" s="278"/>
      <c r="H194" s="279"/>
      <c r="I194" s="277">
        <f>+I193-C180</f>
        <v>2.6607270405580308E-3</v>
      </c>
      <c r="J194" s="279">
        <f>+J193-D180</f>
        <v>3.0171578499359197E-3</v>
      </c>
      <c r="K194" s="279">
        <f>+K193-E180</f>
        <v>-5.641607142268204E-3</v>
      </c>
      <c r="L194" s="279">
        <f>+L193-F180</f>
        <v>-3.3855324314743807E-4</v>
      </c>
      <c r="M194" s="278">
        <f>+M193-G180</f>
        <v>-1.5912522513734928E-4</v>
      </c>
      <c r="N194" s="279"/>
      <c r="O194" s="277">
        <f>+O193-I180</f>
        <v>-2.3128671288538682E-4</v>
      </c>
      <c r="P194" s="279">
        <f>+P193-J180</f>
        <v>1.271456155618661E-3</v>
      </c>
      <c r="Q194" s="279">
        <f>+Q193-K180</f>
        <v>-4.7242046084858547E-3</v>
      </c>
      <c r="R194" s="279">
        <f>+R193-L180</f>
        <v>-2.6610045931051152E-3</v>
      </c>
      <c r="S194" s="278">
        <f>+S193-M180</f>
        <v>-1.7873270796105178E-3</v>
      </c>
      <c r="T194" s="279"/>
      <c r="U194" s="277">
        <f>+U193-O180</f>
        <v>-1.802895480458519E-3</v>
      </c>
      <c r="V194" s="279">
        <f>+V193-P180</f>
        <v>-5.0837899408124471E-3</v>
      </c>
      <c r="W194" s="279">
        <f>+W193-Q180</f>
        <v>2.2255501144955725E-3</v>
      </c>
      <c r="X194" s="279">
        <f>+X193-R180</f>
        <v>4.2997777508056723E-3</v>
      </c>
      <c r="Y194" s="278">
        <f>+Y193-S180</f>
        <v>-1.2820605988991818E-4</v>
      </c>
      <c r="Z194" s="279"/>
      <c r="AA194" s="277">
        <f>+AA193-U180</f>
        <v>7.3107659649973289E-3</v>
      </c>
      <c r="AB194" s="279">
        <f>+AB193-V180</f>
        <v>1.3940071374022589E-3</v>
      </c>
      <c r="AC194" s="279">
        <f>+AC193-W180</f>
        <v>-1.9808345113683373E-3</v>
      </c>
      <c r="AD194" s="279">
        <f>+AD193-X180</f>
        <v>-5.8031930784847585E-3</v>
      </c>
      <c r="AE194" s="278">
        <f>+AE193-Y180</f>
        <v>1.8217428233537059E-4</v>
      </c>
      <c r="AF194" s="279"/>
      <c r="AG194" s="277">
        <f>+AG193-AA180</f>
        <v>5.6797637250846633E-4</v>
      </c>
      <c r="AH194" s="279">
        <f>+AH193-AB180</f>
        <v>1.6046512287884451E-5</v>
      </c>
      <c r="AI194" s="279">
        <f>+AI193-AC180</f>
        <v>-4.756804288313668E-3</v>
      </c>
      <c r="AJ194" s="279">
        <f>+AJ193-AD180</f>
        <v>-4.6202087940423187E-3</v>
      </c>
      <c r="AK194" s="1060">
        <f>+AK193-AE180</f>
        <v>-2.1220556716319006E-3</v>
      </c>
      <c r="AL194" s="1061"/>
      <c r="AM194" s="1062">
        <f>+AM193-AG180</f>
        <v>1.9640983713969384E-3</v>
      </c>
      <c r="AN194" s="1061">
        <f>+AN193-AH180</f>
        <v>-1.6074592255516523E-3</v>
      </c>
      <c r="AO194" s="1061">
        <f>+AO193-AI180</f>
        <v>2.6448386225421255E-3</v>
      </c>
      <c r="AP194" s="1061">
        <f>+AP193-AJ180</f>
        <v>3.8470740067202414E-3</v>
      </c>
      <c r="AQ194" s="1060">
        <f>+AQ193-AK180</f>
        <v>1.7830885268541041E-3</v>
      </c>
      <c r="AR194" s="1061"/>
      <c r="AS194" s="1062">
        <f>+AS193-AM180</f>
        <v>8.610248547307589E-3</v>
      </c>
      <c r="AT194" s="1061">
        <f>+AT193-AN180</f>
        <v>7.6716522593244102E-3</v>
      </c>
      <c r="AU194" s="1061">
        <f>+AU193-AO180</f>
        <v>5.9895034437276728E-5</v>
      </c>
      <c r="AV194" s="1061">
        <f>+AV193-AP180</f>
        <v>-9.9014117587586242E-3</v>
      </c>
      <c r="AW194" s="1060">
        <f>+AW193-AQ180</f>
        <v>1.2205744403412516E-3</v>
      </c>
      <c r="AX194" s="1061"/>
      <c r="AY194" s="1062">
        <f>+AY193-AS180</f>
        <v>-1.9235638177924591E-2</v>
      </c>
      <c r="AZ194" s="1061">
        <f>+AZ193-AT180</f>
        <v>3.3803726438807469E-3</v>
      </c>
      <c r="BA194" s="1061">
        <f>+BA193-AU180</f>
        <v>2.5216589042730692E-3</v>
      </c>
      <c r="BB194" s="1061">
        <f>+BB193-AV180</f>
        <v>6.6081107679316214E-3</v>
      </c>
      <c r="BC194" s="1060">
        <f>+BC193-AW180</f>
        <v>-1.3593302472092728E-3</v>
      </c>
      <c r="BD194" s="1061"/>
      <c r="BE194" s="1062">
        <f>+BE193-AY180</f>
        <v>2.34990566504166E-3</v>
      </c>
      <c r="BF194" s="1061">
        <f>+BF193-AZ180</f>
        <v>3.9720742783407453E-3</v>
      </c>
      <c r="BG194" s="1061">
        <f>+BG193-BA180</f>
        <v>5.5490637417562744E-3</v>
      </c>
      <c r="BH194" s="1061">
        <f>+BH193-BB180</f>
        <v>6.2045551284697908E-4</v>
      </c>
      <c r="BI194" s="1060">
        <f>+BI193-BC180</f>
        <v>3.4038130651386778E-3</v>
      </c>
      <c r="BJ194" s="1061"/>
      <c r="BK194" s="1062">
        <f>+BK193-BE180</f>
        <v>-1.1834104324095804E-2</v>
      </c>
      <c r="BL194" s="1061">
        <f>+BL193-BF180</f>
        <v>-3.6283109178253947E-3</v>
      </c>
      <c r="BM194" s="1061">
        <f>+BM193-BG180</f>
        <v>-3.7362832032698245E-3</v>
      </c>
      <c r="BN194" s="1061">
        <f>+BN193-BH180</f>
        <v>-3.1113560401055118E-3</v>
      </c>
      <c r="BO194" s="1060">
        <f>+BO193-BI180</f>
        <v>-5.6253049896716617E-3</v>
      </c>
      <c r="BP194" s="1061"/>
      <c r="BQ194" s="1062">
        <f>+BQ193-BK180</f>
        <v>-5.3846241874562495E-3</v>
      </c>
      <c r="BR194" s="1061">
        <f>+BR193-BL180</f>
        <v>-6.3709742337172484E-3</v>
      </c>
      <c r="BS194" s="1061">
        <f>+BS193-BM180</f>
        <v>-2.55038309980085E-2</v>
      </c>
      <c r="BT194" s="1061">
        <f>+BT193-BN180</f>
        <v>-3.6354739019163591E-2</v>
      </c>
      <c r="BU194" s="1060">
        <f>+BU193-BO180</f>
        <v>-1.8728872942051382E-2</v>
      </c>
      <c r="BV194" s="1061"/>
      <c r="BW194" s="1062">
        <f>+BW193-BQ180</f>
        <v>-1.5098447687432313E-2</v>
      </c>
      <c r="BX194" s="1061">
        <f>+BX193-BR180</f>
        <v>-1.9014464306801308E-2</v>
      </c>
      <c r="BY194" s="1061">
        <f>+BY193-BS180</f>
        <v>3.2500365345140142E-4</v>
      </c>
      <c r="BZ194" s="1061">
        <f>+BZ193-BT180</f>
        <v>4.5867710520905228E-3</v>
      </c>
      <c r="CA194" s="1060">
        <f>+CA193-BU180</f>
        <v>-7.0718053621783503E-3</v>
      </c>
      <c r="CB194" s="1061"/>
      <c r="CC194" s="1062">
        <f>+CC193-BW180</f>
        <v>1.6685552206339993E-4</v>
      </c>
      <c r="CD194" s="1061">
        <f>+CD193-BX180</f>
        <v>1.4382580881178858E-4</v>
      </c>
      <c r="CE194" s="1061">
        <f>+CE193-BY180</f>
        <v>9.9659827628086062E-5</v>
      </c>
      <c r="CF194" s="1061">
        <f>+CF193-BZ180</f>
        <v>1.4699954310146146E-4</v>
      </c>
      <c r="CG194" s="1060">
        <f>+CG193-CA180</f>
        <v>1.4030550453489332E-4</v>
      </c>
      <c r="CH194" s="1061"/>
      <c r="CI194" s="1062">
        <f>+CI193-CC180</f>
        <v>-2.7199204306135039E-3</v>
      </c>
      <c r="CJ194" s="1061">
        <f>+CJ193-CD180</f>
        <v>-2.7321084620820224E-3</v>
      </c>
      <c r="CK194" s="1061">
        <f>+CK193-CE180</f>
        <v>-2.8611189203726975E-3</v>
      </c>
      <c r="CL194" s="1061">
        <f>+CL193-CF180</f>
        <v>-2.8138480098596139E-3</v>
      </c>
      <c r="CM194" s="1060">
        <f>+CM193-CG180</f>
        <v>-2.7833407901722076E-3</v>
      </c>
    </row>
    <row r="195" spans="1:100" x14ac:dyDescent="0.2">
      <c r="B195" s="280" t="s">
        <v>438</v>
      </c>
      <c r="C195" s="281"/>
      <c r="D195" s="181"/>
      <c r="E195" s="181"/>
      <c r="F195" s="181"/>
      <c r="G195" s="652"/>
      <c r="H195" s="17"/>
      <c r="I195" s="282"/>
      <c r="J195" s="283"/>
      <c r="K195" s="283"/>
      <c r="L195" s="283"/>
      <c r="M195" s="284"/>
      <c r="N195" s="17"/>
      <c r="O195" s="282">
        <f>+O194+I194</f>
        <v>2.429440327672644E-3</v>
      </c>
      <c r="P195" s="283">
        <f>+P194+J194</f>
        <v>4.2886140055545807E-3</v>
      </c>
      <c r="Q195" s="283">
        <f>+Q194+K194</f>
        <v>-1.0365811750754059E-2</v>
      </c>
      <c r="R195" s="283">
        <f>+R194+L194</f>
        <v>-2.9995578362525532E-3</v>
      </c>
      <c r="S195" s="284">
        <f>+S194+M194</f>
        <v>-1.9464523047478671E-3</v>
      </c>
      <c r="T195" s="17"/>
      <c r="U195" s="282">
        <f>+U194+O194</f>
        <v>-2.0341821933439058E-3</v>
      </c>
      <c r="V195" s="283">
        <f>+V194+P194</f>
        <v>-3.8123337851937861E-3</v>
      </c>
      <c r="W195" s="283">
        <f>+W194+Q194</f>
        <v>-2.4986544939902822E-3</v>
      </c>
      <c r="X195" s="283">
        <f>+X194+R194</f>
        <v>1.6387731577005571E-3</v>
      </c>
      <c r="Y195" s="284">
        <f>+Y194+S194</f>
        <v>-1.915533139500436E-3</v>
      </c>
      <c r="Z195" s="17"/>
      <c r="AA195" s="282">
        <f>+AA194+U194</f>
        <v>5.5078704845388099E-3</v>
      </c>
      <c r="AB195" s="283">
        <f>+AB194+V194</f>
        <v>-3.6897828034101882E-3</v>
      </c>
      <c r="AC195" s="283">
        <f>+AC194+W194</f>
        <v>2.4471560312723517E-4</v>
      </c>
      <c r="AD195" s="283">
        <f>+AD194+X194</f>
        <v>-1.5034153276790863E-3</v>
      </c>
      <c r="AE195" s="284">
        <f>+AE194+Y194</f>
        <v>5.3968222445452407E-5</v>
      </c>
      <c r="AF195" s="17"/>
      <c r="AG195" s="282">
        <f>+AG194+AA194</f>
        <v>7.8787423375057952E-3</v>
      </c>
      <c r="AH195" s="283">
        <f>+AH194+AB194</f>
        <v>1.4100536496901434E-3</v>
      </c>
      <c r="AI195" s="283">
        <f>+AI194+AC194</f>
        <v>-6.7376387996820053E-3</v>
      </c>
      <c r="AJ195" s="283">
        <f>+AJ194+AD194</f>
        <v>-1.0423401872527077E-2</v>
      </c>
      <c r="AK195" s="284">
        <f>+AK194+AE194</f>
        <v>-1.93988138929653E-3</v>
      </c>
      <c r="AL195" s="17"/>
      <c r="AM195" s="282">
        <f>+AM194+AG194</f>
        <v>2.5320747439054048E-3</v>
      </c>
      <c r="AN195" s="283">
        <f>+AN194+AH194</f>
        <v>-1.5914127132637679E-3</v>
      </c>
      <c r="AO195" s="283">
        <f>+AO194+AI194</f>
        <v>-2.1119656657715424E-3</v>
      </c>
      <c r="AP195" s="283">
        <f>+AP194+AJ194</f>
        <v>-7.731347873220773E-4</v>
      </c>
      <c r="AQ195" s="284">
        <f>+AQ194+AK194</f>
        <v>-3.3896714477779644E-4</v>
      </c>
      <c r="AR195" s="17"/>
      <c r="AS195" s="282">
        <f>+AS194+AM194</f>
        <v>1.0574346918704527E-2</v>
      </c>
      <c r="AT195" s="283">
        <f>+AT194+AN194</f>
        <v>6.0641930337727579E-3</v>
      </c>
      <c r="AU195" s="283">
        <f>+AU194+AO194</f>
        <v>2.7047336569794023E-3</v>
      </c>
      <c r="AV195" s="283">
        <f>+AV194+AP194</f>
        <v>-6.0543377520383829E-3</v>
      </c>
      <c r="AW195" s="284">
        <f>+AW194+AQ194</f>
        <v>3.0036629671953557E-3</v>
      </c>
      <c r="AX195" s="17"/>
      <c r="AY195" s="282">
        <f>+AY194+AS194</f>
        <v>-1.0625389630617002E-2</v>
      </c>
      <c r="AZ195" s="283">
        <f>+AZ194+AT194</f>
        <v>1.1052024903205157E-2</v>
      </c>
      <c r="BA195" s="283">
        <f>+BA194+AU194</f>
        <v>2.5815539387103459E-3</v>
      </c>
      <c r="BB195" s="283">
        <f>+BB194+AV194</f>
        <v>-3.2933009908270028E-3</v>
      </c>
      <c r="BC195" s="284">
        <f>+BC194+AW194</f>
        <v>-1.3875580686802114E-4</v>
      </c>
      <c r="BD195" s="17"/>
      <c r="BE195" s="282">
        <f>+BE194+AY194</f>
        <v>-1.6885732512882931E-2</v>
      </c>
      <c r="BF195" s="283">
        <f>+BF194+AZ194</f>
        <v>7.3524469222214922E-3</v>
      </c>
      <c r="BG195" s="283">
        <f>+BG194+BA194</f>
        <v>8.0707226460293435E-3</v>
      </c>
      <c r="BH195" s="283">
        <f>+BH194+BB194</f>
        <v>7.2285662807786005E-3</v>
      </c>
      <c r="BI195" s="284">
        <f>+BI194+BC194</f>
        <v>2.044482817929405E-3</v>
      </c>
      <c r="BJ195" s="17"/>
      <c r="BK195" s="282">
        <f>+BK194+BE194</f>
        <v>-9.4841986590541438E-3</v>
      </c>
      <c r="BL195" s="283">
        <f>+BL194+BF194</f>
        <v>3.4376336051535061E-4</v>
      </c>
      <c r="BM195" s="283">
        <f>+BM194+BG194</f>
        <v>1.8127805384864498E-3</v>
      </c>
      <c r="BN195" s="283">
        <f>+BN194+BH194</f>
        <v>-2.4909005272585327E-3</v>
      </c>
      <c r="BO195" s="284">
        <f>+BO194+BI194</f>
        <v>-2.2214919245329839E-3</v>
      </c>
      <c r="BP195" s="17"/>
      <c r="BQ195" s="282">
        <f>+BQ194+BK194</f>
        <v>-1.7218728511552053E-2</v>
      </c>
      <c r="BR195" s="283">
        <f>+BR194+BL194</f>
        <v>-9.9992851515426431E-3</v>
      </c>
      <c r="BS195" s="283">
        <f>+BS194+BM194</f>
        <v>-2.9240114201278325E-2</v>
      </c>
      <c r="BT195" s="283">
        <f>+BT194+BN194</f>
        <v>-3.9466095059269103E-2</v>
      </c>
      <c r="BU195" s="284">
        <f>+BU194+BO194</f>
        <v>-2.4354177931723044E-2</v>
      </c>
      <c r="BV195" s="17"/>
      <c r="BW195" s="282">
        <f>+BW194+BQ194</f>
        <v>-2.0483071874888563E-2</v>
      </c>
      <c r="BX195" s="283">
        <f>+BX194+BR194</f>
        <v>-2.5385438540518557E-2</v>
      </c>
      <c r="BY195" s="283">
        <f>+BY194+BS194</f>
        <v>-2.5178827344557099E-2</v>
      </c>
      <c r="BZ195" s="283">
        <f>+BZ194+BT194</f>
        <v>-3.1767967967073069E-2</v>
      </c>
      <c r="CA195" s="284">
        <f>+CA194+BU194</f>
        <v>-2.5800678304229732E-2</v>
      </c>
      <c r="CB195" s="17"/>
      <c r="CC195" s="282">
        <f>+CC194+BW194</f>
        <v>-1.4931592165368913E-2</v>
      </c>
      <c r="CD195" s="283">
        <f>+CD194+BX194</f>
        <v>-1.887063849798952E-2</v>
      </c>
      <c r="CE195" s="283">
        <f>+CE194+BY194</f>
        <v>4.2466348107948748E-4</v>
      </c>
      <c r="CF195" s="283">
        <f>+CF194+BZ194</f>
        <v>4.7337705951919842E-3</v>
      </c>
      <c r="CG195" s="284">
        <f>+CG194+CA194</f>
        <v>-6.9314998576434569E-3</v>
      </c>
      <c r="CH195" s="17"/>
      <c r="CI195" s="282">
        <f>+CI194+CC194</f>
        <v>-2.5530649085501039E-3</v>
      </c>
      <c r="CJ195" s="283">
        <f>+CJ194+CD194</f>
        <v>-2.5882826532702338E-3</v>
      </c>
      <c r="CK195" s="283">
        <f>+CK194+CE194</f>
        <v>-2.7614590927446114E-3</v>
      </c>
      <c r="CL195" s="283">
        <f>+CL194+CF194</f>
        <v>-2.6668484667581524E-3</v>
      </c>
      <c r="CM195" s="284">
        <f>+CM194+CG194</f>
        <v>-2.6430352856373143E-3</v>
      </c>
    </row>
    <row r="196" spans="1:100" x14ac:dyDescent="0.2">
      <c r="B196" s="285" t="s">
        <v>439</v>
      </c>
      <c r="C196" s="286"/>
      <c r="D196" s="287"/>
      <c r="E196" s="287"/>
      <c r="F196" s="287"/>
      <c r="G196" s="653"/>
      <c r="H196" s="288"/>
      <c r="I196" s="289">
        <f>+((I192-C179)/(RevBuild!C154*RevBuild!I159))</f>
        <v>0.1454374131094078</v>
      </c>
      <c r="J196" s="290">
        <f>+((J192-D179)/(RevBuild!D154*RevBuild!J159))</f>
        <v>0.15852231871001035</v>
      </c>
      <c r="K196" s="290">
        <f>+((K192-E179)/(RevBuild!E154*RevBuild!K159))</f>
        <v>6.5642054867286054E-2</v>
      </c>
      <c r="L196" s="290">
        <f>+((L192-F179)/(RevBuild!F154*RevBuild!L159))</f>
        <v>0.12112207398412009</v>
      </c>
      <c r="M196" s="291">
        <f>+((M192-G179)/(RevBuild!G154*RevBuild!M159))</f>
        <v>0.15030357419801452</v>
      </c>
      <c r="N196" s="288"/>
      <c r="O196" s="289">
        <f>+((O192-I179)/(RevBuild!I154*RevBuild!O159))</f>
        <v>0.10358348696575884</v>
      </c>
      <c r="P196" s="290">
        <f>+((P192-J179)/(RevBuild!J154*RevBuild!P159))</f>
        <v>0.17257524448596973</v>
      </c>
      <c r="Q196" s="290">
        <f>+((Q192-K179)/(RevBuild!K154*RevBuild!Q159))</f>
        <v>1.5483326880741185E-2</v>
      </c>
      <c r="R196" s="290">
        <f>+((R192-L179)/(RevBuild!L154*RevBuild!R159))</f>
        <v>-0.1740097948775372</v>
      </c>
      <c r="S196" s="291">
        <f>+((S192-M179)/(RevBuild!M154*RevBuild!S159))</f>
        <v>0.39408963464187985</v>
      </c>
      <c r="T196" s="288"/>
      <c r="U196" s="289">
        <f>+((U192-O179)/(RevBuild!O154*RevBuild!U159))</f>
        <v>7.1701315834623594E-2</v>
      </c>
      <c r="V196" s="290">
        <f>+((V192-P179)/(RevBuild!P154*RevBuild!V159))</f>
        <v>3.3974523185222705E-2</v>
      </c>
      <c r="W196" s="290">
        <f>+((W192-Q179)/(RevBuild!Q154*RevBuild!W159))</f>
        <v>0.14268103961378045</v>
      </c>
      <c r="X196" s="290">
        <f>+((X192-R179)/(RevBuild!R154*RevBuild!X159))</f>
        <v>0.42656097954547578</v>
      </c>
      <c r="Y196" s="291">
        <f>+((Y192-S179)/(RevBuild!S154*RevBuild!Y159))</f>
        <v>5.0424513392197001</v>
      </c>
      <c r="Z196" s="288"/>
      <c r="AA196" s="289">
        <f>+((AA192-U179)/(RevBuild!U154*RevBuild!AA159))</f>
        <v>0.27789456867060225</v>
      </c>
      <c r="AB196" s="290">
        <f>+((AB192-V179)/(RevBuild!V154*RevBuild!AB159))</f>
        <v>0.25438393773913187</v>
      </c>
      <c r="AC196" s="290">
        <f>+((AC192-W179)/(RevBuild!W154*RevBuild!AC159))</f>
        <v>7.9721141908846771E-2</v>
      </c>
      <c r="AD196" s="290">
        <f>+((AD192-X179)/(RevBuild!X154*RevBuild!AD159))</f>
        <v>7.966673435281113E-2</v>
      </c>
      <c r="AE196" s="291">
        <f>+((AE192-Y179)/(RevBuild!Y154*RevBuild!AE159))</f>
        <v>0.20787830473403676</v>
      </c>
      <c r="AF196" s="288"/>
      <c r="AG196" s="289">
        <f>+((AG192-AA179)/(RevBuild!AA154*RevBuild!AG159))</f>
        <v>-3.4355285500958406E-2</v>
      </c>
      <c r="AH196" s="290">
        <f>+((AH192-AB179)/(RevBuild!AB154*RevBuild!AH159))</f>
        <v>5.0060764111685054E-3</v>
      </c>
      <c r="AI196" s="290">
        <f>+((AI192-AC179)/(RevBuild!AC154*RevBuild!AI159))</f>
        <v>5.6817017942344034E-2</v>
      </c>
      <c r="AJ196" s="290">
        <f>+((AJ192-AD179)/(RevBuild!AD154*RevBuild!AJ159))</f>
        <v>4.3003129378149499E-2</v>
      </c>
      <c r="AK196" s="291">
        <f>+((AK192-AE179)/(RevBuild!AE154*RevBuild!AK159))</f>
        <v>6.1873057127666234E-2</v>
      </c>
      <c r="AL196" s="288"/>
      <c r="AM196" s="289">
        <f>+((AM192-AG179)/(RevBuild!AG154*RevBuild!AM159))</f>
        <v>0.1454024087172586</v>
      </c>
      <c r="AN196" s="290">
        <f>+((AN192-AH179)/(RevBuild!AH154*RevBuild!AN159))</f>
        <v>-6.5257059497761505E-2</v>
      </c>
      <c r="AO196" s="290">
        <f>+((AO192-AI179)/(RevBuild!AI154*RevBuild!AO159))</f>
        <v>0.31526764465995699</v>
      </c>
      <c r="AP196" s="290">
        <f>+((AP192-AJ179)/(RevBuild!AJ154*RevBuild!AP159))</f>
        <v>0.24265636494663045</v>
      </c>
      <c r="AQ196" s="291">
        <f>+((AQ192-AK179)/(RevBuild!AK154*RevBuild!AQ159))</f>
        <v>0.18970347711502658</v>
      </c>
      <c r="AR196" s="288"/>
      <c r="AS196" s="289">
        <f>+((AS192-AM179)/(RevBuild!AM154*RevBuild!AS159))</f>
        <v>-0.6883296230885535</v>
      </c>
      <c r="AT196" s="290">
        <f>+((AT192-AN179)/(RevBuild!AN154*RevBuild!AT159))</f>
        <v>1.1824794614104877</v>
      </c>
      <c r="AU196" s="290">
        <f>+((AU192-AO179)/(RevBuild!AO154*RevBuild!AU159))</f>
        <v>0.66214152907806134</v>
      </c>
      <c r="AV196" s="290">
        <f>+((AV192-AP179)/(RevBuild!AP154*RevBuild!AV159))</f>
        <v>-1.6915043837603432</v>
      </c>
      <c r="AW196" s="291">
        <f>+((AW192-AQ179)/(RevBuild!AQ154*RevBuild!AW159))</f>
        <v>1.5988827115383994</v>
      </c>
      <c r="AX196" s="288"/>
      <c r="AY196" s="289">
        <f>+((AY192-AS179)/(RevBuild!AS154*RevBuild!AY159))</f>
        <v>-0.39557244833652966</v>
      </c>
      <c r="AZ196" s="290">
        <f>+((AZ192-AT179)/(RevBuild!AT154*RevBuild!AZ159))</f>
        <v>2.1151442420775862E-2</v>
      </c>
      <c r="BA196" s="290">
        <f>+((BA192-AU179)/(RevBuild!AU154*RevBuild!BA159))</f>
        <v>-0.41671356973931273</v>
      </c>
      <c r="BB196" s="290">
        <f>+((BB192-AV179)/(RevBuild!AV154*RevBuild!BB159))</f>
        <v>1.092569811094461E-2</v>
      </c>
      <c r="BC196" s="291">
        <f>+((BC192-AW179)/(RevBuild!AW154*RevBuild!BC159))</f>
        <v>-0.10951496681567932</v>
      </c>
      <c r="BD196" s="288"/>
      <c r="BE196" s="289">
        <f>+((BE192-AY179)/(RevBuild!AY154*RevBuild!BE159))</f>
        <v>0.84016955875785271</v>
      </c>
      <c r="BF196" s="290">
        <f>+((BF192-AZ179)/(RevBuild!AZ154*RevBuild!BF159))</f>
        <v>1.2266900230930275</v>
      </c>
      <c r="BG196" s="290">
        <f>+((BG192-BA179)/(RevBuild!BA154*RevBuild!BG159))</f>
        <v>0.68090885646318888</v>
      </c>
      <c r="BH196" s="290">
        <f>+((BH192-BB179)/(RevBuild!BB154*RevBuild!BH159))</f>
        <v>1.5092442637954753</v>
      </c>
      <c r="BI196" s="291">
        <f>+((BI192-BC179)/(RevBuild!BC154*RevBuild!BI159))</f>
        <v>0.96886215590067015</v>
      </c>
      <c r="BJ196" s="288"/>
      <c r="BK196" s="289">
        <f>+((BK192-BE179)/(RevBuild!BE154*RevBuild!BK159))</f>
        <v>-3.0248886424165865E-2</v>
      </c>
      <c r="BL196" s="290">
        <f>+((BL192-BF179)/(RevBuild!BF154*RevBuild!BL159))</f>
        <v>-5.4671107161976699E-2</v>
      </c>
      <c r="BM196" s="290">
        <f>+((BM192-BG179)/(RevBuild!BG154*RevBuild!BM159))</f>
        <v>-0.27976828199879672</v>
      </c>
      <c r="BN196" s="290">
        <f>+((BN192-BH179)/(RevBuild!BH154*RevBuild!BN159))</f>
        <v>-0.42374971957223923</v>
      </c>
      <c r="BO196" s="291">
        <f>+((BO192-BI179)/(RevBuild!BI154*RevBuild!BO159))</f>
        <v>-0.10196336999009105</v>
      </c>
      <c r="BP196" s="288"/>
      <c r="BQ196" s="289">
        <f>+((BQ192-BK179)/(RevBuild!BK154*RevBuild!BQ159))</f>
        <v>0.596066960337028</v>
      </c>
      <c r="BR196" s="290">
        <f>+((BR192-BL179)/(RevBuild!BL154*RevBuild!BR159))</f>
        <v>0.34293821871602242</v>
      </c>
      <c r="BS196" s="290">
        <f>+((BS192-BM179)/(RevBuild!BM154*RevBuild!BS159))</f>
        <v>0.96901919693903182</v>
      </c>
      <c r="BT196" s="290">
        <f>+((BT192-BN179)/(RevBuild!BN154*RevBuild!BT159))</f>
        <v>3.8545459653664134</v>
      </c>
      <c r="BU196" s="291">
        <f>+((BU192-BO179)/(RevBuild!BO154*RevBuild!BU159))</f>
        <v>1.1119942721359846</v>
      </c>
      <c r="BV196" s="288"/>
      <c r="BW196" s="289">
        <f>+((BW192-BQ179)/(RevBuild!BQ154*RevBuild!BW159))</f>
        <v>-2.8402527874508587</v>
      </c>
      <c r="BX196" s="290">
        <f>+((BX192-BR179)/(RevBuild!BR154*RevBuild!BX159))</f>
        <v>-0.52215789909357124</v>
      </c>
      <c r="BY196" s="290">
        <f>+((BY192-BS179)/(RevBuild!BS154*RevBuild!BY159))</f>
        <v>5.5686278373075597E-2</v>
      </c>
      <c r="BZ196" s="290">
        <f>+((BZ192-BT179)/(RevBuild!BT154*RevBuild!BZ159))</f>
        <v>0.16427143439038538</v>
      </c>
      <c r="CA196" s="291">
        <f>+((CA192-BU179)/(RevBuild!BU154*RevBuild!CA159))</f>
        <v>-0.22513064344960521</v>
      </c>
      <c r="CB196" s="288"/>
      <c r="CC196" s="289">
        <f>+((CC192-BW179)/(RevBuild!BW154*RevBuild!CC159))</f>
        <v>4.7536679811543213E-2</v>
      </c>
      <c r="CD196" s="290">
        <f>+((CD192-BX179)/(RevBuild!BX154*RevBuild!CD159))</f>
        <v>4.6512281853005086E-2</v>
      </c>
      <c r="CE196" s="290">
        <f>+((CE192-BY179)/(RevBuild!BY154*RevBuild!CE159))</f>
        <v>4.695198447387075E-2</v>
      </c>
      <c r="CF196" s="290">
        <f>+((CF192-BZ179)/(RevBuild!BZ154*RevBuild!CF159))</f>
        <v>4.8568567720522114E-2</v>
      </c>
      <c r="CG196" s="291">
        <f>+((CG192-CA179)/(RevBuild!CA154*RevBuild!CG159))</f>
        <v>4.7423748809470208E-2</v>
      </c>
      <c r="CH196" s="288"/>
      <c r="CI196" s="289">
        <f>+((CI192-CC179)/(RevBuild!CC154*RevBuild!CI159))</f>
        <v>-6.3134431039794922E-2</v>
      </c>
      <c r="CJ196" s="290">
        <f>+((CJ192-CD179)/(RevBuild!CD154*RevBuild!CJ159))</f>
        <v>-6.3518449106313116E-2</v>
      </c>
      <c r="CK196" s="290">
        <f>+((CK192-CE179)/(RevBuild!CE154*RevBuild!CK159))</f>
        <v>-6.6657938684437035E-2</v>
      </c>
      <c r="CL196" s="290">
        <f>+((CL192-CF179)/(RevBuild!CF154*RevBuild!CL159))</f>
        <v>-6.4529424771298707E-2</v>
      </c>
      <c r="CM196" s="291">
        <f>+((CM192-CG179)/(RevBuild!CG154*RevBuild!CM159))</f>
        <v>-6.4479098390881839E-2</v>
      </c>
    </row>
    <row r="197" spans="1:100" x14ac:dyDescent="0.2">
      <c r="B197" s="84"/>
      <c r="C197" s="84"/>
      <c r="D197" s="84"/>
      <c r="E197" s="84"/>
      <c r="F197" s="84"/>
      <c r="G197" s="84"/>
      <c r="H197" s="114"/>
      <c r="I197" s="84"/>
      <c r="J197" s="84"/>
      <c r="K197" s="84"/>
      <c r="L197" s="84"/>
      <c r="M197" s="84"/>
      <c r="N197" s="114"/>
      <c r="O197" s="140"/>
      <c r="P197" s="84"/>
      <c r="Q197" s="84"/>
      <c r="R197" s="84"/>
      <c r="S197" s="84"/>
      <c r="T197" s="114"/>
      <c r="U197" s="140"/>
      <c r="V197" s="84"/>
      <c r="W197" s="84"/>
      <c r="X197" s="84"/>
      <c r="Y197" s="84"/>
      <c r="Z197" s="114"/>
      <c r="AA197" s="84"/>
      <c r="AB197" s="84"/>
      <c r="AC197" s="84"/>
      <c r="AD197" s="84"/>
      <c r="AE197" s="84"/>
      <c r="AF197" s="114"/>
      <c r="AG197" s="140"/>
      <c r="AH197" s="84"/>
      <c r="AI197" s="84"/>
      <c r="AJ197" s="84"/>
      <c r="AK197" s="84"/>
      <c r="AL197" s="114"/>
      <c r="AM197" s="84"/>
      <c r="AN197" s="84"/>
      <c r="AO197" s="84"/>
      <c r="AP197" s="84"/>
      <c r="AQ197" s="84"/>
      <c r="AR197" s="114"/>
      <c r="AS197" s="84"/>
      <c r="AT197" s="84"/>
      <c r="AU197" s="84"/>
      <c r="AV197" s="84"/>
      <c r="AW197" s="84"/>
      <c r="AX197" s="114"/>
      <c r="AY197" s="84"/>
      <c r="AZ197" s="84"/>
      <c r="BA197" s="84"/>
      <c r="BB197" s="84"/>
      <c r="BC197" s="84"/>
      <c r="BD197" s="114"/>
      <c r="BE197" s="84"/>
      <c r="BF197" s="84"/>
      <c r="BG197" s="84"/>
      <c r="BH197" s="84"/>
      <c r="BI197" s="84"/>
      <c r="BJ197" s="114"/>
      <c r="BK197" s="84"/>
      <c r="BL197" s="84"/>
      <c r="BM197" s="84"/>
      <c r="BN197" s="84"/>
      <c r="BO197" s="84"/>
      <c r="BP197" s="114"/>
      <c r="BQ197" s="84"/>
      <c r="BR197" s="84"/>
      <c r="BS197" s="84"/>
      <c r="BT197" s="84"/>
      <c r="BU197" s="84"/>
      <c r="BV197" s="114"/>
      <c r="BW197" s="84"/>
      <c r="BX197" s="84"/>
      <c r="BY197" s="84"/>
      <c r="BZ197" s="84"/>
      <c r="CA197" s="84"/>
      <c r="CB197" s="114"/>
      <c r="CC197" s="84"/>
      <c r="CD197" s="84"/>
      <c r="CE197" s="84"/>
      <c r="CF197" s="84"/>
      <c r="CG197" s="84"/>
      <c r="CH197" s="114"/>
      <c r="CI197" s="84"/>
      <c r="CJ197" s="84"/>
      <c r="CK197" s="84"/>
      <c r="CL197" s="84"/>
      <c r="CM197" s="84"/>
    </row>
    <row r="198" spans="1:100" s="1170" customFormat="1" x14ac:dyDescent="0.2">
      <c r="A198" s="1168"/>
      <c r="B198" s="1167" t="s">
        <v>495</v>
      </c>
      <c r="C198" s="1169">
        <f>+G198</f>
        <v>0.04</v>
      </c>
      <c r="D198" s="1169">
        <f>+G198</f>
        <v>0.04</v>
      </c>
      <c r="E198" s="1169">
        <f>+G198</f>
        <v>0.04</v>
      </c>
      <c r="F198" s="1169">
        <f>+G198</f>
        <v>0.04</v>
      </c>
      <c r="G198" s="1169">
        <v>0.04</v>
      </c>
      <c r="H198" s="1169"/>
      <c r="I198" s="1169">
        <f>+M198</f>
        <v>0.04</v>
      </c>
      <c r="J198" s="1169">
        <f>+M198</f>
        <v>0.04</v>
      </c>
      <c r="K198" s="1169">
        <f>+M198</f>
        <v>0.04</v>
      </c>
      <c r="L198" s="1169">
        <f>+M198</f>
        <v>0.04</v>
      </c>
      <c r="M198" s="1169">
        <v>0.04</v>
      </c>
      <c r="N198" s="1169"/>
      <c r="O198" s="1169">
        <f t="shared" ref="O198" si="129">+S198</f>
        <v>0.04</v>
      </c>
      <c r="P198" s="1169">
        <f t="shared" ref="P198" si="130">+S198</f>
        <v>0.04</v>
      </c>
      <c r="Q198" s="1169">
        <f t="shared" ref="Q198" si="131">+S198</f>
        <v>0.04</v>
      </c>
      <c r="R198" s="1169">
        <f t="shared" ref="R198" si="132">+S198</f>
        <v>0.04</v>
      </c>
      <c r="S198" s="1169">
        <v>0.04</v>
      </c>
      <c r="T198" s="1169"/>
      <c r="U198" s="1169">
        <f t="shared" ref="U198" si="133">+Y198</f>
        <v>0.04</v>
      </c>
      <c r="V198" s="1169">
        <f t="shared" ref="V198" si="134">+Y198</f>
        <v>0.04</v>
      </c>
      <c r="W198" s="1169">
        <f t="shared" ref="W198" si="135">+Y198</f>
        <v>0.04</v>
      </c>
      <c r="X198" s="1169">
        <f t="shared" ref="X198" si="136">+Y198</f>
        <v>0.04</v>
      </c>
      <c r="Y198" s="1169">
        <v>0.04</v>
      </c>
      <c r="Z198" s="1169"/>
      <c r="AA198" s="1169">
        <f t="shared" ref="AA198" si="137">+AE198</f>
        <v>0.04</v>
      </c>
      <c r="AB198" s="1169">
        <f t="shared" ref="AB198" si="138">+AE198</f>
        <v>0.04</v>
      </c>
      <c r="AC198" s="1169">
        <f t="shared" ref="AC198" si="139">+AE198</f>
        <v>0.04</v>
      </c>
      <c r="AD198" s="1169">
        <f t="shared" ref="AD198" si="140">+AE198</f>
        <v>0.04</v>
      </c>
      <c r="AE198" s="1169">
        <v>0.04</v>
      </c>
      <c r="AF198" s="1169"/>
      <c r="AG198" s="1169">
        <f t="shared" ref="AG198" si="141">+AK198</f>
        <v>0.04</v>
      </c>
      <c r="AH198" s="1169">
        <f t="shared" ref="AH198" si="142">+AK198</f>
        <v>0.04</v>
      </c>
      <c r="AI198" s="1169">
        <f t="shared" ref="AI198" si="143">+AK198</f>
        <v>0.04</v>
      </c>
      <c r="AJ198" s="1169">
        <f t="shared" ref="AJ198" si="144">+AK198</f>
        <v>0.04</v>
      </c>
      <c r="AK198" s="1169">
        <v>0.04</v>
      </c>
      <c r="AL198" s="1169"/>
      <c r="AM198" s="1169">
        <f t="shared" ref="AM198" si="145">+AQ198</f>
        <v>0.04</v>
      </c>
      <c r="AN198" s="1169">
        <f t="shared" ref="AN198" si="146">+AQ198</f>
        <v>0.04</v>
      </c>
      <c r="AO198" s="1169">
        <f t="shared" ref="AO198" si="147">+AQ198</f>
        <v>0.04</v>
      </c>
      <c r="AP198" s="1169">
        <f t="shared" ref="AP198" si="148">+AQ198</f>
        <v>0.04</v>
      </c>
      <c r="AQ198" s="1169">
        <v>0.04</v>
      </c>
      <c r="AR198" s="1169"/>
      <c r="AS198" s="1169">
        <f>+AW198</f>
        <v>0.04</v>
      </c>
      <c r="AT198" s="1169">
        <f>+AW198</f>
        <v>0.04</v>
      </c>
      <c r="AU198" s="1169">
        <f>+AW198</f>
        <v>0.04</v>
      </c>
      <c r="AV198" s="1169">
        <f>+AW198</f>
        <v>0.04</v>
      </c>
      <c r="AW198" s="1169">
        <v>0.04</v>
      </c>
      <c r="AX198" s="1169"/>
      <c r="AY198" s="1169">
        <f>+BC198</f>
        <v>0.04</v>
      </c>
      <c r="AZ198" s="1169">
        <f>+BC198</f>
        <v>0.04</v>
      </c>
      <c r="BA198" s="1169">
        <f>+BC198</f>
        <v>0.04</v>
      </c>
      <c r="BB198" s="1169">
        <f>+BC198</f>
        <v>0.04</v>
      </c>
      <c r="BC198" s="1169">
        <v>0.04</v>
      </c>
      <c r="BD198" s="1169"/>
      <c r="BE198" s="1169">
        <f>+BI198</f>
        <v>0.04</v>
      </c>
      <c r="BF198" s="1169">
        <f>+BI198</f>
        <v>0.04</v>
      </c>
      <c r="BG198" s="1169">
        <f>+BI198</f>
        <v>0.04</v>
      </c>
      <c r="BH198" s="1169">
        <f>+BI198</f>
        <v>0.04</v>
      </c>
      <c r="BI198" s="1169">
        <v>0.04</v>
      </c>
      <c r="BJ198" s="1169"/>
      <c r="BK198" s="1169">
        <f>+BO198</f>
        <v>0.04</v>
      </c>
      <c r="BL198" s="1169">
        <f>+BO198</f>
        <v>0.04</v>
      </c>
      <c r="BM198" s="1169">
        <f>+BO198</f>
        <v>0.04</v>
      </c>
      <c r="BN198" s="1169">
        <f>+BO198</f>
        <v>0.04</v>
      </c>
      <c r="BO198" s="1169">
        <v>0.04</v>
      </c>
      <c r="BP198" s="1169"/>
      <c r="BQ198" s="1169">
        <f>+BU198</f>
        <v>0.04</v>
      </c>
      <c r="BR198" s="1169">
        <f>+BU198</f>
        <v>0.04</v>
      </c>
      <c r="BS198" s="1169">
        <f>+BU198</f>
        <v>0.04</v>
      </c>
      <c r="BT198" s="1169">
        <f>+BU198</f>
        <v>0.04</v>
      </c>
      <c r="BU198" s="1169">
        <v>0.04</v>
      </c>
      <c r="BV198" s="1169"/>
      <c r="BW198" s="1169">
        <f t="shared" ref="BW198" si="149">+CA198</f>
        <v>0.04</v>
      </c>
      <c r="BX198" s="1169">
        <f t="shared" ref="BX198" si="150">+CA198</f>
        <v>0.04</v>
      </c>
      <c r="BY198" s="1169">
        <f t="shared" ref="BY198" si="151">+CA198</f>
        <v>0.04</v>
      </c>
      <c r="BZ198" s="1169">
        <f t="shared" ref="BZ198" si="152">+CA198</f>
        <v>0.04</v>
      </c>
      <c r="CA198" s="1169">
        <v>0.04</v>
      </c>
      <c r="CB198" s="1169"/>
      <c r="CC198" s="1169">
        <f t="shared" ref="CC198" si="153">+CG198</f>
        <v>0.04</v>
      </c>
      <c r="CD198" s="1169">
        <f t="shared" ref="CD198" si="154">+CG198</f>
        <v>0.04</v>
      </c>
      <c r="CE198" s="1169">
        <f t="shared" ref="CE198" si="155">+CG198</f>
        <v>0.04</v>
      </c>
      <c r="CF198" s="1169">
        <f t="shared" ref="CF198" si="156">+CG198</f>
        <v>0.04</v>
      </c>
      <c r="CG198" s="1169">
        <v>0.04</v>
      </c>
      <c r="CH198" s="1169"/>
      <c r="CI198" s="1169">
        <f t="shared" ref="CI198" si="157">+CM198</f>
        <v>0.04</v>
      </c>
      <c r="CJ198" s="1169">
        <f t="shared" ref="CJ198" si="158">+CM198</f>
        <v>0.04</v>
      </c>
      <c r="CK198" s="1169">
        <f t="shared" ref="CK198" si="159">+CM198</f>
        <v>0.04</v>
      </c>
      <c r="CL198" s="1169">
        <f t="shared" ref="CL198" si="160">+CM198</f>
        <v>0.04</v>
      </c>
      <c r="CM198" s="1169">
        <v>0.04</v>
      </c>
      <c r="CQ198"/>
      <c r="CR198"/>
      <c r="CS198"/>
      <c r="CT198"/>
      <c r="CU198"/>
      <c r="CV198"/>
    </row>
    <row r="199" spans="1:100" x14ac:dyDescent="0.2">
      <c r="BI199" s="360">
        <f>3/84</f>
        <v>3.5714285714285712E-2</v>
      </c>
      <c r="BO199" s="360">
        <f>3/79</f>
        <v>3.7974683544303799E-2</v>
      </c>
    </row>
  </sheetData>
  <mergeCells count="15">
    <mergeCell ref="CI5:CL5"/>
    <mergeCell ref="C5:F5"/>
    <mergeCell ref="I5:L5"/>
    <mergeCell ref="O5:R5"/>
    <mergeCell ref="U5:X5"/>
    <mergeCell ref="BQ5:BT5"/>
    <mergeCell ref="BW5:BZ5"/>
    <mergeCell ref="CC5:CF5"/>
    <mergeCell ref="AA5:AD5"/>
    <mergeCell ref="AG5:AJ5"/>
    <mergeCell ref="AM5:AP5"/>
    <mergeCell ref="AS5:AV5"/>
    <mergeCell ref="AY5:BB5"/>
    <mergeCell ref="BE5:BH5"/>
    <mergeCell ref="BK5:BN5"/>
  </mergeCells>
  <phoneticPr fontId="11" type="noConversion"/>
  <printOptions horizontalCentered="1" verticalCentered="1"/>
  <pageMargins left="0" right="0" top="0" bottom="0" header="0" footer="0"/>
  <pageSetup paperSize="5" scale="42" orientation="landscape" r:id="rId1"/>
  <headerFooter alignWithMargins="0"/>
  <ignoredErrors>
    <ignoredError sqref="AQ141:BN158 AR167:BB167 AK183:BO183 BU183:CG185 BK170:BO170 BO167 BD172:BH172 BK172:BN172 BJ172:BJ173 AK50:BP50 BH42:BH48 BH51:BH53 AK10:BO10 AQ160:BN165 AQ159:BG159 BI159:BN159 BO149:BO151 AM141:AP141 AM143:AP143 AM145:AP145 BU9:BU10 AR172:AV172 AX172:BB172 AR169:AV169 AX169 M125:BO125 BC126 BI126 BO126 BT172:CG172 AK187:BO189 AK186:AL186 BM186:BO186 BJ167 BD167:BH167 BT169:CG169 AR170:BB170 BJ169:BJ170 BE170:BH170 BD169:BD170 BU191:CG195 AK185:AR185 AK184:AL184 AQ184:AR184 AQ186:AR186 AW185:BO185 AW184:AX184 AW186:AY186 BC184:BD184 AK191:BO191 AK190:BE190 BO190 BI190:BJ190 BU187:CG189 BU190 BU186:BV186 AK126:AW126 BU64 AK64:BO64 BU126:CG126 BG186:BK186 BB186:BE186 BI184:BO184 BT50:CG50 BU173:BV173 CA186:CB186 CG186 BQ141:BQ154 BR141:BR151 CA190:CG190 CA9:CM9 CM183:CM194 CA10:CM10 BS141:BS151 BX173:CB173 CD173:CG173"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pageSetUpPr fitToPage="1"/>
  </sheetPr>
  <dimension ref="A1:CX342"/>
  <sheetViews>
    <sheetView showGridLines="0" zoomScaleNormal="100" workbookViewId="0">
      <pane xSplit="2" ySplit="5" topLeftCell="C6" activePane="bottomRight" state="frozen"/>
      <selection pane="topRight" activeCell="C1" sqref="C1"/>
      <selection pane="bottomLeft" activeCell="A6" sqref="A6"/>
      <selection pane="bottomRight" activeCell="A6" sqref="A6"/>
    </sheetView>
  </sheetViews>
  <sheetFormatPr defaultRowHeight="12.75" outlineLevelRow="1" outlineLevelCol="1" x14ac:dyDescent="0.2"/>
  <cols>
    <col min="1" max="1" width="1.7109375" style="128" customWidth="1"/>
    <col min="2" max="2" width="29.140625" style="14" customWidth="1"/>
    <col min="3" max="6" width="7.28515625" style="14" hidden="1" customWidth="1" outlineLevel="1"/>
    <col min="7" max="7" width="7.28515625" style="14" hidden="1" customWidth="1" outlineLevel="1" collapsed="1"/>
    <col min="8" max="8" width="0.85546875" style="17" hidden="1" customWidth="1" outlineLevel="1"/>
    <col min="9" max="12" width="7.28515625" style="14" hidden="1" customWidth="1" outlineLevel="1"/>
    <col min="13" max="13" width="7.28515625" style="14" hidden="1" customWidth="1" outlineLevel="1" collapsed="1"/>
    <col min="14" max="14" width="0.85546875" style="17" hidden="1" customWidth="1" outlineLevel="1"/>
    <col min="15" max="15" width="7.28515625" style="24" hidden="1" customWidth="1" outlineLevel="1"/>
    <col min="16" max="18" width="7.28515625" style="14" hidden="1" customWidth="1" outlineLevel="1"/>
    <col min="19" max="19" width="7.28515625" style="14" hidden="1" customWidth="1" outlineLevel="1" collapsed="1"/>
    <col min="20" max="20" width="0.85546875" style="17" hidden="1" customWidth="1" outlineLevel="1"/>
    <col min="21" max="21" width="7.28515625" style="24" hidden="1" customWidth="1" outlineLevel="1"/>
    <col min="22" max="24" width="7.28515625" style="14" hidden="1" customWidth="1" outlineLevel="1"/>
    <col min="25" max="25" width="7.28515625" style="14" hidden="1" customWidth="1" outlineLevel="1" collapsed="1"/>
    <col min="26" max="26" width="0.85546875" style="17" hidden="1" customWidth="1" outlineLevel="1"/>
    <col min="27" max="30" width="7.28515625" style="14" hidden="1" customWidth="1" outlineLevel="1"/>
    <col min="31" max="31" width="7.28515625" style="14" hidden="1" customWidth="1" outlineLevel="1" collapsed="1"/>
    <col min="32" max="32" width="0.85546875" style="17" hidden="1" customWidth="1" outlineLevel="1"/>
    <col min="33" max="33" width="7.28515625" style="24" hidden="1" customWidth="1" outlineLevel="1"/>
    <col min="34" max="36" width="7.28515625" style="14" hidden="1" customWidth="1" outlineLevel="1"/>
    <col min="37" max="37" width="7.28515625" style="14" customWidth="1" collapsed="1"/>
    <col min="38" max="38" width="0.85546875" style="17" customWidth="1"/>
    <col min="39" max="42" width="7.28515625" style="14" hidden="1" customWidth="1" outlineLevel="1"/>
    <col min="43" max="43" width="7.28515625" style="14" customWidth="1" collapsed="1"/>
    <col min="44" max="44" width="0.85546875" style="17" customWidth="1"/>
    <col min="45" max="48" width="7.28515625" style="14" hidden="1" customWidth="1" outlineLevel="1"/>
    <col min="49" max="49" width="7.28515625" style="14" customWidth="1" collapsed="1"/>
    <col min="50" max="50" width="0.85546875" style="17" customWidth="1"/>
    <col min="51" max="54" width="7.28515625" style="14" hidden="1" customWidth="1" outlineLevel="1"/>
    <col min="55" max="55" width="7.28515625" style="14" customWidth="1" collapsed="1"/>
    <col min="56" max="56" width="0.85546875" style="17" customWidth="1"/>
    <col min="57" max="60" width="7.28515625" style="14" hidden="1" customWidth="1" outlineLevel="1"/>
    <col min="61" max="61" width="7.28515625" style="14" customWidth="1" collapsed="1"/>
    <col min="62" max="62" width="0.85546875" style="17" customWidth="1"/>
    <col min="63" max="66" width="7.28515625" style="14" hidden="1" customWidth="1" outlineLevel="1"/>
    <col min="67" max="67" width="7.28515625" style="14" customWidth="1" collapsed="1"/>
    <col min="68" max="68" width="0.85546875" style="17" customWidth="1"/>
    <col min="69" max="72" width="7.28515625" style="14" customWidth="1" outlineLevel="1"/>
    <col min="73" max="73" width="7.28515625" style="14" customWidth="1"/>
    <col min="74" max="74" width="0.85546875" style="17" customWidth="1"/>
    <col min="75" max="78" width="7.28515625" style="14" customWidth="1" outlineLevel="1"/>
    <col min="79" max="79" width="7.28515625" style="14" customWidth="1"/>
    <col min="80" max="80" width="0.85546875" style="17" customWidth="1"/>
    <col min="81" max="84" width="7.28515625" style="14" hidden="1" customWidth="1" outlineLevel="1"/>
    <col min="85" max="85" width="7.28515625" style="14" customWidth="1" collapsed="1"/>
    <col min="86" max="86" width="0.85546875" style="17" customWidth="1"/>
    <col min="87" max="90" width="7.28515625" style="14" hidden="1" customWidth="1" outlineLevel="1"/>
    <col min="91" max="91" width="7.28515625" style="14" customWidth="1" collapsed="1"/>
    <col min="92" max="103" width="7.28515625" style="11" customWidth="1"/>
    <col min="104" max="16384" width="9.140625" style="11"/>
  </cols>
  <sheetData>
    <row r="1" spans="1:102" s="9" customFormat="1" ht="11.25" customHeight="1" x14ac:dyDescent="0.2">
      <c r="A1" s="12"/>
      <c r="B1" s="411" t="s">
        <v>359</v>
      </c>
      <c r="C1" s="53"/>
      <c r="D1" s="53"/>
      <c r="E1" s="53"/>
      <c r="F1" s="53"/>
      <c r="G1" s="53"/>
      <c r="H1" s="26"/>
      <c r="I1" s="53"/>
      <c r="J1" s="53"/>
      <c r="K1" s="53"/>
      <c r="L1" s="53"/>
      <c r="M1" s="53"/>
      <c r="N1" s="26"/>
      <c r="O1" s="26"/>
      <c r="P1" s="53"/>
      <c r="Q1" s="53"/>
      <c r="R1" s="53"/>
      <c r="S1" s="53"/>
      <c r="T1" s="26"/>
      <c r="U1" s="26"/>
      <c r="V1" s="53"/>
      <c r="W1" s="53"/>
      <c r="X1" s="53"/>
      <c r="Y1" s="53"/>
      <c r="Z1" s="26"/>
      <c r="AA1" s="100"/>
      <c r="AB1" s="53"/>
      <c r="AC1" s="53"/>
      <c r="AD1" s="110"/>
      <c r="AE1" s="53"/>
      <c r="AF1" s="26"/>
      <c r="AG1" s="26"/>
      <c r="AH1" s="53"/>
      <c r="AI1" s="53"/>
      <c r="AJ1" s="53"/>
      <c r="AK1" s="100"/>
      <c r="AL1" s="26"/>
      <c r="AM1" s="100"/>
      <c r="AN1" s="100"/>
      <c r="AO1" s="100"/>
      <c r="AP1" s="53"/>
      <c r="AQ1" s="53"/>
      <c r="AR1" s="26"/>
      <c r="AS1" s="53"/>
      <c r="AT1" s="53"/>
      <c r="AU1" s="53"/>
      <c r="AV1" s="53"/>
      <c r="AW1" s="53"/>
      <c r="AX1" s="26"/>
      <c r="AY1" s="53"/>
      <c r="AZ1" s="53"/>
      <c r="BA1" s="53"/>
      <c r="BB1" s="446"/>
      <c r="BC1" s="446"/>
      <c r="BD1" s="26"/>
      <c r="BE1" s="207"/>
      <c r="BF1" s="182"/>
      <c r="BG1" s="446"/>
      <c r="BH1" s="446"/>
      <c r="BI1" s="53"/>
      <c r="BJ1" s="26"/>
      <c r="BK1" s="53"/>
      <c r="BL1" s="53"/>
      <c r="BM1" s="53"/>
      <c r="BN1" s="53"/>
      <c r="BO1" s="53"/>
      <c r="BP1" s="26"/>
      <c r="BQ1" s="53"/>
      <c r="BR1" s="53"/>
      <c r="BS1" s="53"/>
      <c r="BT1" s="53"/>
      <c r="BU1" s="53"/>
      <c r="BV1" s="26"/>
      <c r="BW1" s="53"/>
      <c r="BX1" s="53"/>
      <c r="BY1" s="53"/>
      <c r="BZ1" s="53"/>
      <c r="CA1" s="53"/>
      <c r="CB1" s="26"/>
      <c r="CC1" s="53"/>
      <c r="CD1" s="53"/>
      <c r="CE1" s="53"/>
      <c r="CF1" s="53"/>
      <c r="CG1" s="53"/>
      <c r="CH1" s="26"/>
      <c r="CI1" s="53"/>
      <c r="CJ1" s="53"/>
      <c r="CK1" s="53"/>
      <c r="CL1" s="53"/>
      <c r="CM1" s="53"/>
      <c r="CN1" s="11"/>
      <c r="CO1" s="11"/>
      <c r="CP1" s="11"/>
      <c r="CQ1" s="11"/>
      <c r="CR1" s="11"/>
      <c r="CS1" s="11"/>
      <c r="CT1" s="11"/>
      <c r="CU1" s="11"/>
      <c r="CV1" s="11"/>
      <c r="CW1" s="11"/>
      <c r="CX1" s="11"/>
    </row>
    <row r="2" spans="1:102" s="9" customFormat="1" ht="11.25" customHeight="1" x14ac:dyDescent="0.2">
      <c r="A2" s="12"/>
      <c r="B2" s="3" t="s">
        <v>13</v>
      </c>
      <c r="C2" s="26"/>
      <c r="D2" s="26"/>
      <c r="E2" s="26"/>
      <c r="F2" s="26"/>
      <c r="G2" s="26"/>
      <c r="H2" s="26"/>
      <c r="I2" s="53"/>
      <c r="J2" s="53"/>
      <c r="K2" s="53"/>
      <c r="L2" s="53"/>
      <c r="M2" s="53"/>
      <c r="N2" s="26"/>
      <c r="O2" s="26"/>
      <c r="P2" s="53"/>
      <c r="Q2" s="53"/>
      <c r="R2" s="53"/>
      <c r="S2" s="53"/>
      <c r="T2" s="26"/>
      <c r="U2" s="26"/>
      <c r="V2" s="447"/>
      <c r="W2" s="53"/>
      <c r="X2" s="53"/>
      <c r="Y2" s="53"/>
      <c r="Z2" s="26"/>
      <c r="AA2" s="207"/>
      <c r="AB2" s="447"/>
      <c r="AC2" s="53"/>
      <c r="AD2" s="448"/>
      <c r="AE2" s="53"/>
      <c r="AF2" s="26"/>
      <c r="AG2" s="141"/>
      <c r="AH2" s="53"/>
      <c r="AI2" s="53"/>
      <c r="AJ2" s="449"/>
      <c r="AK2" s="53"/>
      <c r="AL2" s="26"/>
      <c r="AM2" s="53"/>
      <c r="AN2" s="53"/>
      <c r="AO2" s="53"/>
      <c r="AP2" s="53"/>
      <c r="AQ2" s="53"/>
      <c r="AR2" s="26"/>
      <c r="AS2" s="182"/>
      <c r="AT2" s="53"/>
      <c r="AU2" s="61"/>
      <c r="AV2" s="53"/>
      <c r="AW2" s="53"/>
      <c r="AX2" s="26"/>
      <c r="AY2" s="182"/>
      <c r="AZ2" s="14"/>
      <c r="BA2" s="450"/>
      <c r="BB2" s="450"/>
      <c r="BC2" s="450"/>
      <c r="BD2" s="26"/>
      <c r="BE2" s="450"/>
      <c r="BF2" s="450"/>
      <c r="BG2" s="451"/>
      <c r="BH2" s="451"/>
      <c r="BI2" s="452"/>
      <c r="BJ2" s="26"/>
      <c r="BK2" s="454"/>
      <c r="BL2" s="453"/>
      <c r="BM2" s="53"/>
      <c r="BN2" s="14"/>
      <c r="BO2" s="446"/>
      <c r="BP2" s="26"/>
      <c r="BQ2" s="53"/>
      <c r="BR2" s="53"/>
      <c r="BS2" s="53"/>
      <c r="BT2" s="53"/>
      <c r="BU2" s="446"/>
      <c r="BV2" s="26"/>
      <c r="BW2" s="53"/>
      <c r="BX2" s="53"/>
      <c r="BY2" s="53"/>
      <c r="BZ2" s="53"/>
      <c r="CA2" s="446"/>
      <c r="CB2" s="26"/>
      <c r="CC2" s="53"/>
      <c r="CD2" s="53"/>
      <c r="CE2" s="53"/>
      <c r="CF2" s="53"/>
      <c r="CG2" s="53"/>
      <c r="CH2" s="26"/>
      <c r="CI2" s="53"/>
      <c r="CJ2" s="53"/>
      <c r="CK2" s="53"/>
      <c r="CL2" s="53"/>
      <c r="CM2" s="53"/>
      <c r="CN2" s="11"/>
      <c r="CO2" s="11"/>
      <c r="CP2" s="11"/>
      <c r="CQ2" s="11"/>
      <c r="CR2" s="11"/>
      <c r="CS2" s="11"/>
      <c r="CT2" s="11"/>
      <c r="CU2" s="11"/>
      <c r="CV2" s="11"/>
      <c r="CW2" s="11"/>
      <c r="CX2" s="11"/>
    </row>
    <row r="3" spans="1:102" s="9" customFormat="1" ht="11.25" customHeight="1" x14ac:dyDescent="0.2">
      <c r="A3" s="12"/>
      <c r="B3" s="91" t="s">
        <v>221</v>
      </c>
      <c r="C3" s="14"/>
      <c r="D3" s="14"/>
      <c r="E3" s="14"/>
      <c r="F3" s="14"/>
      <c r="G3" s="14"/>
      <c r="H3" s="17"/>
      <c r="I3" s="14"/>
      <c r="J3" s="14"/>
      <c r="K3" s="14"/>
      <c r="L3" s="14"/>
      <c r="M3" s="14"/>
      <c r="N3" s="17"/>
      <c r="O3" s="24"/>
      <c r="P3" s="14"/>
      <c r="Q3" s="14"/>
      <c r="R3" s="14"/>
      <c r="S3" s="14"/>
      <c r="T3" s="17"/>
      <c r="U3" s="24"/>
      <c r="V3" s="14"/>
      <c r="W3" s="14"/>
      <c r="X3" s="14"/>
      <c r="Y3" s="14"/>
      <c r="Z3" s="17"/>
      <c r="AA3" s="14"/>
      <c r="AB3" s="14"/>
      <c r="AC3" s="14"/>
      <c r="AD3" s="14"/>
      <c r="AE3" s="14"/>
      <c r="AF3" s="17"/>
      <c r="AG3" s="24"/>
      <c r="AH3" s="14"/>
      <c r="AI3" s="14"/>
      <c r="AJ3" s="14"/>
      <c r="AK3" s="14"/>
      <c r="AL3" s="17"/>
      <c r="AM3" s="14"/>
      <c r="AN3" s="14"/>
      <c r="AO3" s="14"/>
      <c r="AP3" s="14"/>
      <c r="AQ3" s="14"/>
      <c r="AR3" s="17"/>
      <c r="AS3" s="14"/>
      <c r="AT3" s="14"/>
      <c r="AU3" s="14"/>
      <c r="AV3" s="14"/>
      <c r="AW3" s="14"/>
      <c r="AX3" s="17"/>
      <c r="AY3" s="14"/>
      <c r="AZ3" s="14"/>
      <c r="BA3" s="14"/>
      <c r="BB3" s="14"/>
      <c r="BC3" s="14"/>
      <c r="BD3" s="17"/>
      <c r="BE3" s="14"/>
      <c r="BF3" s="14"/>
      <c r="BG3" s="14"/>
      <c r="BH3" s="14"/>
      <c r="BI3" s="14"/>
      <c r="BJ3" s="17"/>
      <c r="BK3" s="14"/>
      <c r="BL3" s="14"/>
      <c r="BM3" s="14"/>
      <c r="BN3" s="14"/>
      <c r="BO3" s="53"/>
      <c r="BP3" s="17"/>
      <c r="BQ3" s="53"/>
      <c r="BR3" s="53"/>
      <c r="BS3" s="53"/>
      <c r="BT3" s="53"/>
      <c r="BU3" s="449"/>
      <c r="BV3" s="17"/>
      <c r="BW3" s="53"/>
      <c r="BX3" s="53"/>
      <c r="BY3" s="53"/>
      <c r="BZ3" s="53"/>
      <c r="CA3" s="449"/>
      <c r="CB3" s="17"/>
      <c r="CC3" s="53"/>
      <c r="CD3" s="53"/>
      <c r="CE3" s="53"/>
      <c r="CF3" s="53"/>
      <c r="CG3" s="53"/>
      <c r="CH3" s="17"/>
      <c r="CI3" s="53"/>
      <c r="CJ3" s="53"/>
      <c r="CK3" s="53"/>
      <c r="CL3" s="53"/>
      <c r="CM3" s="53"/>
      <c r="CN3" s="11"/>
      <c r="CO3" s="11"/>
      <c r="CP3" s="11"/>
      <c r="CQ3" s="11"/>
      <c r="CR3" s="11"/>
      <c r="CS3" s="11"/>
      <c r="CT3" s="11"/>
      <c r="CU3" s="11"/>
      <c r="CV3" s="11"/>
      <c r="CW3" s="11"/>
      <c r="CX3" s="11"/>
    </row>
    <row r="4" spans="1:102" s="109" customFormat="1" ht="11.25" customHeight="1" x14ac:dyDescent="0.2">
      <c r="A4" s="110"/>
      <c r="B4" s="5" t="s">
        <v>304</v>
      </c>
      <c r="C4" s="1401" t="s">
        <v>31</v>
      </c>
      <c r="D4" s="1402"/>
      <c r="E4" s="1402"/>
      <c r="F4" s="1402"/>
      <c r="G4" s="510" t="str">
        <f>C4</f>
        <v>2007A</v>
      </c>
      <c r="H4" s="575"/>
      <c r="I4" s="1404" t="s">
        <v>32</v>
      </c>
      <c r="J4" s="1405"/>
      <c r="K4" s="1405"/>
      <c r="L4" s="1405"/>
      <c r="M4" s="510" t="str">
        <f>I4</f>
        <v>2008A</v>
      </c>
      <c r="N4" s="575"/>
      <c r="O4" s="1401" t="s">
        <v>33</v>
      </c>
      <c r="P4" s="1402"/>
      <c r="Q4" s="1402"/>
      <c r="R4" s="1402"/>
      <c r="S4" s="510" t="str">
        <f>O4</f>
        <v>2009A</v>
      </c>
      <c r="T4" s="575"/>
      <c r="U4" s="1404" t="s">
        <v>103</v>
      </c>
      <c r="V4" s="1405"/>
      <c r="W4" s="1405"/>
      <c r="X4" s="1405"/>
      <c r="Y4" s="510" t="str">
        <f>U4</f>
        <v>2010A</v>
      </c>
      <c r="Z4" s="575"/>
      <c r="AA4" s="1404" t="s">
        <v>139</v>
      </c>
      <c r="AB4" s="1405"/>
      <c r="AC4" s="1405"/>
      <c r="AD4" s="1405"/>
      <c r="AE4" s="510" t="str">
        <f>AA4</f>
        <v>2011A</v>
      </c>
      <c r="AF4" s="575"/>
      <c r="AG4" s="1404" t="s">
        <v>140</v>
      </c>
      <c r="AH4" s="1405"/>
      <c r="AI4" s="1405"/>
      <c r="AJ4" s="1405"/>
      <c r="AK4" s="510" t="str">
        <f>AG4</f>
        <v>2012A</v>
      </c>
      <c r="AL4" s="575"/>
      <c r="AM4" s="1404" t="s">
        <v>141</v>
      </c>
      <c r="AN4" s="1405"/>
      <c r="AO4" s="1405"/>
      <c r="AP4" s="1405"/>
      <c r="AQ4" s="510" t="str">
        <f>AM4</f>
        <v>2013A</v>
      </c>
      <c r="AR4" s="575"/>
      <c r="AS4" s="1404" t="s">
        <v>245</v>
      </c>
      <c r="AT4" s="1405"/>
      <c r="AU4" s="1405"/>
      <c r="AV4" s="1405"/>
      <c r="AW4" s="510" t="str">
        <f>AS4</f>
        <v>2014A</v>
      </c>
      <c r="AX4" s="575"/>
      <c r="AY4" s="1404" t="s">
        <v>259</v>
      </c>
      <c r="AZ4" s="1405"/>
      <c r="BA4" s="1405"/>
      <c r="BB4" s="1405"/>
      <c r="BC4" s="510" t="str">
        <f>AY4</f>
        <v>2015A</v>
      </c>
      <c r="BD4" s="575"/>
      <c r="BE4" s="1404" t="s">
        <v>270</v>
      </c>
      <c r="BF4" s="1405"/>
      <c r="BG4" s="1405"/>
      <c r="BH4" s="1405"/>
      <c r="BI4" s="510" t="str">
        <f>BE4</f>
        <v>2016A</v>
      </c>
      <c r="BJ4" s="575"/>
      <c r="BK4" s="1401" t="s">
        <v>455</v>
      </c>
      <c r="BL4" s="1402"/>
      <c r="BM4" s="1402"/>
      <c r="BN4" s="1402"/>
      <c r="BO4" s="510" t="str">
        <f>BK4</f>
        <v>2017A</v>
      </c>
      <c r="BP4" s="575"/>
      <c r="BQ4" s="1401" t="s">
        <v>251</v>
      </c>
      <c r="BR4" s="1402"/>
      <c r="BS4" s="1402"/>
      <c r="BT4" s="1402"/>
      <c r="BU4" s="510" t="str">
        <f>BQ4</f>
        <v>2018E</v>
      </c>
      <c r="BV4" s="107"/>
      <c r="BW4" s="1401" t="s">
        <v>252</v>
      </c>
      <c r="BX4" s="1402"/>
      <c r="BY4" s="1402"/>
      <c r="BZ4" s="1403"/>
      <c r="CA4" s="510" t="str">
        <f>BW4</f>
        <v>2019E</v>
      </c>
      <c r="CB4" s="107"/>
      <c r="CC4" s="1401" t="s">
        <v>253</v>
      </c>
      <c r="CD4" s="1402"/>
      <c r="CE4" s="1402"/>
      <c r="CF4" s="1402"/>
      <c r="CG4" s="510" t="str">
        <f>CC4</f>
        <v>2020E</v>
      </c>
      <c r="CH4" s="107"/>
      <c r="CI4" s="1401" t="s">
        <v>565</v>
      </c>
      <c r="CJ4" s="1402"/>
      <c r="CK4" s="1402"/>
      <c r="CL4" s="1402"/>
      <c r="CM4" s="510" t="str">
        <f>CI4</f>
        <v>2021E</v>
      </c>
      <c r="CQ4" s="11"/>
      <c r="CR4" s="11"/>
      <c r="CS4" s="11"/>
      <c r="CT4" s="11"/>
      <c r="CU4" s="11"/>
      <c r="CV4" s="11"/>
    </row>
    <row r="5" spans="1:102" s="9" customFormat="1" ht="11.25" customHeight="1" x14ac:dyDescent="0.2">
      <c r="A5" s="12"/>
      <c r="B5" s="14"/>
      <c r="C5" s="509">
        <v>38929</v>
      </c>
      <c r="D5" s="256">
        <v>39021</v>
      </c>
      <c r="E5" s="256">
        <v>39113</v>
      </c>
      <c r="F5" s="256">
        <v>39202</v>
      </c>
      <c r="G5" s="513" t="str">
        <f>+C4</f>
        <v>2007A</v>
      </c>
      <c r="H5" s="99"/>
      <c r="I5" s="512">
        <f>O5-365</f>
        <v>39294</v>
      </c>
      <c r="J5" s="94">
        <f>P5-365</f>
        <v>39386</v>
      </c>
      <c r="K5" s="94">
        <f>Q5-365</f>
        <v>39478</v>
      </c>
      <c r="L5" s="94">
        <f>R5-365</f>
        <v>39568</v>
      </c>
      <c r="M5" s="511" t="str">
        <f>+I4</f>
        <v>2008A</v>
      </c>
      <c r="N5" s="99"/>
      <c r="O5" s="497">
        <f>U5-365</f>
        <v>39659</v>
      </c>
      <c r="P5" s="498">
        <f>V5-365</f>
        <v>39751</v>
      </c>
      <c r="Q5" s="498">
        <f>W5-365</f>
        <v>39843</v>
      </c>
      <c r="R5" s="498">
        <f>X5-365</f>
        <v>39933</v>
      </c>
      <c r="S5" s="511" t="str">
        <f>+O4</f>
        <v>2009A</v>
      </c>
      <c r="T5" s="99"/>
      <c r="U5" s="512">
        <f>AA5-365</f>
        <v>40024</v>
      </c>
      <c r="V5" s="94">
        <f>AB5-365</f>
        <v>40116</v>
      </c>
      <c r="W5" s="94">
        <f>AC5-365</f>
        <v>40208</v>
      </c>
      <c r="X5" s="94">
        <f>AD5-365</f>
        <v>40298</v>
      </c>
      <c r="Y5" s="511" t="str">
        <f>+U4</f>
        <v>2010A</v>
      </c>
      <c r="Z5" s="99"/>
      <c r="AA5" s="512">
        <v>40389</v>
      </c>
      <c r="AB5" s="94">
        <v>40481</v>
      </c>
      <c r="AC5" s="94">
        <v>40573</v>
      </c>
      <c r="AD5" s="94">
        <v>40663</v>
      </c>
      <c r="AE5" s="511" t="str">
        <f>+AA4</f>
        <v>2011A</v>
      </c>
      <c r="AF5" s="99"/>
      <c r="AG5" s="512">
        <v>40754</v>
      </c>
      <c r="AH5" s="94">
        <v>40846</v>
      </c>
      <c r="AI5" s="94">
        <v>40938</v>
      </c>
      <c r="AJ5" s="94">
        <v>41029</v>
      </c>
      <c r="AK5" s="511" t="str">
        <f>+AG4</f>
        <v>2012A</v>
      </c>
      <c r="AL5" s="99"/>
      <c r="AM5" s="512">
        <v>41120</v>
      </c>
      <c r="AN5" s="94">
        <v>41212</v>
      </c>
      <c r="AO5" s="94">
        <v>41304</v>
      </c>
      <c r="AP5" s="94">
        <v>41394</v>
      </c>
      <c r="AQ5" s="511" t="str">
        <f>+AM4</f>
        <v>2013A</v>
      </c>
      <c r="AR5" s="99"/>
      <c r="AS5" s="512">
        <v>41485</v>
      </c>
      <c r="AT5" s="94">
        <v>41577</v>
      </c>
      <c r="AU5" s="94">
        <v>41669</v>
      </c>
      <c r="AV5" s="94">
        <v>41759</v>
      </c>
      <c r="AW5" s="511" t="str">
        <f>+AS4</f>
        <v>2014A</v>
      </c>
      <c r="AX5" s="99"/>
      <c r="AY5" s="512">
        <v>41850</v>
      </c>
      <c r="AZ5" s="94">
        <v>41942</v>
      </c>
      <c r="BA5" s="94">
        <v>42034</v>
      </c>
      <c r="BB5" s="94">
        <v>42124</v>
      </c>
      <c r="BC5" s="511" t="str">
        <f>+AY4</f>
        <v>2015A</v>
      </c>
      <c r="BD5" s="99"/>
      <c r="BE5" s="512">
        <v>42215</v>
      </c>
      <c r="BF5" s="94">
        <v>42307</v>
      </c>
      <c r="BG5" s="94">
        <v>42399</v>
      </c>
      <c r="BH5" s="94">
        <v>42490</v>
      </c>
      <c r="BI5" s="511" t="str">
        <f>+BE4</f>
        <v>2016A</v>
      </c>
      <c r="BJ5" s="99"/>
      <c r="BK5" s="512">
        <v>42581</v>
      </c>
      <c r="BL5" s="94">
        <v>42673</v>
      </c>
      <c r="BM5" s="94">
        <v>42765</v>
      </c>
      <c r="BN5" s="94">
        <v>42855</v>
      </c>
      <c r="BO5" s="511" t="str">
        <f>+BK4</f>
        <v>2017A</v>
      </c>
      <c r="BP5" s="99"/>
      <c r="BQ5" s="1284">
        <v>42946</v>
      </c>
      <c r="BR5" s="1284">
        <v>43038</v>
      </c>
      <c r="BS5" s="1284">
        <v>43130</v>
      </c>
      <c r="BT5" s="92">
        <v>43220</v>
      </c>
      <c r="BU5" s="516" t="str">
        <f>+BQ4</f>
        <v>2018E</v>
      </c>
      <c r="BV5" s="99"/>
      <c r="BW5" s="515">
        <v>43311</v>
      </c>
      <c r="BX5" s="92">
        <v>43403</v>
      </c>
      <c r="BY5" s="92">
        <v>43495</v>
      </c>
      <c r="BZ5" s="92">
        <v>43585</v>
      </c>
      <c r="CA5" s="516" t="str">
        <f>+BW4</f>
        <v>2019E</v>
      </c>
      <c r="CB5" s="99"/>
      <c r="CC5" s="515">
        <f>+BW5+365.25</f>
        <v>43676.25</v>
      </c>
      <c r="CD5" s="92">
        <f>+BX5+365.25</f>
        <v>43768.25</v>
      </c>
      <c r="CE5" s="92">
        <f>+BY5+365.25</f>
        <v>43860.25</v>
      </c>
      <c r="CF5" s="92">
        <f>+BZ5+365.25</f>
        <v>43950.25</v>
      </c>
      <c r="CG5" s="516" t="str">
        <f>+CC4</f>
        <v>2020E</v>
      </c>
      <c r="CH5" s="99"/>
      <c r="CI5" s="515">
        <f>+CC5+365.25</f>
        <v>44041.5</v>
      </c>
      <c r="CJ5" s="92">
        <f>+CD5+365.25</f>
        <v>44133.5</v>
      </c>
      <c r="CK5" s="92">
        <f>+CE5+365.25</f>
        <v>44225.5</v>
      </c>
      <c r="CL5" s="92">
        <f>+CF5+365.25</f>
        <v>44315.5</v>
      </c>
      <c r="CM5" s="516" t="str">
        <f>+CI4</f>
        <v>2021E</v>
      </c>
      <c r="CN5" s="11"/>
      <c r="CO5" s="11"/>
      <c r="CP5" s="11"/>
      <c r="CQ5" s="11"/>
      <c r="CR5" s="11"/>
      <c r="CS5" s="11"/>
      <c r="CT5" s="11"/>
      <c r="CU5" s="11"/>
      <c r="CV5" s="11"/>
      <c r="CW5" s="11"/>
      <c r="CX5" s="11"/>
    </row>
    <row r="6" spans="1:102" s="9" customFormat="1" ht="11.25" customHeight="1" x14ac:dyDescent="0.2">
      <c r="A6" s="12"/>
      <c r="B6" s="614" t="s">
        <v>307</v>
      </c>
      <c r="C6" s="615"/>
      <c r="D6" s="616"/>
      <c r="E6" s="616"/>
      <c r="F6" s="616"/>
      <c r="G6" s="617"/>
      <c r="H6" s="8"/>
      <c r="I6" s="615"/>
      <c r="J6" s="616"/>
      <c r="K6" s="616"/>
      <c r="L6" s="616"/>
      <c r="M6" s="617"/>
      <c r="N6" s="8"/>
      <c r="O6" s="615"/>
      <c r="P6" s="616"/>
      <c r="Q6" s="616"/>
      <c r="R6" s="616"/>
      <c r="S6" s="617"/>
      <c r="T6" s="8"/>
      <c r="U6" s="615"/>
      <c r="V6" s="616"/>
      <c r="W6" s="616"/>
      <c r="X6" s="616"/>
      <c r="Y6" s="617"/>
      <c r="Z6" s="8"/>
      <c r="AA6" s="615"/>
      <c r="AB6" s="616"/>
      <c r="AC6" s="616"/>
      <c r="AD6" s="616"/>
      <c r="AE6" s="617"/>
      <c r="AF6" s="8"/>
      <c r="AG6" s="615"/>
      <c r="AH6" s="616"/>
      <c r="AI6" s="616"/>
      <c r="AJ6" s="616"/>
      <c r="AK6" s="617"/>
      <c r="AL6" s="8"/>
      <c r="AM6" s="615"/>
      <c r="AN6" s="616"/>
      <c r="AO6" s="616"/>
      <c r="AP6" s="616"/>
      <c r="AQ6" s="617"/>
      <c r="AR6" s="8"/>
      <c r="AS6" s="615"/>
      <c r="AT6" s="616"/>
      <c r="AU6" s="616"/>
      <c r="AV6" s="616"/>
      <c r="AW6" s="617"/>
      <c r="AX6" s="8"/>
      <c r="AY6" s="615"/>
      <c r="AZ6" s="616"/>
      <c r="BA6" s="616"/>
      <c r="BB6" s="616"/>
      <c r="BC6" s="617"/>
      <c r="BD6" s="8"/>
      <c r="BE6" s="615"/>
      <c r="BF6" s="616"/>
      <c r="BG6" s="616"/>
      <c r="BH6" s="616"/>
      <c r="BI6" s="617"/>
      <c r="BJ6" s="8"/>
      <c r="BK6" s="615"/>
      <c r="BL6" s="616"/>
      <c r="BM6" s="616"/>
      <c r="BN6" s="616"/>
      <c r="BO6" s="617"/>
      <c r="BP6" s="8"/>
      <c r="BQ6" s="615"/>
      <c r="BR6" s="616"/>
      <c r="BS6" s="616"/>
      <c r="BT6" s="616"/>
      <c r="BU6" s="617"/>
      <c r="BV6" s="8"/>
      <c r="BW6" s="615"/>
      <c r="BX6" s="616"/>
      <c r="BY6" s="616"/>
      <c r="BZ6" s="616"/>
      <c r="CA6" s="617"/>
      <c r="CB6" s="8"/>
      <c r="CC6" s="615"/>
      <c r="CD6" s="616"/>
      <c r="CE6" s="616"/>
      <c r="CF6" s="616"/>
      <c r="CG6" s="617"/>
      <c r="CH6" s="8"/>
      <c r="CI6" s="615"/>
      <c r="CJ6" s="616"/>
      <c r="CK6" s="616"/>
      <c r="CL6" s="616"/>
      <c r="CM6" s="617"/>
      <c r="CN6" s="11"/>
      <c r="CO6" s="11"/>
      <c r="CP6" s="11"/>
      <c r="CQ6" s="11"/>
      <c r="CR6" s="11"/>
      <c r="CS6" s="11"/>
      <c r="CT6" s="11"/>
      <c r="CU6" s="11"/>
      <c r="CV6" s="11"/>
      <c r="CW6" s="11"/>
      <c r="CX6" s="11"/>
    </row>
    <row r="7" spans="1:102" s="9" customFormat="1" ht="11.25" customHeight="1" x14ac:dyDescent="0.2">
      <c r="A7" s="12"/>
      <c r="B7" s="620" t="s">
        <v>308</v>
      </c>
      <c r="C7" s="576">
        <v>279.41699999999997</v>
      </c>
      <c r="D7" s="585">
        <v>289.892</v>
      </c>
      <c r="E7" s="585">
        <v>283.18299999999999</v>
      </c>
      <c r="F7" s="585">
        <v>301.93</v>
      </c>
      <c r="G7" s="594">
        <f>+SUM(C7:F7)</f>
        <v>1154.422</v>
      </c>
      <c r="H7" s="585"/>
      <c r="I7" s="576">
        <v>295.40699999999998</v>
      </c>
      <c r="J7" s="585">
        <v>310.13</v>
      </c>
      <c r="K7" s="585">
        <v>294.63799999999998</v>
      </c>
      <c r="L7" s="585">
        <v>318.01299999999998</v>
      </c>
      <c r="M7" s="594">
        <f>+SUM(I7:L7)</f>
        <v>1218.1879999999999</v>
      </c>
      <c r="N7" s="585"/>
      <c r="O7" s="576">
        <v>312.59300000000002</v>
      </c>
      <c r="P7" s="585">
        <v>309.67899999999997</v>
      </c>
      <c r="Q7" s="585">
        <v>287.709</v>
      </c>
      <c r="R7" s="585">
        <v>307.21199999999999</v>
      </c>
      <c r="S7" s="594">
        <f>+SUM(O7:R7)</f>
        <v>1217.193</v>
      </c>
      <c r="T7" s="585"/>
      <c r="U7" s="576">
        <v>305.56799999999998</v>
      </c>
      <c r="V7" s="585">
        <v>303.52499999999998</v>
      </c>
      <c r="W7" s="585">
        <v>293.077</v>
      </c>
      <c r="X7" s="585">
        <v>312.62599999999998</v>
      </c>
      <c r="Y7" s="594">
        <f>+SUM(U7:X7)</f>
        <v>1214.7959999999998</v>
      </c>
      <c r="Z7" s="585"/>
      <c r="AA7" s="576">
        <v>325.99200000000002</v>
      </c>
      <c r="AB7" s="585">
        <v>305.00799999999998</v>
      </c>
      <c r="AC7" s="585">
        <v>301.68799999999999</v>
      </c>
      <c r="AD7" s="585">
        <v>320.536</v>
      </c>
      <c r="AE7" s="594">
        <f>+SUM(AA7:AD7)</f>
        <v>1253.2239999999999</v>
      </c>
      <c r="AF7" s="585"/>
      <c r="AG7" s="576">
        <v>308.86900000000003</v>
      </c>
      <c r="AH7" s="585">
        <v>312.23599999999999</v>
      </c>
      <c r="AI7" s="585">
        <v>311.35599999999999</v>
      </c>
      <c r="AJ7" s="585">
        <v>331.05399999999997</v>
      </c>
      <c r="AK7" s="594">
        <f>+SUM(AG7:AJ7)</f>
        <v>1263.5149999999999</v>
      </c>
      <c r="AL7" s="585"/>
      <c r="AM7" s="576">
        <v>310.15600000000001</v>
      </c>
      <c r="AN7" s="585">
        <v>315.37700000000001</v>
      </c>
      <c r="AO7" s="585">
        <v>308.7</v>
      </c>
      <c r="AP7" s="585">
        <v>338.988</v>
      </c>
      <c r="AQ7" s="594">
        <f>+SUM(AM7:AP7)</f>
        <v>1273.221</v>
      </c>
      <c r="AR7" s="585"/>
      <c r="AS7" s="576">
        <f>656.025-AT7</f>
        <v>328.00799999999998</v>
      </c>
      <c r="AT7" s="585">
        <v>328.017</v>
      </c>
      <c r="AU7" s="585">
        <v>321.42099999999999</v>
      </c>
      <c r="AV7" s="585">
        <v>345.93200000000002</v>
      </c>
      <c r="AW7" s="594">
        <f>+SUM(AS7:AV7)</f>
        <v>1323.3779999999999</v>
      </c>
      <c r="AX7" s="585"/>
      <c r="AY7" s="576">
        <v>325.29000000000002</v>
      </c>
      <c r="AZ7" s="585">
        <v>326.56200000000001</v>
      </c>
      <c r="BA7" s="585">
        <v>322.68200000000002</v>
      </c>
      <c r="BB7" s="585">
        <v>344.87299999999999</v>
      </c>
      <c r="BC7" s="594">
        <f>+SUM(AY7:BB7)</f>
        <v>1319.4070000000002</v>
      </c>
      <c r="BD7" s="585"/>
      <c r="BE7" s="576">
        <v>358.05200000000002</v>
      </c>
      <c r="BF7" s="585">
        <v>332.43599999999998</v>
      </c>
      <c r="BG7" s="585">
        <v>333.83499999999998</v>
      </c>
      <c r="BH7" s="585">
        <v>354.56299999999999</v>
      </c>
      <c r="BI7" s="594">
        <f>+SUM(BE7:BH7)</f>
        <v>1378.886</v>
      </c>
      <c r="BJ7" s="585"/>
      <c r="BK7" s="576">
        <v>332.94799999999998</v>
      </c>
      <c r="BL7" s="585">
        <v>324.23700000000002</v>
      </c>
      <c r="BM7" s="585">
        <v>325.18099999999998</v>
      </c>
      <c r="BN7" s="585">
        <v>339.39800000000002</v>
      </c>
      <c r="BO7" s="594">
        <f>+SUM(BK7:BN7)</f>
        <v>1321.7640000000001</v>
      </c>
      <c r="BP7" s="585"/>
      <c r="BQ7" s="576">
        <v>320.178</v>
      </c>
      <c r="BR7" s="585">
        <v>311.21699999999998</v>
      </c>
      <c r="BS7" s="585">
        <v>302.29599999999999</v>
      </c>
      <c r="BT7" s="136">
        <f>+BN7*(1+BT8)</f>
        <v>316.87005369979181</v>
      </c>
      <c r="BU7" s="594">
        <f>+SUM(BQ7:BT7)</f>
        <v>1250.561053699792</v>
      </c>
      <c r="BV7" s="585"/>
      <c r="BW7" s="578">
        <f>+BQ7*(1+BW8)</f>
        <v>288.16020000000003</v>
      </c>
      <c r="BX7" s="136">
        <f>+BR7*(1+BX8)</f>
        <v>295.65614999999997</v>
      </c>
      <c r="BY7" s="136">
        <f>+BS7*(1+BY8)</f>
        <v>302.29599999999999</v>
      </c>
      <c r="BZ7" s="136">
        <f>+BT7*(1+BZ8)</f>
        <v>320.03875423678971</v>
      </c>
      <c r="CA7" s="594">
        <f>+SUM(BW7:BZ7)</f>
        <v>1206.1511042367897</v>
      </c>
      <c r="CB7" s="585"/>
      <c r="CC7" s="578">
        <f>+BW7*(1+CC8)</f>
        <v>291.04180200000002</v>
      </c>
      <c r="CD7" s="136">
        <f>+BX7*(1+CD8)</f>
        <v>298.61271149999999</v>
      </c>
      <c r="CE7" s="136">
        <f>+BY7*(1+CE8)</f>
        <v>305.31896</v>
      </c>
      <c r="CF7" s="136">
        <f>+BZ7*(1+CF8)</f>
        <v>323.23914177915759</v>
      </c>
      <c r="CG7" s="594">
        <f>+SUM(CC7:CF7)</f>
        <v>1218.2126152791575</v>
      </c>
      <c r="CH7" s="585"/>
      <c r="CI7" s="578">
        <f>+CC7*(1+CI8)</f>
        <v>293.95222002000003</v>
      </c>
      <c r="CJ7" s="136">
        <f>+CD7*(1+CJ8)</f>
        <v>301.59883861499998</v>
      </c>
      <c r="CK7" s="136">
        <f>+CE7*(1+CK8)</f>
        <v>308.3721496</v>
      </c>
      <c r="CL7" s="136">
        <f>+CF7*(1+CL8)</f>
        <v>326.47153319694917</v>
      </c>
      <c r="CM7" s="594">
        <f>+SUM(CI7:CL7)</f>
        <v>1230.3947414319491</v>
      </c>
      <c r="CN7" s="11"/>
      <c r="CO7" s="11"/>
      <c r="CP7" s="11"/>
      <c r="CQ7" s="11"/>
      <c r="CR7" s="11"/>
      <c r="CS7" s="11"/>
      <c r="CT7" s="11"/>
      <c r="CU7" s="11"/>
      <c r="CV7" s="11"/>
      <c r="CW7" s="11"/>
      <c r="CX7" s="11"/>
    </row>
    <row r="8" spans="1:102" s="31" customFormat="1" ht="11.25" customHeight="1" x14ac:dyDescent="0.2">
      <c r="A8" s="84"/>
      <c r="B8" s="607" t="s">
        <v>261</v>
      </c>
      <c r="C8" s="121"/>
      <c r="D8" s="85"/>
      <c r="E8" s="85"/>
      <c r="F8" s="85"/>
      <c r="G8" s="589"/>
      <c r="H8" s="58"/>
      <c r="I8" s="121">
        <f>I7/C7-1</f>
        <v>5.7226296180976854E-2</v>
      </c>
      <c r="J8" s="85">
        <f>J7/D7-1</f>
        <v>6.9812205924965065E-2</v>
      </c>
      <c r="K8" s="85">
        <f>K7/E7-1</f>
        <v>4.0450874522834912E-2</v>
      </c>
      <c r="L8" s="85">
        <f>L7/F7-1</f>
        <v>5.3267313615738665E-2</v>
      </c>
      <c r="M8" s="589">
        <f>M7/G7-1</f>
        <v>5.523630007051139E-2</v>
      </c>
      <c r="N8" s="58"/>
      <c r="O8" s="121">
        <f>O7/I7-1</f>
        <v>5.8177362080113371E-2</v>
      </c>
      <c r="P8" s="85">
        <f>P7/J7-1</f>
        <v>-1.4542288717634966E-3</v>
      </c>
      <c r="Q8" s="85">
        <f>Q7/K7-1</f>
        <v>-2.3516993734684521E-2</v>
      </c>
      <c r="R8" s="85">
        <f>R7/L7-1</f>
        <v>-3.396402033879109E-2</v>
      </c>
      <c r="S8" s="589">
        <f>S7/M7-1</f>
        <v>-8.1678689988728959E-4</v>
      </c>
      <c r="T8" s="58"/>
      <c r="U8" s="121">
        <f>U7/O7-1</f>
        <v>-2.2473311942366014E-2</v>
      </c>
      <c r="V8" s="85">
        <f>V7/P7-1</f>
        <v>-1.9872190235695641E-2</v>
      </c>
      <c r="W8" s="85">
        <f>W7/Q7-1</f>
        <v>1.8657740981338655E-2</v>
      </c>
      <c r="X8" s="85">
        <f>X7/R7-1</f>
        <v>1.7623009517857335E-2</v>
      </c>
      <c r="Y8" s="589">
        <f>Y7/S7-1</f>
        <v>-1.9692850681857221E-3</v>
      </c>
      <c r="Z8" s="58"/>
      <c r="AA8" s="121">
        <f>AA7/U7-1</f>
        <v>6.6839459629280729E-2</v>
      </c>
      <c r="AB8" s="85">
        <f>AB7/V7-1</f>
        <v>4.8859237295115765E-3</v>
      </c>
      <c r="AC8" s="85">
        <f>AC7/W7-1</f>
        <v>2.9381357117753915E-2</v>
      </c>
      <c r="AD8" s="85">
        <f>AD7/X7-1</f>
        <v>2.5301798314919521E-2</v>
      </c>
      <c r="AE8" s="589">
        <f>AE7/Y7-1</f>
        <v>3.1633294808346424E-2</v>
      </c>
      <c r="AF8" s="58"/>
      <c r="AG8" s="121">
        <f>AG7/AA7-1</f>
        <v>-5.2525828854695811E-2</v>
      </c>
      <c r="AH8" s="85">
        <f>AH7/AB7-1</f>
        <v>2.36977390756965E-2</v>
      </c>
      <c r="AI8" s="85">
        <f>AI7/AC7-1</f>
        <v>3.2046352523136479E-2</v>
      </c>
      <c r="AJ8" s="85">
        <f>AJ7/AD7-1</f>
        <v>3.2813786906930709E-2</v>
      </c>
      <c r="AK8" s="589">
        <f>AK7/AE7-1</f>
        <v>8.211620588178814E-3</v>
      </c>
      <c r="AL8" s="58"/>
      <c r="AM8" s="121">
        <f>AM7/AG7-1</f>
        <v>4.1668150575162599E-3</v>
      </c>
      <c r="AN8" s="85">
        <f>AN7/AH7-1</f>
        <v>1.0059698433236397E-2</v>
      </c>
      <c r="AO8" s="85">
        <f>AO7/AI7-1</f>
        <v>-8.5304281915234981E-3</v>
      </c>
      <c r="AP8" s="85">
        <f>AP7/AJ7-1</f>
        <v>2.3965878678402941E-2</v>
      </c>
      <c r="AQ8" s="589">
        <f>AQ7/AK7-1</f>
        <v>7.6817449733481702E-3</v>
      </c>
      <c r="AR8" s="58"/>
      <c r="AS8" s="121">
        <f>AS7/AM7-1</f>
        <v>5.7558132036781506E-2</v>
      </c>
      <c r="AT8" s="85">
        <f>AT7/AN7-1</f>
        <v>4.0079016542106771E-2</v>
      </c>
      <c r="AU8" s="85">
        <f>AU7/AO7-1</f>
        <v>4.1208292840945848E-2</v>
      </c>
      <c r="AV8" s="85">
        <f>AV7/AP7-1</f>
        <v>2.048450092628662E-2</v>
      </c>
      <c r="AW8" s="589">
        <f>AW7/AQ7-1</f>
        <v>3.9393789452106143E-2</v>
      </c>
      <c r="AX8" s="58"/>
      <c r="AY8" s="121">
        <f>AY7/AS7-1</f>
        <v>-8.2863832589448183E-3</v>
      </c>
      <c r="AZ8" s="85">
        <f>AZ7/AT7-1</f>
        <v>-4.4357457083016305E-3</v>
      </c>
      <c r="BA8" s="85">
        <f>BA7/AU7-1</f>
        <v>3.9232035243497165E-3</v>
      </c>
      <c r="BB8" s="85">
        <f>BB7/AV7-1</f>
        <v>-3.0612952834662144E-3</v>
      </c>
      <c r="BC8" s="589">
        <f>BC7/AW7-1</f>
        <v>-3.0006543859727453E-3</v>
      </c>
      <c r="BD8" s="58"/>
      <c r="BE8" s="121">
        <f>BE7/AY7-1</f>
        <v>0.10071628393126142</v>
      </c>
      <c r="BF8" s="85">
        <f>BF7/AZ7-1</f>
        <v>1.7987395961563069E-2</v>
      </c>
      <c r="BG8" s="85">
        <f>BG7/BA7-1</f>
        <v>3.4563440167099335E-2</v>
      </c>
      <c r="BH8" s="85">
        <f>BH7/BB7-1</f>
        <v>2.8097299585644553E-2</v>
      </c>
      <c r="BI8" s="589">
        <f>BI7/BC7-1</f>
        <v>4.5080100378427357E-2</v>
      </c>
      <c r="BJ8" s="58"/>
      <c r="BK8" s="121">
        <f>BK7/BE7-1</f>
        <v>-7.0112721057276728E-2</v>
      </c>
      <c r="BL8" s="85">
        <f>BL7/BF7-1</f>
        <v>-2.4663393856260929E-2</v>
      </c>
      <c r="BM8" s="85">
        <f>BM7/BG7-1</f>
        <v>-2.5922985906211116E-2</v>
      </c>
      <c r="BN8" s="85">
        <f>BN7/BH7-1</f>
        <v>-4.2770960308887163E-2</v>
      </c>
      <c r="BO8" s="589">
        <f>BO7/BI7-1</f>
        <v>-4.1426194768820479E-2</v>
      </c>
      <c r="BP8" s="58"/>
      <c r="BQ8" s="121">
        <f>BQ7/BK7-1</f>
        <v>-3.8354337614282086E-2</v>
      </c>
      <c r="BR8" s="85">
        <f>BR7/BL7-1</f>
        <v>-4.0155811952368281E-2</v>
      </c>
      <c r="BS8" s="85">
        <f>BS7/BM7-1</f>
        <v>-7.0376190490834323E-2</v>
      </c>
      <c r="BT8" s="85">
        <f>+BT9+BT10</f>
        <v>-6.6376190490834333E-2</v>
      </c>
      <c r="BU8" s="589">
        <f>BU7/BO7-1</f>
        <v>-5.3869636561601153E-2</v>
      </c>
      <c r="BV8" s="58"/>
      <c r="BW8" s="121">
        <f>+BW9+BW10</f>
        <v>-0.1</v>
      </c>
      <c r="BX8" s="85">
        <f>+BX9+BX10</f>
        <v>-0.05</v>
      </c>
      <c r="BY8" s="85">
        <f>+BY9+BY10</f>
        <v>0</v>
      </c>
      <c r="BZ8" s="85">
        <f>+BZ9+BZ10</f>
        <v>0.01</v>
      </c>
      <c r="CA8" s="589">
        <f>CA7/BU7-1</f>
        <v>-3.5512020250123011E-2</v>
      </c>
      <c r="CB8" s="58"/>
      <c r="CC8" s="121">
        <f>+CC9+CC10</f>
        <v>0.01</v>
      </c>
      <c r="CD8" s="85">
        <f>+CD9+CD10</f>
        <v>0.01</v>
      </c>
      <c r="CE8" s="85">
        <f>+CE9+CE10</f>
        <v>0.01</v>
      </c>
      <c r="CF8" s="85">
        <f>+CF9+CF10</f>
        <v>0.01</v>
      </c>
      <c r="CG8" s="589">
        <f>CG7/CA7-1</f>
        <v>1.0000000000000009E-2</v>
      </c>
      <c r="CH8" s="58"/>
      <c r="CI8" s="121">
        <f>+CI9+CI10</f>
        <v>0.01</v>
      </c>
      <c r="CJ8" s="85">
        <f>+CJ9+CJ10</f>
        <v>0.01</v>
      </c>
      <c r="CK8" s="85">
        <f>+CK9+CK10</f>
        <v>0.01</v>
      </c>
      <c r="CL8" s="85">
        <f>+CL9+CL10</f>
        <v>0.01</v>
      </c>
      <c r="CM8" s="589">
        <f>CM7/CG7-1</f>
        <v>1.0000000000000009E-2</v>
      </c>
      <c r="CN8" s="11"/>
      <c r="CO8" s="11"/>
      <c r="CP8" s="11"/>
      <c r="CQ8" s="11"/>
      <c r="CR8" s="11"/>
      <c r="CS8" s="11"/>
      <c r="CT8" s="11"/>
      <c r="CU8" s="11"/>
      <c r="CV8" s="11"/>
      <c r="CW8" s="11"/>
      <c r="CX8" s="11"/>
    </row>
    <row r="9" spans="1:102" s="31" customFormat="1" ht="11.25" customHeight="1" x14ac:dyDescent="0.2">
      <c r="A9" s="84"/>
      <c r="B9" s="607" t="s">
        <v>264</v>
      </c>
      <c r="C9" s="228"/>
      <c r="D9" s="239"/>
      <c r="E9" s="239"/>
      <c r="F9" s="229"/>
      <c r="G9" s="589"/>
      <c r="H9" s="106"/>
      <c r="I9" s="228"/>
      <c r="J9" s="239"/>
      <c r="K9" s="239"/>
      <c r="L9" s="229"/>
      <c r="M9" s="589"/>
      <c r="N9" s="106"/>
      <c r="O9" s="228"/>
      <c r="P9" s="239"/>
      <c r="Q9" s="239"/>
      <c r="R9" s="229"/>
      <c r="S9" s="589"/>
      <c r="T9" s="106"/>
      <c r="U9" s="228"/>
      <c r="V9" s="239"/>
      <c r="W9" s="239"/>
      <c r="X9" s="229"/>
      <c r="Y9" s="589"/>
      <c r="Z9" s="106"/>
      <c r="AA9" s="228"/>
      <c r="AB9" s="239"/>
      <c r="AC9" s="239"/>
      <c r="AD9" s="229"/>
      <c r="AE9" s="589"/>
      <c r="AF9" s="106"/>
      <c r="AG9" s="228"/>
      <c r="AH9" s="239"/>
      <c r="AI9" s="239"/>
      <c r="AJ9" s="229"/>
      <c r="AK9" s="589"/>
      <c r="AL9" s="106"/>
      <c r="AM9" s="121"/>
      <c r="AN9" s="85"/>
      <c r="AO9" s="85"/>
      <c r="AP9" s="85"/>
      <c r="AQ9" s="589"/>
      <c r="AR9" s="106"/>
      <c r="AS9" s="121"/>
      <c r="AT9" s="85"/>
      <c r="AU9" s="85"/>
      <c r="AV9" s="85"/>
      <c r="AW9" s="589"/>
      <c r="AX9" s="106"/>
      <c r="AY9" s="228">
        <v>2.5000000000000001E-2</v>
      </c>
      <c r="AZ9" s="239">
        <v>3.1E-2</v>
      </c>
      <c r="BA9" s="239">
        <v>0.04</v>
      </c>
      <c r="BB9" s="239">
        <v>3.3000000000000002E-2</v>
      </c>
      <c r="BC9" s="589">
        <f>SUMPRODUCT(AY9:BB9,AS7:AV7)/AW7</f>
        <v>3.2221574637027364E-2</v>
      </c>
      <c r="BD9" s="106"/>
      <c r="BE9" s="228">
        <f>(10.1+1.5)%</f>
        <v>0.11599999999999999</v>
      </c>
      <c r="BF9" s="239">
        <f>(1.8+1.5)%</f>
        <v>3.3000000000000002E-2</v>
      </c>
      <c r="BG9" s="239">
        <f>(3.5+1.6)%</f>
        <v>5.0999999999999997E-2</v>
      </c>
      <c r="BH9" s="239">
        <f>(2.8+0.5)%</f>
        <v>3.3000000000000002E-2</v>
      </c>
      <c r="BI9" s="589">
        <f>SUMPRODUCT(BE9:BH9,AY7:BB7)/BC7</f>
        <v>5.7865220511942109E-2</v>
      </c>
      <c r="BJ9" s="106"/>
      <c r="BK9" s="228">
        <f>(-7+0.4)%</f>
        <v>-6.6000000000000003E-2</v>
      </c>
      <c r="BL9" s="239">
        <v>-2.5000000000000001E-2</v>
      </c>
      <c r="BM9" s="239">
        <f>(-2.6-0.2)%</f>
        <v>-2.8000000000000004E-2</v>
      </c>
      <c r="BN9" s="239">
        <f>(-4.3+0)%</f>
        <v>-4.2999999999999997E-2</v>
      </c>
      <c r="BO9" s="1079">
        <v>-0.04</v>
      </c>
      <c r="BP9" s="106"/>
      <c r="BQ9" s="228">
        <v>-3.5999999999999997E-2</v>
      </c>
      <c r="BR9" s="239">
        <v>-4.4299999999999999E-2</v>
      </c>
      <c r="BS9" s="239">
        <v>-7.3999999999999996E-2</v>
      </c>
      <c r="BT9" s="596">
        <v>-7.0000000000000007E-2</v>
      </c>
      <c r="BU9" s="589">
        <f>SUMPRODUCT(BQ9:BT9,BK7:BN7)/BO7</f>
        <v>-5.611522261160086E-2</v>
      </c>
      <c r="BV9" s="106"/>
      <c r="BW9" s="595">
        <v>-0.1</v>
      </c>
      <c r="BX9" s="596">
        <v>-0.05</v>
      </c>
      <c r="BY9" s="596">
        <v>0</v>
      </c>
      <c r="BZ9" s="596">
        <v>0.01</v>
      </c>
      <c r="CA9" s="589">
        <f>SUMPRODUCT(BW9:BZ9,BQ7:BT7)/BU7</f>
        <v>-3.5512020250122935E-2</v>
      </c>
      <c r="CB9" s="106"/>
      <c r="CC9" s="595">
        <v>0.01</v>
      </c>
      <c r="CD9" s="596">
        <f>+CC9</f>
        <v>0.01</v>
      </c>
      <c r="CE9" s="596">
        <f>+CD9</f>
        <v>0.01</v>
      </c>
      <c r="CF9" s="596">
        <f>+CE9</f>
        <v>0.01</v>
      </c>
      <c r="CG9" s="589">
        <f t="shared" ref="CG9" si="0">SUMPRODUCT(CC9:CF9,BW7:BZ7)/CA7</f>
        <v>0.01</v>
      </c>
      <c r="CH9" s="106"/>
      <c r="CI9" s="595">
        <v>0.01</v>
      </c>
      <c r="CJ9" s="596">
        <f t="shared" ref="CJ9:CL9" si="1">+CI9</f>
        <v>0.01</v>
      </c>
      <c r="CK9" s="596">
        <f t="shared" si="1"/>
        <v>0.01</v>
      </c>
      <c r="CL9" s="596">
        <f t="shared" si="1"/>
        <v>0.01</v>
      </c>
      <c r="CM9" s="589">
        <f t="shared" ref="CM9" si="2">SUMPRODUCT(CI9:CL9,CC7:CF7)/CG7</f>
        <v>0.01</v>
      </c>
      <c r="CN9" s="11"/>
      <c r="CO9" s="11"/>
      <c r="CP9" s="11"/>
      <c r="CQ9" s="11"/>
      <c r="CR9" s="11"/>
      <c r="CS9" s="11"/>
      <c r="CT9" s="11"/>
      <c r="CU9" s="11"/>
      <c r="CV9" s="11"/>
      <c r="CW9" s="11"/>
      <c r="CX9" s="11"/>
    </row>
    <row r="10" spans="1:102" s="31" customFormat="1" ht="11.25" customHeight="1" x14ac:dyDescent="0.2">
      <c r="A10" s="84"/>
      <c r="B10" s="607" t="s">
        <v>263</v>
      </c>
      <c r="C10" s="121"/>
      <c r="D10" s="85"/>
      <c r="E10" s="85"/>
      <c r="F10" s="85"/>
      <c r="G10" s="589"/>
      <c r="H10" s="58"/>
      <c r="I10" s="121"/>
      <c r="J10" s="85"/>
      <c r="K10" s="85"/>
      <c r="L10" s="85"/>
      <c r="M10" s="589"/>
      <c r="N10" s="58"/>
      <c r="O10" s="121"/>
      <c r="P10" s="85"/>
      <c r="Q10" s="85"/>
      <c r="R10" s="85"/>
      <c r="S10" s="589"/>
      <c r="T10" s="58"/>
      <c r="U10" s="121"/>
      <c r="V10" s="85"/>
      <c r="W10" s="85"/>
      <c r="X10" s="85"/>
      <c r="Y10" s="589"/>
      <c r="Z10" s="58"/>
      <c r="AA10" s="121"/>
      <c r="AB10" s="85"/>
      <c r="AC10" s="85"/>
      <c r="AD10" s="85"/>
      <c r="AE10" s="589"/>
      <c r="AF10" s="58"/>
      <c r="AG10" s="121"/>
      <c r="AH10" s="85"/>
      <c r="AI10" s="85"/>
      <c r="AJ10" s="85"/>
      <c r="AK10" s="589"/>
      <c r="AL10" s="58"/>
      <c r="AM10" s="228"/>
      <c r="AN10" s="239"/>
      <c r="AO10" s="239"/>
      <c r="AP10" s="239"/>
      <c r="AQ10" s="589"/>
      <c r="AR10" s="58"/>
      <c r="AS10" s="228"/>
      <c r="AT10" s="239"/>
      <c r="AU10" s="239"/>
      <c r="AV10" s="239"/>
      <c r="AW10" s="589"/>
      <c r="AX10" s="58"/>
      <c r="AY10" s="121">
        <f>AY8-AY9</f>
        <v>-3.328638325894482E-2</v>
      </c>
      <c r="AZ10" s="85">
        <f>AZ8-AZ9</f>
        <v>-3.543574570830163E-2</v>
      </c>
      <c r="BA10" s="85">
        <f>BA8-BA9</f>
        <v>-3.6076796475650284E-2</v>
      </c>
      <c r="BB10" s="85">
        <f>BB8-BB9</f>
        <v>-3.6061295283466216E-2</v>
      </c>
      <c r="BC10" s="589">
        <f>BC8-BC9</f>
        <v>-3.5222229023000109E-2</v>
      </c>
      <c r="BD10" s="58"/>
      <c r="BE10" s="121">
        <f>BE8-BE9</f>
        <v>-1.5283716068738573E-2</v>
      </c>
      <c r="BF10" s="85">
        <f>BF8-BF9</f>
        <v>-1.5012604038436933E-2</v>
      </c>
      <c r="BG10" s="85">
        <f>BG8-BG9</f>
        <v>-1.6436559832900662E-2</v>
      </c>
      <c r="BH10" s="85">
        <f>BH8-BH9</f>
        <v>-4.9027004143554487E-3</v>
      </c>
      <c r="BI10" s="589">
        <f>BI8-BI9</f>
        <v>-1.2785120133514752E-2</v>
      </c>
      <c r="BJ10" s="58"/>
      <c r="BK10" s="121">
        <f>BK8-BK9</f>
        <v>-4.1127210572767248E-3</v>
      </c>
      <c r="BL10" s="85">
        <f>BL8-BL9</f>
        <v>3.3660614373907244E-4</v>
      </c>
      <c r="BM10" s="85">
        <f>BM8-BM9</f>
        <v>2.0770140937888884E-3</v>
      </c>
      <c r="BN10" s="85">
        <f>BN8-BN9</f>
        <v>2.2903969111283395E-4</v>
      </c>
      <c r="BO10" s="589">
        <f>BO8-BO9</f>
        <v>-1.4261947688204782E-3</v>
      </c>
      <c r="BP10" s="58"/>
      <c r="BQ10" s="121">
        <f>BQ8-BQ9</f>
        <v>-2.3543376142820885E-3</v>
      </c>
      <c r="BR10" s="85">
        <f>BR8-BR9</f>
        <v>4.1441880476317181E-3</v>
      </c>
      <c r="BS10" s="85">
        <f>BS8-BS9</f>
        <v>3.6238095091656736E-3</v>
      </c>
      <c r="BT10" s="596">
        <f>+BS10</f>
        <v>3.6238095091656736E-3</v>
      </c>
      <c r="BU10" s="589">
        <f>BU8-BU9</f>
        <v>2.2455860499997066E-3</v>
      </c>
      <c r="BV10" s="58"/>
      <c r="BW10" s="595">
        <v>0</v>
      </c>
      <c r="BX10" s="596">
        <v>0</v>
      </c>
      <c r="BY10" s="596">
        <v>0</v>
      </c>
      <c r="BZ10" s="596">
        <v>0</v>
      </c>
      <c r="CA10" s="589">
        <f>CA8-CA9</f>
        <v>-7.6327832942979512E-17</v>
      </c>
      <c r="CB10" s="58"/>
      <c r="CC10" s="595">
        <v>0</v>
      </c>
      <c r="CD10" s="596">
        <v>0</v>
      </c>
      <c r="CE10" s="596">
        <v>0</v>
      </c>
      <c r="CF10" s="596">
        <v>0</v>
      </c>
      <c r="CG10" s="589">
        <f>CG8-CG9</f>
        <v>0</v>
      </c>
      <c r="CH10" s="58"/>
      <c r="CI10" s="595">
        <v>0</v>
      </c>
      <c r="CJ10" s="596">
        <v>0</v>
      </c>
      <c r="CK10" s="596">
        <v>0</v>
      </c>
      <c r="CL10" s="596">
        <v>0</v>
      </c>
      <c r="CM10" s="589">
        <f>CM8-CM9</f>
        <v>0</v>
      </c>
      <c r="CN10" s="11"/>
      <c r="CO10" s="11"/>
      <c r="CP10" s="11"/>
      <c r="CQ10" s="11"/>
      <c r="CR10" s="11"/>
      <c r="CS10" s="11"/>
      <c r="CT10" s="11"/>
      <c r="CU10" s="11"/>
      <c r="CV10" s="11"/>
      <c r="CW10" s="11"/>
      <c r="CX10" s="11"/>
    </row>
    <row r="11" spans="1:102" s="31" customFormat="1" ht="11.25" customHeight="1" x14ac:dyDescent="0.2">
      <c r="A11" s="84"/>
      <c r="B11" s="607" t="s">
        <v>262</v>
      </c>
      <c r="C11" s="228"/>
      <c r="D11" s="239"/>
      <c r="E11" s="239"/>
      <c r="F11" s="229"/>
      <c r="G11" s="589"/>
      <c r="H11" s="58"/>
      <c r="I11" s="228"/>
      <c r="J11" s="239"/>
      <c r="K11" s="239"/>
      <c r="L11" s="229"/>
      <c r="M11" s="589"/>
      <c r="N11" s="58"/>
      <c r="O11" s="228"/>
      <c r="P11" s="239"/>
      <c r="Q11" s="239"/>
      <c r="R11" s="229"/>
      <c r="S11" s="589"/>
      <c r="T11" s="58"/>
      <c r="U11" s="228"/>
      <c r="V11" s="239"/>
      <c r="W11" s="239"/>
      <c r="X11" s="229"/>
      <c r="Y11" s="589"/>
      <c r="Z11" s="58"/>
      <c r="AA11" s="228"/>
      <c r="AB11" s="239"/>
      <c r="AC11" s="239"/>
      <c r="AD11" s="229"/>
      <c r="AE11" s="589"/>
      <c r="AF11" s="58"/>
      <c r="AG11" s="228"/>
      <c r="AH11" s="239"/>
      <c r="AI11" s="239"/>
      <c r="AJ11" s="229"/>
      <c r="AK11" s="589"/>
      <c r="AL11" s="58"/>
      <c r="AM11" s="228"/>
      <c r="AN11" s="239"/>
      <c r="AO11" s="239"/>
      <c r="AP11" s="239"/>
      <c r="AQ11" s="589"/>
      <c r="AR11" s="58"/>
      <c r="AS11" s="228"/>
      <c r="AT11" s="239"/>
      <c r="AU11" s="239"/>
      <c r="AV11" s="239"/>
      <c r="AW11" s="589"/>
      <c r="AX11" s="58"/>
      <c r="AY11" s="228">
        <v>0</v>
      </c>
      <c r="AZ11" s="239">
        <v>0</v>
      </c>
      <c r="BA11" s="239">
        <v>0</v>
      </c>
      <c r="BB11" s="239">
        <v>0</v>
      </c>
      <c r="BC11" s="589">
        <f>SUMPRODUCT(AY11:BB11,AS7:AV7)/AW7</f>
        <v>0</v>
      </c>
      <c r="BD11" s="58"/>
      <c r="BE11" s="228">
        <v>7.8E-2</v>
      </c>
      <c r="BF11" s="239">
        <v>0</v>
      </c>
      <c r="BG11" s="239">
        <v>0</v>
      </c>
      <c r="BH11" s="239">
        <v>0</v>
      </c>
      <c r="BI11" s="589">
        <f>SUMPRODUCT(BE11:BH11,AY7:BB7)/BC7</f>
        <v>1.923032089415927E-2</v>
      </c>
      <c r="BJ11" s="58"/>
      <c r="BK11" s="228">
        <v>-6.5000000000000002E-2</v>
      </c>
      <c r="BL11" s="239">
        <v>0</v>
      </c>
      <c r="BM11" s="239">
        <v>0</v>
      </c>
      <c r="BN11" s="239">
        <v>0</v>
      </c>
      <c r="BO11" s="589">
        <f>SUMPRODUCT(BK11:BN11,BE7:BH7)/BI7</f>
        <v>-1.6878393137648801E-2</v>
      </c>
      <c r="BP11" s="58"/>
      <c r="BQ11" s="228">
        <f>-5%+5/BL7</f>
        <v>-3.4579181277892411E-2</v>
      </c>
      <c r="BR11" s="239">
        <v>-8.9999999999999993E-3</v>
      </c>
      <c r="BS11" s="239">
        <v>0</v>
      </c>
      <c r="BT11" s="596">
        <v>0</v>
      </c>
      <c r="BU11" s="589">
        <f>SUMPRODUCT(BQ11:BT11,BK7:BN7)/BO7</f>
        <v>-1.091813837274409E-2</v>
      </c>
      <c r="BV11" s="58"/>
      <c r="BW11" s="595">
        <v>0</v>
      </c>
      <c r="BX11" s="596">
        <v>0</v>
      </c>
      <c r="BY11" s="596">
        <v>0</v>
      </c>
      <c r="BZ11" s="596">
        <v>0</v>
      </c>
      <c r="CA11" s="589">
        <f>SUMPRODUCT(BW11:BZ11,BQ7:BT7)/BU7</f>
        <v>0</v>
      </c>
      <c r="CB11" s="58"/>
      <c r="CC11" s="595">
        <v>0</v>
      </c>
      <c r="CD11" s="596">
        <v>0</v>
      </c>
      <c r="CE11" s="596">
        <v>0</v>
      </c>
      <c r="CF11" s="596">
        <v>0</v>
      </c>
      <c r="CG11" s="589">
        <f>SUMPRODUCT(CC11:CF11,BW7:BZ7)/CA7</f>
        <v>0</v>
      </c>
      <c r="CH11" s="58"/>
      <c r="CI11" s="595">
        <v>0</v>
      </c>
      <c r="CJ11" s="596">
        <v>0</v>
      </c>
      <c r="CK11" s="596">
        <v>0</v>
      </c>
      <c r="CL11" s="596">
        <v>0</v>
      </c>
      <c r="CM11" s="589">
        <f>SUMPRODUCT(CI11:CL11,CC7:CF7)/CG7</f>
        <v>0</v>
      </c>
      <c r="CN11" s="11"/>
      <c r="CO11" s="11"/>
      <c r="CP11" s="11"/>
      <c r="CQ11" s="11"/>
      <c r="CR11" s="11"/>
      <c r="CS11" s="11"/>
      <c r="CT11" s="11"/>
      <c r="CU11" s="11"/>
      <c r="CV11" s="11"/>
      <c r="CW11" s="11"/>
      <c r="CX11" s="11"/>
    </row>
    <row r="12" spans="1:102" s="31" customFormat="1" ht="11.25" customHeight="1" x14ac:dyDescent="0.2">
      <c r="B12" s="620" t="s">
        <v>265</v>
      </c>
      <c r="C12" s="257"/>
      <c r="D12" s="382"/>
      <c r="E12" s="382"/>
      <c r="F12" s="382"/>
      <c r="G12" s="621"/>
      <c r="H12" s="622"/>
      <c r="I12" s="257"/>
      <c r="J12" s="382"/>
      <c r="K12" s="382"/>
      <c r="L12" s="382"/>
      <c r="M12" s="621"/>
      <c r="N12" s="622"/>
      <c r="O12" s="257"/>
      <c r="P12" s="382"/>
      <c r="Q12" s="382"/>
      <c r="R12" s="382"/>
      <c r="S12" s="621"/>
      <c r="T12" s="622"/>
      <c r="U12" s="257"/>
      <c r="V12" s="382"/>
      <c r="W12" s="382"/>
      <c r="X12" s="382"/>
      <c r="Y12" s="621"/>
      <c r="Z12" s="622"/>
      <c r="AA12" s="257"/>
      <c r="AB12" s="382"/>
      <c r="AC12" s="382"/>
      <c r="AD12" s="382"/>
      <c r="AE12" s="621"/>
      <c r="AF12" s="622"/>
      <c r="AG12" s="257"/>
      <c r="AH12" s="382"/>
      <c r="AI12" s="382"/>
      <c r="AJ12" s="382"/>
      <c r="AK12" s="621"/>
      <c r="AL12" s="622"/>
      <c r="AM12" s="257"/>
      <c r="AN12" s="382"/>
      <c r="AO12" s="382"/>
      <c r="AP12" s="382"/>
      <c r="AQ12" s="621"/>
      <c r="AR12" s="622"/>
      <c r="AS12" s="257"/>
      <c r="AT12" s="382"/>
      <c r="AU12" s="382"/>
      <c r="AV12" s="382"/>
      <c r="AW12" s="621"/>
      <c r="AX12" s="622"/>
      <c r="AY12" s="257">
        <f>+AY9-AY11</f>
        <v>2.5000000000000001E-2</v>
      </c>
      <c r="AZ12" s="382">
        <f>+AZ9-AZ11</f>
        <v>3.1E-2</v>
      </c>
      <c r="BA12" s="382">
        <f>+BA9-BA11</f>
        <v>0.04</v>
      </c>
      <c r="BB12" s="382">
        <f>+BB9-BB11</f>
        <v>3.3000000000000002E-2</v>
      </c>
      <c r="BC12" s="621">
        <f>+BC9-BC11</f>
        <v>3.2221574637027364E-2</v>
      </c>
      <c r="BD12" s="622"/>
      <c r="BE12" s="257">
        <f>+BE9-BE11</f>
        <v>3.7999999999999992E-2</v>
      </c>
      <c r="BF12" s="382">
        <f>+BF9-BF11</f>
        <v>3.3000000000000002E-2</v>
      </c>
      <c r="BG12" s="382">
        <f>+BG9-BG11</f>
        <v>5.0999999999999997E-2</v>
      </c>
      <c r="BH12" s="382">
        <f>+BH9-BH11</f>
        <v>3.3000000000000002E-2</v>
      </c>
      <c r="BI12" s="621">
        <f>+BI9-BI11</f>
        <v>3.8634899617782839E-2</v>
      </c>
      <c r="BJ12" s="622"/>
      <c r="BK12" s="257">
        <f>+BK9-BK11</f>
        <v>-1.0000000000000009E-3</v>
      </c>
      <c r="BL12" s="382">
        <f>+BL9-BL11</f>
        <v>-2.5000000000000001E-2</v>
      </c>
      <c r="BM12" s="382">
        <f>+BM9-BM11</f>
        <v>-2.8000000000000004E-2</v>
      </c>
      <c r="BN12" s="382">
        <f>+BN9-BN11</f>
        <v>-4.2999999999999997E-2</v>
      </c>
      <c r="BO12" s="621">
        <f>+BO9-BO11</f>
        <v>-2.31216068623512E-2</v>
      </c>
      <c r="BP12" s="622"/>
      <c r="BQ12" s="257">
        <f>+BQ9-BQ11</f>
        <v>-1.4208187221075863E-3</v>
      </c>
      <c r="BR12" s="382">
        <f>+BR9-BR11</f>
        <v>-3.5299999999999998E-2</v>
      </c>
      <c r="BS12" s="382">
        <f>+BS9-BS11</f>
        <v>-7.3999999999999996E-2</v>
      </c>
      <c r="BT12" s="382">
        <f>+BT9-BT11</f>
        <v>-7.0000000000000007E-2</v>
      </c>
      <c r="BU12" s="621">
        <f>+BU9-BU11</f>
        <v>-4.5197084238856766E-2</v>
      </c>
      <c r="BV12" s="622"/>
      <c r="BW12" s="257">
        <f>+BW9-BW11</f>
        <v>-0.1</v>
      </c>
      <c r="BX12" s="382">
        <f>+BX9-BX11</f>
        <v>-0.05</v>
      </c>
      <c r="BY12" s="382">
        <f>+BY9-BY11</f>
        <v>0</v>
      </c>
      <c r="BZ12" s="382">
        <f>+BZ9-BZ11</f>
        <v>0.01</v>
      </c>
      <c r="CA12" s="621">
        <f>+CA9-CA11</f>
        <v>-3.5512020250122935E-2</v>
      </c>
      <c r="CB12" s="622"/>
      <c r="CC12" s="257">
        <f>+CC9-CC11</f>
        <v>0.01</v>
      </c>
      <c r="CD12" s="382">
        <f>+CD9-CD11</f>
        <v>0.01</v>
      </c>
      <c r="CE12" s="382">
        <f>+CE9-CE11</f>
        <v>0.01</v>
      </c>
      <c r="CF12" s="382">
        <f>+CF9-CF11</f>
        <v>0.01</v>
      </c>
      <c r="CG12" s="621">
        <f>+CG9-CG11</f>
        <v>0.01</v>
      </c>
      <c r="CH12" s="622"/>
      <c r="CI12" s="257">
        <f>+CI9-CI11</f>
        <v>0.01</v>
      </c>
      <c r="CJ12" s="382">
        <f>+CJ9-CJ11</f>
        <v>0.01</v>
      </c>
      <c r="CK12" s="382">
        <f>+CK9-CK11</f>
        <v>0.01</v>
      </c>
      <c r="CL12" s="382">
        <f>+CL9-CL11</f>
        <v>0.01</v>
      </c>
      <c r="CM12" s="621">
        <f>+CM9-CM11</f>
        <v>0.01</v>
      </c>
      <c r="CN12" s="11"/>
      <c r="CO12" s="11"/>
      <c r="CP12" s="11"/>
      <c r="CQ12" s="11"/>
      <c r="CR12" s="11"/>
      <c r="CS12" s="11"/>
      <c r="CT12" s="11"/>
      <c r="CU12" s="11"/>
      <c r="CV12" s="11"/>
      <c r="CW12" s="11"/>
      <c r="CX12" s="11"/>
    </row>
    <row r="13" spans="1:102" s="31" customFormat="1" ht="11.25" customHeight="1" x14ac:dyDescent="0.2">
      <c r="A13" s="84"/>
      <c r="B13" s="607"/>
      <c r="C13" s="228"/>
      <c r="D13" s="239"/>
      <c r="E13" s="239"/>
      <c r="F13" s="229"/>
      <c r="G13" s="589"/>
      <c r="H13" s="106"/>
      <c r="I13" s="228"/>
      <c r="J13" s="239"/>
      <c r="K13" s="239"/>
      <c r="L13" s="229"/>
      <c r="M13" s="589"/>
      <c r="N13" s="106"/>
      <c r="O13" s="228"/>
      <c r="P13" s="239"/>
      <c r="Q13" s="239"/>
      <c r="R13" s="229"/>
      <c r="S13" s="589"/>
      <c r="T13" s="106"/>
      <c r="U13" s="228"/>
      <c r="V13" s="239"/>
      <c r="W13" s="239"/>
      <c r="X13" s="229"/>
      <c r="Y13" s="589"/>
      <c r="Z13" s="106"/>
      <c r="AA13" s="228"/>
      <c r="AB13" s="239"/>
      <c r="AC13" s="239"/>
      <c r="AD13" s="229"/>
      <c r="AE13" s="589"/>
      <c r="AF13" s="106"/>
      <c r="AG13" s="228"/>
      <c r="AH13" s="239"/>
      <c r="AI13" s="239"/>
      <c r="AJ13" s="229"/>
      <c r="AK13" s="589"/>
      <c r="AL13" s="106"/>
      <c r="AM13" s="228"/>
      <c r="AN13" s="239"/>
      <c r="AO13" s="239"/>
      <c r="AP13" s="229"/>
      <c r="AQ13" s="589"/>
      <c r="AR13" s="106"/>
      <c r="AS13" s="228"/>
      <c r="AT13" s="239"/>
      <c r="AU13" s="239"/>
      <c r="AV13" s="229"/>
      <c r="AW13" s="589"/>
      <c r="AX13" s="106"/>
      <c r="AY13" s="228"/>
      <c r="AZ13" s="239"/>
      <c r="BA13" s="239"/>
      <c r="BB13" s="229"/>
      <c r="BC13" s="589"/>
      <c r="BD13" s="106"/>
      <c r="BE13" s="228"/>
      <c r="BF13" s="239"/>
      <c r="BG13" s="239"/>
      <c r="BH13" s="239"/>
      <c r="BI13" s="589"/>
      <c r="BJ13" s="106"/>
      <c r="BK13" s="228"/>
      <c r="BL13" s="239"/>
      <c r="BM13" s="239"/>
      <c r="BN13" s="239"/>
      <c r="BO13" s="589"/>
      <c r="BP13" s="106"/>
      <c r="BQ13" s="1285"/>
      <c r="BR13" s="239"/>
      <c r="BS13" s="239"/>
      <c r="BT13" s="596"/>
      <c r="BU13" s="589"/>
      <c r="BV13" s="106"/>
      <c r="BW13" s="595"/>
      <c r="BX13" s="596"/>
      <c r="BY13" s="596"/>
      <c r="BZ13" s="596"/>
      <c r="CA13" s="589"/>
      <c r="CB13" s="106"/>
      <c r="CC13" s="595"/>
      <c r="CD13" s="596"/>
      <c r="CE13" s="596"/>
      <c r="CF13" s="596"/>
      <c r="CG13" s="589"/>
      <c r="CH13" s="106"/>
      <c r="CI13" s="595"/>
      <c r="CJ13" s="596"/>
      <c r="CK13" s="596"/>
      <c r="CL13" s="596"/>
      <c r="CM13" s="589"/>
      <c r="CN13" s="11"/>
      <c r="CO13" s="11"/>
      <c r="CP13" s="11"/>
      <c r="CQ13" s="11"/>
      <c r="CR13" s="11"/>
      <c r="CS13" s="11"/>
      <c r="CT13" s="11"/>
      <c r="CU13" s="11"/>
      <c r="CV13" s="11"/>
      <c r="CW13" s="11"/>
      <c r="CX13" s="11"/>
    </row>
    <row r="14" spans="1:102" s="9" customFormat="1" ht="11.25" customHeight="1" x14ac:dyDescent="0.2">
      <c r="A14" s="12"/>
      <c r="B14" s="620" t="s">
        <v>309</v>
      </c>
      <c r="C14" s="576">
        <v>146.99799999999999</v>
      </c>
      <c r="D14" s="585">
        <v>173.25200000000001</v>
      </c>
      <c r="E14" s="585">
        <v>205.26499999999999</v>
      </c>
      <c r="F14" s="585">
        <v>188.828</v>
      </c>
      <c r="G14" s="594">
        <f>+SUM(C14:F14)</f>
        <v>714.34299999999996</v>
      </c>
      <c r="H14" s="585"/>
      <c r="I14" s="576">
        <v>152.733</v>
      </c>
      <c r="J14" s="585">
        <v>168.989</v>
      </c>
      <c r="K14" s="585">
        <v>231.56399999999999</v>
      </c>
      <c r="L14" s="585">
        <v>191.047</v>
      </c>
      <c r="M14" s="594">
        <f>+SUM(I14:L14)</f>
        <v>744.33299999999997</v>
      </c>
      <c r="N14" s="585"/>
      <c r="O14" s="576">
        <v>150.36500000000001</v>
      </c>
      <c r="P14" s="585">
        <v>170.642</v>
      </c>
      <c r="Q14" s="585">
        <v>239.22800000000001</v>
      </c>
      <c r="R14" s="585">
        <v>171.154</v>
      </c>
      <c r="S14" s="594">
        <f>+SUM(O14:R14)</f>
        <v>731.38900000000001</v>
      </c>
      <c r="T14" s="585"/>
      <c r="U14" s="576">
        <v>147.68700000000001</v>
      </c>
      <c r="V14" s="585">
        <v>175.059</v>
      </c>
      <c r="W14" s="585">
        <v>216.24299999999999</v>
      </c>
      <c r="X14" s="585">
        <v>170.47900000000001</v>
      </c>
      <c r="Y14" s="594">
        <f>+SUM(U14:X14)</f>
        <v>709.46800000000007</v>
      </c>
      <c r="Z14" s="585"/>
      <c r="AA14" s="576">
        <v>154.571</v>
      </c>
      <c r="AB14" s="585">
        <v>199.98500000000001</v>
      </c>
      <c r="AC14" s="585">
        <v>190.56700000000001</v>
      </c>
      <c r="AD14" s="585">
        <v>189.626</v>
      </c>
      <c r="AE14" s="594">
        <f>+SUM(AA14:AD14)</f>
        <v>734.74900000000002</v>
      </c>
      <c r="AF14" s="585"/>
      <c r="AG14" s="576">
        <v>161.02699999999999</v>
      </c>
      <c r="AH14" s="585">
        <v>174.91300000000001</v>
      </c>
      <c r="AI14" s="585">
        <v>231.37200000000001</v>
      </c>
      <c r="AJ14" s="585">
        <v>201.321</v>
      </c>
      <c r="AK14" s="594">
        <f>+SUM(AG14:AJ14)</f>
        <v>768.63300000000004</v>
      </c>
      <c r="AL14" s="585"/>
      <c r="AM14" s="576">
        <v>191.93899999999999</v>
      </c>
      <c r="AN14" s="585">
        <v>169.31100000000001</v>
      </c>
      <c r="AO14" s="585">
        <v>254.03299999999999</v>
      </c>
      <c r="AP14" s="585">
        <v>228.59800000000001</v>
      </c>
      <c r="AQ14" s="594">
        <f>+SUM(AM14:AP14)</f>
        <v>843.88100000000009</v>
      </c>
      <c r="AR14" s="585"/>
      <c r="AS14" s="576">
        <f>331.384-AT14</f>
        <v>161.82500000000002</v>
      </c>
      <c r="AT14" s="585">
        <v>169.559</v>
      </c>
      <c r="AU14" s="585">
        <v>255.99799999999999</v>
      </c>
      <c r="AV14" s="585">
        <v>207.75</v>
      </c>
      <c r="AW14" s="594">
        <f>+SUM(AS14:AV14)</f>
        <v>795.13200000000006</v>
      </c>
      <c r="AX14" s="585"/>
      <c r="AY14" s="576">
        <v>148.78299999999999</v>
      </c>
      <c r="AZ14" s="585">
        <v>195.96199999999999</v>
      </c>
      <c r="BA14" s="585">
        <v>220.738</v>
      </c>
      <c r="BB14" s="585">
        <v>252.85900000000001</v>
      </c>
      <c r="BC14" s="594">
        <f>+SUM(AY14:BB14)</f>
        <v>818.34199999999998</v>
      </c>
      <c r="BD14" s="585"/>
      <c r="BE14" s="576">
        <v>143.66999999999999</v>
      </c>
      <c r="BF14" s="585">
        <v>196.767</v>
      </c>
      <c r="BG14" s="585">
        <v>232.334</v>
      </c>
      <c r="BH14" s="585">
        <v>234.22200000000001</v>
      </c>
      <c r="BI14" s="594">
        <f>+SUM(BE14:BH14)</f>
        <v>806.99299999999994</v>
      </c>
      <c r="BJ14" s="585"/>
      <c r="BK14" s="576">
        <v>150.88200000000001</v>
      </c>
      <c r="BL14" s="585">
        <v>205.06200000000001</v>
      </c>
      <c r="BM14" s="585">
        <v>230.43100000000001</v>
      </c>
      <c r="BN14" s="585">
        <v>194.49299999999999</v>
      </c>
      <c r="BO14" s="594">
        <f>+SUM(BK14:BN14)</f>
        <v>780.86799999999994</v>
      </c>
      <c r="BP14" s="585"/>
      <c r="BQ14" s="576">
        <v>127.863</v>
      </c>
      <c r="BR14" s="585">
        <v>169.51300000000001</v>
      </c>
      <c r="BS14" s="585">
        <v>207</v>
      </c>
      <c r="BT14" s="136">
        <f>+BN14*(1+BT15)</f>
        <v>205.05720485242003</v>
      </c>
      <c r="BU14" s="594">
        <f>+SUM(BQ14:BT14)</f>
        <v>709.43320485241998</v>
      </c>
      <c r="BV14" s="585"/>
      <c r="BW14" s="578">
        <f>+BQ14*(1+BW15)</f>
        <v>134.25614999999999</v>
      </c>
      <c r="BX14" s="136">
        <f>+BR14*(1+BX15)</f>
        <v>181.37891000000002</v>
      </c>
      <c r="BY14" s="136">
        <f>+BS14*(1+BY15)</f>
        <v>211.14000000000001</v>
      </c>
      <c r="BZ14" s="136">
        <f>+BT14*(1+BZ15)</f>
        <v>205.05720485242003</v>
      </c>
      <c r="CA14" s="594">
        <f>+SUM(BW14:BZ14)</f>
        <v>731.83226485242005</v>
      </c>
      <c r="CB14" s="585"/>
      <c r="CC14" s="578">
        <f>+BW14*(1+CC15)</f>
        <v>134.25614999999999</v>
      </c>
      <c r="CD14" s="136">
        <f>+BX14*(1+CD15)</f>
        <v>181.37891000000002</v>
      </c>
      <c r="CE14" s="136">
        <f>+BY14*(1+CE15)</f>
        <v>215.36280000000002</v>
      </c>
      <c r="CF14" s="136">
        <f>+BZ14*(1+CF15)</f>
        <v>209.15834894946843</v>
      </c>
      <c r="CG14" s="594">
        <f>+SUM(CC14:CF14)</f>
        <v>740.15620894946846</v>
      </c>
      <c r="CH14" s="585"/>
      <c r="CI14" s="578">
        <f>+CC14*(1+CI15)</f>
        <v>136.941273</v>
      </c>
      <c r="CJ14" s="136">
        <f>+CD14*(1+CJ15)</f>
        <v>185.00648820000004</v>
      </c>
      <c r="CK14" s="136">
        <f>+CE14*(1+CK15)</f>
        <v>219.67005600000002</v>
      </c>
      <c r="CL14" s="136">
        <f>+CF14*(1+CL15)</f>
        <v>213.3415159284578</v>
      </c>
      <c r="CM14" s="594">
        <f>+SUM(CI14:CL14)</f>
        <v>754.95933312845796</v>
      </c>
      <c r="CN14" s="11"/>
      <c r="CO14" s="11"/>
      <c r="CP14" s="11"/>
      <c r="CQ14" s="11"/>
      <c r="CR14" s="11"/>
      <c r="CS14" s="11"/>
      <c r="CT14" s="11"/>
      <c r="CU14" s="11"/>
      <c r="CV14" s="11"/>
      <c r="CW14" s="11"/>
      <c r="CX14" s="11"/>
    </row>
    <row r="15" spans="1:102" s="31" customFormat="1" ht="11.25" customHeight="1" x14ac:dyDescent="0.2">
      <c r="A15" s="84"/>
      <c r="B15" s="607" t="s">
        <v>261</v>
      </c>
      <c r="C15" s="121"/>
      <c r="D15" s="85"/>
      <c r="E15" s="85"/>
      <c r="F15" s="85"/>
      <c r="G15" s="589"/>
      <c r="H15" s="58"/>
      <c r="I15" s="121">
        <f>I14/C14-1</f>
        <v>3.9014136246751763E-2</v>
      </c>
      <c r="J15" s="85">
        <f>J14/D14-1</f>
        <v>-2.4605776556692049E-2</v>
      </c>
      <c r="K15" s="85">
        <f>K14/E14-1</f>
        <v>0.12812218351886595</v>
      </c>
      <c r="L15" s="85">
        <f>L14/F14-1</f>
        <v>1.1751435168513069E-2</v>
      </c>
      <c r="M15" s="589">
        <f>M14/G14-1</f>
        <v>4.198263299283389E-2</v>
      </c>
      <c r="N15" s="58"/>
      <c r="O15" s="121">
        <f>O14/I14-1</f>
        <v>-1.5504180497993181E-2</v>
      </c>
      <c r="P15" s="85">
        <f>P14/J14-1</f>
        <v>9.7817017675705387E-3</v>
      </c>
      <c r="Q15" s="85">
        <f>Q14/K14-1</f>
        <v>3.3096681694909424E-2</v>
      </c>
      <c r="R15" s="85">
        <f>R14/L14-1</f>
        <v>-0.10412620978083931</v>
      </c>
      <c r="S15" s="589">
        <f>S14/M14-1</f>
        <v>-1.7390066005403493E-2</v>
      </c>
      <c r="T15" s="58"/>
      <c r="U15" s="121">
        <f>U14/O14-1</f>
        <v>-1.7809995677185442E-2</v>
      </c>
      <c r="V15" s="85">
        <f>V14/P14-1</f>
        <v>2.5884600508667255E-2</v>
      </c>
      <c r="W15" s="85">
        <f>W14/Q14-1</f>
        <v>-9.6079890313842897E-2</v>
      </c>
      <c r="X15" s="85">
        <f>X14/R14-1</f>
        <v>-3.9438166797152174E-3</v>
      </c>
      <c r="Y15" s="589">
        <f>Y14/S14-1</f>
        <v>-2.9971738705394713E-2</v>
      </c>
      <c r="Z15" s="58"/>
      <c r="AA15" s="121">
        <f>AA14/U14-1</f>
        <v>4.6612091788715171E-2</v>
      </c>
      <c r="AB15" s="85">
        <f>AB14/V14-1</f>
        <v>0.14238628119662522</v>
      </c>
      <c r="AC15" s="85">
        <f>AC14/W14-1</f>
        <v>-0.11873679147995542</v>
      </c>
      <c r="AD15" s="85">
        <f>AD14/X14-1</f>
        <v>0.11231295350160431</v>
      </c>
      <c r="AE15" s="589">
        <f>AE14/Y14-1</f>
        <v>3.5633742466185891E-2</v>
      </c>
      <c r="AF15" s="58"/>
      <c r="AG15" s="121">
        <f>AG14/AA14-1</f>
        <v>4.176721377231174E-2</v>
      </c>
      <c r="AH15" s="85">
        <f>AH14/AB14-1</f>
        <v>-0.12536940270520291</v>
      </c>
      <c r="AI15" s="85">
        <f>AI14/AC14-1</f>
        <v>0.21412416630371478</v>
      </c>
      <c r="AJ15" s="85">
        <f>AJ14/AD14-1</f>
        <v>6.1674032042019489E-2</v>
      </c>
      <c r="AK15" s="589">
        <f>AK14/AE14-1</f>
        <v>4.6116428875711213E-2</v>
      </c>
      <c r="AL15" s="58"/>
      <c r="AM15" s="121">
        <f>AM14/AG14-1</f>
        <v>0.19196780664112234</v>
      </c>
      <c r="AN15" s="85">
        <f>AN14/AH14-1</f>
        <v>-3.2027350740082228E-2</v>
      </c>
      <c r="AO15" s="85">
        <f>AO14/AI14-1</f>
        <v>9.7941842573863624E-2</v>
      </c>
      <c r="AP15" s="85">
        <f>AP14/AJ14-1</f>
        <v>0.13549008796896511</v>
      </c>
      <c r="AQ15" s="589">
        <f>AQ14/AK14-1</f>
        <v>9.7898476906403964E-2</v>
      </c>
      <c r="AR15" s="58"/>
      <c r="AS15" s="121">
        <f>AS14/AM14-1</f>
        <v>-0.15689359640302381</v>
      </c>
      <c r="AT15" s="85">
        <f>AT14/AN14-1</f>
        <v>1.4647601159993862E-3</v>
      </c>
      <c r="AU15" s="85">
        <f>AU14/AO14-1</f>
        <v>7.7352155034975389E-3</v>
      </c>
      <c r="AV15" s="85">
        <f>AV14/AP14-1</f>
        <v>-9.1199398069974458E-2</v>
      </c>
      <c r="AW15" s="589">
        <f>AW14/AQ14-1</f>
        <v>-5.776762363413801E-2</v>
      </c>
      <c r="AX15" s="58"/>
      <c r="AY15" s="121">
        <f>AY14/AS14-1</f>
        <v>-8.0593233431175859E-2</v>
      </c>
      <c r="AZ15" s="85">
        <f>AZ14/AT14-1</f>
        <v>0.15571570957601777</v>
      </c>
      <c r="BA15" s="85">
        <f>BA14/AU14-1</f>
        <v>-0.13773545105821139</v>
      </c>
      <c r="BB15" s="85">
        <f>BB14/AV14-1</f>
        <v>0.21713116726835135</v>
      </c>
      <c r="BC15" s="589">
        <f>BC14/AW14-1</f>
        <v>2.9190121891710996E-2</v>
      </c>
      <c r="BD15" s="58"/>
      <c r="BE15" s="121">
        <f>BE14/AY14-1</f>
        <v>-3.4365485304100551E-2</v>
      </c>
      <c r="BF15" s="85">
        <f>BF14/AZ14-1</f>
        <v>4.1079392943530468E-3</v>
      </c>
      <c r="BG15" s="85">
        <f>BG14/BA14-1</f>
        <v>5.2532867018818763E-2</v>
      </c>
      <c r="BH15" s="85">
        <f>BH14/BB14-1</f>
        <v>-7.3705108380559881E-2</v>
      </c>
      <c r="BI15" s="589">
        <f>BI14/BC14-1</f>
        <v>-1.3868284898001182E-2</v>
      </c>
      <c r="BJ15" s="58"/>
      <c r="BK15" s="121">
        <f>BK14/BE14-1</f>
        <v>5.0198371267488051E-2</v>
      </c>
      <c r="BL15" s="85">
        <f>BL14/BF14-1</f>
        <v>4.215645916235955E-2</v>
      </c>
      <c r="BM15" s="85">
        <f>BM14/BG14-1</f>
        <v>-8.1907942875343309E-3</v>
      </c>
      <c r="BN15" s="85">
        <f>BN14/BH14-1</f>
        <v>-0.16962112867279766</v>
      </c>
      <c r="BO15" s="589">
        <f>BO14/BI14-1</f>
        <v>-3.2373267178277931E-2</v>
      </c>
      <c r="BP15" s="58"/>
      <c r="BQ15" s="121">
        <f>BQ14/BK14-1</f>
        <v>-0.15256292997176601</v>
      </c>
      <c r="BR15" s="85">
        <f>BR14/BL14-1</f>
        <v>-0.17335732607699139</v>
      </c>
      <c r="BS15" s="85">
        <f>BS14/BM14-1</f>
        <v>-0.10168336725527383</v>
      </c>
      <c r="BT15" s="85">
        <f>+BT16+BT17</f>
        <v>5.4316632744726173E-2</v>
      </c>
      <c r="BU15" s="589">
        <f>BU14/BO14-1</f>
        <v>-9.148126846993343E-2</v>
      </c>
      <c r="BV15" s="58"/>
      <c r="BW15" s="121">
        <f>+BW16+BW17</f>
        <v>0.05</v>
      </c>
      <c r="BX15" s="85">
        <f>+BX16+BX17</f>
        <v>7.0000000000000007E-2</v>
      </c>
      <c r="BY15" s="85">
        <f>+BY16+BY17</f>
        <v>0.02</v>
      </c>
      <c r="BZ15" s="85">
        <f>+BZ16+BZ17</f>
        <v>0</v>
      </c>
      <c r="CA15" s="589">
        <f>CA14/BU14-1</f>
        <v>3.1573176793521673E-2</v>
      </c>
      <c r="CB15" s="58"/>
      <c r="CC15" s="121">
        <f>+CC16+CC17</f>
        <v>0</v>
      </c>
      <c r="CD15" s="85">
        <f>+CD16+CD17</f>
        <v>0</v>
      </c>
      <c r="CE15" s="85">
        <f>+CE16+CE17</f>
        <v>0.02</v>
      </c>
      <c r="CF15" s="85">
        <f>+CF16+CF17</f>
        <v>0.02</v>
      </c>
      <c r="CG15" s="589">
        <f>CG14/CA14-1</f>
        <v>1.1374114666462543E-2</v>
      </c>
      <c r="CH15" s="58"/>
      <c r="CI15" s="121">
        <f>+CI16+CI17</f>
        <v>0.02</v>
      </c>
      <c r="CJ15" s="85">
        <f>+CJ16+CJ17</f>
        <v>0.02</v>
      </c>
      <c r="CK15" s="85">
        <f>+CK16+CK17</f>
        <v>0.02</v>
      </c>
      <c r="CL15" s="85">
        <f>+CL16+CL17</f>
        <v>0.02</v>
      </c>
      <c r="CM15" s="589">
        <f>CM14/CG14-1</f>
        <v>2.000000000000024E-2</v>
      </c>
      <c r="CN15" s="11"/>
      <c r="CO15" s="11"/>
      <c r="CP15" s="11"/>
      <c r="CQ15" s="11"/>
      <c r="CR15" s="11"/>
      <c r="CS15" s="11"/>
      <c r="CT15" s="11"/>
      <c r="CU15" s="11"/>
      <c r="CV15" s="11"/>
      <c r="CW15" s="11"/>
      <c r="CX15" s="11"/>
    </row>
    <row r="16" spans="1:102" s="31" customFormat="1" ht="11.25" customHeight="1" x14ac:dyDescent="0.2">
      <c r="A16" s="84"/>
      <c r="B16" s="607" t="s">
        <v>264</v>
      </c>
      <c r="C16" s="228"/>
      <c r="D16" s="239"/>
      <c r="E16" s="239"/>
      <c r="F16" s="229"/>
      <c r="G16" s="589"/>
      <c r="H16" s="106"/>
      <c r="I16" s="228"/>
      <c r="J16" s="239"/>
      <c r="K16" s="239"/>
      <c r="L16" s="229"/>
      <c r="M16" s="589"/>
      <c r="N16" s="106"/>
      <c r="O16" s="228"/>
      <c r="P16" s="239"/>
      <c r="Q16" s="239"/>
      <c r="R16" s="229"/>
      <c r="S16" s="589"/>
      <c r="T16" s="106"/>
      <c r="U16" s="228"/>
      <c r="V16" s="239"/>
      <c r="W16" s="239"/>
      <c r="X16" s="229"/>
      <c r="Y16" s="589"/>
      <c r="Z16" s="106"/>
      <c r="AA16" s="228"/>
      <c r="AB16" s="239"/>
      <c r="AC16" s="239"/>
      <c r="AD16" s="229"/>
      <c r="AE16" s="589"/>
      <c r="AF16" s="106"/>
      <c r="AG16" s="228"/>
      <c r="AH16" s="239"/>
      <c r="AI16" s="239"/>
      <c r="AJ16" s="229"/>
      <c r="AK16" s="589"/>
      <c r="AL16" s="106"/>
      <c r="AM16" s="121"/>
      <c r="AN16" s="85"/>
      <c r="AO16" s="85"/>
      <c r="AP16" s="85"/>
      <c r="AQ16" s="589"/>
      <c r="AR16" s="106"/>
      <c r="AS16" s="121"/>
      <c r="AT16" s="85"/>
      <c r="AU16" s="85"/>
      <c r="AV16" s="85"/>
      <c r="AW16" s="589"/>
      <c r="AX16" s="106"/>
      <c r="AY16" s="228">
        <v>-7.2999999999999995E-2</v>
      </c>
      <c r="AZ16" s="239">
        <v>0.16200000000000001</v>
      </c>
      <c r="BA16" s="239">
        <v>-0.13200000000000001</v>
      </c>
      <c r="BB16" s="239">
        <v>0.23300000000000001</v>
      </c>
      <c r="BC16" s="589">
        <f>SUMPRODUCT(AY16:BB16,AS14:AV14)/AW14</f>
        <v>3.8068329535221823E-2</v>
      </c>
      <c r="BD16" s="106"/>
      <c r="BE16" s="228">
        <f>(-3.4+1.5)%</f>
        <v>-1.9E-2</v>
      </c>
      <c r="BF16" s="239">
        <f>(0.4+1.8)%</f>
        <v>2.2000000000000002E-2</v>
      </c>
      <c r="BG16" s="239">
        <f>(5.3+1.5)%</f>
        <v>6.8000000000000005E-2</v>
      </c>
      <c r="BH16" s="239">
        <f>(-7.4+0.5)%</f>
        <v>-6.9000000000000006E-2</v>
      </c>
      <c r="BI16" s="589">
        <f>SUMPRODUCT(BE16:BH16,AY14:BB14)/BC14</f>
        <v>-1.1643053882117744E-3</v>
      </c>
      <c r="BJ16" s="106"/>
      <c r="BK16" s="228">
        <f>(5+0.4)%</f>
        <v>5.4000000000000006E-2</v>
      </c>
      <c r="BL16" s="239">
        <v>4.2000000000000003E-2</v>
      </c>
      <c r="BM16" s="239">
        <f>(-0.8-0.2)%</f>
        <v>-0.01</v>
      </c>
      <c r="BN16" s="239">
        <f>(-17+0.1)%</f>
        <v>-0.16899999999999998</v>
      </c>
      <c r="BO16" s="589">
        <f>SUMPRODUCT(BK16:BN16,BE14:BH14)/BI14</f>
        <v>-3.207520263496709E-2</v>
      </c>
      <c r="BP16" s="106"/>
      <c r="BQ16" s="228">
        <v>-0.151</v>
      </c>
      <c r="BR16" s="239">
        <v>-0.1774</v>
      </c>
      <c r="BS16" s="239">
        <v>-0.106</v>
      </c>
      <c r="BT16" s="596">
        <v>0.05</v>
      </c>
      <c r="BU16" s="589">
        <f>SUMPRODUCT(BQ16:BT16,BK14:BN14)/BO14</f>
        <v>-9.4589888175722406E-2</v>
      </c>
      <c r="BV16" s="106"/>
      <c r="BW16" s="595">
        <v>0.05</v>
      </c>
      <c r="BX16" s="596">
        <v>7.0000000000000007E-2</v>
      </c>
      <c r="BY16" s="596">
        <v>0.02</v>
      </c>
      <c r="BZ16" s="596">
        <v>0</v>
      </c>
      <c r="CA16" s="589">
        <f>SUMPRODUCT(BW16:BZ16,BQ14:BT14)/BU14</f>
        <v>3.1573176793521486E-2</v>
      </c>
      <c r="CB16" s="106"/>
      <c r="CC16" s="595">
        <v>0</v>
      </c>
      <c r="CD16" s="596">
        <f>+CC16</f>
        <v>0</v>
      </c>
      <c r="CE16" s="596">
        <v>0.02</v>
      </c>
      <c r="CF16" s="596">
        <v>0.02</v>
      </c>
      <c r="CG16" s="589">
        <f>SUMPRODUCT(CC16:CF16,BW14:BZ14)/CA14</f>
        <v>1.1374114666462529E-2</v>
      </c>
      <c r="CH16" s="106"/>
      <c r="CI16" s="595">
        <v>0.02</v>
      </c>
      <c r="CJ16" s="596">
        <f t="shared" ref="CJ16:CL16" si="3">+CI16</f>
        <v>0.02</v>
      </c>
      <c r="CK16" s="596">
        <f t="shared" si="3"/>
        <v>0.02</v>
      </c>
      <c r="CL16" s="596">
        <f t="shared" si="3"/>
        <v>0.02</v>
      </c>
      <c r="CM16" s="589">
        <f t="shared" ref="CM16" si="4">SUMPRODUCT(CI16:CL16,CC14:CF14)/CG14</f>
        <v>2.0000000000000004E-2</v>
      </c>
      <c r="CN16" s="11"/>
      <c r="CO16" s="11"/>
      <c r="CP16" s="11"/>
      <c r="CQ16" s="11"/>
      <c r="CR16" s="11"/>
      <c r="CS16" s="11"/>
      <c r="CT16" s="11"/>
      <c r="CU16" s="11"/>
      <c r="CV16" s="11"/>
      <c r="CW16" s="11"/>
      <c r="CX16" s="11"/>
    </row>
    <row r="17" spans="1:102" s="31" customFormat="1" ht="11.25" customHeight="1" x14ac:dyDescent="0.2">
      <c r="A17" s="84"/>
      <c r="B17" s="607" t="s">
        <v>263</v>
      </c>
      <c r="C17" s="121"/>
      <c r="D17" s="85"/>
      <c r="E17" s="85"/>
      <c r="F17" s="85"/>
      <c r="G17" s="589"/>
      <c r="H17" s="58"/>
      <c r="I17" s="121"/>
      <c r="J17" s="85"/>
      <c r="K17" s="85"/>
      <c r="L17" s="85"/>
      <c r="M17" s="589"/>
      <c r="N17" s="58"/>
      <c r="O17" s="121"/>
      <c r="P17" s="85"/>
      <c r="Q17" s="85"/>
      <c r="R17" s="85"/>
      <c r="S17" s="589"/>
      <c r="T17" s="58"/>
      <c r="U17" s="121"/>
      <c r="V17" s="85"/>
      <c r="W17" s="85"/>
      <c r="X17" s="85"/>
      <c r="Y17" s="589"/>
      <c r="Z17" s="58"/>
      <c r="AA17" s="121"/>
      <c r="AB17" s="85"/>
      <c r="AC17" s="85"/>
      <c r="AD17" s="85"/>
      <c r="AE17" s="589"/>
      <c r="AF17" s="58"/>
      <c r="AG17" s="121"/>
      <c r="AH17" s="85"/>
      <c r="AI17" s="85"/>
      <c r="AJ17" s="85"/>
      <c r="AK17" s="589"/>
      <c r="AL17" s="58"/>
      <c r="AM17" s="228"/>
      <c r="AN17" s="239"/>
      <c r="AO17" s="239"/>
      <c r="AP17" s="239"/>
      <c r="AQ17" s="589"/>
      <c r="AR17" s="58"/>
      <c r="AS17" s="228"/>
      <c r="AT17" s="239"/>
      <c r="AU17" s="239"/>
      <c r="AV17" s="239"/>
      <c r="AW17" s="589"/>
      <c r="AX17" s="58"/>
      <c r="AY17" s="121">
        <f>AY15-AY16</f>
        <v>-7.5932334311758637E-3</v>
      </c>
      <c r="AZ17" s="85">
        <f>AZ15-AZ16</f>
        <v>-6.2842904239822361E-3</v>
      </c>
      <c r="BA17" s="85">
        <f>BA15-BA16</f>
        <v>-5.7354510582113827E-3</v>
      </c>
      <c r="BB17" s="85">
        <f>BB15-BB16</f>
        <v>-1.5868832731648658E-2</v>
      </c>
      <c r="BC17" s="589">
        <f>BC15-BC16</f>
        <v>-8.878207643510827E-3</v>
      </c>
      <c r="BD17" s="58"/>
      <c r="BE17" s="121">
        <f>BE15-BE16</f>
        <v>-1.5365485304100552E-2</v>
      </c>
      <c r="BF17" s="85">
        <f>BF15-BF16</f>
        <v>-1.7892060705646955E-2</v>
      </c>
      <c r="BG17" s="85">
        <f>BG15-BG16</f>
        <v>-1.5467132981181242E-2</v>
      </c>
      <c r="BH17" s="85">
        <f>BH15-BH16</f>
        <v>-4.7051083805598748E-3</v>
      </c>
      <c r="BI17" s="589">
        <f>BI15-BI16</f>
        <v>-1.2703979509789408E-2</v>
      </c>
      <c r="BJ17" s="58"/>
      <c r="BK17" s="121">
        <f>BK15-BK16</f>
        <v>-3.8016287325119552E-3</v>
      </c>
      <c r="BL17" s="85">
        <f>BL15-BL16</f>
        <v>1.564591623595471E-4</v>
      </c>
      <c r="BM17" s="85">
        <f>BM15-BM16</f>
        <v>1.8092057124656693E-3</v>
      </c>
      <c r="BN17" s="85">
        <f>BN15-BN16</f>
        <v>-6.2112867279767725E-4</v>
      </c>
      <c r="BO17" s="589">
        <f>BO15-BO16</f>
        <v>-2.9806454331084142E-4</v>
      </c>
      <c r="BP17" s="58"/>
      <c r="BQ17" s="121">
        <f>BQ15-BQ16</f>
        <v>-1.5629299717660194E-3</v>
      </c>
      <c r="BR17" s="85">
        <f>BR15-BR16</f>
        <v>4.0426739230086106E-3</v>
      </c>
      <c r="BS17" s="85">
        <f>BS15-BS16</f>
        <v>4.3166327447261704E-3</v>
      </c>
      <c r="BT17" s="596">
        <f>+BS17</f>
        <v>4.3166327447261704E-3</v>
      </c>
      <c r="BU17" s="589">
        <f>BU15-BU16</f>
        <v>3.1086197057889758E-3</v>
      </c>
      <c r="BV17" s="58"/>
      <c r="BW17" s="595">
        <v>0</v>
      </c>
      <c r="BX17" s="596">
        <v>0</v>
      </c>
      <c r="BY17" s="596">
        <v>0</v>
      </c>
      <c r="BZ17" s="596">
        <v>0</v>
      </c>
      <c r="CA17" s="589">
        <f>CA15-CA16</f>
        <v>1.8735013540549517E-16</v>
      </c>
      <c r="CB17" s="58"/>
      <c r="CC17" s="595">
        <v>0</v>
      </c>
      <c r="CD17" s="596">
        <v>0</v>
      </c>
      <c r="CE17" s="596">
        <v>0</v>
      </c>
      <c r="CF17" s="596">
        <v>0</v>
      </c>
      <c r="CG17" s="589">
        <f>CG15-CG16</f>
        <v>1.3877787807814457E-17</v>
      </c>
      <c r="CH17" s="58"/>
      <c r="CI17" s="595">
        <v>0</v>
      </c>
      <c r="CJ17" s="596">
        <v>0</v>
      </c>
      <c r="CK17" s="596">
        <v>0</v>
      </c>
      <c r="CL17" s="596">
        <v>0</v>
      </c>
      <c r="CM17" s="589">
        <f>CM15-CM16</f>
        <v>2.3592239273284576E-16</v>
      </c>
      <c r="CN17" s="11"/>
      <c r="CO17" s="11"/>
      <c r="CP17" s="11"/>
      <c r="CQ17" s="11"/>
      <c r="CR17" s="11"/>
      <c r="CS17" s="11"/>
      <c r="CT17" s="11"/>
      <c r="CU17" s="11"/>
      <c r="CV17" s="11"/>
      <c r="CW17" s="11"/>
      <c r="CX17" s="11"/>
    </row>
    <row r="18" spans="1:102" s="31" customFormat="1" ht="11.25" customHeight="1" x14ac:dyDescent="0.2">
      <c r="A18" s="84"/>
      <c r="B18" s="607" t="s">
        <v>262</v>
      </c>
      <c r="C18" s="228"/>
      <c r="D18" s="239"/>
      <c r="E18" s="239"/>
      <c r="F18" s="229"/>
      <c r="G18" s="589"/>
      <c r="H18" s="58"/>
      <c r="I18" s="228"/>
      <c r="J18" s="239"/>
      <c r="K18" s="239"/>
      <c r="L18" s="229"/>
      <c r="M18" s="589"/>
      <c r="N18" s="58"/>
      <c r="O18" s="228"/>
      <c r="P18" s="239"/>
      <c r="Q18" s="239"/>
      <c r="R18" s="229"/>
      <c r="S18" s="589"/>
      <c r="T18" s="58"/>
      <c r="U18" s="228"/>
      <c r="V18" s="239"/>
      <c r="W18" s="239"/>
      <c r="X18" s="229"/>
      <c r="Y18" s="589"/>
      <c r="Z18" s="58"/>
      <c r="AA18" s="228"/>
      <c r="AB18" s="239"/>
      <c r="AC18" s="239"/>
      <c r="AD18" s="229"/>
      <c r="AE18" s="589"/>
      <c r="AF18" s="58"/>
      <c r="AG18" s="228"/>
      <c r="AH18" s="239"/>
      <c r="AI18" s="239"/>
      <c r="AJ18" s="229"/>
      <c r="AK18" s="589"/>
      <c r="AL18" s="58"/>
      <c r="AM18" s="228"/>
      <c r="AN18" s="239"/>
      <c r="AO18" s="239"/>
      <c r="AP18" s="239"/>
      <c r="AQ18" s="589"/>
      <c r="AR18" s="58"/>
      <c r="AS18" s="228"/>
      <c r="AT18" s="239"/>
      <c r="AU18" s="239"/>
      <c r="AV18" s="239"/>
      <c r="AW18" s="589"/>
      <c r="AX18" s="58"/>
      <c r="AY18" s="228">
        <v>0</v>
      </c>
      <c r="AZ18" s="239">
        <v>0</v>
      </c>
      <c r="BA18" s="239">
        <v>0</v>
      </c>
      <c r="BB18" s="239">
        <v>0</v>
      </c>
      <c r="BC18" s="589">
        <f>SUMPRODUCT(AY18:BB18,AS14:AV14)/AW14</f>
        <v>0</v>
      </c>
      <c r="BD18" s="58"/>
      <c r="BE18" s="228">
        <v>0.01</v>
      </c>
      <c r="BF18" s="239">
        <v>0</v>
      </c>
      <c r="BG18" s="239">
        <v>0</v>
      </c>
      <c r="BH18" s="239">
        <v>0</v>
      </c>
      <c r="BI18" s="589">
        <f>SUMPRODUCT(BE18:BH18,AY14:BB14)/BC14</f>
        <v>1.8181029447345975E-3</v>
      </c>
      <c r="BJ18" s="58"/>
      <c r="BK18" s="228">
        <v>-0.02</v>
      </c>
      <c r="BL18" s="239">
        <v>0</v>
      </c>
      <c r="BM18" s="239">
        <v>0</v>
      </c>
      <c r="BN18" s="239">
        <v>0</v>
      </c>
      <c r="BO18" s="589">
        <f>SUMPRODUCT(BK18:BN18,BE14:BH14)/BI14</f>
        <v>-3.5606256807679867E-3</v>
      </c>
      <c r="BP18" s="58"/>
      <c r="BQ18" s="228">
        <v>0</v>
      </c>
      <c r="BR18" s="239">
        <v>-8.9999999999999993E-3</v>
      </c>
      <c r="BS18" s="239">
        <v>0</v>
      </c>
      <c r="BT18" s="596">
        <v>0</v>
      </c>
      <c r="BU18" s="589">
        <f>SUMPRODUCT(BQ18:BT18,BK14:BN14)/BO14</f>
        <v>-2.3634698822336173E-3</v>
      </c>
      <c r="BV18" s="58"/>
      <c r="BW18" s="595">
        <v>0</v>
      </c>
      <c r="BX18" s="596">
        <v>0</v>
      </c>
      <c r="BY18" s="596">
        <v>0</v>
      </c>
      <c r="BZ18" s="596">
        <v>0</v>
      </c>
      <c r="CA18" s="589">
        <f>SUMPRODUCT(BW18:BZ18,BQ14:BT14)/BU14</f>
        <v>0</v>
      </c>
      <c r="CB18" s="58"/>
      <c r="CC18" s="595">
        <v>0</v>
      </c>
      <c r="CD18" s="596">
        <v>0</v>
      </c>
      <c r="CE18" s="596">
        <v>0</v>
      </c>
      <c r="CF18" s="596">
        <v>0</v>
      </c>
      <c r="CG18" s="589">
        <f>SUMPRODUCT(CC18:CF18,BW14:BZ14)/CA14</f>
        <v>0</v>
      </c>
      <c r="CH18" s="58"/>
      <c r="CI18" s="595">
        <v>0</v>
      </c>
      <c r="CJ18" s="596">
        <v>0</v>
      </c>
      <c r="CK18" s="596">
        <v>0</v>
      </c>
      <c r="CL18" s="596">
        <v>0</v>
      </c>
      <c r="CM18" s="589">
        <f>SUMPRODUCT(CI18:CL18,CC14:CF14)/CG14</f>
        <v>0</v>
      </c>
      <c r="CN18" s="11"/>
      <c r="CO18" s="11"/>
      <c r="CP18" s="11"/>
      <c r="CQ18" s="11"/>
      <c r="CR18" s="11"/>
      <c r="CS18" s="11"/>
      <c r="CT18" s="11"/>
      <c r="CU18" s="11"/>
      <c r="CV18" s="11"/>
      <c r="CW18" s="11"/>
      <c r="CX18" s="11"/>
    </row>
    <row r="19" spans="1:102" s="31" customFormat="1" ht="11.25" customHeight="1" x14ac:dyDescent="0.2">
      <c r="B19" s="620" t="s">
        <v>265</v>
      </c>
      <c r="C19" s="257"/>
      <c r="D19" s="382"/>
      <c r="E19" s="382"/>
      <c r="F19" s="382"/>
      <c r="G19" s="621"/>
      <c r="H19" s="622"/>
      <c r="I19" s="257"/>
      <c r="J19" s="382"/>
      <c r="K19" s="382"/>
      <c r="L19" s="382"/>
      <c r="M19" s="621"/>
      <c r="N19" s="622"/>
      <c r="O19" s="257"/>
      <c r="P19" s="382"/>
      <c r="Q19" s="382"/>
      <c r="R19" s="382"/>
      <c r="S19" s="621"/>
      <c r="T19" s="622"/>
      <c r="U19" s="257"/>
      <c r="V19" s="382"/>
      <c r="W19" s="382"/>
      <c r="X19" s="382"/>
      <c r="Y19" s="621"/>
      <c r="Z19" s="622"/>
      <c r="AA19" s="257"/>
      <c r="AB19" s="382"/>
      <c r="AC19" s="382"/>
      <c r="AD19" s="382"/>
      <c r="AE19" s="621"/>
      <c r="AF19" s="622"/>
      <c r="AG19" s="257"/>
      <c r="AH19" s="382"/>
      <c r="AI19" s="382"/>
      <c r="AJ19" s="382"/>
      <c r="AK19" s="621"/>
      <c r="AL19" s="622"/>
      <c r="AM19" s="257"/>
      <c r="AN19" s="382"/>
      <c r="AO19" s="382"/>
      <c r="AP19" s="382"/>
      <c r="AQ19" s="621"/>
      <c r="AR19" s="622"/>
      <c r="AS19" s="257"/>
      <c r="AT19" s="382"/>
      <c r="AU19" s="382"/>
      <c r="AV19" s="382"/>
      <c r="AW19" s="621"/>
      <c r="AX19" s="622"/>
      <c r="AY19" s="257">
        <f>+AY16-AY18</f>
        <v>-7.2999999999999995E-2</v>
      </c>
      <c r="AZ19" s="382">
        <f>+AZ16-AZ18</f>
        <v>0.16200000000000001</v>
      </c>
      <c r="BA19" s="382">
        <f>+BA16-BA18</f>
        <v>-0.13200000000000001</v>
      </c>
      <c r="BB19" s="382">
        <f>+BB16-BB18</f>
        <v>0.23300000000000001</v>
      </c>
      <c r="BC19" s="621">
        <f>+BC16-BC18</f>
        <v>3.8068329535221823E-2</v>
      </c>
      <c r="BD19" s="622"/>
      <c r="BE19" s="257">
        <f>+BE16-BE18</f>
        <v>-2.8999999999999998E-2</v>
      </c>
      <c r="BF19" s="382">
        <f>+BF16-BF18</f>
        <v>2.2000000000000002E-2</v>
      </c>
      <c r="BG19" s="382">
        <f>+BG16-BG18</f>
        <v>6.8000000000000005E-2</v>
      </c>
      <c r="BH19" s="382">
        <f>+BH16-BH18</f>
        <v>-6.9000000000000006E-2</v>
      </c>
      <c r="BI19" s="621">
        <f>+BI16-BI18</f>
        <v>-2.9824083329463716E-3</v>
      </c>
      <c r="BJ19" s="622"/>
      <c r="BK19" s="257">
        <f>+BK16-BK18</f>
        <v>7.400000000000001E-2</v>
      </c>
      <c r="BL19" s="382">
        <f>+BL16-BL18</f>
        <v>4.2000000000000003E-2</v>
      </c>
      <c r="BM19" s="382">
        <f>+BM16-BM18</f>
        <v>-0.01</v>
      </c>
      <c r="BN19" s="382">
        <f>+BN16-BN18</f>
        <v>-0.16899999999999998</v>
      </c>
      <c r="BO19" s="621">
        <f>+BO16-BO18</f>
        <v>-2.8514576954199101E-2</v>
      </c>
      <c r="BP19" s="622"/>
      <c r="BQ19" s="257">
        <f>+BQ16-BQ18</f>
        <v>-0.151</v>
      </c>
      <c r="BR19" s="382">
        <f>+BR16-BR18</f>
        <v>-0.16839999999999999</v>
      </c>
      <c r="BS19" s="382">
        <f>+BS16-BS18</f>
        <v>-0.106</v>
      </c>
      <c r="BT19" s="382">
        <f>+BT16-BT18</f>
        <v>0.05</v>
      </c>
      <c r="BU19" s="621">
        <f>+BU16-BU18</f>
        <v>-9.2226418293488793E-2</v>
      </c>
      <c r="BV19" s="622"/>
      <c r="BW19" s="257">
        <f>+BW16-BW18</f>
        <v>0.05</v>
      </c>
      <c r="BX19" s="382">
        <f>+BX16-BX18</f>
        <v>7.0000000000000007E-2</v>
      </c>
      <c r="BY19" s="382">
        <f>+BY16-BY18</f>
        <v>0.02</v>
      </c>
      <c r="BZ19" s="382">
        <f>+BZ16-BZ18</f>
        <v>0</v>
      </c>
      <c r="CA19" s="621">
        <f>+CA16-CA18</f>
        <v>3.1573176793521486E-2</v>
      </c>
      <c r="CB19" s="622"/>
      <c r="CC19" s="257">
        <f>+CC16-CC18</f>
        <v>0</v>
      </c>
      <c r="CD19" s="382">
        <f>+CD16-CD18</f>
        <v>0</v>
      </c>
      <c r="CE19" s="382">
        <f>+CE16-CE18</f>
        <v>0.02</v>
      </c>
      <c r="CF19" s="382">
        <f>+CF16-CF18</f>
        <v>0.02</v>
      </c>
      <c r="CG19" s="621">
        <f>+CG16-CG18</f>
        <v>1.1374114666462529E-2</v>
      </c>
      <c r="CH19" s="622"/>
      <c r="CI19" s="257">
        <f>+CI16-CI18</f>
        <v>0.02</v>
      </c>
      <c r="CJ19" s="382">
        <f>+CJ16-CJ18</f>
        <v>0.02</v>
      </c>
      <c r="CK19" s="382">
        <f>+CK16-CK18</f>
        <v>0.02</v>
      </c>
      <c r="CL19" s="382">
        <f>+CL16-CL18</f>
        <v>0.02</v>
      </c>
      <c r="CM19" s="621">
        <f>+CM16-CM18</f>
        <v>2.0000000000000004E-2</v>
      </c>
      <c r="CN19" s="11"/>
      <c r="CO19" s="11"/>
      <c r="CP19" s="11"/>
      <c r="CQ19" s="11"/>
      <c r="CR19" s="11"/>
      <c r="CS19" s="11"/>
      <c r="CT19" s="11"/>
      <c r="CU19" s="11"/>
      <c r="CV19" s="11"/>
      <c r="CW19" s="11"/>
      <c r="CX19" s="11"/>
    </row>
    <row r="20" spans="1:102" s="31" customFormat="1" ht="11.25" customHeight="1" x14ac:dyDescent="0.2">
      <c r="A20" s="84"/>
      <c r="B20" s="607"/>
      <c r="C20" s="228"/>
      <c r="D20" s="239"/>
      <c r="E20" s="239"/>
      <c r="F20" s="229"/>
      <c r="G20" s="589"/>
      <c r="H20" s="106"/>
      <c r="I20" s="228"/>
      <c r="J20" s="239"/>
      <c r="K20" s="239"/>
      <c r="L20" s="229"/>
      <c r="M20" s="589"/>
      <c r="N20" s="106"/>
      <c r="O20" s="228"/>
      <c r="P20" s="239"/>
      <c r="Q20" s="239"/>
      <c r="R20" s="229"/>
      <c r="S20" s="589"/>
      <c r="T20" s="106"/>
      <c r="U20" s="228"/>
      <c r="V20" s="239"/>
      <c r="W20" s="239"/>
      <c r="X20" s="229"/>
      <c r="Y20" s="589"/>
      <c r="Z20" s="106"/>
      <c r="AA20" s="228"/>
      <c r="AB20" s="239"/>
      <c r="AC20" s="239"/>
      <c r="AD20" s="229"/>
      <c r="AE20" s="589"/>
      <c r="AF20" s="106"/>
      <c r="AG20" s="228"/>
      <c r="AH20" s="239"/>
      <c r="AI20" s="239"/>
      <c r="AJ20" s="229"/>
      <c r="AK20" s="589"/>
      <c r="AL20" s="106"/>
      <c r="AM20" s="228"/>
      <c r="AN20" s="239"/>
      <c r="AO20" s="239"/>
      <c r="AP20" s="229"/>
      <c r="AQ20" s="589"/>
      <c r="AR20" s="106"/>
      <c r="AS20" s="228"/>
      <c r="AT20" s="239"/>
      <c r="AU20" s="239"/>
      <c r="AV20" s="229"/>
      <c r="AW20" s="589"/>
      <c r="AX20" s="106"/>
      <c r="AY20" s="228"/>
      <c r="AZ20" s="239"/>
      <c r="BA20" s="239"/>
      <c r="BB20" s="229"/>
      <c r="BC20" s="589"/>
      <c r="BD20" s="106"/>
      <c r="BE20" s="228"/>
      <c r="BF20" s="239"/>
      <c r="BG20" s="239"/>
      <c r="BH20" s="239"/>
      <c r="BI20" s="589"/>
      <c r="BJ20" s="106"/>
      <c r="BK20" s="228"/>
      <c r="BL20" s="239"/>
      <c r="BM20" s="239"/>
      <c r="BN20" s="239"/>
      <c r="BO20" s="589"/>
      <c r="BP20" s="106"/>
      <c r="BQ20" s="228"/>
      <c r="BR20" s="239"/>
      <c r="BS20" s="239"/>
      <c r="BT20" s="596"/>
      <c r="BU20" s="589"/>
      <c r="BV20" s="106"/>
      <c r="BW20" s="595"/>
      <c r="BX20" s="596"/>
      <c r="BY20" s="596"/>
      <c r="BZ20" s="596"/>
      <c r="CA20" s="589"/>
      <c r="CB20" s="106"/>
      <c r="CC20" s="595"/>
      <c r="CD20" s="596"/>
      <c r="CE20" s="596"/>
      <c r="CF20" s="596"/>
      <c r="CG20" s="589"/>
      <c r="CH20" s="106"/>
      <c r="CI20" s="595"/>
      <c r="CJ20" s="596"/>
      <c r="CK20" s="596"/>
      <c r="CL20" s="596"/>
      <c r="CM20" s="589"/>
      <c r="CN20" s="11"/>
      <c r="CO20" s="11"/>
      <c r="CP20" s="11"/>
      <c r="CQ20" s="11"/>
      <c r="CR20" s="11"/>
      <c r="CS20" s="11"/>
      <c r="CT20" s="11"/>
      <c r="CU20" s="11"/>
      <c r="CV20" s="11"/>
      <c r="CW20" s="11"/>
      <c r="CX20" s="11"/>
    </row>
    <row r="21" spans="1:102" s="9" customFormat="1" ht="11.25" customHeight="1" x14ac:dyDescent="0.2">
      <c r="A21" s="12"/>
      <c r="B21" s="620" t="s">
        <v>310</v>
      </c>
      <c r="C21" s="576">
        <v>46.293999999999997</v>
      </c>
      <c r="D21" s="585">
        <v>49.055999999999997</v>
      </c>
      <c r="E21" s="585">
        <v>48.7</v>
      </c>
      <c r="F21" s="585">
        <v>51.814999999999998</v>
      </c>
      <c r="G21" s="594">
        <f>+SUM(C21:F21)</f>
        <v>195.86500000000001</v>
      </c>
      <c r="H21" s="585"/>
      <c r="I21" s="576">
        <v>51.587000000000003</v>
      </c>
      <c r="J21" s="585">
        <v>55.386000000000003</v>
      </c>
      <c r="K21" s="585">
        <v>58.74</v>
      </c>
      <c r="L21" s="585">
        <v>53.052</v>
      </c>
      <c r="M21" s="594">
        <f>+SUM(I21:L21)</f>
        <v>218.76500000000001</v>
      </c>
      <c r="N21" s="585"/>
      <c r="O21" s="576">
        <v>56.927</v>
      </c>
      <c r="P21" s="585">
        <v>56.515999999999998</v>
      </c>
      <c r="Q21" s="585">
        <v>57.203000000000003</v>
      </c>
      <c r="R21" s="585">
        <v>55.180999999999997</v>
      </c>
      <c r="S21" s="594">
        <f>+SUM(O21:R21)</f>
        <v>225.827</v>
      </c>
      <c r="T21" s="585"/>
      <c r="U21" s="576">
        <v>57.735999999999997</v>
      </c>
      <c r="V21" s="585">
        <v>58.582999999999998</v>
      </c>
      <c r="W21" s="585">
        <v>62.753</v>
      </c>
      <c r="X21" s="585">
        <v>64.159000000000006</v>
      </c>
      <c r="Y21" s="594">
        <f>+SUM(U21:X21)</f>
        <v>243.23099999999999</v>
      </c>
      <c r="Z21" s="585"/>
      <c r="AA21" s="576">
        <v>62.115000000000002</v>
      </c>
      <c r="AB21" s="585">
        <v>58.216999999999999</v>
      </c>
      <c r="AC21" s="585">
        <v>64.793000000000006</v>
      </c>
      <c r="AD21" s="585">
        <v>62.957999999999998</v>
      </c>
      <c r="AE21" s="594">
        <f>+SUM(AA21:AD21)</f>
        <v>248.083</v>
      </c>
      <c r="AF21" s="585"/>
      <c r="AG21" s="576">
        <v>63.470999999999997</v>
      </c>
      <c r="AH21" s="585">
        <v>63.456000000000003</v>
      </c>
      <c r="AI21" s="585">
        <v>62.313000000000002</v>
      </c>
      <c r="AJ21" s="585">
        <v>66.486999999999995</v>
      </c>
      <c r="AK21" s="594">
        <f>+SUM(AG21:AJ21)</f>
        <v>255.727</v>
      </c>
      <c r="AL21" s="585"/>
      <c r="AM21" s="576">
        <v>65.296999999999997</v>
      </c>
      <c r="AN21" s="585">
        <v>64.460999999999999</v>
      </c>
      <c r="AO21" s="585">
        <v>63.761000000000003</v>
      </c>
      <c r="AP21" s="585">
        <v>69.349000000000004</v>
      </c>
      <c r="AQ21" s="594">
        <f>+SUM(AM21:AP21)</f>
        <v>262.86799999999999</v>
      </c>
      <c r="AR21" s="585"/>
      <c r="AS21" s="576">
        <f>129.876-AT21</f>
        <v>64.400000000000006</v>
      </c>
      <c r="AT21" s="585">
        <v>65.475999999999999</v>
      </c>
      <c r="AU21" s="585">
        <v>64.546000000000006</v>
      </c>
      <c r="AV21" s="585">
        <v>69.165999999999997</v>
      </c>
      <c r="AW21" s="594">
        <f>+SUM(AS21:AV21)</f>
        <v>263.58800000000002</v>
      </c>
      <c r="AX21" s="585"/>
      <c r="AY21" s="576">
        <v>68.801000000000002</v>
      </c>
      <c r="AZ21" s="585">
        <v>70.111999999999995</v>
      </c>
      <c r="BA21" s="585">
        <v>67.234999999999999</v>
      </c>
      <c r="BB21" s="585">
        <v>71.105999999999995</v>
      </c>
      <c r="BC21" s="594">
        <f>+SUM(AY21:BB21)</f>
        <v>277.25400000000002</v>
      </c>
      <c r="BD21" s="585"/>
      <c r="BE21" s="576">
        <v>73.394999999999996</v>
      </c>
      <c r="BF21" s="585">
        <v>72.119</v>
      </c>
      <c r="BG21" s="585">
        <v>71.481999999999999</v>
      </c>
      <c r="BH21" s="585">
        <v>73.358999999999995</v>
      </c>
      <c r="BI21" s="594">
        <f>+SUM(BE21:BH21)</f>
        <v>290.35500000000002</v>
      </c>
      <c r="BJ21" s="585"/>
      <c r="BK21" s="576">
        <v>71.185000000000002</v>
      </c>
      <c r="BL21" s="585">
        <v>72.254000000000005</v>
      </c>
      <c r="BM21" s="585">
        <v>70.730999999999995</v>
      </c>
      <c r="BN21" s="585">
        <v>73.417000000000002</v>
      </c>
      <c r="BO21" s="594">
        <f>+SUM(BK21:BN21)</f>
        <v>287.58699999999999</v>
      </c>
      <c r="BP21" s="585"/>
      <c r="BQ21" s="576">
        <v>70.766000000000005</v>
      </c>
      <c r="BR21" s="585">
        <v>72.900000000000006</v>
      </c>
      <c r="BS21" s="585">
        <v>68.581000000000003</v>
      </c>
      <c r="BT21" s="136">
        <f>+BN21*(1+BT22)</f>
        <v>73.68153204560943</v>
      </c>
      <c r="BU21" s="594">
        <f>+SUM(BQ21:BT21)</f>
        <v>285.92853204560947</v>
      </c>
      <c r="BV21" s="585"/>
      <c r="BW21" s="578">
        <f>+BQ21*(1+BW22)</f>
        <v>72.181320000000014</v>
      </c>
      <c r="BX21" s="136">
        <f>+BR21*(1+BX22)</f>
        <v>74.358000000000004</v>
      </c>
      <c r="BY21" s="136">
        <f>+BS21*(1+BY22)</f>
        <v>69.95262000000001</v>
      </c>
      <c r="BZ21" s="136">
        <f>+BT21*(1+BZ22)</f>
        <v>75.155162686521621</v>
      </c>
      <c r="CA21" s="594">
        <f>+SUM(BW21:BZ21)</f>
        <v>291.64710268652169</v>
      </c>
      <c r="CB21" s="585"/>
      <c r="CC21" s="578">
        <f>+BW21*(1+CC22)</f>
        <v>73.624946400000013</v>
      </c>
      <c r="CD21" s="136">
        <f>+BX21*(1+CD22)</f>
        <v>75.845160000000007</v>
      </c>
      <c r="CE21" s="136">
        <f>+BY21*(1+CE22)</f>
        <v>71.351672400000012</v>
      </c>
      <c r="CF21" s="136">
        <f>+BZ21*(1+CF22)</f>
        <v>76.658265940252051</v>
      </c>
      <c r="CG21" s="594">
        <f>+SUM(CC21:CF21)</f>
        <v>297.48004474025208</v>
      </c>
      <c r="CH21" s="585"/>
      <c r="CI21" s="578">
        <f>+CC21*(1+CI22)</f>
        <v>75.09744532800002</v>
      </c>
      <c r="CJ21" s="136">
        <f>+CD21*(1+CJ22)</f>
        <v>77.362063200000009</v>
      </c>
      <c r="CK21" s="136">
        <f>+CE21*(1+CK22)</f>
        <v>72.778705848000016</v>
      </c>
      <c r="CL21" s="136">
        <f>+CF21*(1+CL22)</f>
        <v>78.191431259057097</v>
      </c>
      <c r="CM21" s="594">
        <f>+SUM(CI21:CL21)</f>
        <v>303.42964563505711</v>
      </c>
      <c r="CN21" s="11"/>
      <c r="CO21" s="11"/>
      <c r="CP21" s="11"/>
      <c r="CQ21" s="11"/>
      <c r="CR21" s="11"/>
      <c r="CS21" s="11"/>
      <c r="CT21" s="11"/>
      <c r="CU21" s="11"/>
      <c r="CV21" s="11"/>
      <c r="CW21" s="11"/>
      <c r="CX21" s="11"/>
    </row>
    <row r="22" spans="1:102" s="31" customFormat="1" ht="11.25" customHeight="1" x14ac:dyDescent="0.2">
      <c r="A22" s="84"/>
      <c r="B22" s="607" t="s">
        <v>261</v>
      </c>
      <c r="C22" s="121"/>
      <c r="D22" s="85"/>
      <c r="E22" s="85"/>
      <c r="F22" s="85"/>
      <c r="G22" s="589"/>
      <c r="H22" s="58"/>
      <c r="I22" s="121">
        <f>I21/C21-1</f>
        <v>0.11433447098976113</v>
      </c>
      <c r="J22" s="85">
        <f>J21/D21-1</f>
        <v>0.129036203522505</v>
      </c>
      <c r="K22" s="85">
        <f>K21/E21-1</f>
        <v>0.20616016427104711</v>
      </c>
      <c r="L22" s="85">
        <f>L21/F21-1</f>
        <v>2.3873395734825831E-2</v>
      </c>
      <c r="M22" s="589">
        <f>M21/G21-1</f>
        <v>0.11691726444234551</v>
      </c>
      <c r="N22" s="58"/>
      <c r="O22" s="121">
        <f>O21/I21-1</f>
        <v>0.10351445131525372</v>
      </c>
      <c r="P22" s="85">
        <f>P21/J21-1</f>
        <v>2.0402267721084666E-2</v>
      </c>
      <c r="Q22" s="85">
        <f>Q21/K21-1</f>
        <v>-2.6166155941436786E-2</v>
      </c>
      <c r="R22" s="85">
        <f>R21/L21-1</f>
        <v>4.0130438060770546E-2</v>
      </c>
      <c r="S22" s="589">
        <f>S21/M21-1</f>
        <v>3.2281215002399666E-2</v>
      </c>
      <c r="T22" s="58"/>
      <c r="U22" s="121">
        <f>U21/O21-1</f>
        <v>1.4211182742810857E-2</v>
      </c>
      <c r="V22" s="85">
        <f>V21/P21-1</f>
        <v>3.6573713638615724E-2</v>
      </c>
      <c r="W22" s="85">
        <f>W21/Q21-1</f>
        <v>9.7022883415205374E-2</v>
      </c>
      <c r="X22" s="85">
        <f>X21/R21-1</f>
        <v>0.16270092966782057</v>
      </c>
      <c r="Y22" s="589">
        <f>Y21/S21-1</f>
        <v>7.7067843969055971E-2</v>
      </c>
      <c r="Z22" s="58"/>
      <c r="AA22" s="121">
        <f>AA21/U21-1</f>
        <v>7.5845226548427513E-2</v>
      </c>
      <c r="AB22" s="85">
        <f>AB21/V21-1</f>
        <v>-6.2475462164791606E-3</v>
      </c>
      <c r="AC22" s="85">
        <f>AC21/W21-1</f>
        <v>3.2508405972622834E-2</v>
      </c>
      <c r="AD22" s="85">
        <f>AD21/X21-1</f>
        <v>-1.8719119687027663E-2</v>
      </c>
      <c r="AE22" s="589">
        <f>AE21/Y21-1</f>
        <v>1.9948115166241065E-2</v>
      </c>
      <c r="AF22" s="58"/>
      <c r="AG22" s="121">
        <f>AG21/AA21-1</f>
        <v>2.1830475730499899E-2</v>
      </c>
      <c r="AH22" s="85">
        <f>AH21/AB21-1</f>
        <v>8.9990896129996445E-2</v>
      </c>
      <c r="AI22" s="85">
        <f>AI21/AC21-1</f>
        <v>-3.8275739663235275E-2</v>
      </c>
      <c r="AJ22" s="85">
        <f>AJ21/AD21-1</f>
        <v>5.6053241843768697E-2</v>
      </c>
      <c r="AK22" s="589">
        <f>AK21/AE21-1</f>
        <v>3.0812268474663673E-2</v>
      </c>
      <c r="AL22" s="58"/>
      <c r="AM22" s="121">
        <f>AM21/AG21-1</f>
        <v>2.8769044130390276E-2</v>
      </c>
      <c r="AN22" s="85">
        <f>AN21/AH21-1</f>
        <v>1.5837745839636819E-2</v>
      </c>
      <c r="AO22" s="85">
        <f>AO21/AI21-1</f>
        <v>2.3237526679826148E-2</v>
      </c>
      <c r="AP22" s="85">
        <f>AP21/AJ21-1</f>
        <v>4.3046008994239715E-2</v>
      </c>
      <c r="AQ22" s="589">
        <f>AQ21/AK21-1</f>
        <v>2.7924309908613498E-2</v>
      </c>
      <c r="AR22" s="58"/>
      <c r="AS22" s="121">
        <f>AS21/AM21-1</f>
        <v>-1.3737231419513773E-2</v>
      </c>
      <c r="AT22" s="85">
        <f>AT21/AN21-1</f>
        <v>1.5745954918477745E-2</v>
      </c>
      <c r="AU22" s="85">
        <f>AU21/AO21-1</f>
        <v>1.2311601135490458E-2</v>
      </c>
      <c r="AV22" s="85">
        <f>AV21/AP21-1</f>
        <v>-2.6388268035588691E-3</v>
      </c>
      <c r="AW22" s="589">
        <f>AW21/AQ21-1</f>
        <v>2.7390173014594232E-3</v>
      </c>
      <c r="AX22" s="58"/>
      <c r="AY22" s="121">
        <f>AY21/AS21-1</f>
        <v>6.8338509316770102E-2</v>
      </c>
      <c r="AZ22" s="85">
        <f>AZ21/AT21-1</f>
        <v>7.0804569613293289E-2</v>
      </c>
      <c r="BA22" s="85">
        <f>BA21/AU21-1</f>
        <v>4.1660211322157803E-2</v>
      </c>
      <c r="BB22" s="85">
        <f>BB21/AV21-1</f>
        <v>2.8048463117716693E-2</v>
      </c>
      <c r="BC22" s="589">
        <f>BC21/AW21-1</f>
        <v>5.1846062794967951E-2</v>
      </c>
      <c r="BD22" s="58"/>
      <c r="BE22" s="121">
        <f>BE21/AY21-1</f>
        <v>6.6772285286550881E-2</v>
      </c>
      <c r="BF22" s="85">
        <f>BF21/AZ21-1</f>
        <v>2.8625627567320899E-2</v>
      </c>
      <c r="BG22" s="85">
        <f>BG21/BA21-1</f>
        <v>6.3166505540269258E-2</v>
      </c>
      <c r="BH22" s="85">
        <f>BH21/BB21-1</f>
        <v>3.1685089865834071E-2</v>
      </c>
      <c r="BI22" s="589">
        <f>BI21/BC21-1</f>
        <v>4.725269969053647E-2</v>
      </c>
      <c r="BJ22" s="58"/>
      <c r="BK22" s="121">
        <f>BK21/BE21-1</f>
        <v>-3.0111042986579406E-2</v>
      </c>
      <c r="BL22" s="85">
        <f>BL21/BF21-1</f>
        <v>1.8719061551049077E-3</v>
      </c>
      <c r="BM22" s="85">
        <f>BM21/BG21-1</f>
        <v>-1.0506141406228187E-2</v>
      </c>
      <c r="BN22" s="85">
        <f>BN21/BH21-1</f>
        <v>7.9063236957988003E-4</v>
      </c>
      <c r="BO22" s="589">
        <f>BO21/BI21-1</f>
        <v>-9.5331576862807132E-3</v>
      </c>
      <c r="BP22" s="58"/>
      <c r="BQ22" s="121">
        <f>BQ21/BK21-1</f>
        <v>-5.8860715038280276E-3</v>
      </c>
      <c r="BR22" s="85">
        <f>BR21/BL21-1</f>
        <v>8.9406814847621252E-3</v>
      </c>
      <c r="BS22" s="85">
        <f>BS21/BM21-1</f>
        <v>-3.0396855692694791E-2</v>
      </c>
      <c r="BT22" s="85">
        <f>+BT23+BT24</f>
        <v>3.6031443073052116E-3</v>
      </c>
      <c r="BU22" s="589">
        <f>BU21/BO21-1</f>
        <v>-5.7668390935282643E-3</v>
      </c>
      <c r="BV22" s="58"/>
      <c r="BW22" s="121">
        <f>+BW23+BW24</f>
        <v>0.02</v>
      </c>
      <c r="BX22" s="85">
        <f>+BX23+BX24</f>
        <v>0.02</v>
      </c>
      <c r="BY22" s="85">
        <f>+BY23+BY24</f>
        <v>0.02</v>
      </c>
      <c r="BZ22" s="85">
        <f>+BZ23+BZ24</f>
        <v>0.02</v>
      </c>
      <c r="CA22" s="589">
        <f>CA21/BU21-1</f>
        <v>2.0000000000000018E-2</v>
      </c>
      <c r="CB22" s="58"/>
      <c r="CC22" s="121">
        <f>+CC23+CC24</f>
        <v>0.02</v>
      </c>
      <c r="CD22" s="85">
        <f>+CD23+CD24</f>
        <v>0.02</v>
      </c>
      <c r="CE22" s="85">
        <f>+CE23+CE24</f>
        <v>0.02</v>
      </c>
      <c r="CF22" s="85">
        <f>+CF23+CF24</f>
        <v>0.02</v>
      </c>
      <c r="CG22" s="589">
        <f>CG21/CA21-1</f>
        <v>1.9999999999999796E-2</v>
      </c>
      <c r="CH22" s="58"/>
      <c r="CI22" s="121">
        <f>+CI23+CI24</f>
        <v>0.02</v>
      </c>
      <c r="CJ22" s="85">
        <f>+CJ23+CJ24</f>
        <v>0.02</v>
      </c>
      <c r="CK22" s="85">
        <f>+CK23+CK24</f>
        <v>0.02</v>
      </c>
      <c r="CL22" s="85">
        <f>+CL23+CL24</f>
        <v>0.02</v>
      </c>
      <c r="CM22" s="589">
        <f>CM21/CG21-1</f>
        <v>2.0000000000000018E-2</v>
      </c>
      <c r="CN22" s="11"/>
      <c r="CO22" s="11"/>
      <c r="CP22" s="11"/>
      <c r="CQ22" s="11"/>
      <c r="CR22" s="11"/>
      <c r="CS22" s="11"/>
      <c r="CT22" s="11"/>
      <c r="CU22" s="11"/>
      <c r="CV22" s="11"/>
      <c r="CW22" s="11"/>
      <c r="CX22" s="11"/>
    </row>
    <row r="23" spans="1:102" s="31" customFormat="1" ht="11.25" customHeight="1" x14ac:dyDescent="0.2">
      <c r="A23" s="84"/>
      <c r="B23" s="607" t="s">
        <v>264</v>
      </c>
      <c r="C23" s="228"/>
      <c r="D23" s="239"/>
      <c r="E23" s="239"/>
      <c r="F23" s="229"/>
      <c r="G23" s="589"/>
      <c r="H23" s="106"/>
      <c r="I23" s="228"/>
      <c r="J23" s="239"/>
      <c r="K23" s="239"/>
      <c r="L23" s="229"/>
      <c r="M23" s="589"/>
      <c r="N23" s="106"/>
      <c r="O23" s="228"/>
      <c r="P23" s="239"/>
      <c r="Q23" s="239"/>
      <c r="R23" s="229"/>
      <c r="S23" s="589"/>
      <c r="T23" s="106"/>
      <c r="U23" s="228"/>
      <c r="V23" s="239"/>
      <c r="W23" s="239"/>
      <c r="X23" s="229"/>
      <c r="Y23" s="589"/>
      <c r="Z23" s="106"/>
      <c r="AA23" s="228"/>
      <c r="AB23" s="239"/>
      <c r="AC23" s="239"/>
      <c r="AD23" s="229"/>
      <c r="AE23" s="589"/>
      <c r="AF23" s="106"/>
      <c r="AG23" s="228"/>
      <c r="AH23" s="239"/>
      <c r="AI23" s="239"/>
      <c r="AJ23" s="229"/>
      <c r="AK23" s="589"/>
      <c r="AL23" s="106"/>
      <c r="AM23" s="121"/>
      <c r="AN23" s="85"/>
      <c r="AO23" s="85"/>
      <c r="AP23" s="85"/>
      <c r="AQ23" s="589"/>
      <c r="AR23" s="106"/>
      <c r="AS23" s="121"/>
      <c r="AT23" s="85"/>
      <c r="AU23" s="85"/>
      <c r="AV23" s="85"/>
      <c r="AW23" s="589"/>
      <c r="AX23" s="106"/>
      <c r="AY23" s="228">
        <v>7.8E-2</v>
      </c>
      <c r="AZ23" s="239">
        <v>6.8000000000000005E-2</v>
      </c>
      <c r="BA23" s="239">
        <v>6.5000000000000002E-2</v>
      </c>
      <c r="BB23" s="239">
        <v>0.06</v>
      </c>
      <c r="BC23" s="589">
        <f>SUMPRODUCT(AY23:BB23,AS21:AV21)/AW21</f>
        <v>6.7609367649513627E-2</v>
      </c>
      <c r="BD23" s="106"/>
      <c r="BE23" s="228">
        <f>(6.7+1.1)%</f>
        <v>7.8000000000000014E-2</v>
      </c>
      <c r="BF23" s="239">
        <f>(2.9+1.3)%</f>
        <v>4.2000000000000003E-2</v>
      </c>
      <c r="BG23" s="239">
        <f>(6.1+3)%</f>
        <v>9.0999999999999998E-2</v>
      </c>
      <c r="BH23" s="239">
        <f>(3.2+0.4)%</f>
        <v>3.6000000000000004E-2</v>
      </c>
      <c r="BI23" s="589">
        <f>SUMPRODUCT(BE23:BH23,AY21:BB21)/BC21</f>
        <v>6.1277323320853797E-2</v>
      </c>
      <c r="BJ23" s="106"/>
      <c r="BK23" s="228">
        <f>(-3+0.3)%</f>
        <v>-2.7000000000000003E-2</v>
      </c>
      <c r="BL23" s="239">
        <v>2E-3</v>
      </c>
      <c r="BM23" s="239">
        <f>(-1.1-0.2)%</f>
        <v>-1.3000000000000001E-2</v>
      </c>
      <c r="BN23" s="239">
        <f>(0.1+0.1)%</f>
        <v>2E-3</v>
      </c>
      <c r="BO23" s="1079">
        <v>-0.01</v>
      </c>
      <c r="BP23" s="106"/>
      <c r="BQ23" s="228">
        <v>-5.0000000000000001E-3</v>
      </c>
      <c r="BR23" s="239">
        <v>6.0000000000000001E-3</v>
      </c>
      <c r="BS23" s="239">
        <v>-3.4000000000000002E-2</v>
      </c>
      <c r="BT23" s="596">
        <v>0</v>
      </c>
      <c r="BU23" s="589">
        <f>SUMPRODUCT(BQ23:BT23,BK21:BN21)/BO21</f>
        <v>-8.0923511841633992E-3</v>
      </c>
      <c r="BV23" s="106"/>
      <c r="BW23" s="595">
        <v>0.02</v>
      </c>
      <c r="BX23" s="596">
        <f>+BW23</f>
        <v>0.02</v>
      </c>
      <c r="BY23" s="596">
        <f>+BX23</f>
        <v>0.02</v>
      </c>
      <c r="BZ23" s="596">
        <f>+BY23</f>
        <v>0.02</v>
      </c>
      <c r="CA23" s="589">
        <f>SUMPRODUCT(BW23:BZ23,BQ21:BT21)/BU21</f>
        <v>1.9999999999999997E-2</v>
      </c>
      <c r="CB23" s="106"/>
      <c r="CC23" s="595">
        <v>0.02</v>
      </c>
      <c r="CD23" s="596">
        <f>+CC23</f>
        <v>0.02</v>
      </c>
      <c r="CE23" s="596">
        <f>+CD23</f>
        <v>0.02</v>
      </c>
      <c r="CF23" s="596">
        <f>+CE23</f>
        <v>0.02</v>
      </c>
      <c r="CG23" s="589">
        <f>SUMPRODUCT(CC23:CF23,BW21:BZ21)/CA21</f>
        <v>0.02</v>
      </c>
      <c r="CH23" s="106"/>
      <c r="CI23" s="595">
        <v>0.02</v>
      </c>
      <c r="CJ23" s="596">
        <f t="shared" ref="CJ23:CL23" si="5">+CI23</f>
        <v>0.02</v>
      </c>
      <c r="CK23" s="596">
        <f t="shared" si="5"/>
        <v>0.02</v>
      </c>
      <c r="CL23" s="596">
        <f t="shared" si="5"/>
        <v>0.02</v>
      </c>
      <c r="CM23" s="589">
        <f t="shared" ref="CM23" si="6">SUMPRODUCT(CI23:CL23,CC21:CF21)/CG21</f>
        <v>0.02</v>
      </c>
      <c r="CN23" s="11"/>
      <c r="CO23" s="11"/>
      <c r="CP23" s="11"/>
      <c r="CQ23" s="11"/>
      <c r="CR23" s="11"/>
      <c r="CS23" s="11"/>
      <c r="CT23" s="11"/>
      <c r="CU23" s="11"/>
      <c r="CV23" s="11"/>
      <c r="CW23" s="11"/>
      <c r="CX23" s="11"/>
    </row>
    <row r="24" spans="1:102" s="31" customFormat="1" ht="11.25" customHeight="1" x14ac:dyDescent="0.2">
      <c r="A24" s="84"/>
      <c r="B24" s="607" t="s">
        <v>263</v>
      </c>
      <c r="C24" s="121"/>
      <c r="D24" s="85"/>
      <c r="E24" s="85"/>
      <c r="F24" s="85"/>
      <c r="G24" s="589"/>
      <c r="H24" s="58"/>
      <c r="I24" s="121"/>
      <c r="J24" s="85"/>
      <c r="K24" s="85"/>
      <c r="L24" s="85"/>
      <c r="M24" s="589"/>
      <c r="N24" s="58"/>
      <c r="O24" s="121"/>
      <c r="P24" s="85"/>
      <c r="Q24" s="85"/>
      <c r="R24" s="85"/>
      <c r="S24" s="589"/>
      <c r="T24" s="58"/>
      <c r="U24" s="121"/>
      <c r="V24" s="85"/>
      <c r="W24" s="85"/>
      <c r="X24" s="85"/>
      <c r="Y24" s="589"/>
      <c r="Z24" s="58"/>
      <c r="AA24" s="121"/>
      <c r="AB24" s="85"/>
      <c r="AC24" s="85"/>
      <c r="AD24" s="85"/>
      <c r="AE24" s="589"/>
      <c r="AF24" s="58"/>
      <c r="AG24" s="121"/>
      <c r="AH24" s="85"/>
      <c r="AI24" s="85"/>
      <c r="AJ24" s="85"/>
      <c r="AK24" s="589"/>
      <c r="AL24" s="58"/>
      <c r="AM24" s="228"/>
      <c r="AN24" s="239"/>
      <c r="AO24" s="239"/>
      <c r="AP24" s="239"/>
      <c r="AQ24" s="589"/>
      <c r="AR24" s="58"/>
      <c r="AS24" s="228"/>
      <c r="AT24" s="239"/>
      <c r="AU24" s="239"/>
      <c r="AV24" s="239"/>
      <c r="AW24" s="589"/>
      <c r="AX24" s="58"/>
      <c r="AY24" s="121">
        <f>AY22-AY23</f>
        <v>-9.661490683229898E-3</v>
      </c>
      <c r="AZ24" s="85">
        <f>AZ22-AZ23</f>
        <v>2.804569613293284E-3</v>
      </c>
      <c r="BA24" s="85">
        <f>BA22-BA23</f>
        <v>-2.3339788677842199E-2</v>
      </c>
      <c r="BB24" s="85">
        <f>BB22-BB23</f>
        <v>-3.1951536882283305E-2</v>
      </c>
      <c r="BC24" s="589">
        <f>BC22-BC23</f>
        <v>-1.5763304854545676E-2</v>
      </c>
      <c r="BD24" s="58"/>
      <c r="BE24" s="121">
        <f>BE22-BE23</f>
        <v>-1.1227714713449133E-2</v>
      </c>
      <c r="BF24" s="85">
        <f>BF22-BF23</f>
        <v>-1.3374372432679103E-2</v>
      </c>
      <c r="BG24" s="85">
        <f>BG22-BG23</f>
        <v>-2.783349445973074E-2</v>
      </c>
      <c r="BH24" s="85">
        <f>BH22-BH23</f>
        <v>-4.3149101341659335E-3</v>
      </c>
      <c r="BI24" s="589">
        <f>BI22-BI23</f>
        <v>-1.4024623630317326E-2</v>
      </c>
      <c r="BJ24" s="58"/>
      <c r="BK24" s="121">
        <f>BK22-BK23</f>
        <v>-3.1110429865794029E-3</v>
      </c>
      <c r="BL24" s="85">
        <f>BL22-BL23</f>
        <v>-1.2809384489509239E-4</v>
      </c>
      <c r="BM24" s="85">
        <f>BM22-BM23</f>
        <v>2.4938585937718145E-3</v>
      </c>
      <c r="BN24" s="85">
        <f>BN22-BN23</f>
        <v>-1.20936763042012E-3</v>
      </c>
      <c r="BO24" s="589">
        <f>BO22-BO23</f>
        <v>4.6684231371928696E-4</v>
      </c>
      <c r="BP24" s="58"/>
      <c r="BQ24" s="121">
        <f>BQ22-BQ23</f>
        <v>-8.8607150382802747E-4</v>
      </c>
      <c r="BR24" s="85">
        <f>BR22-BR23</f>
        <v>2.9406814847621251E-3</v>
      </c>
      <c r="BS24" s="85">
        <f>BS22-BS23</f>
        <v>3.6031443073052116E-3</v>
      </c>
      <c r="BT24" s="596">
        <f>+BS24</f>
        <v>3.6031443073052116E-3</v>
      </c>
      <c r="BU24" s="589">
        <f>BU22-BU23</f>
        <v>2.3255120906351349E-3</v>
      </c>
      <c r="BV24" s="58"/>
      <c r="BW24" s="595">
        <v>0</v>
      </c>
      <c r="BX24" s="596">
        <v>0</v>
      </c>
      <c r="BY24" s="596">
        <v>0</v>
      </c>
      <c r="BZ24" s="596">
        <v>0</v>
      </c>
      <c r="CA24" s="589">
        <f>CA22-CA23</f>
        <v>0</v>
      </c>
      <c r="CB24" s="58"/>
      <c r="CC24" s="595">
        <v>0</v>
      </c>
      <c r="CD24" s="596">
        <v>0</v>
      </c>
      <c r="CE24" s="596">
        <v>0</v>
      </c>
      <c r="CF24" s="596">
        <v>0</v>
      </c>
      <c r="CG24" s="589">
        <f>CG22-CG23</f>
        <v>-2.0469737016526324E-16</v>
      </c>
      <c r="CH24" s="58"/>
      <c r="CI24" s="595">
        <v>0</v>
      </c>
      <c r="CJ24" s="596">
        <v>0</v>
      </c>
      <c r="CK24" s="596">
        <v>0</v>
      </c>
      <c r="CL24" s="596">
        <v>0</v>
      </c>
      <c r="CM24" s="589">
        <f>CM22-CM23</f>
        <v>0</v>
      </c>
      <c r="CN24" s="11"/>
      <c r="CO24" s="11"/>
      <c r="CP24" s="11"/>
      <c r="CQ24" s="11"/>
      <c r="CR24" s="11"/>
      <c r="CS24" s="11"/>
      <c r="CT24" s="11"/>
      <c r="CU24" s="11"/>
      <c r="CV24" s="11"/>
      <c r="CW24" s="11"/>
      <c r="CX24" s="11"/>
    </row>
    <row r="25" spans="1:102" s="31" customFormat="1" ht="11.25" customHeight="1" x14ac:dyDescent="0.2">
      <c r="A25" s="84"/>
      <c r="B25" s="607" t="s">
        <v>262</v>
      </c>
      <c r="C25" s="228"/>
      <c r="D25" s="239"/>
      <c r="E25" s="239"/>
      <c r="F25" s="229"/>
      <c r="G25" s="589"/>
      <c r="H25" s="58"/>
      <c r="I25" s="228"/>
      <c r="J25" s="239"/>
      <c r="K25" s="239"/>
      <c r="L25" s="229"/>
      <c r="M25" s="589"/>
      <c r="N25" s="58"/>
      <c r="O25" s="228"/>
      <c r="P25" s="239"/>
      <c r="Q25" s="239"/>
      <c r="R25" s="229"/>
      <c r="S25" s="589"/>
      <c r="T25" s="58"/>
      <c r="U25" s="228"/>
      <c r="V25" s="239"/>
      <c r="W25" s="239"/>
      <c r="X25" s="229"/>
      <c r="Y25" s="589"/>
      <c r="Z25" s="58"/>
      <c r="AA25" s="228"/>
      <c r="AB25" s="239"/>
      <c r="AC25" s="239"/>
      <c r="AD25" s="229"/>
      <c r="AE25" s="589"/>
      <c r="AF25" s="58"/>
      <c r="AG25" s="228"/>
      <c r="AH25" s="239"/>
      <c r="AI25" s="239"/>
      <c r="AJ25" s="229"/>
      <c r="AK25" s="589"/>
      <c r="AL25" s="58"/>
      <c r="AM25" s="228"/>
      <c r="AN25" s="239"/>
      <c r="AO25" s="239"/>
      <c r="AP25" s="239"/>
      <c r="AQ25" s="589"/>
      <c r="AR25" s="58"/>
      <c r="AS25" s="228"/>
      <c r="AT25" s="239"/>
      <c r="AU25" s="239"/>
      <c r="AV25" s="239"/>
      <c r="AW25" s="589"/>
      <c r="AX25" s="58"/>
      <c r="AY25" s="228">
        <v>0</v>
      </c>
      <c r="AZ25" s="239">
        <v>0</v>
      </c>
      <c r="BA25" s="239">
        <v>0</v>
      </c>
      <c r="BB25" s="239">
        <v>0</v>
      </c>
      <c r="BC25" s="589">
        <f>SUMPRODUCT(AY25:BB25,AS21:AV21)/AW21</f>
        <v>0</v>
      </c>
      <c r="BD25" s="58"/>
      <c r="BE25" s="228">
        <v>0.03</v>
      </c>
      <c r="BF25" s="239">
        <v>0</v>
      </c>
      <c r="BG25" s="239">
        <v>-0.108</v>
      </c>
      <c r="BH25" s="239">
        <v>0</v>
      </c>
      <c r="BI25" s="589">
        <f>SUMPRODUCT(BE25:BH25,AY21:BB21)/BC21</f>
        <v>-1.8745807093856176E-2</v>
      </c>
      <c r="BJ25" s="58"/>
      <c r="BK25" s="228">
        <v>-0.05</v>
      </c>
      <c r="BL25" s="239">
        <v>0</v>
      </c>
      <c r="BM25" s="239">
        <v>0</v>
      </c>
      <c r="BN25" s="239">
        <v>0</v>
      </c>
      <c r="BO25" s="589">
        <f>SUMPRODUCT(BK25:BN25,BE21:BH21)/BI21</f>
        <v>-1.2638838663015963E-2</v>
      </c>
      <c r="BP25" s="58"/>
      <c r="BQ25" s="228">
        <v>0</v>
      </c>
      <c r="BR25" s="239">
        <v>-8.9999999999999993E-3</v>
      </c>
      <c r="BS25" s="239">
        <v>0</v>
      </c>
      <c r="BT25" s="596">
        <v>0</v>
      </c>
      <c r="BU25" s="589">
        <f>SUMPRODUCT(BQ25:BT25,BK21:BN21)/BO21</f>
        <v>-2.2611800950668843E-3</v>
      </c>
      <c r="BV25" s="58"/>
      <c r="BW25" s="595">
        <v>0</v>
      </c>
      <c r="BX25" s="596">
        <v>0</v>
      </c>
      <c r="BY25" s="596">
        <v>0</v>
      </c>
      <c r="BZ25" s="596">
        <v>0</v>
      </c>
      <c r="CA25" s="589">
        <f>SUMPRODUCT(BW25:BZ25,BQ21:BT21)/BU21</f>
        <v>0</v>
      </c>
      <c r="CB25" s="58"/>
      <c r="CC25" s="595">
        <v>0</v>
      </c>
      <c r="CD25" s="596">
        <v>0</v>
      </c>
      <c r="CE25" s="596">
        <v>0</v>
      </c>
      <c r="CF25" s="596">
        <v>0</v>
      </c>
      <c r="CG25" s="589">
        <f>SUMPRODUCT(CC25:CF25,BW21:BZ21)/CA21</f>
        <v>0</v>
      </c>
      <c r="CH25" s="58"/>
      <c r="CI25" s="595">
        <v>0</v>
      </c>
      <c r="CJ25" s="596">
        <v>0</v>
      </c>
      <c r="CK25" s="596">
        <v>0</v>
      </c>
      <c r="CL25" s="596">
        <v>0</v>
      </c>
      <c r="CM25" s="589">
        <f>SUMPRODUCT(CI25:CL25,CC21:CF21)/CG21</f>
        <v>0</v>
      </c>
      <c r="CN25" s="11"/>
      <c r="CO25" s="11"/>
      <c r="CP25" s="11"/>
      <c r="CQ25" s="11"/>
      <c r="CR25" s="11"/>
      <c r="CS25" s="11"/>
      <c r="CT25" s="11"/>
      <c r="CU25" s="11"/>
      <c r="CV25" s="11"/>
      <c r="CW25" s="11"/>
      <c r="CX25" s="11"/>
    </row>
    <row r="26" spans="1:102" s="31" customFormat="1" ht="11.25" customHeight="1" x14ac:dyDescent="0.2">
      <c r="B26" s="620" t="s">
        <v>265</v>
      </c>
      <c r="C26" s="257"/>
      <c r="D26" s="382"/>
      <c r="E26" s="382"/>
      <c r="F26" s="382"/>
      <c r="G26" s="621"/>
      <c r="H26" s="622"/>
      <c r="I26" s="257"/>
      <c r="J26" s="382"/>
      <c r="K26" s="382"/>
      <c r="L26" s="382"/>
      <c r="M26" s="621"/>
      <c r="N26" s="622"/>
      <c r="O26" s="257"/>
      <c r="P26" s="382"/>
      <c r="Q26" s="382"/>
      <c r="R26" s="382"/>
      <c r="S26" s="621"/>
      <c r="T26" s="622"/>
      <c r="U26" s="257"/>
      <c r="V26" s="382"/>
      <c r="W26" s="382"/>
      <c r="X26" s="382"/>
      <c r="Y26" s="621"/>
      <c r="Z26" s="622"/>
      <c r="AA26" s="257"/>
      <c r="AB26" s="382"/>
      <c r="AC26" s="382"/>
      <c r="AD26" s="382"/>
      <c r="AE26" s="621"/>
      <c r="AF26" s="622"/>
      <c r="AG26" s="257"/>
      <c r="AH26" s="382"/>
      <c r="AI26" s="382"/>
      <c r="AJ26" s="382"/>
      <c r="AK26" s="621"/>
      <c r="AL26" s="622"/>
      <c r="AM26" s="257"/>
      <c r="AN26" s="382"/>
      <c r="AO26" s="382"/>
      <c r="AP26" s="382"/>
      <c r="AQ26" s="621"/>
      <c r="AR26" s="622"/>
      <c r="AS26" s="257"/>
      <c r="AT26" s="382"/>
      <c r="AU26" s="382"/>
      <c r="AV26" s="382"/>
      <c r="AW26" s="621"/>
      <c r="AX26" s="622"/>
      <c r="AY26" s="257">
        <f>+AY23-AY25</f>
        <v>7.8E-2</v>
      </c>
      <c r="AZ26" s="382">
        <f>+AZ23-AZ25</f>
        <v>6.8000000000000005E-2</v>
      </c>
      <c r="BA26" s="382">
        <f>+BA23-BA25</f>
        <v>6.5000000000000002E-2</v>
      </c>
      <c r="BB26" s="382">
        <f>+BB23-BB25</f>
        <v>0.06</v>
      </c>
      <c r="BC26" s="621">
        <f>+BC23-BC25</f>
        <v>6.7609367649513627E-2</v>
      </c>
      <c r="BD26" s="622"/>
      <c r="BE26" s="257">
        <f>+BE23-BE25</f>
        <v>4.8000000000000015E-2</v>
      </c>
      <c r="BF26" s="382">
        <f>+BF23-BF25</f>
        <v>4.2000000000000003E-2</v>
      </c>
      <c r="BG26" s="382">
        <f>+BG23-BG25</f>
        <v>0.19900000000000001</v>
      </c>
      <c r="BH26" s="382">
        <f>+BH23-BH25</f>
        <v>3.6000000000000004E-2</v>
      </c>
      <c r="BI26" s="621">
        <f>+BI23-BI25</f>
        <v>8.0023130414709973E-2</v>
      </c>
      <c r="BJ26" s="622"/>
      <c r="BK26" s="257">
        <f>+BK23-BK25</f>
        <v>2.3E-2</v>
      </c>
      <c r="BL26" s="382">
        <f>+BL23-BL25</f>
        <v>2E-3</v>
      </c>
      <c r="BM26" s="382">
        <f>+BM23-BM25</f>
        <v>-1.3000000000000001E-2</v>
      </c>
      <c r="BN26" s="382">
        <f>+BN23-BN25</f>
        <v>2E-3</v>
      </c>
      <c r="BO26" s="621">
        <f>+BO23-BO25</f>
        <v>2.6388386630159626E-3</v>
      </c>
      <c r="BP26" s="622"/>
      <c r="BQ26" s="257">
        <f>+BQ23-BQ25</f>
        <v>-5.0000000000000001E-3</v>
      </c>
      <c r="BR26" s="382">
        <f>+BR23-BR25</f>
        <v>1.4999999999999999E-2</v>
      </c>
      <c r="BS26" s="382">
        <f>+BS23-BS25</f>
        <v>-3.4000000000000002E-2</v>
      </c>
      <c r="BT26" s="382">
        <f>+BT23-BT25</f>
        <v>0</v>
      </c>
      <c r="BU26" s="621">
        <f>+BU23-BU25</f>
        <v>-5.8311710890965145E-3</v>
      </c>
      <c r="BV26" s="622"/>
      <c r="BW26" s="257">
        <f>+BW23-BW25</f>
        <v>0.02</v>
      </c>
      <c r="BX26" s="382">
        <f>+BX23-BX25</f>
        <v>0.02</v>
      </c>
      <c r="BY26" s="382">
        <f>+BY23-BY25</f>
        <v>0.02</v>
      </c>
      <c r="BZ26" s="382">
        <f>+BZ23-BZ25</f>
        <v>0.02</v>
      </c>
      <c r="CA26" s="621">
        <f>+CA23-CA25</f>
        <v>1.9999999999999997E-2</v>
      </c>
      <c r="CB26" s="622"/>
      <c r="CC26" s="257">
        <f>+CC23-CC25</f>
        <v>0.02</v>
      </c>
      <c r="CD26" s="382">
        <f>+CD23-CD25</f>
        <v>0.02</v>
      </c>
      <c r="CE26" s="382">
        <f>+CE23-CE25</f>
        <v>0.02</v>
      </c>
      <c r="CF26" s="382">
        <f>+CF23-CF25</f>
        <v>0.02</v>
      </c>
      <c r="CG26" s="621">
        <f>+CG23-CG25</f>
        <v>0.02</v>
      </c>
      <c r="CH26" s="622"/>
      <c r="CI26" s="257">
        <f>+CI23-CI25</f>
        <v>0.02</v>
      </c>
      <c r="CJ26" s="382">
        <f>+CJ23-CJ25</f>
        <v>0.02</v>
      </c>
      <c r="CK26" s="382">
        <f>+CK23-CK25</f>
        <v>0.02</v>
      </c>
      <c r="CL26" s="382">
        <f>+CL23-CL25</f>
        <v>0.02</v>
      </c>
      <c r="CM26" s="621">
        <f>+CM23-CM25</f>
        <v>0.02</v>
      </c>
      <c r="CN26" s="11"/>
      <c r="CO26" s="11"/>
      <c r="CP26" s="11"/>
      <c r="CQ26" s="11"/>
      <c r="CR26" s="11"/>
      <c r="CS26" s="11"/>
      <c r="CT26" s="11"/>
      <c r="CU26" s="11"/>
      <c r="CV26" s="11"/>
      <c r="CW26" s="11"/>
      <c r="CX26" s="11"/>
    </row>
    <row r="27" spans="1:102" s="31" customFormat="1" ht="11.25" customHeight="1" x14ac:dyDescent="0.2">
      <c r="A27" s="84"/>
      <c r="B27" s="632"/>
      <c r="C27" s="633"/>
      <c r="D27" s="634"/>
      <c r="E27" s="634"/>
      <c r="F27" s="635"/>
      <c r="G27" s="636"/>
      <c r="H27" s="106"/>
      <c r="I27" s="633"/>
      <c r="J27" s="634"/>
      <c r="K27" s="634"/>
      <c r="L27" s="635"/>
      <c r="M27" s="636"/>
      <c r="N27" s="106"/>
      <c r="O27" s="633"/>
      <c r="P27" s="634"/>
      <c r="Q27" s="634"/>
      <c r="R27" s="635"/>
      <c r="S27" s="636"/>
      <c r="T27" s="106"/>
      <c r="U27" s="633"/>
      <c r="V27" s="634"/>
      <c r="W27" s="634"/>
      <c r="X27" s="635"/>
      <c r="Y27" s="636"/>
      <c r="Z27" s="106"/>
      <c r="AA27" s="633"/>
      <c r="AB27" s="634"/>
      <c r="AC27" s="634"/>
      <c r="AD27" s="635"/>
      <c r="AE27" s="636"/>
      <c r="AF27" s="106"/>
      <c r="AG27" s="633"/>
      <c r="AH27" s="634"/>
      <c r="AI27" s="634"/>
      <c r="AJ27" s="635"/>
      <c r="AK27" s="636"/>
      <c r="AL27" s="106"/>
      <c r="AM27" s="633"/>
      <c r="AN27" s="634"/>
      <c r="AO27" s="634"/>
      <c r="AP27" s="635"/>
      <c r="AQ27" s="636"/>
      <c r="AR27" s="106"/>
      <c r="AS27" s="633"/>
      <c r="AT27" s="634"/>
      <c r="AU27" s="634"/>
      <c r="AV27" s="635"/>
      <c r="AW27" s="636"/>
      <c r="AX27" s="106"/>
      <c r="AY27" s="639"/>
      <c r="AZ27" s="635"/>
      <c r="BA27" s="635"/>
      <c r="BB27" s="635"/>
      <c r="BC27" s="636"/>
      <c r="BD27" s="106"/>
      <c r="BE27" s="633"/>
      <c r="BF27" s="634"/>
      <c r="BG27" s="634"/>
      <c r="BH27" s="634"/>
      <c r="BI27" s="636"/>
      <c r="BJ27" s="106"/>
      <c r="BK27" s="633"/>
      <c r="BL27" s="634"/>
      <c r="BM27" s="634"/>
      <c r="BN27" s="634"/>
      <c r="BO27" s="636"/>
      <c r="BP27" s="106"/>
      <c r="BQ27" s="633"/>
      <c r="BR27" s="634"/>
      <c r="BS27" s="634"/>
      <c r="BT27" s="638"/>
      <c r="BU27" s="636"/>
      <c r="BV27" s="106"/>
      <c r="BW27" s="637"/>
      <c r="BX27" s="638"/>
      <c r="BY27" s="638"/>
      <c r="BZ27" s="638"/>
      <c r="CA27" s="636"/>
      <c r="CB27" s="106"/>
      <c r="CC27" s="637"/>
      <c r="CD27" s="638"/>
      <c r="CE27" s="638"/>
      <c r="CF27" s="638"/>
      <c r="CG27" s="636"/>
      <c r="CH27" s="106"/>
      <c r="CI27" s="637"/>
      <c r="CJ27" s="638"/>
      <c r="CK27" s="638"/>
      <c r="CL27" s="638"/>
      <c r="CM27" s="636"/>
      <c r="CN27" s="11"/>
      <c r="CO27" s="11"/>
      <c r="CP27" s="11"/>
      <c r="CQ27" s="11"/>
      <c r="CR27" s="11"/>
      <c r="CS27" s="11"/>
      <c r="CT27" s="11"/>
      <c r="CU27" s="11"/>
      <c r="CV27" s="11"/>
      <c r="CW27" s="11"/>
      <c r="CX27" s="11"/>
    </row>
    <row r="28" spans="1:102" s="9" customFormat="1" ht="11.25" customHeight="1" x14ac:dyDescent="0.2">
      <c r="A28" s="12"/>
      <c r="B28" s="620" t="s">
        <v>354</v>
      </c>
      <c r="C28" s="578">
        <f>C7+C14+C21</f>
        <v>472.70899999999995</v>
      </c>
      <c r="D28" s="136">
        <f>D7+D14+D21</f>
        <v>512.20000000000005</v>
      </c>
      <c r="E28" s="136">
        <f>E7+E14+E21</f>
        <v>537.14800000000002</v>
      </c>
      <c r="F28" s="136">
        <f>F7+F14+F21</f>
        <v>542.57300000000009</v>
      </c>
      <c r="G28" s="594">
        <f>G7+G14+G21</f>
        <v>2064.63</v>
      </c>
      <c r="H28" s="585"/>
      <c r="I28" s="578">
        <f>I7+I14+I21</f>
        <v>499.72699999999998</v>
      </c>
      <c r="J28" s="136">
        <f>J7+J14+J21</f>
        <v>534.505</v>
      </c>
      <c r="K28" s="136">
        <f>K7+K14+K21</f>
        <v>584.94200000000001</v>
      </c>
      <c r="L28" s="136">
        <f>L7+L14+L21</f>
        <v>562.11199999999997</v>
      </c>
      <c r="M28" s="594">
        <f>M7+M14+M21</f>
        <v>2181.2859999999996</v>
      </c>
      <c r="N28" s="585"/>
      <c r="O28" s="578">
        <f>O7+O14+O21</f>
        <v>519.88499999999999</v>
      </c>
      <c r="P28" s="136">
        <f>P7+P14+P21</f>
        <v>536.83699999999999</v>
      </c>
      <c r="Q28" s="136">
        <f>Q7+Q14+Q21</f>
        <v>584.14</v>
      </c>
      <c r="R28" s="136">
        <f>R7+R14+R21</f>
        <v>533.54700000000003</v>
      </c>
      <c r="S28" s="594">
        <f>S7+S14+S21</f>
        <v>2174.4089999999997</v>
      </c>
      <c r="T28" s="585"/>
      <c r="U28" s="578">
        <f>U7+U14+U21</f>
        <v>510.99099999999999</v>
      </c>
      <c r="V28" s="136">
        <f>V7+V14+V21</f>
        <v>537.16699999999992</v>
      </c>
      <c r="W28" s="136">
        <f>W7+W14+W21</f>
        <v>572.07299999999998</v>
      </c>
      <c r="X28" s="136">
        <f>X7+X14+X21</f>
        <v>547.26400000000001</v>
      </c>
      <c r="Y28" s="594">
        <f>Y7+Y14+Y21</f>
        <v>2167.4949999999999</v>
      </c>
      <c r="Z28" s="585"/>
      <c r="AA28" s="578">
        <f>AA7+AA14+AA21</f>
        <v>542.678</v>
      </c>
      <c r="AB28" s="136">
        <f>AB7+AB14+AB21</f>
        <v>563.21</v>
      </c>
      <c r="AC28" s="136">
        <f>AC7+AC14+AC21</f>
        <v>557.048</v>
      </c>
      <c r="AD28" s="136">
        <f>AD7+AD14+AD21</f>
        <v>573.12</v>
      </c>
      <c r="AE28" s="594">
        <f>AE7+AE14+AE21</f>
        <v>2236.056</v>
      </c>
      <c r="AF28" s="585"/>
      <c r="AG28" s="578">
        <f>AG7+AG14+AG21</f>
        <v>533.36699999999996</v>
      </c>
      <c r="AH28" s="136">
        <f>AH7+AH14+AH21</f>
        <v>550.60500000000002</v>
      </c>
      <c r="AI28" s="136">
        <f>AI7+AI14+AI21</f>
        <v>605.04100000000005</v>
      </c>
      <c r="AJ28" s="136">
        <f>AJ7+AJ14+AJ21</f>
        <v>598.86199999999997</v>
      </c>
      <c r="AK28" s="594">
        <f>AK7+AK14+AK21</f>
        <v>2287.875</v>
      </c>
      <c r="AL28" s="585"/>
      <c r="AM28" s="578">
        <f>AM7+AM14+AM21</f>
        <v>567.39200000000005</v>
      </c>
      <c r="AN28" s="136">
        <f>AN7+AN14+AN21</f>
        <v>549.149</v>
      </c>
      <c r="AO28" s="136">
        <f>AO7+AO14+AO21</f>
        <v>626.49399999999991</v>
      </c>
      <c r="AP28" s="136">
        <f>AP7+AP14+AP21</f>
        <v>636.93500000000006</v>
      </c>
      <c r="AQ28" s="594">
        <f>AQ7+AQ14+AQ21</f>
        <v>2379.9699999999998</v>
      </c>
      <c r="AR28" s="585"/>
      <c r="AS28" s="578">
        <f>AS7+AS14+AS21</f>
        <v>554.23299999999995</v>
      </c>
      <c r="AT28" s="136">
        <f>AT7+AT14+AT21</f>
        <v>563.05200000000002</v>
      </c>
      <c r="AU28" s="136">
        <f>AU7+AU14+AU21</f>
        <v>641.96500000000003</v>
      </c>
      <c r="AV28" s="136">
        <f>AV7+AV14+AV21</f>
        <v>622.84799999999996</v>
      </c>
      <c r="AW28" s="594">
        <f>AW7+AW14+AW21</f>
        <v>2382.0980000000004</v>
      </c>
      <c r="AX28" s="585"/>
      <c r="AY28" s="578">
        <f>AY7+AY14+AY21</f>
        <v>542.87400000000002</v>
      </c>
      <c r="AZ28" s="136">
        <f>AZ7+AZ14+AZ21</f>
        <v>592.63599999999997</v>
      </c>
      <c r="BA28" s="136">
        <f>BA7+BA14+BA21</f>
        <v>610.65500000000009</v>
      </c>
      <c r="BB28" s="136">
        <f>BB7+BB14+BB21</f>
        <v>668.83799999999997</v>
      </c>
      <c r="BC28" s="594">
        <f>BC7+BC14+BC21</f>
        <v>2415.0030000000002</v>
      </c>
      <c r="BD28" s="585"/>
      <c r="BE28" s="578">
        <f>BE7+BE14+BE21</f>
        <v>575.11699999999996</v>
      </c>
      <c r="BF28" s="136">
        <f>BF7+BF14+BF21</f>
        <v>601.322</v>
      </c>
      <c r="BG28" s="136">
        <f>BG7+BG14+BG21</f>
        <v>637.65099999999995</v>
      </c>
      <c r="BH28" s="136">
        <f>BH7+BH14+BH21</f>
        <v>662.14400000000001</v>
      </c>
      <c r="BI28" s="594">
        <f>BI7+BI14+BI21</f>
        <v>2476.2339999999999</v>
      </c>
      <c r="BJ28" s="585"/>
      <c r="BK28" s="578">
        <f>BK7+BK14+BK21</f>
        <v>555.01499999999999</v>
      </c>
      <c r="BL28" s="136">
        <f>BL7+BL14+BL21</f>
        <v>601.553</v>
      </c>
      <c r="BM28" s="136">
        <f>BM7+BM14+BM21</f>
        <v>626.34299999999996</v>
      </c>
      <c r="BN28" s="136">
        <f>BN7+BN14+BN21</f>
        <v>607.30800000000011</v>
      </c>
      <c r="BO28" s="594">
        <f>BO7+BO14+BO21</f>
        <v>2390.2190000000001</v>
      </c>
      <c r="BP28" s="585"/>
      <c r="BQ28" s="578">
        <f>BQ7+BQ14+BQ21</f>
        <v>518.80700000000002</v>
      </c>
      <c r="BR28" s="136">
        <f>BR7+BR14+BR21</f>
        <v>553.63</v>
      </c>
      <c r="BS28" s="136">
        <f>BS7+BS14+BS21</f>
        <v>577.87699999999995</v>
      </c>
      <c r="BT28" s="136">
        <f>BT7+BT14+BT21</f>
        <v>595.60879059782121</v>
      </c>
      <c r="BU28" s="594">
        <f>BU7+BU14+BU21</f>
        <v>2245.9227905978214</v>
      </c>
      <c r="BV28" s="585"/>
      <c r="BW28" s="578">
        <f>BW7+BW14+BW21</f>
        <v>494.59767000000005</v>
      </c>
      <c r="BX28" s="136">
        <f>BX7+BX14+BX21</f>
        <v>551.39305999999999</v>
      </c>
      <c r="BY28" s="136">
        <f>BY7+BY14+BY21</f>
        <v>583.38862000000006</v>
      </c>
      <c r="BZ28" s="136">
        <f>BZ7+BZ14+BZ21</f>
        <v>600.25112177573135</v>
      </c>
      <c r="CA28" s="594">
        <f>CA7+CA14+CA21</f>
        <v>2229.6304717757312</v>
      </c>
      <c r="CB28" s="585"/>
      <c r="CC28" s="578">
        <f>CC7+CC14+CC21</f>
        <v>498.92289840000001</v>
      </c>
      <c r="CD28" s="136">
        <f>CD7+CD14+CD21</f>
        <v>555.83678150000003</v>
      </c>
      <c r="CE28" s="136">
        <f>CE7+CE14+CE21</f>
        <v>592.03343240000004</v>
      </c>
      <c r="CF28" s="136">
        <f>CF7+CF14+CF21</f>
        <v>609.05575666887808</v>
      </c>
      <c r="CG28" s="594">
        <f>CG7+CG14+CG21</f>
        <v>2255.8488689688779</v>
      </c>
      <c r="CH28" s="585"/>
      <c r="CI28" s="578">
        <f>CI7+CI14+CI21</f>
        <v>505.9909383480001</v>
      </c>
      <c r="CJ28" s="136">
        <f>CJ7+CJ14+CJ21</f>
        <v>563.96739001499998</v>
      </c>
      <c r="CK28" s="136">
        <f>CK7+CK14+CK21</f>
        <v>600.82091144800006</v>
      </c>
      <c r="CL28" s="136">
        <f>CL7+CL14+CL21</f>
        <v>618.00448038446405</v>
      </c>
      <c r="CM28" s="594">
        <f>CM7+CM14+CM21</f>
        <v>2288.7837201954644</v>
      </c>
      <c r="CN28" s="11"/>
      <c r="CO28" s="11"/>
      <c r="CP28" s="11"/>
      <c r="CQ28" s="11"/>
      <c r="CR28" s="11"/>
      <c r="CS28" s="11"/>
      <c r="CT28" s="11"/>
      <c r="CU28" s="11"/>
      <c r="CV28" s="11"/>
      <c r="CW28" s="11"/>
      <c r="CX28" s="11"/>
    </row>
    <row r="29" spans="1:102" s="31" customFormat="1" ht="11.25" customHeight="1" x14ac:dyDescent="0.2">
      <c r="A29" s="84"/>
      <c r="B29" s="607" t="s">
        <v>261</v>
      </c>
      <c r="C29" s="121"/>
      <c r="D29" s="85"/>
      <c r="E29" s="85"/>
      <c r="F29" s="85"/>
      <c r="G29" s="589"/>
      <c r="H29" s="58"/>
      <c r="I29" s="121">
        <f>I28/C28-1</f>
        <v>5.715567082496853E-2</v>
      </c>
      <c r="J29" s="85">
        <f>J28/D28-1</f>
        <v>4.3547442405310388E-2</v>
      </c>
      <c r="K29" s="85">
        <f>K28/E28-1</f>
        <v>8.8977339578663495E-2</v>
      </c>
      <c r="L29" s="85">
        <f>L28/F28-1</f>
        <v>3.6011744041815286E-2</v>
      </c>
      <c r="M29" s="589">
        <f>M28/G28-1</f>
        <v>5.6502133554195977E-2</v>
      </c>
      <c r="N29" s="58"/>
      <c r="O29" s="121">
        <f>O28/I28-1</f>
        <v>4.0338024561410668E-2</v>
      </c>
      <c r="P29" s="85">
        <f>P28/J28-1</f>
        <v>4.3629152206245969E-3</v>
      </c>
      <c r="Q29" s="85">
        <f>Q28/K28-1</f>
        <v>-1.3710761066909605E-3</v>
      </c>
      <c r="R29" s="85">
        <f>R28/L28-1</f>
        <v>-5.0817274849140337E-2</v>
      </c>
      <c r="S29" s="589">
        <f>S28/M28-1</f>
        <v>-3.1527273360760777E-3</v>
      </c>
      <c r="T29" s="58"/>
      <c r="U29" s="121">
        <f>U28/O28-1</f>
        <v>-1.7107629571924576E-2</v>
      </c>
      <c r="V29" s="85">
        <f>V28/P28-1</f>
        <v>6.1471172814075992E-4</v>
      </c>
      <c r="W29" s="85">
        <f>W28/Q28-1</f>
        <v>-2.0657719039956168E-2</v>
      </c>
      <c r="X29" s="85">
        <f>X28/R28-1</f>
        <v>2.5709075301707296E-2</v>
      </c>
      <c r="Y29" s="589">
        <f>Y28/S28-1</f>
        <v>-3.1797145799156157E-3</v>
      </c>
      <c r="Z29" s="58"/>
      <c r="AA29" s="121">
        <f>AA28/U28-1</f>
        <v>6.2010876903898504E-2</v>
      </c>
      <c r="AB29" s="85">
        <f>AB28/V28-1</f>
        <v>4.8482129393652595E-2</v>
      </c>
      <c r="AC29" s="85">
        <f>AC28/W28-1</f>
        <v>-2.6264130626685755E-2</v>
      </c>
      <c r="AD29" s="85">
        <f>AD28/X28-1</f>
        <v>4.7245936147819023E-2</v>
      </c>
      <c r="AE29" s="589">
        <f>AE28/Y28-1</f>
        <v>3.1631445516598689E-2</v>
      </c>
      <c r="AF29" s="58"/>
      <c r="AG29" s="121">
        <f>AG28/AA28-1</f>
        <v>-1.7157504081610209E-2</v>
      </c>
      <c r="AH29" s="85">
        <f>AH28/AB28-1</f>
        <v>-2.2380639548303494E-2</v>
      </c>
      <c r="AI29" s="85">
        <f>AI28/AC28-1</f>
        <v>8.6155950654162705E-2</v>
      </c>
      <c r="AJ29" s="85">
        <f>AJ28/AD28-1</f>
        <v>4.491554997208258E-2</v>
      </c>
      <c r="AK29" s="589">
        <f>AK28/AE28-1</f>
        <v>2.3174285438289477E-2</v>
      </c>
      <c r="AL29" s="58"/>
      <c r="AM29" s="121">
        <f>AM28/AG28-1</f>
        <v>6.3792848076465347E-2</v>
      </c>
      <c r="AN29" s="85">
        <f>AN28/AH28-1</f>
        <v>-2.6443639269531083E-3</v>
      </c>
      <c r="AO29" s="85">
        <f>AO28/AI28-1</f>
        <v>3.545710125429502E-2</v>
      </c>
      <c r="AP29" s="85">
        <f>AP28/AJ28-1</f>
        <v>6.3575581686599048E-2</v>
      </c>
      <c r="AQ29" s="589">
        <f>AQ28/AK28-1</f>
        <v>4.0253510353493782E-2</v>
      </c>
      <c r="AR29" s="58"/>
      <c r="AS29" s="121">
        <f>AS28/AM28-1</f>
        <v>-2.3192078844960995E-2</v>
      </c>
      <c r="AT29" s="85">
        <f>AT28/AN28-1</f>
        <v>2.5317354670590264E-2</v>
      </c>
      <c r="AU29" s="85">
        <f>AU28/AO28-1</f>
        <v>2.4694570099633939E-2</v>
      </c>
      <c r="AV29" s="85">
        <f>AV28/AP28-1</f>
        <v>-2.2116856508121119E-2</v>
      </c>
      <c r="AW29" s="589">
        <f>AW28/AQ28-1</f>
        <v>8.9412891759166335E-4</v>
      </c>
      <c r="AX29" s="58"/>
      <c r="AY29" s="121">
        <f>AY28/AS28-1</f>
        <v>-2.0494990374084421E-2</v>
      </c>
      <c r="AZ29" s="85">
        <f>AZ28/AT28-1</f>
        <v>5.2542216349466653E-2</v>
      </c>
      <c r="BA29" s="85">
        <f>BA28/AU28-1</f>
        <v>-4.8772129321691948E-2</v>
      </c>
      <c r="BB29" s="85">
        <f>BB28/AV28-1</f>
        <v>7.3838239827373586E-2</v>
      </c>
      <c r="BC29" s="589">
        <f>BC28/AW28-1</f>
        <v>1.3813453518704888E-2</v>
      </c>
      <c r="BD29" s="58"/>
      <c r="BE29" s="121">
        <f>BE28/AY28-1</f>
        <v>5.9393155686217947E-2</v>
      </c>
      <c r="BF29" s="85">
        <f>BF28/AZ28-1</f>
        <v>1.4656551407609353E-2</v>
      </c>
      <c r="BG29" s="85">
        <f>BG28/BA28-1</f>
        <v>4.4208268171062048E-2</v>
      </c>
      <c r="BH29" s="85">
        <f>BH28/BB28-1</f>
        <v>-1.0008402632625479E-2</v>
      </c>
      <c r="BI29" s="589">
        <f>BI28/BC28-1</f>
        <v>2.5354419849581866E-2</v>
      </c>
      <c r="BJ29" s="58"/>
      <c r="BK29" s="121">
        <f>BK28/BE28-1</f>
        <v>-3.4952887847168435E-2</v>
      </c>
      <c r="BL29" s="85">
        <f>BL28/BF28-1</f>
        <v>3.8415358160848179E-4</v>
      </c>
      <c r="BM29" s="85">
        <f>BM28/BG28-1</f>
        <v>-1.7733838729963591E-2</v>
      </c>
      <c r="BN29" s="85">
        <f>BN28/BH28-1</f>
        <v>-8.2815822540111994E-2</v>
      </c>
      <c r="BO29" s="589">
        <f>BO28/BI28-1</f>
        <v>-3.4736216367273753E-2</v>
      </c>
      <c r="BP29" s="58"/>
      <c r="BQ29" s="121">
        <f>BQ28/BK28-1</f>
        <v>-6.5237876453789534E-2</v>
      </c>
      <c r="BR29" s="85">
        <f>BR28/BL28-1</f>
        <v>-7.9665465885798925E-2</v>
      </c>
      <c r="BS29" s="85">
        <f>BS28/BM28-1</f>
        <v>-7.7379327301494549E-2</v>
      </c>
      <c r="BT29" s="85">
        <f>BT28/BN28-1</f>
        <v>-1.9264046253596012E-2</v>
      </c>
      <c r="BU29" s="589">
        <f>BU28/BO28-1</f>
        <v>-6.0369451252031192E-2</v>
      </c>
      <c r="BV29" s="58"/>
      <c r="BW29" s="121">
        <f>BW28/BQ28-1</f>
        <v>-4.6663460593245554E-2</v>
      </c>
      <c r="BX29" s="85">
        <f>BX28/BR28-1</f>
        <v>-4.0404963603850597E-3</v>
      </c>
      <c r="BY29" s="85">
        <f>BY28/BS28-1</f>
        <v>9.537704390380819E-3</v>
      </c>
      <c r="BZ29" s="85">
        <f>BZ28/BT28-1</f>
        <v>7.7942623601148231E-3</v>
      </c>
      <c r="CA29" s="589">
        <f>CA28/BU28-1</f>
        <v>-7.2541758293274139E-3</v>
      </c>
      <c r="CB29" s="58"/>
      <c r="CC29" s="121">
        <f>CC28/BW28-1</f>
        <v>8.7449429351333929E-3</v>
      </c>
      <c r="CD29" s="85">
        <f>CD28/BX28-1</f>
        <v>8.0590813021841345E-3</v>
      </c>
      <c r="CE29" s="85">
        <f>CE28/BY28-1</f>
        <v>1.4818273966331397E-2</v>
      </c>
      <c r="CF29" s="85">
        <f>CF28/BZ28-1</f>
        <v>1.4668252292640238E-2</v>
      </c>
      <c r="CG29" s="589">
        <f>CG28/CA28-1</f>
        <v>1.1759077356108261E-2</v>
      </c>
      <c r="CH29" s="58"/>
      <c r="CI29" s="121">
        <f>CI28/CC28-1</f>
        <v>1.4166597625939081E-2</v>
      </c>
      <c r="CJ29" s="85">
        <f>CJ28/CD28-1</f>
        <v>1.4627690691966011E-2</v>
      </c>
      <c r="CK29" s="85">
        <f>CK28/CE28-1</f>
        <v>1.4842876376722769E-2</v>
      </c>
      <c r="CL29" s="85">
        <f>CL28/CF28-1</f>
        <v>1.4692782421972916E-2</v>
      </c>
      <c r="CM29" s="589">
        <f>CM28/CG28-1</f>
        <v>1.4599759620262498E-2</v>
      </c>
      <c r="CN29" s="11"/>
      <c r="CO29" s="11"/>
      <c r="CP29" s="11"/>
      <c r="CQ29" s="11"/>
      <c r="CR29" s="11"/>
      <c r="CS29" s="11"/>
      <c r="CT29" s="11"/>
      <c r="CU29" s="11"/>
      <c r="CV29" s="11"/>
      <c r="CW29" s="11"/>
      <c r="CX29" s="11"/>
    </row>
    <row r="30" spans="1:102" s="31" customFormat="1" ht="11.25" customHeight="1" x14ac:dyDescent="0.2">
      <c r="A30" s="84"/>
      <c r="B30" s="607" t="s">
        <v>264</v>
      </c>
      <c r="C30" s="228"/>
      <c r="D30" s="239"/>
      <c r="E30" s="239"/>
      <c r="F30" s="229"/>
      <c r="G30" s="603"/>
      <c r="H30" s="106"/>
      <c r="I30" s="228">
        <v>5.7000000000000002E-2</v>
      </c>
      <c r="J30" s="239">
        <v>4.3999999999999997E-2</v>
      </c>
      <c r="K30" s="239">
        <v>8.8999999999999996E-2</v>
      </c>
      <c r="L30" s="85">
        <f>((M30*G28)-((I30*C28+J30*D28+K30*E28)))/F28</f>
        <v>3.759222261336264E-2</v>
      </c>
      <c r="M30" s="603">
        <v>5.7000000000000002E-2</v>
      </c>
      <c r="N30" s="106"/>
      <c r="O30" s="228">
        <v>0.04</v>
      </c>
      <c r="P30" s="239">
        <v>4.0000000000000001E-3</v>
      </c>
      <c r="Q30" s="239">
        <v>-1.3710761066909605E-3</v>
      </c>
      <c r="R30" s="85">
        <f>((S30*M28)-((O30*I28+P30*J28+Q30*K28)))/L28</f>
        <v>-1.0773827991574596E-2</v>
      </c>
      <c r="S30" s="603">
        <f>(-0.3+1)%</f>
        <v>6.9999999999999993E-3</v>
      </c>
      <c r="T30" s="106"/>
      <c r="U30" s="228">
        <f>(-1.7+1.3)%</f>
        <v>-3.9999999999999992E-3</v>
      </c>
      <c r="V30" s="239">
        <v>1E-3</v>
      </c>
      <c r="W30" s="239">
        <f>(2.1-1.5)%</f>
        <v>6.000000000000001E-3</v>
      </c>
      <c r="X30" s="85">
        <f>((Y30*S28)-((U30*O28+V30*P28+W30*Q28)))/R28</f>
        <v>8.5486189595293353E-3</v>
      </c>
      <c r="Y30" s="603">
        <f>(-0.3+0.6)%</f>
        <v>3.0000000000000001E-3</v>
      </c>
      <c r="Z30" s="106"/>
      <c r="AA30" s="228">
        <v>6.2E-2</v>
      </c>
      <c r="AB30" s="239">
        <v>4.8000000000000001E-2</v>
      </c>
      <c r="AC30" s="239">
        <v>-2.5999999999999999E-2</v>
      </c>
      <c r="AD30" s="85">
        <f>((AE30*Y28)-((AA30*U28+AB30*V28+AC30*W28)))/X28</f>
        <v>2.1188704172026666E-2</v>
      </c>
      <c r="AE30" s="603">
        <f>(3.2-0.7)%</f>
        <v>2.5000000000000001E-2</v>
      </c>
      <c r="AF30" s="106"/>
      <c r="AG30" s="228">
        <v>-1.7000000000000001E-2</v>
      </c>
      <c r="AH30" s="239">
        <v>-2.1999999999999999E-2</v>
      </c>
      <c r="AI30" s="239">
        <v>8.5999999999999993E-2</v>
      </c>
      <c r="AJ30" s="85">
        <f>((AK30*AE28)-((AG30*AA28+AH30*AB28+AI30*AC28)))/AD28</f>
        <v>3.9962398799553323E-2</v>
      </c>
      <c r="AK30" s="603">
        <f>(2.3-0.1)%</f>
        <v>2.1999999999999999E-2</v>
      </c>
      <c r="AL30" s="106"/>
      <c r="AM30" s="228">
        <v>6.4000000000000001E-2</v>
      </c>
      <c r="AN30" s="239">
        <v>-3.0000000000000001E-3</v>
      </c>
      <c r="AO30" s="239">
        <v>3.5000000000000003E-2</v>
      </c>
      <c r="AP30" s="85">
        <f>((AQ30*AK28)-((AM30*AG28+AN30*AH28+AO30*AI28)))/AJ28</f>
        <v>5.9391006609202122E-2</v>
      </c>
      <c r="AQ30" s="603">
        <f>(4-0.1)%</f>
        <v>3.9E-2</v>
      </c>
      <c r="AR30" s="106"/>
      <c r="AS30" s="228">
        <v>-2.3E-2</v>
      </c>
      <c r="AT30" s="239">
        <v>2.5000000000000001E-2</v>
      </c>
      <c r="AU30" s="239">
        <v>2.5000000000000001E-2</v>
      </c>
      <c r="AV30" s="85">
        <f>((AW30*AQ28)-((AS30*AM28+AT30*AN28+AU30*AO28)))/AP28</f>
        <v>-3.2361842260199211E-3</v>
      </c>
      <c r="AW30" s="603">
        <f>(0.1+0.5)%</f>
        <v>6.0000000000000001E-3</v>
      </c>
      <c r="AX30" s="106"/>
      <c r="AY30" s="121">
        <f>AY29-AY31</f>
        <v>2.5443721322982969E-3</v>
      </c>
      <c r="AZ30" s="85">
        <f>AZ29-AZ31</f>
        <v>7.4752337261922319E-2</v>
      </c>
      <c r="BA30" s="85">
        <f>BA29-BA31</f>
        <v>-2.607526267008323E-2</v>
      </c>
      <c r="BB30" s="85">
        <f>BB29-BB31</f>
        <v>0.10270798975030832</v>
      </c>
      <c r="BC30" s="589">
        <f>SUMPRODUCT(AY30:BB30,AS28:AV28)/AW28</f>
        <v>3.8088982065389416E-2</v>
      </c>
      <c r="BD30" s="106"/>
      <c r="BE30" s="121">
        <f>((BE9*AY7)+(BE16*AY14)+(BE23*AY21))/AY28</f>
        <v>7.4185245563427232E-2</v>
      </c>
      <c r="BF30" s="85">
        <f>((BF9*AZ7)+(BF16*AZ14)+(BF23*AZ21))/AZ28</f>
        <v>3.0427469812836217E-2</v>
      </c>
      <c r="BG30" s="85">
        <f>((BG9*BA7)+(BG16*BA14)+(BG23*BA21))/BA28</f>
        <v>6.1549239750759425E-2</v>
      </c>
      <c r="BH30" s="85">
        <f>((BH9*BB7)+(BH16*BB14)+(BH23*BB21))/BB28</f>
        <v>-5.2428928978317611E-3</v>
      </c>
      <c r="BI30" s="589">
        <f>SUMPRODUCT(BE30:BH30,AY28:BB28)/BC28</f>
        <v>3.8254345853814674E-2</v>
      </c>
      <c r="BJ30" s="106"/>
      <c r="BK30" s="121">
        <f>((BK9*BE7)+(BK16*BE14)+(BK23*BE21))/BE28</f>
        <v>-3.1045712437643133E-2</v>
      </c>
      <c r="BL30" s="85">
        <f>((BL9*BF7)+(BL16*BF14)+(BL23*BF21))/BF28</f>
        <v>1.6222922161504262E-4</v>
      </c>
      <c r="BM30" s="85">
        <f>((BM9*BG7)+(BM16*BG14)+(BM23*BG21))/BG28</f>
        <v>-1.976000351289342E-2</v>
      </c>
      <c r="BN30" s="85">
        <f>((BN9*BH7)+(BN16*BH14)+(BN23*BH21))/BH28</f>
        <v>-8.2584768569978734E-2</v>
      </c>
      <c r="BO30" s="589">
        <f>SUMPRODUCT(BK30:BN30,BE28:BH28)/BI28</f>
        <v>-3.4342618670125689E-2</v>
      </c>
      <c r="BP30" s="106"/>
      <c r="BQ30" s="121">
        <f>((BQ9*BK7)+(BQ16*BK14)+(BQ23*BK21))/BK28</f>
        <v>-6.3287001252218408E-2</v>
      </c>
      <c r="BR30" s="85">
        <f>((BR9*BL7)+(BR16*BL14)+(BR23*BL21))/BL28</f>
        <v>-8.3630492907524376E-2</v>
      </c>
      <c r="BS30" s="85">
        <f>((BS9*BM7)+(BS16*BM14)+(BS23*BM21))/BM28</f>
        <v>-8.1255692168667973E-2</v>
      </c>
      <c r="BT30" s="85">
        <f>((BT9*BN7)+(BT16*BN14)+(BT23*BN21))/BN28</f>
        <v>-2.3107237184427015E-2</v>
      </c>
      <c r="BU30" s="589">
        <f>SUMPRODUCT(BQ30:BT30,BK28:BN28)/BO28</f>
        <v>-6.2906600985098024E-2</v>
      </c>
      <c r="BV30" s="106"/>
      <c r="BW30" s="121">
        <f>((BW9*BQ7)+(BW16*BQ14)+(BW23*BQ21))/BQ28</f>
        <v>-4.6663460593245658E-2</v>
      </c>
      <c r="BX30" s="85">
        <f>((BX9*BR7)+(BX16*BR14)+(BX23*BR21))/BR28</f>
        <v>-4.0404963603850926E-3</v>
      </c>
      <c r="BY30" s="85">
        <f>((BY9*BS7)+(BY16*BS14)+(BY23*BS21))/BS28</f>
        <v>9.5377043903806524E-3</v>
      </c>
      <c r="BZ30" s="85">
        <f>((BZ9*BT7)+(BZ16*BT14)+(BZ23*BT21))/BT28</f>
        <v>7.7942623601148188E-3</v>
      </c>
      <c r="CA30" s="589">
        <f>SUMPRODUCT(BW30:BZ30,BQ28:BT28)/BU28</f>
        <v>-7.2541758293272352E-3</v>
      </c>
      <c r="CB30" s="106"/>
      <c r="CC30" s="121">
        <f>((CC9*BW7)+(CC16*BW14)+(CC23*BW21))/BW28</f>
        <v>8.7449429351335196E-3</v>
      </c>
      <c r="CD30" s="85">
        <f>((CD9*BX7)+(CD16*BX14)+(CD23*BX21))/BX28</f>
        <v>8.0590813021839628E-3</v>
      </c>
      <c r="CE30" s="85">
        <f>((CE9*BY7)+(CE16*BY14)+(CE23*BY21))/BY28</f>
        <v>1.4818273966331397E-2</v>
      </c>
      <c r="CF30" s="85">
        <f>((CF9*BZ7)+(CF16*BZ14)+(CF23*BZ21))/BZ28</f>
        <v>1.4668252292640212E-2</v>
      </c>
      <c r="CG30" s="589">
        <f>SUMPRODUCT(CC30:CF30,BW28:BZ28)/CA28</f>
        <v>1.175907735610815E-2</v>
      </c>
      <c r="CH30" s="106"/>
      <c r="CI30" s="121">
        <f>((CI9*CC7)+(CI16*CC14)+(CI23*CC21))/CC28</f>
        <v>1.4166597625938911E-2</v>
      </c>
      <c r="CJ30" s="85">
        <f>((CJ9*CD7)+(CJ16*CD14)+(CJ23*CD21))/CD28</f>
        <v>1.4627690691966198E-2</v>
      </c>
      <c r="CK30" s="85">
        <f>((CK9*CE7)+(CK16*CE14)+(CK23*CE21))/CE28</f>
        <v>1.4842876376722672E-2</v>
      </c>
      <c r="CL30" s="85">
        <f>((CL9*CF7)+(CL16*CF14)+(CL23*CF21))/CF28</f>
        <v>1.4692782421973048E-2</v>
      </c>
      <c r="CM30" s="589">
        <f>SUMPRODUCT(CI30:CL30,CC28:CF28)/CG28</f>
        <v>1.4599759620262203E-2</v>
      </c>
      <c r="CN30" s="11"/>
      <c r="CO30" s="11"/>
      <c r="CP30" s="11"/>
      <c r="CQ30" s="11"/>
      <c r="CR30" s="11"/>
      <c r="CS30" s="11"/>
      <c r="CT30" s="11"/>
      <c r="CU30" s="11"/>
      <c r="CV30" s="11"/>
      <c r="CW30" s="11"/>
      <c r="CX30" s="11"/>
    </row>
    <row r="31" spans="1:102" s="31" customFormat="1" ht="11.25" customHeight="1" x14ac:dyDescent="0.2">
      <c r="A31" s="84"/>
      <c r="B31" s="607" t="s">
        <v>263</v>
      </c>
      <c r="C31" s="121"/>
      <c r="D31" s="85"/>
      <c r="E31" s="85"/>
      <c r="F31" s="85"/>
      <c r="G31" s="589"/>
      <c r="H31" s="58"/>
      <c r="I31" s="121">
        <f>I29-I30</f>
        <v>1.5567082496852763E-4</v>
      </c>
      <c r="J31" s="85">
        <f>J29-J30</f>
        <v>-4.5255759468960932E-4</v>
      </c>
      <c r="K31" s="85">
        <f>K29-K30</f>
        <v>-2.2660421336501146E-5</v>
      </c>
      <c r="L31" s="85">
        <f>L29-L30</f>
        <v>-1.5804785715473543E-3</v>
      </c>
      <c r="M31" s="589">
        <f>((M10*G7)+(M17*G14)+(M24*G21))/G28</f>
        <v>0</v>
      </c>
      <c r="N31" s="58"/>
      <c r="O31" s="121">
        <f>O29-O30</f>
        <v>3.3802456141066722E-4</v>
      </c>
      <c r="P31" s="85">
        <f>P29-P30</f>
        <v>3.6291522062459683E-4</v>
      </c>
      <c r="Q31" s="85">
        <f>Q29-Q30</f>
        <v>0</v>
      </c>
      <c r="R31" s="85">
        <f>R29-R30</f>
        <v>-4.0043446857565737E-2</v>
      </c>
      <c r="S31" s="589">
        <f>((S10*M7)+(S17*M14)+(S24*M21))/M28</f>
        <v>0</v>
      </c>
      <c r="T31" s="58"/>
      <c r="U31" s="121">
        <f>U29-U30</f>
        <v>-1.3107629571924576E-2</v>
      </c>
      <c r="V31" s="85">
        <f>V29-V30</f>
        <v>-3.852882718592401E-4</v>
      </c>
      <c r="W31" s="85">
        <f>W29-W30</f>
        <v>-2.665771903995617E-2</v>
      </c>
      <c r="X31" s="85">
        <f>X29-X30</f>
        <v>1.7160456342177961E-2</v>
      </c>
      <c r="Y31" s="589">
        <f>((Y10*S7)+(Y17*S14)+(Y24*S21))/S28</f>
        <v>0</v>
      </c>
      <c r="Z31" s="58"/>
      <c r="AA31" s="121">
        <f>AA29-AA30</f>
        <v>1.0876903898504597E-5</v>
      </c>
      <c r="AB31" s="85">
        <f>AB29-AB30</f>
        <v>4.8212939365259444E-4</v>
      </c>
      <c r="AC31" s="85">
        <f>AC29-AC30</f>
        <v>-2.6413062668575668E-4</v>
      </c>
      <c r="AD31" s="85">
        <f>AD29-AD30</f>
        <v>2.6057231975792357E-2</v>
      </c>
      <c r="AE31" s="589">
        <f>AE29-AE30</f>
        <v>6.6314455165986871E-3</v>
      </c>
      <c r="AF31" s="58"/>
      <c r="AG31" s="121">
        <f>AG29-AG30</f>
        <v>-1.5750408161020746E-4</v>
      </c>
      <c r="AH31" s="85">
        <f>AH29-AH30</f>
        <v>-3.8063954830349495E-4</v>
      </c>
      <c r="AI31" s="85">
        <f>AI29-AI30</f>
        <v>1.5595065416271203E-4</v>
      </c>
      <c r="AJ31" s="85">
        <f>AJ29-AJ30</f>
        <v>4.9531511725292576E-3</v>
      </c>
      <c r="AK31" s="589">
        <f>AK29-AK30</f>
        <v>1.1742854382894782E-3</v>
      </c>
      <c r="AL31" s="58"/>
      <c r="AM31" s="121">
        <f>AM29-AM30</f>
        <v>-2.0715192353465417E-4</v>
      </c>
      <c r="AN31" s="85">
        <f>AN29-AN30</f>
        <v>3.5563607304689177E-4</v>
      </c>
      <c r="AO31" s="85">
        <f>AO29-AO30</f>
        <v>4.5710125429501702E-4</v>
      </c>
      <c r="AP31" s="85">
        <f>AP29-AP30</f>
        <v>4.1845750773969251E-3</v>
      </c>
      <c r="AQ31" s="589">
        <f>AQ29-AQ30</f>
        <v>1.2535103534937822E-3</v>
      </c>
      <c r="AR31" s="58"/>
      <c r="AS31" s="121">
        <f>AS29-AS30</f>
        <v>-1.9207884496099531E-4</v>
      </c>
      <c r="AT31" s="85">
        <f>AT29-AT30</f>
        <v>3.1735467059026273E-4</v>
      </c>
      <c r="AU31" s="85">
        <f>AU29-AU30</f>
        <v>-3.0542990036606238E-4</v>
      </c>
      <c r="AV31" s="85">
        <f>AV29-AV30</f>
        <v>-1.8880672282101198E-2</v>
      </c>
      <c r="AW31" s="589">
        <f>AW29-AW30</f>
        <v>-5.1058710824083368E-3</v>
      </c>
      <c r="AX31" s="58"/>
      <c r="AY31" s="121">
        <f>((AY10*AS7)+(AY17*AS14)+(AY24*AS21))/AS28</f>
        <v>-2.3039362506382718E-2</v>
      </c>
      <c r="AZ31" s="85">
        <f>((AZ10*AT7)+(AZ17*AT14)+(AZ24*AT21))/AT28</f>
        <v>-2.221012091245567E-2</v>
      </c>
      <c r="BA31" s="85">
        <f>((BA10*AU7)+(BA17*AU14)+(BA24*AU21))/AU28</f>
        <v>-2.2696866651608718E-2</v>
      </c>
      <c r="BB31" s="85">
        <f>((BB10*AV7)+(BB17*AV14)+(BB24*AV21))/AV28</f>
        <v>-2.8869749922934732E-2</v>
      </c>
      <c r="BC31" s="589">
        <f>BC29-BC30</f>
        <v>-2.4275528546684529E-2</v>
      </c>
      <c r="BD31" s="58"/>
      <c r="BE31" s="121">
        <f>BE29-BE30</f>
        <v>-1.4792089877209286E-2</v>
      </c>
      <c r="BF31" s="85">
        <f>BF29-BF30</f>
        <v>-1.5770918405226864E-2</v>
      </c>
      <c r="BG31" s="85">
        <f>BG29-BG30</f>
        <v>-1.7340971579697377E-2</v>
      </c>
      <c r="BH31" s="85">
        <f>BH29-BH30</f>
        <v>-4.7655097347937183E-3</v>
      </c>
      <c r="BI31" s="589">
        <f>BI29-BI30</f>
        <v>-1.2899926004232808E-2</v>
      </c>
      <c r="BJ31" s="58"/>
      <c r="BK31" s="121">
        <f>BK29-BK30</f>
        <v>-3.9071754095253014E-3</v>
      </c>
      <c r="BL31" s="85">
        <f>BL29-BL30</f>
        <v>2.2192435999343916E-4</v>
      </c>
      <c r="BM31" s="85">
        <f>BM29-BM30</f>
        <v>2.026164782929829E-3</v>
      </c>
      <c r="BN31" s="85">
        <f>BN29-BN30</f>
        <v>-2.3105397013326034E-4</v>
      </c>
      <c r="BO31" s="589">
        <f>BO29-BO30</f>
        <v>-3.9359769714806397E-4</v>
      </c>
      <c r="BP31" s="58"/>
      <c r="BQ31" s="121">
        <f>BQ29-BQ30</f>
        <v>-1.9508752015711256E-3</v>
      </c>
      <c r="BR31" s="85">
        <f>BR29-BR30</f>
        <v>3.9650270217254507E-3</v>
      </c>
      <c r="BS31" s="85">
        <f>BS29-BS30</f>
        <v>3.8763648671734235E-3</v>
      </c>
      <c r="BT31" s="85">
        <f>BT29-BT30</f>
        <v>3.8431909308310024E-3</v>
      </c>
      <c r="BU31" s="589">
        <f>BU29-BU30</f>
        <v>2.5371497330668319E-3</v>
      </c>
      <c r="BV31" s="58"/>
      <c r="BW31" s="121">
        <f>BW29-BW30</f>
        <v>1.0408340855860843E-16</v>
      </c>
      <c r="BX31" s="85">
        <f>BX29-BX30</f>
        <v>3.2959746043559335E-17</v>
      </c>
      <c r="BY31" s="85">
        <f>BY29-BY30</f>
        <v>1.6653345369377348E-16</v>
      </c>
      <c r="BZ31" s="85">
        <f>BZ29-BZ30</f>
        <v>0</v>
      </c>
      <c r="CA31" s="589">
        <f>CA29-CA30</f>
        <v>-1.7867651802561113E-16</v>
      </c>
      <c r="CB31" s="58"/>
      <c r="CC31" s="121">
        <f>CC29-CC30</f>
        <v>-1.2663481374630692E-16</v>
      </c>
      <c r="CD31" s="85">
        <f>CD29-CD30</f>
        <v>1.717376241217039E-16</v>
      </c>
      <c r="CE31" s="85">
        <f>CE29-CE30</f>
        <v>0</v>
      </c>
      <c r="CF31" s="85">
        <f>CF29-CF30</f>
        <v>2.6020852139652106E-17</v>
      </c>
      <c r="CG31" s="589">
        <f>CG29-CG30</f>
        <v>1.1102230246251565E-16</v>
      </c>
      <c r="CH31" s="58"/>
      <c r="CI31" s="121">
        <f>CI29-CI30</f>
        <v>1.700029006457271E-16</v>
      </c>
      <c r="CJ31" s="85">
        <f>CJ29-CJ30</f>
        <v>-1.8735013540549517E-16</v>
      </c>
      <c r="CK31" s="85">
        <f>CK29-CK30</f>
        <v>9.7144514654701197E-17</v>
      </c>
      <c r="CL31" s="85">
        <f>CL29-CL30</f>
        <v>-1.3183898417423734E-16</v>
      </c>
      <c r="CM31" s="589">
        <f>CM29-CM30</f>
        <v>2.9490299091605721E-16</v>
      </c>
      <c r="CN31" s="11"/>
      <c r="CO31" s="11"/>
      <c r="CP31" s="11"/>
      <c r="CQ31" s="11"/>
      <c r="CR31" s="11"/>
      <c r="CS31" s="11"/>
      <c r="CT31" s="11"/>
      <c r="CU31" s="11"/>
      <c r="CV31" s="11"/>
      <c r="CW31" s="11"/>
      <c r="CX31" s="11"/>
    </row>
    <row r="32" spans="1:102" s="31" customFormat="1" ht="11.25" customHeight="1" x14ac:dyDescent="0.2">
      <c r="A32" s="84"/>
      <c r="B32" s="607" t="s">
        <v>262</v>
      </c>
      <c r="C32" s="228"/>
      <c r="D32" s="239"/>
      <c r="E32" s="239"/>
      <c r="F32" s="229"/>
      <c r="G32" s="603"/>
      <c r="H32" s="58"/>
      <c r="I32" s="228">
        <v>0</v>
      </c>
      <c r="J32" s="239">
        <v>0</v>
      </c>
      <c r="K32" s="239">
        <v>0</v>
      </c>
      <c r="L32" s="85">
        <f>((M32*G28)-((I32*C28+J32*D28+K32*E28)))/F28</f>
        <v>0</v>
      </c>
      <c r="M32" s="603">
        <v>0</v>
      </c>
      <c r="N32" s="58"/>
      <c r="O32" s="228">
        <v>0</v>
      </c>
      <c r="P32" s="239">
        <v>0</v>
      </c>
      <c r="Q32" s="239">
        <v>1.0999999999999999E-2</v>
      </c>
      <c r="R32" s="85">
        <f>((S32*M28)-((O32*I28+P32*J28+Q32*K28)))/L28</f>
        <v>2.3477904759193886E-2</v>
      </c>
      <c r="S32" s="603">
        <v>8.9999999999999993E-3</v>
      </c>
      <c r="T32" s="58"/>
      <c r="U32" s="228">
        <v>8.0000000000000002E-3</v>
      </c>
      <c r="V32" s="239">
        <v>0</v>
      </c>
      <c r="W32" s="239">
        <v>8.0000000000000002E-3</v>
      </c>
      <c r="X32" s="85">
        <f>((Y32*S28)-((U32*O28+V32*P28+W32*Q28)))/R28</f>
        <v>1.1973946062858561E-2</v>
      </c>
      <c r="Y32" s="603">
        <v>7.0000000000000001E-3</v>
      </c>
      <c r="Z32" s="58"/>
      <c r="AA32" s="228">
        <v>0</v>
      </c>
      <c r="AB32" s="239">
        <v>0</v>
      </c>
      <c r="AC32" s="239">
        <v>0</v>
      </c>
      <c r="AD32" s="85">
        <f>((AE32*Y28)-((AA32*U28+AB32*V28+AC32*W28)))/X28</f>
        <v>3.9606021956496307E-3</v>
      </c>
      <c r="AE32" s="603">
        <v>1E-3</v>
      </c>
      <c r="AF32" s="58"/>
      <c r="AG32" s="228">
        <v>0</v>
      </c>
      <c r="AH32" s="239">
        <v>0</v>
      </c>
      <c r="AI32" s="239">
        <v>0</v>
      </c>
      <c r="AJ32" s="85">
        <f>((AK32*AE28)-((AG32*AA28+AH32*AB28+AI32*AC28)))/AD28</f>
        <v>0</v>
      </c>
      <c r="AK32" s="603">
        <v>0</v>
      </c>
      <c r="AL32" s="58"/>
      <c r="AM32" s="228">
        <v>0</v>
      </c>
      <c r="AN32" s="239">
        <v>0</v>
      </c>
      <c r="AO32" s="239">
        <v>0</v>
      </c>
      <c r="AP32" s="85">
        <f>((AQ32*AK28)-((AM32*AG28+AN32*AH28+AO32*AI28)))/AJ28</f>
        <v>7.6407419405472386E-3</v>
      </c>
      <c r="AQ32" s="603">
        <v>2E-3</v>
      </c>
      <c r="AR32" s="58"/>
      <c r="AS32" s="228">
        <v>0</v>
      </c>
      <c r="AT32" s="239">
        <v>0</v>
      </c>
      <c r="AU32" s="239">
        <v>0</v>
      </c>
      <c r="AV32" s="85">
        <f>((AW32*AQ28)-((AS32*AM28+AT32*AN28+AU32*AO28)))/AP28</f>
        <v>3.7365979260050074E-3</v>
      </c>
      <c r="AW32" s="603">
        <v>1E-3</v>
      </c>
      <c r="AX32" s="58"/>
      <c r="AY32" s="121">
        <f>((AY11*AS7)+(AY18*AS14)+(AY25*AS21))/AS28</f>
        <v>0</v>
      </c>
      <c r="AZ32" s="85">
        <f>((AZ11*AT7)+(AZ18*AT14)+(AZ25*AT21))/AT28</f>
        <v>0</v>
      </c>
      <c r="BA32" s="85">
        <f>((BA11*AU7)+(BA18*AU14)+(BA25*AU21))/AU28</f>
        <v>0</v>
      </c>
      <c r="BB32" s="85">
        <f>((BB11*AV7)+(BB18*AV14)+(BB25*AV21))/AV28</f>
        <v>0</v>
      </c>
      <c r="BC32" s="589">
        <f>SUMPRODUCT(AY32:BB32,AS28:AV28)/AW28</f>
        <v>0</v>
      </c>
      <c r="BD32" s="58"/>
      <c r="BE32" s="121">
        <f>((BE11*AY7)+(BE18*AY14)+(BE25*AY21))/AY28</f>
        <v>5.3280282349127052E-2</v>
      </c>
      <c r="BF32" s="85">
        <f>((BF11*AZ7)+(BF18*AZ14)+(BF25*AZ21))/AZ28</f>
        <v>0</v>
      </c>
      <c r="BG32" s="85">
        <f>((BG11*BA7)+(BG18*BA14)+(BG25*BA21))/BA28</f>
        <v>-1.1891133291301962E-2</v>
      </c>
      <c r="BH32" s="85">
        <f>((BH11*BB7)+(BH18*BB14)+(BH25*BB21))/BB28</f>
        <v>0</v>
      </c>
      <c r="BI32" s="589">
        <f>SUMPRODUCT(BE32:BH32,AY28:BB28)/BC28</f>
        <v>8.9702166001450097E-3</v>
      </c>
      <c r="BJ32" s="58"/>
      <c r="BK32" s="121">
        <f>((BK11*BE7)+(BK18*BE14)+(BK25*BE21))/BE28</f>
        <v>-5.1844285597539293E-2</v>
      </c>
      <c r="BL32" s="85">
        <f>((BL11*BF7)+(BL18*BF14)+(BL25*BF21))/BF28</f>
        <v>0</v>
      </c>
      <c r="BM32" s="85">
        <f>((BM11*BG7)+(BM18*BG14)+(BM25*BG21))/BG28</f>
        <v>0</v>
      </c>
      <c r="BN32" s="85">
        <f>((BN11*BH7)+(BN18*BH14)+(BN25*BH21))/BH28</f>
        <v>0</v>
      </c>
      <c r="BO32" s="589">
        <f>SUMPRODUCT(BK32:BN32,BE28:BH28)/BI28</f>
        <v>-1.2041079316413556E-2</v>
      </c>
      <c r="BP32" s="58"/>
      <c r="BQ32" s="121">
        <f>((BQ11*BK7)+(BQ18*BK14)+(BQ25*BK21))/BK28</f>
        <v>-2.0743708274752432E-2</v>
      </c>
      <c r="BR32" s="85">
        <f>((BR11*BL7)+(BR18*BL14)+(BR25*BL21))/BL28</f>
        <v>-8.9999999999999993E-3</v>
      </c>
      <c r="BS32" s="85">
        <f>((BS11*BM7)+(BS18*BM14)+(BS25*BM21))/BM28</f>
        <v>0</v>
      </c>
      <c r="BT32" s="85">
        <f>((BT11*BN7)+(BT18*BN14)+(BT25*BN21))/BN28</f>
        <v>0</v>
      </c>
      <c r="BU32" s="589">
        <f>SUMPRODUCT(BQ32:BT32,BK28:BN28)/BO28</f>
        <v>-7.0817972110972767E-3</v>
      </c>
      <c r="BV32" s="58"/>
      <c r="BW32" s="121">
        <f>((BW11*BQ7)+(BW18*BQ14)+(BW25*BQ21))/BQ28</f>
        <v>0</v>
      </c>
      <c r="BX32" s="85">
        <f>((BX11*BR7)+(BX18*BR14)+(BX25*BR21))/BR28</f>
        <v>0</v>
      </c>
      <c r="BY32" s="85">
        <f>((BY11*BS7)+(BY18*BS14)+(BY25*BS21))/BS28</f>
        <v>0</v>
      </c>
      <c r="BZ32" s="85">
        <f>((BZ11*BT7)+(BZ18*BT14)+(BZ25*BT21))/BT28</f>
        <v>0</v>
      </c>
      <c r="CA32" s="589">
        <f>SUMPRODUCT(BW32:BZ32,BQ28:BT28)/BU28</f>
        <v>0</v>
      </c>
      <c r="CB32" s="58"/>
      <c r="CC32" s="121">
        <f>((CC11*BW7)+(CC18*BW14)+(CC25*BW21))/BW28</f>
        <v>0</v>
      </c>
      <c r="CD32" s="85">
        <f>((CD11*BX7)+(CD18*BX14)+(CD25*BX21))/BX28</f>
        <v>0</v>
      </c>
      <c r="CE32" s="85">
        <f>((CE11*BY7)+(CE18*BY14)+(CE25*BY21))/BY28</f>
        <v>0</v>
      </c>
      <c r="CF32" s="85">
        <f>((CF11*BZ7)+(CF18*BZ14)+(CF25*BZ21))/BZ28</f>
        <v>0</v>
      </c>
      <c r="CG32" s="589">
        <f>SUMPRODUCT(CC32:CF32,BW28:BZ28)/CA28</f>
        <v>0</v>
      </c>
      <c r="CH32" s="58"/>
      <c r="CI32" s="121">
        <f>((CI11*CC7)+(CI18*CC14)+(CI25*CC21))/CC28</f>
        <v>0</v>
      </c>
      <c r="CJ32" s="85">
        <f>((CJ11*CD7)+(CJ18*CD14)+(CJ25*CD21))/CD28</f>
        <v>0</v>
      </c>
      <c r="CK32" s="85">
        <f>((CK11*CE7)+(CK18*CE14)+(CK25*CE21))/CE28</f>
        <v>0</v>
      </c>
      <c r="CL32" s="85">
        <f>((CL11*CF7)+(CL18*CF14)+(CL25*CF21))/CF28</f>
        <v>0</v>
      </c>
      <c r="CM32" s="589">
        <f>SUMPRODUCT(CI32:CL32,CC28:CF28)/CG28</f>
        <v>0</v>
      </c>
      <c r="CN32" s="11"/>
      <c r="CO32" s="11"/>
      <c r="CP32" s="11"/>
      <c r="CQ32" s="11"/>
      <c r="CR32" s="11"/>
      <c r="CS32" s="11"/>
      <c r="CT32" s="11"/>
      <c r="CU32" s="11"/>
      <c r="CV32" s="11"/>
      <c r="CW32" s="11"/>
      <c r="CX32" s="11"/>
    </row>
    <row r="33" spans="1:102" s="31" customFormat="1" ht="11.25" customHeight="1" x14ac:dyDescent="0.2">
      <c r="B33" s="620" t="s">
        <v>265</v>
      </c>
      <c r="C33" s="257"/>
      <c r="D33" s="382"/>
      <c r="E33" s="382"/>
      <c r="F33" s="382"/>
      <c r="G33" s="621"/>
      <c r="H33" s="622"/>
      <c r="I33" s="257">
        <f>+I30-I32</f>
        <v>5.7000000000000002E-2</v>
      </c>
      <c r="J33" s="382">
        <f>+J30-J32</f>
        <v>4.3999999999999997E-2</v>
      </c>
      <c r="K33" s="382">
        <f>+K30-K32</f>
        <v>8.8999999999999996E-2</v>
      </c>
      <c r="L33" s="382">
        <f>+L30-L32</f>
        <v>3.759222261336264E-2</v>
      </c>
      <c r="M33" s="621">
        <f>+M30-M32</f>
        <v>5.7000000000000002E-2</v>
      </c>
      <c r="N33" s="622"/>
      <c r="O33" s="257">
        <f>+O30-O32</f>
        <v>0.04</v>
      </c>
      <c r="P33" s="382">
        <f>+P30-P32</f>
        <v>4.0000000000000001E-3</v>
      </c>
      <c r="Q33" s="382">
        <f>+Q30-Q32</f>
        <v>-1.237107610669096E-2</v>
      </c>
      <c r="R33" s="382">
        <f>+R30-R32</f>
        <v>-3.4251732750768482E-2</v>
      </c>
      <c r="S33" s="621">
        <f>+S30-S32</f>
        <v>-2E-3</v>
      </c>
      <c r="T33" s="622"/>
      <c r="U33" s="257">
        <f>+U30-U32</f>
        <v>-1.2E-2</v>
      </c>
      <c r="V33" s="382">
        <f>+V30-V32</f>
        <v>1E-3</v>
      </c>
      <c r="W33" s="382">
        <f>+W30-W32</f>
        <v>-1.9999999999999992E-3</v>
      </c>
      <c r="X33" s="382">
        <f>+X30-X32</f>
        <v>-3.425327103329226E-3</v>
      </c>
      <c r="Y33" s="621">
        <f>+Y30-Y32</f>
        <v>-4.0000000000000001E-3</v>
      </c>
      <c r="Z33" s="622"/>
      <c r="AA33" s="257">
        <f>+AA30-AA32</f>
        <v>6.2E-2</v>
      </c>
      <c r="AB33" s="382">
        <f>+AB30-AB32</f>
        <v>4.8000000000000001E-2</v>
      </c>
      <c r="AC33" s="382">
        <f>+AC30-AC32</f>
        <v>-2.5999999999999999E-2</v>
      </c>
      <c r="AD33" s="382">
        <f>+AD30-AD32</f>
        <v>1.7228101976377037E-2</v>
      </c>
      <c r="AE33" s="621">
        <f>+AE30-AE32</f>
        <v>2.4E-2</v>
      </c>
      <c r="AF33" s="622"/>
      <c r="AG33" s="257">
        <f>+AG30-AG32</f>
        <v>-1.7000000000000001E-2</v>
      </c>
      <c r="AH33" s="382">
        <f>+AH30-AH32</f>
        <v>-2.1999999999999999E-2</v>
      </c>
      <c r="AI33" s="382">
        <f>+AI30-AI32</f>
        <v>8.5999999999999993E-2</v>
      </c>
      <c r="AJ33" s="382">
        <f>+AJ30-AJ32</f>
        <v>3.9962398799553323E-2</v>
      </c>
      <c r="AK33" s="621">
        <f>+AK30-AK32</f>
        <v>2.1999999999999999E-2</v>
      </c>
      <c r="AL33" s="622"/>
      <c r="AM33" s="257">
        <f>+AM30-AM32</f>
        <v>6.4000000000000001E-2</v>
      </c>
      <c r="AN33" s="382">
        <f>+AN30-AN32</f>
        <v>-3.0000000000000001E-3</v>
      </c>
      <c r="AO33" s="382">
        <f>+AO30-AO32</f>
        <v>3.5000000000000003E-2</v>
      </c>
      <c r="AP33" s="382">
        <f>+AP30-AP32</f>
        <v>5.1750264668654886E-2</v>
      </c>
      <c r="AQ33" s="621">
        <f>+AQ30-AQ32</f>
        <v>3.6999999999999998E-2</v>
      </c>
      <c r="AR33" s="622"/>
      <c r="AS33" s="257">
        <f>+AS30-AS32</f>
        <v>-2.3E-2</v>
      </c>
      <c r="AT33" s="382">
        <f>+AT30-AT32</f>
        <v>2.5000000000000001E-2</v>
      </c>
      <c r="AU33" s="382">
        <f>+AU30-AU32</f>
        <v>2.5000000000000001E-2</v>
      </c>
      <c r="AV33" s="382">
        <f>+AV30-AV32</f>
        <v>-6.9727821520249285E-3</v>
      </c>
      <c r="AW33" s="621">
        <f>+AW30-AW32</f>
        <v>5.0000000000000001E-3</v>
      </c>
      <c r="AX33" s="622"/>
      <c r="AY33" s="257">
        <f>+AY30-AY32</f>
        <v>2.5443721322982969E-3</v>
      </c>
      <c r="AZ33" s="382">
        <f>+AZ30-AZ32</f>
        <v>7.4752337261922319E-2</v>
      </c>
      <c r="BA33" s="382">
        <f>+BA30-BA32</f>
        <v>-2.607526267008323E-2</v>
      </c>
      <c r="BB33" s="382">
        <f>+BB30-BB32</f>
        <v>0.10270798975030832</v>
      </c>
      <c r="BC33" s="621">
        <f>+BC30-BC32</f>
        <v>3.8088982065389416E-2</v>
      </c>
      <c r="BD33" s="622"/>
      <c r="BE33" s="257">
        <f>+BE30-BE32</f>
        <v>2.090496321430018E-2</v>
      </c>
      <c r="BF33" s="382">
        <f>+BF30-BF32</f>
        <v>3.0427469812836217E-2</v>
      </c>
      <c r="BG33" s="382">
        <f>+BG30-BG32</f>
        <v>7.3440373042061385E-2</v>
      </c>
      <c r="BH33" s="382">
        <f>+BH30-BH32</f>
        <v>-5.2428928978317611E-3</v>
      </c>
      <c r="BI33" s="621">
        <f>+BI30-BI32</f>
        <v>2.9284129253669664E-2</v>
      </c>
      <c r="BJ33" s="622"/>
      <c r="BK33" s="257">
        <f>+BK30-BK32</f>
        <v>2.079857315989616E-2</v>
      </c>
      <c r="BL33" s="382">
        <f>+BL30-BL32</f>
        <v>1.6222922161504262E-4</v>
      </c>
      <c r="BM33" s="382">
        <f>+BM30-BM32</f>
        <v>-1.976000351289342E-2</v>
      </c>
      <c r="BN33" s="382">
        <f>+BN30-BN32</f>
        <v>-8.2584768569978734E-2</v>
      </c>
      <c r="BO33" s="621">
        <f>+BO30-BO32</f>
        <v>-2.2301539353712131E-2</v>
      </c>
      <c r="BP33" s="622"/>
      <c r="BQ33" s="257">
        <f>+BQ30-BQ32</f>
        <v>-4.254329297746598E-2</v>
      </c>
      <c r="BR33" s="382">
        <f>+BR30-BR32</f>
        <v>-7.4630492907524382E-2</v>
      </c>
      <c r="BS33" s="382">
        <f>+BS30-BS32</f>
        <v>-8.1255692168667973E-2</v>
      </c>
      <c r="BT33" s="382">
        <f>+BT30-BT32</f>
        <v>-2.3107237184427015E-2</v>
      </c>
      <c r="BU33" s="621">
        <f>+BU30-BU32</f>
        <v>-5.5824803774000745E-2</v>
      </c>
      <c r="BV33" s="622"/>
      <c r="BW33" s="257">
        <f>+BW30-BW32</f>
        <v>-4.6663460593245658E-2</v>
      </c>
      <c r="BX33" s="382">
        <f>+BX30-BX32</f>
        <v>-4.0404963603850926E-3</v>
      </c>
      <c r="BY33" s="382">
        <f>+BY30-BY32</f>
        <v>9.5377043903806524E-3</v>
      </c>
      <c r="BZ33" s="382">
        <f>+BZ30-BZ32</f>
        <v>7.7942623601148188E-3</v>
      </c>
      <c r="CA33" s="621">
        <f>+CA30-CA32</f>
        <v>-7.2541758293272352E-3</v>
      </c>
      <c r="CB33" s="622"/>
      <c r="CC33" s="257">
        <f>+CC30-CC32</f>
        <v>8.7449429351335196E-3</v>
      </c>
      <c r="CD33" s="382">
        <f>+CD30-CD32</f>
        <v>8.0590813021839628E-3</v>
      </c>
      <c r="CE33" s="382">
        <f>+CE30-CE32</f>
        <v>1.4818273966331397E-2</v>
      </c>
      <c r="CF33" s="382">
        <f>+CF30-CF32</f>
        <v>1.4668252292640212E-2</v>
      </c>
      <c r="CG33" s="621">
        <f>+CG30-CG32</f>
        <v>1.175907735610815E-2</v>
      </c>
      <c r="CH33" s="622"/>
      <c r="CI33" s="257">
        <f>+CI30-CI32</f>
        <v>1.4166597625938911E-2</v>
      </c>
      <c r="CJ33" s="382">
        <f>+CJ30-CJ32</f>
        <v>1.4627690691966198E-2</v>
      </c>
      <c r="CK33" s="382">
        <f>+CK30-CK32</f>
        <v>1.4842876376722672E-2</v>
      </c>
      <c r="CL33" s="382">
        <f>+CL30-CL32</f>
        <v>1.4692782421973048E-2</v>
      </c>
      <c r="CM33" s="621">
        <f>+CM30-CM32</f>
        <v>1.4599759620262203E-2</v>
      </c>
      <c r="CN33" s="11"/>
      <c r="CO33" s="11"/>
      <c r="CP33" s="11"/>
      <c r="CQ33" s="11"/>
      <c r="CR33" s="11"/>
      <c r="CS33" s="11"/>
      <c r="CT33" s="11"/>
      <c r="CU33" s="11"/>
      <c r="CV33" s="11"/>
      <c r="CW33" s="11"/>
      <c r="CX33" s="11"/>
    </row>
    <row r="34" spans="1:102" s="31" customFormat="1" ht="11.25" customHeight="1" x14ac:dyDescent="0.2">
      <c r="A34" s="84"/>
      <c r="B34" s="607"/>
      <c r="C34" s="228"/>
      <c r="D34" s="239"/>
      <c r="E34" s="239"/>
      <c r="F34" s="229"/>
      <c r="G34" s="589"/>
      <c r="H34" s="106"/>
      <c r="I34" s="228"/>
      <c r="J34" s="239"/>
      <c r="K34" s="239"/>
      <c r="L34" s="229"/>
      <c r="M34" s="589"/>
      <c r="N34" s="106"/>
      <c r="O34" s="228"/>
      <c r="P34" s="239"/>
      <c r="Q34" s="239"/>
      <c r="R34" s="229"/>
      <c r="S34" s="589"/>
      <c r="T34" s="106"/>
      <c r="U34" s="228"/>
      <c r="V34" s="239"/>
      <c r="W34" s="239"/>
      <c r="X34" s="229"/>
      <c r="Y34" s="589"/>
      <c r="Z34" s="106"/>
      <c r="AA34" s="228"/>
      <c r="AB34" s="239"/>
      <c r="AC34" s="239"/>
      <c r="AD34" s="229"/>
      <c r="AE34" s="589"/>
      <c r="AF34" s="106"/>
      <c r="AG34" s="228"/>
      <c r="AH34" s="239"/>
      <c r="AI34" s="239"/>
      <c r="AJ34" s="229"/>
      <c r="AK34" s="589"/>
      <c r="AL34" s="106"/>
      <c r="AM34" s="228"/>
      <c r="AN34" s="239"/>
      <c r="AO34" s="239"/>
      <c r="AP34" s="229"/>
      <c r="AQ34" s="589"/>
      <c r="AR34" s="106"/>
      <c r="AS34" s="228"/>
      <c r="AT34" s="239"/>
      <c r="AU34" s="239"/>
      <c r="AV34" s="229"/>
      <c r="AW34" s="589"/>
      <c r="AX34" s="106"/>
      <c r="AY34" s="228"/>
      <c r="AZ34" s="239"/>
      <c r="BA34" s="239"/>
      <c r="BB34" s="229"/>
      <c r="BC34" s="589"/>
      <c r="BD34" s="106"/>
      <c r="BE34" s="228"/>
      <c r="BF34" s="239"/>
      <c r="BG34" s="239"/>
      <c r="BH34" s="239"/>
      <c r="BI34" s="589"/>
      <c r="BJ34" s="106"/>
      <c r="BK34" s="228"/>
      <c r="BL34" s="239"/>
      <c r="BM34" s="596"/>
      <c r="BN34" s="596"/>
      <c r="BO34" s="589"/>
      <c r="BP34" s="106"/>
      <c r="BQ34" s="228"/>
      <c r="BR34" s="239"/>
      <c r="BS34" s="596"/>
      <c r="BT34" s="596"/>
      <c r="BU34" s="589"/>
      <c r="BV34" s="106"/>
      <c r="BW34" s="595"/>
      <c r="BX34" s="596"/>
      <c r="BY34" s="596"/>
      <c r="BZ34" s="596"/>
      <c r="CA34" s="1020"/>
      <c r="CB34" s="106"/>
      <c r="CC34" s="595"/>
      <c r="CD34" s="596"/>
      <c r="CE34" s="596"/>
      <c r="CF34" s="596"/>
      <c r="CG34" s="589"/>
      <c r="CH34" s="106"/>
      <c r="CI34" s="595"/>
      <c r="CJ34" s="596"/>
      <c r="CK34" s="596"/>
      <c r="CL34" s="596"/>
      <c r="CM34" s="589"/>
      <c r="CN34" s="11"/>
      <c r="CO34" s="11"/>
      <c r="CP34" s="11"/>
      <c r="CQ34" s="11"/>
      <c r="CR34" s="11"/>
      <c r="CS34" s="11"/>
      <c r="CT34" s="11"/>
      <c r="CU34" s="11"/>
      <c r="CV34" s="11"/>
      <c r="CW34" s="11"/>
      <c r="CX34" s="11"/>
    </row>
    <row r="35" spans="1:102" s="9" customFormat="1" ht="11.25" customHeight="1" x14ac:dyDescent="0.2">
      <c r="A35" s="12"/>
      <c r="B35" s="567" t="s">
        <v>311</v>
      </c>
      <c r="C35" s="618"/>
      <c r="D35" s="619"/>
      <c r="E35" s="619"/>
      <c r="F35" s="619"/>
      <c r="G35" s="617"/>
      <c r="H35" s="585"/>
      <c r="I35" s="618"/>
      <c r="J35" s="619"/>
      <c r="K35" s="619"/>
      <c r="L35" s="619"/>
      <c r="M35" s="617"/>
      <c r="N35" s="585"/>
      <c r="O35" s="618"/>
      <c r="P35" s="619"/>
      <c r="Q35" s="619"/>
      <c r="R35" s="619"/>
      <c r="S35" s="617"/>
      <c r="T35" s="585"/>
      <c r="U35" s="618"/>
      <c r="V35" s="619"/>
      <c r="W35" s="619"/>
      <c r="X35" s="619"/>
      <c r="Y35" s="617"/>
      <c r="Z35" s="585"/>
      <c r="AA35" s="618"/>
      <c r="AB35" s="619"/>
      <c r="AC35" s="619"/>
      <c r="AD35" s="619"/>
      <c r="AE35" s="617"/>
      <c r="AF35" s="585"/>
      <c r="AG35" s="618"/>
      <c r="AH35" s="619"/>
      <c r="AI35" s="619"/>
      <c r="AJ35" s="619"/>
      <c r="AK35" s="617"/>
      <c r="AL35" s="585"/>
      <c r="AM35" s="618"/>
      <c r="AN35" s="619"/>
      <c r="AO35" s="619"/>
      <c r="AP35" s="619"/>
      <c r="AQ35" s="617"/>
      <c r="AR35" s="585"/>
      <c r="AS35" s="618"/>
      <c r="AT35" s="619"/>
      <c r="AU35" s="619"/>
      <c r="AV35" s="619"/>
      <c r="AW35" s="617"/>
      <c r="AX35" s="585"/>
      <c r="AY35" s="618"/>
      <c r="AZ35" s="619"/>
      <c r="BA35" s="619"/>
      <c r="BB35" s="619"/>
      <c r="BC35" s="617"/>
      <c r="BD35" s="585"/>
      <c r="BE35" s="618"/>
      <c r="BF35" s="619"/>
      <c r="BG35" s="619"/>
      <c r="BH35" s="619"/>
      <c r="BI35" s="617"/>
      <c r="BJ35" s="585"/>
      <c r="BK35" s="618"/>
      <c r="BL35" s="619"/>
      <c r="BM35" s="619"/>
      <c r="BN35" s="619"/>
      <c r="BO35" s="617"/>
      <c r="BP35" s="585"/>
      <c r="BQ35" s="618"/>
      <c r="BR35" s="619"/>
      <c r="BS35" s="619"/>
      <c r="BT35" s="619"/>
      <c r="BU35" s="617"/>
      <c r="BV35" s="585"/>
      <c r="BW35" s="618"/>
      <c r="BX35" s="619"/>
      <c r="BY35" s="619"/>
      <c r="BZ35" s="619"/>
      <c r="CA35" s="617"/>
      <c r="CB35" s="585"/>
      <c r="CC35" s="618"/>
      <c r="CD35" s="619"/>
      <c r="CE35" s="619"/>
      <c r="CF35" s="619"/>
      <c r="CG35" s="617"/>
      <c r="CH35" s="585"/>
      <c r="CI35" s="618"/>
      <c r="CJ35" s="619"/>
      <c r="CK35" s="619"/>
      <c r="CL35" s="619"/>
      <c r="CM35" s="617"/>
      <c r="CN35" s="11"/>
      <c r="CO35" s="11"/>
      <c r="CP35" s="11"/>
      <c r="CQ35" s="11"/>
      <c r="CR35" s="11"/>
      <c r="CS35" s="11"/>
      <c r="CT35" s="11"/>
      <c r="CU35" s="11"/>
      <c r="CV35" s="11"/>
      <c r="CW35" s="11"/>
      <c r="CX35" s="11"/>
    </row>
    <row r="36" spans="1:102" s="9" customFormat="1" ht="11.25" customHeight="1" x14ac:dyDescent="0.2">
      <c r="A36" s="12"/>
      <c r="B36" s="620" t="s">
        <v>308</v>
      </c>
      <c r="C36" s="576"/>
      <c r="D36" s="585"/>
      <c r="E36" s="585"/>
      <c r="F36" s="585"/>
      <c r="G36" s="594"/>
      <c r="H36" s="585"/>
      <c r="I36" s="576"/>
      <c r="J36" s="585"/>
      <c r="K36" s="585"/>
      <c r="L36" s="585"/>
      <c r="M36" s="594"/>
      <c r="N36" s="585"/>
      <c r="O36" s="576"/>
      <c r="P36" s="585"/>
      <c r="Q36" s="585"/>
      <c r="R36" s="585"/>
      <c r="S36" s="594"/>
      <c r="T36" s="585"/>
      <c r="U36" s="576"/>
      <c r="V36" s="585"/>
      <c r="W36" s="585"/>
      <c r="X36" s="585"/>
      <c r="Y36" s="594"/>
      <c r="Z36" s="585"/>
      <c r="AA36" s="576"/>
      <c r="AB36" s="585"/>
      <c r="AC36" s="585"/>
      <c r="AD36" s="585"/>
      <c r="AE36" s="594"/>
      <c r="AF36" s="585"/>
      <c r="AG36" s="576"/>
      <c r="AH36" s="585"/>
      <c r="AI36" s="585"/>
      <c r="AJ36" s="585"/>
      <c r="AK36" s="594"/>
      <c r="AL36" s="585"/>
      <c r="AM36" s="576"/>
      <c r="AN36" s="585"/>
      <c r="AO36" s="585"/>
      <c r="AP36" s="585"/>
      <c r="AQ36" s="594"/>
      <c r="AR36" s="585"/>
      <c r="AS36" s="576"/>
      <c r="AT36" s="585"/>
      <c r="AU36" s="585"/>
      <c r="AV36" s="585"/>
      <c r="AW36" s="594"/>
      <c r="AX36" s="585"/>
      <c r="AY36" s="576">
        <v>370.34899999999999</v>
      </c>
      <c r="AZ36" s="585">
        <v>359.60300000000001</v>
      </c>
      <c r="BA36" s="585">
        <v>315.85899999999998</v>
      </c>
      <c r="BB36" s="585">
        <v>332.363</v>
      </c>
      <c r="BC36" s="594">
        <f>+SUM(AY36:BB36)</f>
        <v>1378.174</v>
      </c>
      <c r="BD36" s="585"/>
      <c r="BE36" s="576">
        <v>537.255</v>
      </c>
      <c r="BF36" s="585">
        <v>755.053</v>
      </c>
      <c r="BG36" s="585">
        <v>726.00300000000004</v>
      </c>
      <c r="BH36" s="585">
        <v>756.72400000000005</v>
      </c>
      <c r="BI36" s="594">
        <f>+SUM(BE36:BH36)</f>
        <v>2775.0350000000003</v>
      </c>
      <c r="BJ36" s="585"/>
      <c r="BK36" s="576">
        <v>743.27300000000002</v>
      </c>
      <c r="BL36" s="585">
        <v>787.995</v>
      </c>
      <c r="BM36" s="585">
        <v>738.91700000000003</v>
      </c>
      <c r="BN36" s="585">
        <v>808.93899999999996</v>
      </c>
      <c r="BO36" s="594">
        <f>+SUM(BK36:BN36)</f>
        <v>3079.1239999999998</v>
      </c>
      <c r="BP36" s="585"/>
      <c r="BQ36" s="576">
        <v>759.92700000000002</v>
      </c>
      <c r="BR36" s="585">
        <v>804.87400000000002</v>
      </c>
      <c r="BS36" s="585">
        <v>771.89300000000003</v>
      </c>
      <c r="BT36" s="136">
        <f>+BN36*(1+BT37)</f>
        <v>821.58067405970223</v>
      </c>
      <c r="BU36" s="594">
        <f>+SUM(BQ36:BT36)</f>
        <v>3158.2746740597022</v>
      </c>
      <c r="BV36" s="585"/>
      <c r="BW36" s="578">
        <f>+BQ36*(1+BW37)</f>
        <v>790.32408000000009</v>
      </c>
      <c r="BX36" s="136">
        <f>+BR36*(1+BX37)</f>
        <v>853.16644000000008</v>
      </c>
      <c r="BY36" s="136">
        <f>+BS36*(1+BY37)</f>
        <v>802.76872000000003</v>
      </c>
      <c r="BZ36" s="136">
        <f>+BT36*(1+BZ37)</f>
        <v>870.87551450328442</v>
      </c>
      <c r="CA36" s="594">
        <f>+SUM(BW36:BZ36)</f>
        <v>3317.134754503285</v>
      </c>
      <c r="CB36" s="585"/>
      <c r="CC36" s="578">
        <f>+BW36*(1+CC37)</f>
        <v>817.98542280000004</v>
      </c>
      <c r="CD36" s="136">
        <f>+BX36*(1+CD37)</f>
        <v>883.02726540000003</v>
      </c>
      <c r="CE36" s="136">
        <f>+BY36*(1+CE37)</f>
        <v>830.86562519999995</v>
      </c>
      <c r="CF36" s="136">
        <f>+BZ36*(1+CF37)</f>
        <v>901.35615751089927</v>
      </c>
      <c r="CG36" s="594">
        <f>+SUM(CC36:CF36)</f>
        <v>3433.2344709108993</v>
      </c>
      <c r="CH36" s="585"/>
      <c r="CI36" s="578">
        <f>+CC36*(1+CI37)</f>
        <v>846.61491259799993</v>
      </c>
      <c r="CJ36" s="136">
        <f>+CD36*(1+CJ37)</f>
        <v>913.933219689</v>
      </c>
      <c r="CK36" s="136">
        <f>+CE36*(1+CK37)</f>
        <v>859.94592208199992</v>
      </c>
      <c r="CL36" s="136">
        <f>+CF36*(1+CL37)</f>
        <v>932.90362302378071</v>
      </c>
      <c r="CM36" s="594">
        <f>+SUM(CI36:CL36)</f>
        <v>3553.3976773927807</v>
      </c>
      <c r="CN36" s="11"/>
      <c r="CO36" s="11"/>
      <c r="CP36" s="11"/>
      <c r="CQ36" s="11"/>
      <c r="CR36" s="11"/>
      <c r="CS36" s="11"/>
      <c r="CT36" s="11"/>
      <c r="CU36" s="11"/>
      <c r="CV36" s="11"/>
      <c r="CW36" s="11"/>
      <c r="CX36" s="11"/>
    </row>
    <row r="37" spans="1:102" s="31" customFormat="1" ht="11.25" customHeight="1" x14ac:dyDescent="0.2">
      <c r="B37" s="267" t="s">
        <v>261</v>
      </c>
      <c r="C37" s="121"/>
      <c r="D37" s="85"/>
      <c r="E37" s="85"/>
      <c r="F37" s="85"/>
      <c r="G37" s="589"/>
      <c r="H37" s="58"/>
      <c r="I37" s="121"/>
      <c r="J37" s="85"/>
      <c r="K37" s="85"/>
      <c r="L37" s="85"/>
      <c r="M37" s="589"/>
      <c r="N37" s="58"/>
      <c r="O37" s="121"/>
      <c r="P37" s="85"/>
      <c r="Q37" s="85"/>
      <c r="R37" s="85"/>
      <c r="S37" s="589"/>
      <c r="T37" s="58"/>
      <c r="U37" s="121"/>
      <c r="V37" s="85"/>
      <c r="W37" s="85"/>
      <c r="X37" s="85"/>
      <c r="Y37" s="589"/>
      <c r="Z37" s="58"/>
      <c r="AA37" s="600"/>
      <c r="AB37" s="139"/>
      <c r="AC37" s="139"/>
      <c r="AD37" s="139"/>
      <c r="AE37" s="589"/>
      <c r="AF37" s="58"/>
      <c r="AG37" s="600"/>
      <c r="AH37" s="139"/>
      <c r="AI37" s="139"/>
      <c r="AJ37" s="139"/>
      <c r="AK37" s="589"/>
      <c r="AL37" s="58"/>
      <c r="AM37" s="121"/>
      <c r="AN37" s="85"/>
      <c r="AO37" s="85"/>
      <c r="AP37" s="85"/>
      <c r="AQ37" s="589"/>
      <c r="AR37" s="58"/>
      <c r="AS37" s="121"/>
      <c r="AT37" s="85"/>
      <c r="AU37" s="85"/>
      <c r="AV37" s="85"/>
      <c r="AW37" s="589"/>
      <c r="AX37" s="58"/>
      <c r="AY37" s="121"/>
      <c r="AZ37" s="85"/>
      <c r="BA37" s="85"/>
      <c r="BB37" s="85"/>
      <c r="BC37" s="589"/>
      <c r="BD37" s="58"/>
      <c r="BE37" s="121">
        <f>BE36/AY36-1</f>
        <v>0.45067220378615858</v>
      </c>
      <c r="BF37" s="85">
        <f>BF36/AZ36-1</f>
        <v>1.0996849303259428</v>
      </c>
      <c r="BG37" s="85">
        <f>BG36/BA36-1</f>
        <v>1.2985034461579379</v>
      </c>
      <c r="BH37" s="85">
        <f>BH36/BB36-1</f>
        <v>1.276799764113334</v>
      </c>
      <c r="BI37" s="589">
        <f>BI36/BC36-1</f>
        <v>1.0135592457846401</v>
      </c>
      <c r="BJ37" s="58"/>
      <c r="BK37" s="121">
        <f>BK36/BE36-1</f>
        <v>0.38346409060874276</v>
      </c>
      <c r="BL37" s="85">
        <f>BL36/BF36-1</f>
        <v>4.3628725400733481E-2</v>
      </c>
      <c r="BM37" s="85">
        <f>BM36/BG36-1</f>
        <v>1.7787805284551039E-2</v>
      </c>
      <c r="BN37" s="85">
        <f>BN36/BH36-1</f>
        <v>6.9001379631146831E-2</v>
      </c>
      <c r="BO37" s="589">
        <f>BO36/BI36-1</f>
        <v>0.10958023952851015</v>
      </c>
      <c r="BP37" s="58"/>
      <c r="BQ37" s="121">
        <f>BQ36/BK36-1</f>
        <v>2.240630293310808E-2</v>
      </c>
      <c r="BR37" s="85">
        <f>BR36/BL36-1</f>
        <v>2.1420186676311515E-2</v>
      </c>
      <c r="BS37" s="85">
        <f>BS36/BM36-1</f>
        <v>4.4627475075008416E-2</v>
      </c>
      <c r="BT37" s="85">
        <f>+BT38+BT39</f>
        <v>1.5627475075008414E-2</v>
      </c>
      <c r="BU37" s="589">
        <f>BU36/BO36-1</f>
        <v>2.5705581866694027E-2</v>
      </c>
      <c r="BV37" s="58"/>
      <c r="BW37" s="121">
        <f>+BW38+BW39</f>
        <v>0.04</v>
      </c>
      <c r="BX37" s="85">
        <f>+BX38+BX39</f>
        <v>0.06</v>
      </c>
      <c r="BY37" s="85">
        <f>+BY38+BY39</f>
        <v>0.04</v>
      </c>
      <c r="BZ37" s="85">
        <f>+BZ38+BZ39</f>
        <v>0.06</v>
      </c>
      <c r="CA37" s="589">
        <f>CA36/BU36-1</f>
        <v>5.0299640417083014E-2</v>
      </c>
      <c r="CB37" s="58"/>
      <c r="CC37" s="121">
        <f>+CC38+CC39</f>
        <v>3.5000000000000003E-2</v>
      </c>
      <c r="CD37" s="85">
        <f>+CD38+CD39</f>
        <v>3.5000000000000003E-2</v>
      </c>
      <c r="CE37" s="85">
        <f>+CE38+CE39</f>
        <v>3.5000000000000003E-2</v>
      </c>
      <c r="CF37" s="85">
        <f>+CF38+CF39</f>
        <v>3.5000000000000003E-2</v>
      </c>
      <c r="CG37" s="589">
        <f>CG36/CA36-1</f>
        <v>3.4999999999999698E-2</v>
      </c>
      <c r="CH37" s="58"/>
      <c r="CI37" s="121">
        <f>+CI38+CI39</f>
        <v>3.5000000000000003E-2</v>
      </c>
      <c r="CJ37" s="85">
        <f>+CJ38+CJ39</f>
        <v>3.5000000000000003E-2</v>
      </c>
      <c r="CK37" s="85">
        <f>+CK38+CK39</f>
        <v>3.5000000000000003E-2</v>
      </c>
      <c r="CL37" s="85">
        <f>+CL38+CL39</f>
        <v>3.5000000000000003E-2</v>
      </c>
      <c r="CM37" s="589">
        <f>CM36/CG36-1</f>
        <v>3.499999999999992E-2</v>
      </c>
      <c r="CN37" s="11"/>
      <c r="CO37" s="11"/>
      <c r="CP37" s="11"/>
      <c r="CQ37" s="11"/>
      <c r="CR37" s="11"/>
      <c r="CS37" s="11"/>
      <c r="CT37" s="11"/>
      <c r="CU37" s="11"/>
      <c r="CV37" s="11"/>
      <c r="CW37" s="11"/>
      <c r="CX37" s="11"/>
    </row>
    <row r="38" spans="1:102" s="31" customFormat="1" ht="11.25" customHeight="1" x14ac:dyDescent="0.2">
      <c r="B38" s="267" t="s">
        <v>264</v>
      </c>
      <c r="C38" s="228"/>
      <c r="D38" s="239"/>
      <c r="E38" s="239"/>
      <c r="F38" s="229"/>
      <c r="G38" s="589"/>
      <c r="H38" s="106"/>
      <c r="I38" s="228"/>
      <c r="J38" s="239"/>
      <c r="K38" s="239"/>
      <c r="L38" s="229"/>
      <c r="M38" s="589"/>
      <c r="N38" s="106"/>
      <c r="O38" s="228"/>
      <c r="P38" s="239"/>
      <c r="Q38" s="239"/>
      <c r="R38" s="229"/>
      <c r="S38" s="589"/>
      <c r="T38" s="106"/>
      <c r="U38" s="228"/>
      <c r="V38" s="239"/>
      <c r="W38" s="239"/>
      <c r="X38" s="229"/>
      <c r="Y38" s="589"/>
      <c r="Z38" s="106"/>
      <c r="AA38" s="228"/>
      <c r="AB38" s="239"/>
      <c r="AC38" s="239"/>
      <c r="AD38" s="229"/>
      <c r="AE38" s="589"/>
      <c r="AF38" s="106"/>
      <c r="AG38" s="228"/>
      <c r="AH38" s="239"/>
      <c r="AI38" s="239"/>
      <c r="AJ38" s="229"/>
      <c r="AK38" s="589"/>
      <c r="AL38" s="106"/>
      <c r="AM38" s="121"/>
      <c r="AN38" s="85"/>
      <c r="AO38" s="85"/>
      <c r="AP38" s="85"/>
      <c r="AQ38" s="589"/>
      <c r="AR38" s="106"/>
      <c r="AS38" s="121"/>
      <c r="AT38" s="85"/>
      <c r="AU38" s="85"/>
      <c r="AV38" s="85"/>
      <c r="AW38" s="603"/>
      <c r="AX38" s="106"/>
      <c r="AY38" s="228"/>
      <c r="AZ38" s="239"/>
      <c r="BA38" s="239"/>
      <c r="BB38" s="239"/>
      <c r="BC38" s="589"/>
      <c r="BD38" s="106"/>
      <c r="BE38" s="228">
        <f>(45.1+3.7)%</f>
        <v>0.48800000000000004</v>
      </c>
      <c r="BF38" s="239">
        <f>(110+2.8)%</f>
        <v>1.1279999999999999</v>
      </c>
      <c r="BG38" s="239">
        <f>(129.9+2)%</f>
        <v>1.319</v>
      </c>
      <c r="BH38" s="239">
        <f>(127.7+2.3)%</f>
        <v>1.3</v>
      </c>
      <c r="BI38" s="589">
        <f>SUMPRODUCT(BE38:BH38,AY36:BB36)/BC36</f>
        <v>1.0412708533175055</v>
      </c>
      <c r="BJ38" s="106"/>
      <c r="BK38" s="228">
        <f>(38.3+3)%</f>
        <v>0.41299999999999998</v>
      </c>
      <c r="BL38" s="239">
        <f>(4.4+3.6)%</f>
        <v>0.08</v>
      </c>
      <c r="BM38" s="239">
        <f>(1.8+3.2)%</f>
        <v>0.05</v>
      </c>
      <c r="BN38" s="239">
        <f>(6.9+2.6)%</f>
        <v>9.5000000000000001E-2</v>
      </c>
      <c r="BO38" s="589">
        <f>SUMPRODUCT(BK38:BN38,BE36:BH36)/BI36</f>
        <v>0.14071155318761741</v>
      </c>
      <c r="BP38" s="106"/>
      <c r="BQ38" s="228">
        <v>3.7999999999999999E-2</v>
      </c>
      <c r="BR38" s="239">
        <v>1.4999999999999999E-2</v>
      </c>
      <c r="BS38" s="239">
        <v>2.9000000000000001E-2</v>
      </c>
      <c r="BT38" s="596">
        <v>0</v>
      </c>
      <c r="BU38" s="589">
        <f>SUMPRODUCT(BQ38:BT38,BK36:BN36)/BO36</f>
        <v>1.9970904711859607E-2</v>
      </c>
      <c r="BV38" s="106"/>
      <c r="BW38" s="595">
        <v>0.04</v>
      </c>
      <c r="BX38" s="596">
        <v>0.06</v>
      </c>
      <c r="BY38" s="596">
        <v>0.04</v>
      </c>
      <c r="BZ38" s="596">
        <v>0.06</v>
      </c>
      <c r="CA38" s="589">
        <f>SUMPRODUCT(BW38:BZ38,BQ36:BT36)/BU36</f>
        <v>5.0299640417082722E-2</v>
      </c>
      <c r="CB38" s="106"/>
      <c r="CC38" s="595">
        <v>3.5000000000000003E-2</v>
      </c>
      <c r="CD38" s="596">
        <f>+CC38</f>
        <v>3.5000000000000003E-2</v>
      </c>
      <c r="CE38" s="596">
        <f>+CD38</f>
        <v>3.5000000000000003E-2</v>
      </c>
      <c r="CF38" s="596">
        <f>+CE38</f>
        <v>3.5000000000000003E-2</v>
      </c>
      <c r="CG38" s="589">
        <f>SUMPRODUCT(CC38:CF38,BW36:BZ36)/CA36</f>
        <v>3.5000000000000003E-2</v>
      </c>
      <c r="CH38" s="106"/>
      <c r="CI38" s="595">
        <v>3.5000000000000003E-2</v>
      </c>
      <c r="CJ38" s="596">
        <f t="shared" ref="CJ38:CL38" si="7">+CI38</f>
        <v>3.5000000000000003E-2</v>
      </c>
      <c r="CK38" s="596">
        <f t="shared" si="7"/>
        <v>3.5000000000000003E-2</v>
      </c>
      <c r="CL38" s="596">
        <f t="shared" si="7"/>
        <v>3.5000000000000003E-2</v>
      </c>
      <c r="CM38" s="589">
        <f t="shared" ref="CM38" si="8">SUMPRODUCT(CI38:CL38,CC36:CF36)/CG36</f>
        <v>3.5000000000000003E-2</v>
      </c>
      <c r="CN38" s="11"/>
      <c r="CO38" s="11"/>
      <c r="CP38" s="11"/>
      <c r="CQ38" s="11"/>
      <c r="CR38" s="11"/>
      <c r="CS38" s="11"/>
      <c r="CT38" s="11"/>
      <c r="CU38" s="11"/>
      <c r="CV38" s="11"/>
      <c r="CW38" s="11"/>
      <c r="CX38" s="11"/>
    </row>
    <row r="39" spans="1:102" s="31" customFormat="1" ht="11.25" customHeight="1" x14ac:dyDescent="0.2">
      <c r="B39" s="267" t="s">
        <v>263</v>
      </c>
      <c r="C39" s="121"/>
      <c r="D39" s="85"/>
      <c r="E39" s="85"/>
      <c r="F39" s="85"/>
      <c r="G39" s="589"/>
      <c r="H39" s="58"/>
      <c r="I39" s="121"/>
      <c r="J39" s="85"/>
      <c r="K39" s="85"/>
      <c r="L39" s="85"/>
      <c r="M39" s="589"/>
      <c r="N39" s="58"/>
      <c r="O39" s="121"/>
      <c r="P39" s="85"/>
      <c r="Q39" s="85"/>
      <c r="R39" s="85"/>
      <c r="S39" s="589"/>
      <c r="T39" s="58"/>
      <c r="U39" s="121"/>
      <c r="V39" s="85"/>
      <c r="W39" s="85"/>
      <c r="X39" s="85"/>
      <c r="Y39" s="589"/>
      <c r="Z39" s="58"/>
      <c r="AA39" s="121"/>
      <c r="AB39" s="85"/>
      <c r="AC39" s="85"/>
      <c r="AD39" s="85"/>
      <c r="AE39" s="589"/>
      <c r="AF39" s="58"/>
      <c r="AG39" s="121"/>
      <c r="AH39" s="85"/>
      <c r="AI39" s="85"/>
      <c r="AJ39" s="85"/>
      <c r="AK39" s="589"/>
      <c r="AL39" s="58"/>
      <c r="AM39" s="228"/>
      <c r="AN39" s="239"/>
      <c r="AO39" s="239"/>
      <c r="AP39" s="239"/>
      <c r="AQ39" s="589"/>
      <c r="AR39" s="58"/>
      <c r="AS39" s="228"/>
      <c r="AT39" s="239"/>
      <c r="AU39" s="239"/>
      <c r="AV39" s="239"/>
      <c r="AW39" s="589"/>
      <c r="AX39" s="58"/>
      <c r="AY39" s="121"/>
      <c r="AZ39" s="85"/>
      <c r="BA39" s="85"/>
      <c r="BB39" s="85"/>
      <c r="BC39" s="589"/>
      <c r="BD39" s="58"/>
      <c r="BE39" s="121">
        <f>BE37-BE38</f>
        <v>-3.7327796213841469E-2</v>
      </c>
      <c r="BF39" s="85">
        <f>BF37-BF38</f>
        <v>-2.8315069674057058E-2</v>
      </c>
      <c r="BG39" s="85">
        <f>BG37-BG38</f>
        <v>-2.049655384206206E-2</v>
      </c>
      <c r="BH39" s="85">
        <f>BH37-BH38</f>
        <v>-2.3200235886666087E-2</v>
      </c>
      <c r="BI39" s="589">
        <f>BI37-BI38</f>
        <v>-2.771160753286539E-2</v>
      </c>
      <c r="BJ39" s="58"/>
      <c r="BK39" s="121">
        <f>BK37-BK38</f>
        <v>-2.953590939125722E-2</v>
      </c>
      <c r="BL39" s="85">
        <f>BL37-BL38</f>
        <v>-3.637127459926652E-2</v>
      </c>
      <c r="BM39" s="85">
        <f>BM37-BM38</f>
        <v>-3.2212194715448964E-2</v>
      </c>
      <c r="BN39" s="85">
        <f>BN37-BN38</f>
        <v>-2.599862036885317E-2</v>
      </c>
      <c r="BO39" s="589">
        <f>BO37-BO38</f>
        <v>-3.1131313659107263E-2</v>
      </c>
      <c r="BP39" s="58"/>
      <c r="BQ39" s="121">
        <f>BQ37-BQ38</f>
        <v>-1.5593697066891919E-2</v>
      </c>
      <c r="BR39" s="85">
        <f>BR37-BR38</f>
        <v>6.4201866763115151E-3</v>
      </c>
      <c r="BS39" s="85">
        <f>BS37-BS38</f>
        <v>1.5627475075008414E-2</v>
      </c>
      <c r="BT39" s="596">
        <f>+BS39</f>
        <v>1.5627475075008414E-2</v>
      </c>
      <c r="BU39" s="589">
        <f>BU37-BU38</f>
        <v>5.7346771548344201E-3</v>
      </c>
      <c r="BV39" s="58"/>
      <c r="BW39" s="595">
        <v>0</v>
      </c>
      <c r="BX39" s="596">
        <v>0</v>
      </c>
      <c r="BY39" s="596">
        <v>0</v>
      </c>
      <c r="BZ39" s="596">
        <v>0</v>
      </c>
      <c r="CA39" s="589">
        <f>CA37-CA38</f>
        <v>2.9143354396410359E-16</v>
      </c>
      <c r="CB39" s="58"/>
      <c r="CC39" s="595">
        <v>0</v>
      </c>
      <c r="CD39" s="596">
        <v>0</v>
      </c>
      <c r="CE39" s="596">
        <v>0</v>
      </c>
      <c r="CF39" s="596">
        <v>0</v>
      </c>
      <c r="CG39" s="589">
        <f>CG37-CG38</f>
        <v>-3.0531133177191805E-16</v>
      </c>
      <c r="CH39" s="58"/>
      <c r="CI39" s="595">
        <v>0</v>
      </c>
      <c r="CJ39" s="596">
        <v>0</v>
      </c>
      <c r="CK39" s="596">
        <v>0</v>
      </c>
      <c r="CL39" s="596">
        <v>0</v>
      </c>
      <c r="CM39" s="589">
        <f>CM37-CM38</f>
        <v>-8.3266726846886741E-17</v>
      </c>
      <c r="CN39" s="11"/>
      <c r="CO39" s="11"/>
      <c r="CP39" s="11"/>
      <c r="CQ39" s="11"/>
      <c r="CR39" s="11"/>
      <c r="CS39" s="11"/>
      <c r="CT39" s="11"/>
      <c r="CU39" s="11"/>
      <c r="CV39" s="11"/>
      <c r="CW39" s="11"/>
      <c r="CX39" s="11"/>
    </row>
    <row r="40" spans="1:102" s="31" customFormat="1" ht="11.25" customHeight="1" x14ac:dyDescent="0.2">
      <c r="B40" s="267" t="s">
        <v>262</v>
      </c>
      <c r="C40" s="228"/>
      <c r="D40" s="239"/>
      <c r="E40" s="239"/>
      <c r="F40" s="229"/>
      <c r="G40" s="603"/>
      <c r="H40" s="58"/>
      <c r="I40" s="228"/>
      <c r="J40" s="239"/>
      <c r="K40" s="239"/>
      <c r="L40" s="229"/>
      <c r="M40" s="603"/>
      <c r="N40" s="58"/>
      <c r="O40" s="228"/>
      <c r="P40" s="239"/>
      <c r="Q40" s="239"/>
      <c r="R40" s="229"/>
      <c r="S40" s="603"/>
      <c r="T40" s="58"/>
      <c r="U40" s="228"/>
      <c r="V40" s="239"/>
      <c r="W40" s="239"/>
      <c r="X40" s="229"/>
      <c r="Y40" s="603"/>
      <c r="Z40" s="58"/>
      <c r="AA40" s="228"/>
      <c r="AB40" s="239"/>
      <c r="AC40" s="239"/>
      <c r="AD40" s="229"/>
      <c r="AE40" s="603"/>
      <c r="AF40" s="58"/>
      <c r="AG40" s="228"/>
      <c r="AH40" s="239"/>
      <c r="AI40" s="239"/>
      <c r="AJ40" s="229"/>
      <c r="AK40" s="603"/>
      <c r="AL40" s="58"/>
      <c r="AM40" s="228"/>
      <c r="AN40" s="239"/>
      <c r="AO40" s="239"/>
      <c r="AP40" s="239"/>
      <c r="AQ40" s="603"/>
      <c r="AR40" s="58"/>
      <c r="AS40" s="228"/>
      <c r="AT40" s="239"/>
      <c r="AU40" s="239"/>
      <c r="AV40" s="239"/>
      <c r="AW40" s="603"/>
      <c r="AX40" s="58"/>
      <c r="AY40" s="228"/>
      <c r="AZ40" s="239"/>
      <c r="BA40" s="239"/>
      <c r="BB40" s="239"/>
      <c r="BC40" s="589"/>
      <c r="BD40" s="58"/>
      <c r="BE40" s="228">
        <f>46.3%+1%</f>
        <v>0.47299999999999998</v>
      </c>
      <c r="BF40" s="239">
        <f>115.4%-4.9%</f>
        <v>1.1050000000000002</v>
      </c>
      <c r="BG40" s="239">
        <f>129.9%-3.75%</f>
        <v>1.2615000000000001</v>
      </c>
      <c r="BH40" s="239">
        <v>1.214</v>
      </c>
      <c r="BI40" s="589">
        <f>SUMPRODUCT(BE40:BH40,AY36:BB36)/BC36</f>
        <v>0.99732051431822111</v>
      </c>
      <c r="BJ40" s="58"/>
      <c r="BK40" s="228">
        <v>0.36599999999999999</v>
      </c>
      <c r="BL40" s="239">
        <v>0</v>
      </c>
      <c r="BM40" s="239">
        <v>0</v>
      </c>
      <c r="BN40" s="239">
        <v>0</v>
      </c>
      <c r="BO40" s="1079">
        <v>7.0000000000000007E-2</v>
      </c>
      <c r="BP40" s="58"/>
      <c r="BQ40" s="228">
        <v>0</v>
      </c>
      <c r="BR40" s="239">
        <v>-3.0000000000000001E-3</v>
      </c>
      <c r="BS40" s="239">
        <v>0</v>
      </c>
      <c r="BT40" s="596">
        <v>0</v>
      </c>
      <c r="BU40" s="589">
        <f>SUMPRODUCT(BQ40:BT40,BK36:BN36)/BO36</f>
        <v>-7.6774595631744615E-4</v>
      </c>
      <c r="BV40" s="58"/>
      <c r="BW40" s="595">
        <v>0</v>
      </c>
      <c r="BX40" s="596">
        <v>0</v>
      </c>
      <c r="BY40" s="596">
        <v>0</v>
      </c>
      <c r="BZ40" s="596">
        <v>0</v>
      </c>
      <c r="CA40" s="589">
        <f>SUMPRODUCT(BW40:BZ40,BQ36:BT36)/BU36</f>
        <v>0</v>
      </c>
      <c r="CB40" s="58"/>
      <c r="CC40" s="595">
        <v>0</v>
      </c>
      <c r="CD40" s="596">
        <v>0</v>
      </c>
      <c r="CE40" s="596">
        <v>0</v>
      </c>
      <c r="CF40" s="596">
        <v>0</v>
      </c>
      <c r="CG40" s="589">
        <f>SUMPRODUCT(CC40:CF40,BW36:BZ36)/CA36</f>
        <v>0</v>
      </c>
      <c r="CH40" s="58"/>
      <c r="CI40" s="595">
        <v>0</v>
      </c>
      <c r="CJ40" s="596">
        <v>0</v>
      </c>
      <c r="CK40" s="596">
        <v>0</v>
      </c>
      <c r="CL40" s="596">
        <v>0</v>
      </c>
      <c r="CM40" s="589">
        <f>SUMPRODUCT(CI40:CL40,CC36:CF36)/CG36</f>
        <v>0</v>
      </c>
      <c r="CN40" s="11"/>
      <c r="CO40" s="11"/>
      <c r="CP40" s="11"/>
      <c r="CQ40" s="11"/>
      <c r="CR40" s="11"/>
      <c r="CS40" s="11"/>
      <c r="CT40" s="11"/>
      <c r="CU40" s="11"/>
      <c r="CV40" s="11"/>
      <c r="CW40" s="11"/>
      <c r="CX40" s="11"/>
    </row>
    <row r="41" spans="1:102" s="31" customFormat="1" ht="11.25" customHeight="1" x14ac:dyDescent="0.2">
      <c r="B41" s="620" t="s">
        <v>265</v>
      </c>
      <c r="C41" s="257"/>
      <c r="D41" s="382"/>
      <c r="E41" s="382"/>
      <c r="F41" s="382"/>
      <c r="G41" s="621"/>
      <c r="H41" s="622"/>
      <c r="I41" s="257"/>
      <c r="J41" s="382"/>
      <c r="K41" s="382"/>
      <c r="L41" s="382"/>
      <c r="M41" s="621"/>
      <c r="N41" s="622"/>
      <c r="O41" s="257"/>
      <c r="P41" s="382"/>
      <c r="Q41" s="382"/>
      <c r="R41" s="382"/>
      <c r="S41" s="621"/>
      <c r="T41" s="622"/>
      <c r="U41" s="257"/>
      <c r="V41" s="382"/>
      <c r="W41" s="382"/>
      <c r="X41" s="382"/>
      <c r="Y41" s="621"/>
      <c r="Z41" s="622"/>
      <c r="AA41" s="257"/>
      <c r="AB41" s="382"/>
      <c r="AC41" s="382"/>
      <c r="AD41" s="382"/>
      <c r="AE41" s="621"/>
      <c r="AF41" s="622"/>
      <c r="AG41" s="257"/>
      <c r="AH41" s="382"/>
      <c r="AI41" s="382"/>
      <c r="AJ41" s="382"/>
      <c r="AK41" s="621"/>
      <c r="AL41" s="622"/>
      <c r="AM41" s="257"/>
      <c r="AN41" s="382"/>
      <c r="AO41" s="382"/>
      <c r="AP41" s="382"/>
      <c r="AQ41" s="621"/>
      <c r="AR41" s="622"/>
      <c r="AS41" s="257"/>
      <c r="AT41" s="382"/>
      <c r="AU41" s="382"/>
      <c r="AV41" s="382"/>
      <c r="AW41" s="621"/>
      <c r="AX41" s="622"/>
      <c r="AY41" s="257"/>
      <c r="AZ41" s="382"/>
      <c r="BA41" s="382"/>
      <c r="BB41" s="382"/>
      <c r="BC41" s="621"/>
      <c r="BD41" s="622"/>
      <c r="BE41" s="257">
        <f>+BE38-BE40</f>
        <v>1.5000000000000069E-2</v>
      </c>
      <c r="BF41" s="382">
        <f>+BF38-BF40</f>
        <v>2.2999999999999687E-2</v>
      </c>
      <c r="BG41" s="382">
        <f>+BG38-BG40</f>
        <v>5.7499999999999885E-2</v>
      </c>
      <c r="BH41" s="382">
        <f>+BH38-BH40</f>
        <v>8.6000000000000076E-2</v>
      </c>
      <c r="BI41" s="621">
        <f>+BI38-BI40</f>
        <v>4.3950338999284355E-2</v>
      </c>
      <c r="BJ41" s="622"/>
      <c r="BK41" s="257">
        <f>+BK38-BK40</f>
        <v>4.6999999999999986E-2</v>
      </c>
      <c r="BL41" s="382">
        <f>+BL38-BL40</f>
        <v>0.08</v>
      </c>
      <c r="BM41" s="382">
        <f>+BM38-BM40</f>
        <v>0.05</v>
      </c>
      <c r="BN41" s="382">
        <f>+BN38-BN40</f>
        <v>9.5000000000000001E-2</v>
      </c>
      <c r="BO41" s="621">
        <f>+BO38-BO40</f>
        <v>7.0711553187617404E-2</v>
      </c>
      <c r="BP41" s="622"/>
      <c r="BQ41" s="257">
        <f>+BQ38-BQ40</f>
        <v>3.7999999999999999E-2</v>
      </c>
      <c r="BR41" s="382">
        <f>+BR38-BR40</f>
        <v>1.7999999999999999E-2</v>
      </c>
      <c r="BS41" s="382">
        <f>+BS38-BS40</f>
        <v>2.9000000000000001E-2</v>
      </c>
      <c r="BT41" s="382">
        <f>+BT38-BT40</f>
        <v>0</v>
      </c>
      <c r="BU41" s="621">
        <f>+BU38-BU40</f>
        <v>2.0738650668177053E-2</v>
      </c>
      <c r="BV41" s="622"/>
      <c r="BW41" s="257">
        <f>+BW38-BW40</f>
        <v>0.04</v>
      </c>
      <c r="BX41" s="382">
        <f>+BX38-BX40</f>
        <v>0.06</v>
      </c>
      <c r="BY41" s="382">
        <f>+BY38-BY40</f>
        <v>0.04</v>
      </c>
      <c r="BZ41" s="382">
        <f>+BZ38-BZ40</f>
        <v>0.06</v>
      </c>
      <c r="CA41" s="621">
        <f>+CA38-CA40</f>
        <v>5.0299640417082722E-2</v>
      </c>
      <c r="CB41" s="622"/>
      <c r="CC41" s="257">
        <f>+CC38-CC40</f>
        <v>3.5000000000000003E-2</v>
      </c>
      <c r="CD41" s="382">
        <f>+CD38-CD40</f>
        <v>3.5000000000000003E-2</v>
      </c>
      <c r="CE41" s="382">
        <f>+CE38-CE40</f>
        <v>3.5000000000000003E-2</v>
      </c>
      <c r="CF41" s="382">
        <f>+CF38-CF40</f>
        <v>3.5000000000000003E-2</v>
      </c>
      <c r="CG41" s="621">
        <f>+CG38-CG40</f>
        <v>3.5000000000000003E-2</v>
      </c>
      <c r="CH41" s="622"/>
      <c r="CI41" s="257">
        <f>+CI38-CI40</f>
        <v>3.5000000000000003E-2</v>
      </c>
      <c r="CJ41" s="382">
        <f>+CJ38-CJ40</f>
        <v>3.5000000000000003E-2</v>
      </c>
      <c r="CK41" s="382">
        <f>+CK38-CK40</f>
        <v>3.5000000000000003E-2</v>
      </c>
      <c r="CL41" s="382">
        <f>+CL38-CL40</f>
        <v>3.5000000000000003E-2</v>
      </c>
      <c r="CM41" s="621">
        <f>+CM38-CM40</f>
        <v>3.5000000000000003E-2</v>
      </c>
      <c r="CN41" s="11"/>
      <c r="CO41" s="11"/>
      <c r="CP41" s="11"/>
      <c r="CQ41" s="11"/>
      <c r="CR41" s="11"/>
      <c r="CS41" s="11"/>
      <c r="CT41" s="11"/>
      <c r="CU41" s="11"/>
      <c r="CV41" s="11"/>
      <c r="CW41" s="11"/>
      <c r="CX41" s="11"/>
    </row>
    <row r="42" spans="1:102" s="31" customFormat="1" ht="11.25" customHeight="1" x14ac:dyDescent="0.2">
      <c r="B42" s="267"/>
      <c r="C42" s="228"/>
      <c r="D42" s="239"/>
      <c r="E42" s="239"/>
      <c r="F42" s="229"/>
      <c r="G42" s="589"/>
      <c r="H42" s="106"/>
      <c r="I42" s="228"/>
      <c r="J42" s="239"/>
      <c r="K42" s="239"/>
      <c r="L42" s="229"/>
      <c r="M42" s="589"/>
      <c r="N42" s="106"/>
      <c r="O42" s="228"/>
      <c r="P42" s="239"/>
      <c r="Q42" s="239"/>
      <c r="R42" s="229"/>
      <c r="S42" s="589"/>
      <c r="T42" s="106"/>
      <c r="U42" s="228"/>
      <c r="V42" s="239"/>
      <c r="W42" s="239"/>
      <c r="X42" s="229"/>
      <c r="Y42" s="589"/>
      <c r="Z42" s="106"/>
      <c r="AA42" s="228"/>
      <c r="AB42" s="239"/>
      <c r="AC42" s="239"/>
      <c r="AD42" s="229"/>
      <c r="AE42" s="589"/>
      <c r="AF42" s="106"/>
      <c r="AG42" s="228"/>
      <c r="AH42" s="239"/>
      <c r="AI42" s="239"/>
      <c r="AJ42" s="229"/>
      <c r="AK42" s="589"/>
      <c r="AL42" s="106"/>
      <c r="AM42" s="228"/>
      <c r="AN42" s="239"/>
      <c r="AO42" s="239"/>
      <c r="AP42" s="229"/>
      <c r="AQ42" s="589"/>
      <c r="AR42" s="106"/>
      <c r="AS42" s="228"/>
      <c r="AT42" s="239"/>
      <c r="AU42" s="239"/>
      <c r="AV42" s="229"/>
      <c r="AW42" s="603"/>
      <c r="AX42" s="106"/>
      <c r="AY42" s="228"/>
      <c r="AZ42" s="239"/>
      <c r="BA42" s="239"/>
      <c r="BB42" s="229"/>
      <c r="BC42" s="589"/>
      <c r="BD42" s="106"/>
      <c r="BE42" s="228"/>
      <c r="BF42" s="239"/>
      <c r="BG42" s="239"/>
      <c r="BH42" s="239"/>
      <c r="BI42" s="589"/>
      <c r="BJ42" s="106"/>
      <c r="BK42" s="228"/>
      <c r="BL42" s="239"/>
      <c r="BM42" s="239"/>
      <c r="BN42" s="239"/>
      <c r="BO42" s="589"/>
      <c r="BP42" s="106"/>
      <c r="BQ42" s="228"/>
      <c r="BR42" s="239"/>
      <c r="BS42" s="239"/>
      <c r="BT42" s="596"/>
      <c r="BU42" s="589"/>
      <c r="BV42" s="106"/>
      <c r="BW42" s="595"/>
      <c r="BX42" s="596"/>
      <c r="BY42" s="596"/>
      <c r="BZ42" s="596"/>
      <c r="CA42" s="589"/>
      <c r="CB42" s="106"/>
      <c r="CC42" s="595"/>
      <c r="CD42" s="596"/>
      <c r="CE42" s="596"/>
      <c r="CF42" s="596"/>
      <c r="CG42" s="589"/>
      <c r="CH42" s="106"/>
      <c r="CI42" s="595"/>
      <c r="CJ42" s="596"/>
      <c r="CK42" s="596"/>
      <c r="CL42" s="596"/>
      <c r="CM42" s="589"/>
      <c r="CN42" s="11"/>
      <c r="CO42" s="11"/>
      <c r="CP42" s="11"/>
      <c r="CQ42" s="11"/>
      <c r="CR42" s="11"/>
      <c r="CS42" s="11"/>
      <c r="CT42" s="11"/>
      <c r="CU42" s="11"/>
      <c r="CV42" s="11"/>
      <c r="CW42" s="11"/>
      <c r="CX42" s="11"/>
    </row>
    <row r="43" spans="1:102" s="9" customFormat="1" ht="11.25" customHeight="1" x14ac:dyDescent="0.2">
      <c r="A43" s="12"/>
      <c r="B43" s="620" t="s">
        <v>309</v>
      </c>
      <c r="C43" s="576"/>
      <c r="D43" s="585"/>
      <c r="E43" s="585"/>
      <c r="F43" s="585"/>
      <c r="G43" s="594"/>
      <c r="H43" s="585"/>
      <c r="I43" s="576"/>
      <c r="J43" s="585"/>
      <c r="K43" s="585"/>
      <c r="L43" s="585"/>
      <c r="M43" s="594"/>
      <c r="N43" s="585"/>
      <c r="O43" s="576"/>
      <c r="P43" s="585"/>
      <c r="Q43" s="585"/>
      <c r="R43" s="585"/>
      <c r="S43" s="594"/>
      <c r="T43" s="585"/>
      <c r="U43" s="576"/>
      <c r="V43" s="585"/>
      <c r="W43" s="585"/>
      <c r="X43" s="585"/>
      <c r="Y43" s="594"/>
      <c r="Z43" s="585"/>
      <c r="AA43" s="576"/>
      <c r="AB43" s="585"/>
      <c r="AC43" s="585"/>
      <c r="AD43" s="585"/>
      <c r="AE43" s="594"/>
      <c r="AF43" s="585"/>
      <c r="AG43" s="576"/>
      <c r="AH43" s="585"/>
      <c r="AI43" s="585"/>
      <c r="AJ43" s="585"/>
      <c r="AK43" s="594"/>
      <c r="AL43" s="585"/>
      <c r="AM43" s="576"/>
      <c r="AN43" s="585"/>
      <c r="AO43" s="585"/>
      <c r="AP43" s="585"/>
      <c r="AQ43" s="594"/>
      <c r="AR43" s="585"/>
      <c r="AS43" s="576"/>
      <c r="AT43" s="585"/>
      <c r="AU43" s="585"/>
      <c r="AV43" s="585"/>
      <c r="AW43" s="594"/>
      <c r="AX43" s="585"/>
      <c r="AY43" s="576">
        <v>7.6109999999999998</v>
      </c>
      <c r="AZ43" s="585">
        <v>8.4469999999999992</v>
      </c>
      <c r="BA43" s="585">
        <v>15.109</v>
      </c>
      <c r="BB43" s="585">
        <v>15.504</v>
      </c>
      <c r="BC43" s="594">
        <f>+SUM(AY43:BB43)</f>
        <v>46.670999999999999</v>
      </c>
      <c r="BD43" s="585"/>
      <c r="BE43" s="576">
        <v>9.8130000000000006</v>
      </c>
      <c r="BF43" s="585">
        <v>11.042</v>
      </c>
      <c r="BG43" s="585">
        <v>16.445</v>
      </c>
      <c r="BH43" s="585">
        <v>12.708</v>
      </c>
      <c r="BI43" s="594">
        <f>+SUM(BE43:BH43)</f>
        <v>50.007999999999996</v>
      </c>
      <c r="BJ43" s="585"/>
      <c r="BK43" s="576">
        <v>10.064</v>
      </c>
      <c r="BL43" s="585">
        <v>12.132</v>
      </c>
      <c r="BM43" s="585">
        <v>18.616</v>
      </c>
      <c r="BN43" s="585">
        <v>12.846</v>
      </c>
      <c r="BO43" s="594">
        <f>+SUM(BK43:BN43)</f>
        <v>53.658000000000001</v>
      </c>
      <c r="BP43" s="585"/>
      <c r="BQ43" s="576">
        <v>9.0860000000000003</v>
      </c>
      <c r="BR43" s="585">
        <v>11.824</v>
      </c>
      <c r="BS43" s="585">
        <v>15.574</v>
      </c>
      <c r="BT43" s="136">
        <f>+BN43*(1+BT44)</f>
        <v>13.11052712849162</v>
      </c>
      <c r="BU43" s="594">
        <f>+SUM(BQ43:BT43)</f>
        <v>49.59452712849162</v>
      </c>
      <c r="BV43" s="585"/>
      <c r="BW43" s="578">
        <f>+BQ43*(1+BW44)</f>
        <v>9.4494400000000009</v>
      </c>
      <c r="BX43" s="136">
        <f>+BR43*(1+BX44)</f>
        <v>12.29696</v>
      </c>
      <c r="BY43" s="136">
        <f>+BS43*(1+BY44)</f>
        <v>16.196960000000001</v>
      </c>
      <c r="BZ43" s="136">
        <f>+BT43*(1+BZ44)</f>
        <v>13.634948213631285</v>
      </c>
      <c r="CA43" s="594">
        <f>+SUM(BW43:BZ43)</f>
        <v>51.578308213631281</v>
      </c>
      <c r="CB43" s="585"/>
      <c r="CC43" s="578">
        <f>+BW43*(1+CC44)</f>
        <v>9.7801703999999994</v>
      </c>
      <c r="CD43" s="136">
        <f>+BX43*(1+CD44)</f>
        <v>12.727353599999999</v>
      </c>
      <c r="CE43" s="136">
        <f>+BY43*(1+CE44)</f>
        <v>16.763853600000001</v>
      </c>
      <c r="CF43" s="136">
        <f>+BZ43*(1+CF44)</f>
        <v>14.112171401108379</v>
      </c>
      <c r="CG43" s="594">
        <f>+SUM(CC43:CF43)</f>
        <v>53.383549001108371</v>
      </c>
      <c r="CH43" s="585"/>
      <c r="CI43" s="578">
        <f>+CC43*(1+CI44)</f>
        <v>10.122476363999999</v>
      </c>
      <c r="CJ43" s="136">
        <f>+CD43*(1+CJ44)</f>
        <v>13.172810975999997</v>
      </c>
      <c r="CK43" s="136">
        <f>+CE43*(1+CK44)</f>
        <v>17.350588475999999</v>
      </c>
      <c r="CL43" s="136">
        <f>+CF43*(1+CL44)</f>
        <v>14.606097400147171</v>
      </c>
      <c r="CM43" s="594">
        <f>+SUM(CI43:CL43)</f>
        <v>55.251973216147164</v>
      </c>
      <c r="CN43" s="11"/>
      <c r="CO43" s="11"/>
      <c r="CP43" s="11"/>
      <c r="CQ43" s="11"/>
      <c r="CR43" s="11"/>
      <c r="CS43" s="11"/>
      <c r="CT43" s="11"/>
      <c r="CU43" s="11"/>
      <c r="CV43" s="11"/>
      <c r="CW43" s="11"/>
      <c r="CX43" s="11"/>
    </row>
    <row r="44" spans="1:102" s="31" customFormat="1" ht="11.25" customHeight="1" x14ac:dyDescent="0.2">
      <c r="B44" s="267" t="s">
        <v>261</v>
      </c>
      <c r="C44" s="121"/>
      <c r="D44" s="85"/>
      <c r="E44" s="85"/>
      <c r="F44" s="85"/>
      <c r="G44" s="589"/>
      <c r="H44" s="58"/>
      <c r="I44" s="121"/>
      <c r="J44" s="85"/>
      <c r="K44" s="85"/>
      <c r="L44" s="85"/>
      <c r="M44" s="589"/>
      <c r="N44" s="58"/>
      <c r="O44" s="121"/>
      <c r="P44" s="85"/>
      <c r="Q44" s="85"/>
      <c r="R44" s="85"/>
      <c r="S44" s="589"/>
      <c r="T44" s="58"/>
      <c r="U44" s="121"/>
      <c r="V44" s="85"/>
      <c r="W44" s="85"/>
      <c r="X44" s="85"/>
      <c r="Y44" s="589"/>
      <c r="Z44" s="58"/>
      <c r="AA44" s="600"/>
      <c r="AB44" s="139"/>
      <c r="AC44" s="139"/>
      <c r="AD44" s="139"/>
      <c r="AE44" s="589"/>
      <c r="AF44" s="58"/>
      <c r="AG44" s="600"/>
      <c r="AH44" s="139"/>
      <c r="AI44" s="139"/>
      <c r="AJ44" s="139"/>
      <c r="AK44" s="589"/>
      <c r="AL44" s="58"/>
      <c r="AM44" s="121"/>
      <c r="AN44" s="85"/>
      <c r="AO44" s="85"/>
      <c r="AP44" s="85"/>
      <c r="AQ44" s="589"/>
      <c r="AR44" s="58"/>
      <c r="AS44" s="121"/>
      <c r="AT44" s="85"/>
      <c r="AU44" s="85"/>
      <c r="AV44" s="85"/>
      <c r="AW44" s="589"/>
      <c r="AX44" s="58"/>
      <c r="AY44" s="121"/>
      <c r="AZ44" s="85"/>
      <c r="BA44" s="85"/>
      <c r="BB44" s="85"/>
      <c r="BC44" s="589"/>
      <c r="BD44" s="58"/>
      <c r="BE44" s="121">
        <f>BE43/AY43-1</f>
        <v>0.28931809223492322</v>
      </c>
      <c r="BF44" s="85">
        <f>BF43/AZ43-1</f>
        <v>0.30720966023440277</v>
      </c>
      <c r="BG44" s="85">
        <f>BG43/BA43-1</f>
        <v>8.8424118075319358E-2</v>
      </c>
      <c r="BH44" s="85">
        <f>BH43/BB43-1</f>
        <v>-0.18034055727554177</v>
      </c>
      <c r="BI44" s="589">
        <f>BI43/BC43-1</f>
        <v>7.1500503524672521E-2</v>
      </c>
      <c r="BJ44" s="58"/>
      <c r="BK44" s="121">
        <f>BK43/BE43-1</f>
        <v>2.557831448079062E-2</v>
      </c>
      <c r="BL44" s="85">
        <f>BL43/BF43-1</f>
        <v>9.871400108675954E-2</v>
      </c>
      <c r="BM44" s="85">
        <f>BM43/BG43-1</f>
        <v>0.13201581027667975</v>
      </c>
      <c r="BN44" s="85">
        <f>BN43/BH43-1</f>
        <v>1.0859301227573281E-2</v>
      </c>
      <c r="BO44" s="589">
        <f>BO43/BI43-1</f>
        <v>7.2988321868501238E-2</v>
      </c>
      <c r="BP44" s="58"/>
      <c r="BQ44" s="121">
        <f>BQ43/BK43-1</f>
        <v>-9.7178060413354528E-2</v>
      </c>
      <c r="BR44" s="85">
        <f>BR43/BL43-1</f>
        <v>-2.5387405209363667E-2</v>
      </c>
      <c r="BS44" s="85">
        <f>BS43/BM43-1</f>
        <v>-0.16340782122905029</v>
      </c>
      <c r="BT44" s="85">
        <f>+BT45+BT46</f>
        <v>2.059217877094972E-2</v>
      </c>
      <c r="BU44" s="589">
        <f>BU43/BO43-1</f>
        <v>-7.5729115351082399E-2</v>
      </c>
      <c r="BV44" s="58"/>
      <c r="BW44" s="121">
        <f>+BW45+BW46</f>
        <v>0.04</v>
      </c>
      <c r="BX44" s="85">
        <f>+BX45+BX46</f>
        <v>0.04</v>
      </c>
      <c r="BY44" s="85">
        <f>+BY45+BY46</f>
        <v>0.04</v>
      </c>
      <c r="BZ44" s="85">
        <f>+BZ45+BZ46</f>
        <v>0.04</v>
      </c>
      <c r="CA44" s="589">
        <f>CA43/BU43-1</f>
        <v>4.0000000000000036E-2</v>
      </c>
      <c r="CB44" s="58"/>
      <c r="CC44" s="121">
        <f>+CC45+CC46</f>
        <v>3.5000000000000003E-2</v>
      </c>
      <c r="CD44" s="85">
        <f>+CD45+CD46</f>
        <v>3.5000000000000003E-2</v>
      </c>
      <c r="CE44" s="85">
        <f>+CE45+CE46</f>
        <v>3.5000000000000003E-2</v>
      </c>
      <c r="CF44" s="85">
        <f>+CF45+CF46</f>
        <v>3.5000000000000003E-2</v>
      </c>
      <c r="CG44" s="589">
        <f>CG43/CA43-1</f>
        <v>3.499999999999992E-2</v>
      </c>
      <c r="CH44" s="58"/>
      <c r="CI44" s="121">
        <f>+CI45+CI46</f>
        <v>3.5000000000000003E-2</v>
      </c>
      <c r="CJ44" s="85">
        <f>+CJ45+CJ46</f>
        <v>3.5000000000000003E-2</v>
      </c>
      <c r="CK44" s="85">
        <f>+CK45+CK46</f>
        <v>3.5000000000000003E-2</v>
      </c>
      <c r="CL44" s="85">
        <f>+CL45+CL46</f>
        <v>3.5000000000000003E-2</v>
      </c>
      <c r="CM44" s="589">
        <f>CM43/CG43-1</f>
        <v>3.499999999999992E-2</v>
      </c>
      <c r="CN44" s="11"/>
      <c r="CO44" s="11"/>
      <c r="CP44" s="11"/>
      <c r="CQ44" s="11"/>
      <c r="CR44" s="11"/>
      <c r="CS44" s="11"/>
      <c r="CT44" s="11"/>
      <c r="CU44" s="11"/>
      <c r="CV44" s="11"/>
      <c r="CW44" s="11"/>
      <c r="CX44" s="11"/>
    </row>
    <row r="45" spans="1:102" s="31" customFormat="1" ht="11.25" customHeight="1" x14ac:dyDescent="0.2">
      <c r="B45" s="267" t="s">
        <v>264</v>
      </c>
      <c r="C45" s="228"/>
      <c r="D45" s="239"/>
      <c r="E45" s="239"/>
      <c r="F45" s="229"/>
      <c r="G45" s="589"/>
      <c r="H45" s="106"/>
      <c r="I45" s="228"/>
      <c r="J45" s="239"/>
      <c r="K45" s="239"/>
      <c r="L45" s="229"/>
      <c r="M45" s="589"/>
      <c r="N45" s="106"/>
      <c r="O45" s="228"/>
      <c r="P45" s="239"/>
      <c r="Q45" s="239"/>
      <c r="R45" s="229"/>
      <c r="S45" s="589"/>
      <c r="T45" s="106"/>
      <c r="U45" s="228"/>
      <c r="V45" s="239"/>
      <c r="W45" s="239"/>
      <c r="X45" s="229"/>
      <c r="Y45" s="589"/>
      <c r="Z45" s="106"/>
      <c r="AA45" s="228"/>
      <c r="AB45" s="239"/>
      <c r="AC45" s="239"/>
      <c r="AD45" s="229"/>
      <c r="AE45" s="589"/>
      <c r="AF45" s="106"/>
      <c r="AG45" s="228"/>
      <c r="AH45" s="239"/>
      <c r="AI45" s="239"/>
      <c r="AJ45" s="229"/>
      <c r="AK45" s="589"/>
      <c r="AL45" s="106"/>
      <c r="AM45" s="121"/>
      <c r="AN45" s="85"/>
      <c r="AO45" s="85"/>
      <c r="AP45" s="85"/>
      <c r="AQ45" s="589"/>
      <c r="AR45" s="106"/>
      <c r="AS45" s="121"/>
      <c r="AT45" s="85"/>
      <c r="AU45" s="85"/>
      <c r="AV45" s="85"/>
      <c r="AW45" s="603"/>
      <c r="AX45" s="106"/>
      <c r="AY45" s="228"/>
      <c r="AZ45" s="239"/>
      <c r="BA45" s="239"/>
      <c r="BB45" s="239"/>
      <c r="BC45" s="589"/>
      <c r="BD45" s="106"/>
      <c r="BE45" s="228">
        <f>(28.9+0.2)%</f>
        <v>0.29099999999999998</v>
      </c>
      <c r="BF45" s="239">
        <f>(30.7+0.2)%</f>
        <v>0.309</v>
      </c>
      <c r="BG45" s="239">
        <f>(8.8+0.1)%</f>
        <v>8.900000000000001E-2</v>
      </c>
      <c r="BH45" s="239">
        <f>(-18+0.1)%</f>
        <v>-0.17899999999999999</v>
      </c>
      <c r="BI45" s="589">
        <f>SUMPRODUCT(BE45:BH45,AY43:BB43)/BC43</f>
        <v>7.2730582160227986E-2</v>
      </c>
      <c r="BJ45" s="106"/>
      <c r="BK45" s="228">
        <f>(2.6+0.2)%</f>
        <v>2.8000000000000004E-2</v>
      </c>
      <c r="BL45" s="239">
        <f>(9.9+0.3)%</f>
        <v>0.10200000000000001</v>
      </c>
      <c r="BM45" s="239">
        <f>(13.2+0.2)%</f>
        <v>0.13399999999999998</v>
      </c>
      <c r="BN45" s="239">
        <f>(1.1+0.2)%</f>
        <v>1.3000000000000001E-2</v>
      </c>
      <c r="BO45" s="589">
        <f>SUMPRODUCT(BK45:BN45,BE43:BH43)/BI43</f>
        <v>7.5385578307470807E-2</v>
      </c>
      <c r="BP45" s="106"/>
      <c r="BQ45" s="228">
        <v>-9.6000000000000002E-2</v>
      </c>
      <c r="BR45" s="239">
        <v>-2.5000000000000001E-2</v>
      </c>
      <c r="BS45" s="239">
        <v>-0.16400000000000001</v>
      </c>
      <c r="BT45" s="596">
        <v>0.02</v>
      </c>
      <c r="BU45" s="589">
        <f>SUMPRODUCT(BQ45:BT45,BK43:BN43)/BO43</f>
        <v>-7.5767788586976789E-2</v>
      </c>
      <c r="BV45" s="106"/>
      <c r="BW45" s="595">
        <v>0.04</v>
      </c>
      <c r="BX45" s="596">
        <f>+BW45</f>
        <v>0.04</v>
      </c>
      <c r="BY45" s="596">
        <f>+BX45</f>
        <v>0.04</v>
      </c>
      <c r="BZ45" s="596">
        <f>+BY45</f>
        <v>0.04</v>
      </c>
      <c r="CA45" s="589">
        <f>SUMPRODUCT(BW45:BZ45,BQ43:BT43)/BU43</f>
        <v>3.9999999999999994E-2</v>
      </c>
      <c r="CB45" s="106"/>
      <c r="CC45" s="595">
        <v>3.5000000000000003E-2</v>
      </c>
      <c r="CD45" s="596">
        <f>+CC45</f>
        <v>3.5000000000000003E-2</v>
      </c>
      <c r="CE45" s="596">
        <f>+CD45</f>
        <v>3.5000000000000003E-2</v>
      </c>
      <c r="CF45" s="596">
        <f>+CE45</f>
        <v>3.5000000000000003E-2</v>
      </c>
      <c r="CG45" s="589">
        <f>SUMPRODUCT(CC45:CF45,BW43:BZ43)/CA43</f>
        <v>3.500000000000001E-2</v>
      </c>
      <c r="CH45" s="106"/>
      <c r="CI45" s="595">
        <v>3.5000000000000003E-2</v>
      </c>
      <c r="CJ45" s="596">
        <f t="shared" ref="CJ45:CL45" si="9">+CI45</f>
        <v>3.5000000000000003E-2</v>
      </c>
      <c r="CK45" s="596">
        <f t="shared" si="9"/>
        <v>3.5000000000000003E-2</v>
      </c>
      <c r="CL45" s="596">
        <f t="shared" si="9"/>
        <v>3.5000000000000003E-2</v>
      </c>
      <c r="CM45" s="589">
        <f t="shared" ref="CM45" si="10">SUMPRODUCT(CI45:CL45,CC43:CF43)/CG43</f>
        <v>3.500000000000001E-2</v>
      </c>
      <c r="CN45" s="11"/>
      <c r="CO45" s="11"/>
      <c r="CP45" s="11"/>
      <c r="CQ45" s="11"/>
      <c r="CR45" s="11"/>
      <c r="CS45" s="11"/>
      <c r="CT45" s="11"/>
      <c r="CU45" s="11"/>
      <c r="CV45" s="11"/>
      <c r="CW45" s="11"/>
      <c r="CX45" s="11"/>
    </row>
    <row r="46" spans="1:102" s="31" customFormat="1" ht="11.25" customHeight="1" x14ac:dyDescent="0.2">
      <c r="B46" s="267" t="s">
        <v>263</v>
      </c>
      <c r="C46" s="121"/>
      <c r="D46" s="85"/>
      <c r="E46" s="85"/>
      <c r="F46" s="85"/>
      <c r="G46" s="589"/>
      <c r="H46" s="58"/>
      <c r="I46" s="121"/>
      <c r="J46" s="85"/>
      <c r="K46" s="85"/>
      <c r="L46" s="85"/>
      <c r="M46" s="589"/>
      <c r="N46" s="58"/>
      <c r="O46" s="121"/>
      <c r="P46" s="85"/>
      <c r="Q46" s="85"/>
      <c r="R46" s="85"/>
      <c r="S46" s="589"/>
      <c r="T46" s="58"/>
      <c r="U46" s="121"/>
      <c r="V46" s="85"/>
      <c r="W46" s="85"/>
      <c r="X46" s="85"/>
      <c r="Y46" s="589"/>
      <c r="Z46" s="58"/>
      <c r="AA46" s="121"/>
      <c r="AB46" s="85"/>
      <c r="AC46" s="85"/>
      <c r="AD46" s="85"/>
      <c r="AE46" s="589"/>
      <c r="AF46" s="58"/>
      <c r="AG46" s="121"/>
      <c r="AH46" s="85"/>
      <c r="AI46" s="85"/>
      <c r="AJ46" s="85"/>
      <c r="AK46" s="589"/>
      <c r="AL46" s="58"/>
      <c r="AM46" s="228"/>
      <c r="AN46" s="239"/>
      <c r="AO46" s="239"/>
      <c r="AP46" s="239"/>
      <c r="AQ46" s="589"/>
      <c r="AR46" s="58"/>
      <c r="AS46" s="228"/>
      <c r="AT46" s="239"/>
      <c r="AU46" s="239"/>
      <c r="AV46" s="239"/>
      <c r="AW46" s="589"/>
      <c r="AX46" s="58"/>
      <c r="AY46" s="121"/>
      <c r="AZ46" s="85"/>
      <c r="BA46" s="85"/>
      <c r="BB46" s="85"/>
      <c r="BC46" s="589"/>
      <c r="BD46" s="58"/>
      <c r="BE46" s="121">
        <f>BE44-BE45</f>
        <v>-1.6819077650767622E-3</v>
      </c>
      <c r="BF46" s="85">
        <f>BF44-BF45</f>
        <v>-1.7903397655972264E-3</v>
      </c>
      <c r="BG46" s="85">
        <f>BG44-BG45</f>
        <v>-5.758819246806518E-4</v>
      </c>
      <c r="BH46" s="85">
        <f>BH44-BH45</f>
        <v>-1.3405572755417761E-3</v>
      </c>
      <c r="BI46" s="589">
        <f>BI44-BI45</f>
        <v>-1.2300786355554649E-3</v>
      </c>
      <c r="BJ46" s="58"/>
      <c r="BK46" s="121">
        <f>BK44-BK45</f>
        <v>-2.4216855192093836E-3</v>
      </c>
      <c r="BL46" s="85">
        <f>BL44-BL45</f>
        <v>-3.2859989132404677E-3</v>
      </c>
      <c r="BM46" s="85">
        <f>BM44-BM45</f>
        <v>-1.9841897233202344E-3</v>
      </c>
      <c r="BN46" s="85">
        <f>BN44-BN45</f>
        <v>-2.1406987724267197E-3</v>
      </c>
      <c r="BO46" s="589">
        <f>BO44-BO45</f>
        <v>-2.3972564389695694E-3</v>
      </c>
      <c r="BP46" s="58"/>
      <c r="BQ46" s="121">
        <f>BQ44-BQ45</f>
        <v>-1.1780604133545258E-3</v>
      </c>
      <c r="BR46" s="85">
        <f>BR44-BR45</f>
        <v>-3.8740520936366568E-4</v>
      </c>
      <c r="BS46" s="85">
        <f>BS44-BS45</f>
        <v>5.9217877094971949E-4</v>
      </c>
      <c r="BT46" s="596">
        <f>+BS46</f>
        <v>5.9217877094971949E-4</v>
      </c>
      <c r="BU46" s="589">
        <f>BU44-BU45</f>
        <v>3.8673235894390312E-5</v>
      </c>
      <c r="BV46" s="58"/>
      <c r="BW46" s="595">
        <v>0</v>
      </c>
      <c r="BX46" s="596">
        <v>0</v>
      </c>
      <c r="BY46" s="596">
        <v>0</v>
      </c>
      <c r="BZ46" s="596">
        <v>0</v>
      </c>
      <c r="CA46" s="589">
        <f>CA44-CA45</f>
        <v>0</v>
      </c>
      <c r="CB46" s="58"/>
      <c r="CC46" s="595">
        <v>0</v>
      </c>
      <c r="CD46" s="596">
        <v>0</v>
      </c>
      <c r="CE46" s="596">
        <v>0</v>
      </c>
      <c r="CF46" s="596">
        <v>0</v>
      </c>
      <c r="CG46" s="589">
        <f>CG44-CG45</f>
        <v>-9.0205620750793969E-17</v>
      </c>
      <c r="CH46" s="58"/>
      <c r="CI46" s="595">
        <v>0</v>
      </c>
      <c r="CJ46" s="596">
        <v>0</v>
      </c>
      <c r="CK46" s="596">
        <v>0</v>
      </c>
      <c r="CL46" s="596">
        <v>0</v>
      </c>
      <c r="CM46" s="589">
        <f>CM44-CM45</f>
        <v>-9.0205620750793969E-17</v>
      </c>
      <c r="CN46" s="11"/>
      <c r="CO46" s="11"/>
      <c r="CP46" s="11"/>
      <c r="CQ46" s="11"/>
      <c r="CR46" s="11"/>
      <c r="CS46" s="11"/>
      <c r="CT46" s="11"/>
      <c r="CU46" s="11"/>
      <c r="CV46" s="11"/>
      <c r="CW46" s="11"/>
      <c r="CX46" s="11"/>
    </row>
    <row r="47" spans="1:102" s="31" customFormat="1" ht="11.25" customHeight="1" x14ac:dyDescent="0.2">
      <c r="B47" s="267" t="s">
        <v>262</v>
      </c>
      <c r="C47" s="228"/>
      <c r="D47" s="239"/>
      <c r="E47" s="239"/>
      <c r="F47" s="229"/>
      <c r="G47" s="603"/>
      <c r="H47" s="58"/>
      <c r="I47" s="228"/>
      <c r="J47" s="239"/>
      <c r="K47" s="239"/>
      <c r="L47" s="229"/>
      <c r="M47" s="603"/>
      <c r="N47" s="58"/>
      <c r="O47" s="228"/>
      <c r="P47" s="239"/>
      <c r="Q47" s="239"/>
      <c r="R47" s="229"/>
      <c r="S47" s="603"/>
      <c r="T47" s="58"/>
      <c r="U47" s="228"/>
      <c r="V47" s="239"/>
      <c r="W47" s="239"/>
      <c r="X47" s="229"/>
      <c r="Y47" s="603"/>
      <c r="Z47" s="58"/>
      <c r="AA47" s="228"/>
      <c r="AB47" s="239"/>
      <c r="AC47" s="239"/>
      <c r="AD47" s="229"/>
      <c r="AE47" s="603"/>
      <c r="AF47" s="58"/>
      <c r="AG47" s="228"/>
      <c r="AH47" s="239"/>
      <c r="AI47" s="239"/>
      <c r="AJ47" s="229"/>
      <c r="AK47" s="603"/>
      <c r="AL47" s="58"/>
      <c r="AM47" s="228"/>
      <c r="AN47" s="239"/>
      <c r="AO47" s="239"/>
      <c r="AP47" s="239"/>
      <c r="AQ47" s="603"/>
      <c r="AR47" s="58"/>
      <c r="AS47" s="228"/>
      <c r="AT47" s="239"/>
      <c r="AU47" s="239"/>
      <c r="AV47" s="239"/>
      <c r="AW47" s="603"/>
      <c r="AX47" s="58"/>
      <c r="AY47" s="228"/>
      <c r="AZ47" s="239"/>
      <c r="BA47" s="239"/>
      <c r="BB47" s="239"/>
      <c r="BC47" s="589"/>
      <c r="BD47" s="58"/>
      <c r="BE47" s="228">
        <v>0</v>
      </c>
      <c r="BF47" s="239">
        <v>0</v>
      </c>
      <c r="BG47" s="239">
        <v>0</v>
      </c>
      <c r="BH47" s="239">
        <v>0</v>
      </c>
      <c r="BI47" s="589">
        <f>SUMPRODUCT(BE47:BH47,AY43:BB43)/BC43</f>
        <v>0</v>
      </c>
      <c r="BJ47" s="58"/>
      <c r="BK47" s="228">
        <v>0</v>
      </c>
      <c r="BL47" s="239">
        <v>0</v>
      </c>
      <c r="BM47" s="239">
        <v>0</v>
      </c>
      <c r="BN47" s="239">
        <v>0</v>
      </c>
      <c r="BO47" s="589">
        <f>SUMPRODUCT(BK47:BN47,BE43:BH43)/BI43</f>
        <v>0</v>
      </c>
      <c r="BP47" s="58"/>
      <c r="BQ47" s="228">
        <v>0</v>
      </c>
      <c r="BR47" s="239">
        <v>-3.0000000000000001E-3</v>
      </c>
      <c r="BS47" s="239">
        <v>0</v>
      </c>
      <c r="BT47" s="596">
        <v>0</v>
      </c>
      <c r="BU47" s="589">
        <f>SUMPRODUCT(BQ47:BT47,BK43:BN43)/BO43</f>
        <v>-6.7829587386782954E-4</v>
      </c>
      <c r="BV47" s="58"/>
      <c r="BW47" s="595">
        <v>0</v>
      </c>
      <c r="BX47" s="596">
        <v>0</v>
      </c>
      <c r="BY47" s="596">
        <v>0</v>
      </c>
      <c r="BZ47" s="596">
        <v>0</v>
      </c>
      <c r="CA47" s="589">
        <f>SUMPRODUCT(BW47:BZ47,BQ43:BT43)/BU43</f>
        <v>0</v>
      </c>
      <c r="CB47" s="58"/>
      <c r="CC47" s="595">
        <v>0</v>
      </c>
      <c r="CD47" s="596">
        <v>0</v>
      </c>
      <c r="CE47" s="596">
        <v>0</v>
      </c>
      <c r="CF47" s="596">
        <v>0</v>
      </c>
      <c r="CG47" s="589">
        <f>SUMPRODUCT(CC47:CF47,BW43:BZ43)/CA43</f>
        <v>0</v>
      </c>
      <c r="CH47" s="58"/>
      <c r="CI47" s="595">
        <v>0</v>
      </c>
      <c r="CJ47" s="596">
        <v>0</v>
      </c>
      <c r="CK47" s="596">
        <v>0</v>
      </c>
      <c r="CL47" s="596">
        <v>0</v>
      </c>
      <c r="CM47" s="589">
        <f>SUMPRODUCT(CI47:CL47,CC43:CF43)/CG43</f>
        <v>0</v>
      </c>
      <c r="CN47" s="11"/>
      <c r="CO47" s="11"/>
      <c r="CP47" s="11"/>
      <c r="CQ47" s="11"/>
      <c r="CR47" s="11"/>
      <c r="CS47" s="11"/>
      <c r="CT47" s="11"/>
      <c r="CU47" s="11"/>
      <c r="CV47" s="11"/>
      <c r="CW47" s="11"/>
      <c r="CX47" s="11"/>
    </row>
    <row r="48" spans="1:102" s="31" customFormat="1" ht="11.25" customHeight="1" x14ac:dyDescent="0.2">
      <c r="B48" s="620" t="s">
        <v>265</v>
      </c>
      <c r="C48" s="257"/>
      <c r="D48" s="382"/>
      <c r="E48" s="382"/>
      <c r="F48" s="382"/>
      <c r="G48" s="621"/>
      <c r="H48" s="622"/>
      <c r="I48" s="257"/>
      <c r="J48" s="382"/>
      <c r="K48" s="382"/>
      <c r="L48" s="382"/>
      <c r="M48" s="621"/>
      <c r="N48" s="622"/>
      <c r="O48" s="257"/>
      <c r="P48" s="382"/>
      <c r="Q48" s="382"/>
      <c r="R48" s="382"/>
      <c r="S48" s="621"/>
      <c r="T48" s="622"/>
      <c r="U48" s="257"/>
      <c r="V48" s="382"/>
      <c r="W48" s="382"/>
      <c r="X48" s="382"/>
      <c r="Y48" s="621"/>
      <c r="Z48" s="622"/>
      <c r="AA48" s="257"/>
      <c r="AB48" s="382"/>
      <c r="AC48" s="382"/>
      <c r="AD48" s="382"/>
      <c r="AE48" s="621"/>
      <c r="AF48" s="622"/>
      <c r="AG48" s="257"/>
      <c r="AH48" s="382"/>
      <c r="AI48" s="382"/>
      <c r="AJ48" s="382"/>
      <c r="AK48" s="621"/>
      <c r="AL48" s="622"/>
      <c r="AM48" s="257"/>
      <c r="AN48" s="382"/>
      <c r="AO48" s="382"/>
      <c r="AP48" s="382"/>
      <c r="AQ48" s="621"/>
      <c r="AR48" s="622"/>
      <c r="AS48" s="257"/>
      <c r="AT48" s="382"/>
      <c r="AU48" s="382"/>
      <c r="AV48" s="382"/>
      <c r="AW48" s="621"/>
      <c r="AX48" s="622"/>
      <c r="AY48" s="257"/>
      <c r="AZ48" s="382"/>
      <c r="BA48" s="382"/>
      <c r="BB48" s="382"/>
      <c r="BC48" s="621"/>
      <c r="BD48" s="622"/>
      <c r="BE48" s="257">
        <f>+BE45-BE47</f>
        <v>0.29099999999999998</v>
      </c>
      <c r="BF48" s="382">
        <f>+BF45-BF47</f>
        <v>0.309</v>
      </c>
      <c r="BG48" s="382">
        <f>+BG45-BG47</f>
        <v>8.900000000000001E-2</v>
      </c>
      <c r="BH48" s="382">
        <f>+BH45-BH47</f>
        <v>-0.17899999999999999</v>
      </c>
      <c r="BI48" s="621">
        <f>+BI45-BI47</f>
        <v>7.2730582160227986E-2</v>
      </c>
      <c r="BJ48" s="622"/>
      <c r="BK48" s="257">
        <f>+BK45-BK47</f>
        <v>2.8000000000000004E-2</v>
      </c>
      <c r="BL48" s="382">
        <f>+BL45-BL47</f>
        <v>0.10200000000000001</v>
      </c>
      <c r="BM48" s="382">
        <f>+BM45-BM47</f>
        <v>0.13399999999999998</v>
      </c>
      <c r="BN48" s="382">
        <f>+BN45-BN47</f>
        <v>1.3000000000000001E-2</v>
      </c>
      <c r="BO48" s="621">
        <f>+BO45-BO47</f>
        <v>7.5385578307470807E-2</v>
      </c>
      <c r="BP48" s="622"/>
      <c r="BQ48" s="257">
        <f>+BQ45-BQ47</f>
        <v>-9.6000000000000002E-2</v>
      </c>
      <c r="BR48" s="382">
        <f>+BR45-BR47</f>
        <v>-2.2000000000000002E-2</v>
      </c>
      <c r="BS48" s="382">
        <f>+BS45-BS47</f>
        <v>-0.16400000000000001</v>
      </c>
      <c r="BT48" s="382">
        <f>+BT45-BT47</f>
        <v>0.02</v>
      </c>
      <c r="BU48" s="621">
        <f>+BU45-BU47</f>
        <v>-7.5089492713108955E-2</v>
      </c>
      <c r="BV48" s="622"/>
      <c r="BW48" s="257">
        <f>+BW45-BW47</f>
        <v>0.04</v>
      </c>
      <c r="BX48" s="382">
        <f>+BX45-BX47</f>
        <v>0.04</v>
      </c>
      <c r="BY48" s="382">
        <f>+BY45-BY47</f>
        <v>0.04</v>
      </c>
      <c r="BZ48" s="382">
        <f>+BZ45-BZ47</f>
        <v>0.04</v>
      </c>
      <c r="CA48" s="621">
        <f>+CA45-CA47</f>
        <v>3.9999999999999994E-2</v>
      </c>
      <c r="CB48" s="622"/>
      <c r="CC48" s="257">
        <f>+CC45-CC47</f>
        <v>3.5000000000000003E-2</v>
      </c>
      <c r="CD48" s="382">
        <f>+CD45-CD47</f>
        <v>3.5000000000000003E-2</v>
      </c>
      <c r="CE48" s="382">
        <f>+CE45-CE47</f>
        <v>3.5000000000000003E-2</v>
      </c>
      <c r="CF48" s="382">
        <f>+CF45-CF47</f>
        <v>3.5000000000000003E-2</v>
      </c>
      <c r="CG48" s="621">
        <f>+CG45-CG47</f>
        <v>3.500000000000001E-2</v>
      </c>
      <c r="CH48" s="622"/>
      <c r="CI48" s="257">
        <f>+CI45-CI47</f>
        <v>3.5000000000000003E-2</v>
      </c>
      <c r="CJ48" s="382">
        <f>+CJ45-CJ47</f>
        <v>3.5000000000000003E-2</v>
      </c>
      <c r="CK48" s="382">
        <f>+CK45-CK47</f>
        <v>3.5000000000000003E-2</v>
      </c>
      <c r="CL48" s="382">
        <f>+CL45-CL47</f>
        <v>3.5000000000000003E-2</v>
      </c>
      <c r="CM48" s="621">
        <f>+CM45-CM47</f>
        <v>3.500000000000001E-2</v>
      </c>
      <c r="CN48" s="11"/>
      <c r="CO48" s="11"/>
      <c r="CP48" s="11"/>
      <c r="CQ48" s="11"/>
      <c r="CR48" s="11"/>
      <c r="CS48" s="11"/>
      <c r="CT48" s="11"/>
      <c r="CU48" s="11"/>
      <c r="CV48" s="11"/>
      <c r="CW48" s="11"/>
      <c r="CX48" s="11"/>
    </row>
    <row r="49" spans="1:102" s="31" customFormat="1" ht="11.25" customHeight="1" x14ac:dyDescent="0.2">
      <c r="B49" s="267"/>
      <c r="C49" s="228"/>
      <c r="D49" s="239"/>
      <c r="E49" s="239"/>
      <c r="F49" s="229"/>
      <c r="G49" s="589"/>
      <c r="H49" s="106"/>
      <c r="I49" s="228"/>
      <c r="J49" s="239"/>
      <c r="K49" s="239"/>
      <c r="L49" s="229"/>
      <c r="M49" s="589"/>
      <c r="N49" s="106"/>
      <c r="O49" s="228"/>
      <c r="P49" s="239"/>
      <c r="Q49" s="239"/>
      <c r="R49" s="229"/>
      <c r="S49" s="589"/>
      <c r="T49" s="106"/>
      <c r="U49" s="228"/>
      <c r="V49" s="239"/>
      <c r="W49" s="239"/>
      <c r="X49" s="229"/>
      <c r="Y49" s="589"/>
      <c r="Z49" s="106"/>
      <c r="AA49" s="228"/>
      <c r="AB49" s="239"/>
      <c r="AC49" s="239"/>
      <c r="AD49" s="229"/>
      <c r="AE49" s="589"/>
      <c r="AF49" s="106"/>
      <c r="AG49" s="228"/>
      <c r="AH49" s="239"/>
      <c r="AI49" s="239"/>
      <c r="AJ49" s="229"/>
      <c r="AK49" s="589"/>
      <c r="AL49" s="106"/>
      <c r="AM49" s="228"/>
      <c r="AN49" s="239"/>
      <c r="AO49" s="239"/>
      <c r="AP49" s="229"/>
      <c r="AQ49" s="589"/>
      <c r="AR49" s="106"/>
      <c r="AS49" s="228"/>
      <c r="AT49" s="239"/>
      <c r="AU49" s="239"/>
      <c r="AV49" s="229"/>
      <c r="AW49" s="603"/>
      <c r="AX49" s="106"/>
      <c r="AY49" s="228"/>
      <c r="AZ49" s="239"/>
      <c r="BA49" s="239"/>
      <c r="BB49" s="229"/>
      <c r="BC49" s="589"/>
      <c r="BD49" s="106"/>
      <c r="BE49" s="228"/>
      <c r="BF49" s="239"/>
      <c r="BG49" s="239"/>
      <c r="BH49" s="239"/>
      <c r="BI49" s="589"/>
      <c r="BJ49" s="106"/>
      <c r="BK49" s="228"/>
      <c r="BL49" s="239"/>
      <c r="BM49" s="239"/>
      <c r="BN49" s="239"/>
      <c r="BO49" s="589"/>
      <c r="BP49" s="106"/>
      <c r="BQ49" s="228"/>
      <c r="BR49" s="239"/>
      <c r="BS49" s="239"/>
      <c r="BT49" s="596"/>
      <c r="BU49" s="589"/>
      <c r="BV49" s="106"/>
      <c r="BW49" s="595"/>
      <c r="BX49" s="596"/>
      <c r="BY49" s="596"/>
      <c r="BZ49" s="596"/>
      <c r="CA49" s="589"/>
      <c r="CB49" s="106"/>
      <c r="CC49" s="595"/>
      <c r="CD49" s="596"/>
      <c r="CE49" s="596"/>
      <c r="CF49" s="596"/>
      <c r="CG49" s="589"/>
      <c r="CH49" s="106"/>
      <c r="CI49" s="595"/>
      <c r="CJ49" s="596"/>
      <c r="CK49" s="596"/>
      <c r="CL49" s="596"/>
      <c r="CM49" s="589"/>
      <c r="CN49" s="11"/>
      <c r="CO49" s="11"/>
      <c r="CP49" s="11"/>
      <c r="CQ49" s="11"/>
      <c r="CR49" s="11"/>
      <c r="CS49" s="11"/>
      <c r="CT49" s="11"/>
      <c r="CU49" s="11"/>
      <c r="CV49" s="11"/>
      <c r="CW49" s="11"/>
      <c r="CX49" s="11"/>
    </row>
    <row r="50" spans="1:102" s="9" customFormat="1" ht="11.25" customHeight="1" x14ac:dyDescent="0.2">
      <c r="A50" s="12"/>
      <c r="B50" s="620" t="s">
        <v>310</v>
      </c>
      <c r="C50" s="576"/>
      <c r="D50" s="585"/>
      <c r="E50" s="585"/>
      <c r="F50" s="585"/>
      <c r="G50" s="594"/>
      <c r="H50" s="585"/>
      <c r="I50" s="576"/>
      <c r="J50" s="585"/>
      <c r="K50" s="585"/>
      <c r="L50" s="585"/>
      <c r="M50" s="594"/>
      <c r="N50" s="585"/>
      <c r="O50" s="576"/>
      <c r="P50" s="585"/>
      <c r="Q50" s="585"/>
      <c r="R50" s="585"/>
      <c r="S50" s="594"/>
      <c r="T50" s="585"/>
      <c r="U50" s="576"/>
      <c r="V50" s="585"/>
      <c r="W50" s="585"/>
      <c r="X50" s="585"/>
      <c r="Y50" s="594"/>
      <c r="Z50" s="585"/>
      <c r="AA50" s="576"/>
      <c r="AB50" s="585"/>
      <c r="AC50" s="585"/>
      <c r="AD50" s="585"/>
      <c r="AE50" s="594"/>
      <c r="AF50" s="585"/>
      <c r="AG50" s="576"/>
      <c r="AH50" s="585"/>
      <c r="AI50" s="585"/>
      <c r="AJ50" s="585"/>
      <c r="AK50" s="594"/>
      <c r="AL50" s="585"/>
      <c r="AM50" s="576"/>
      <c r="AN50" s="585"/>
      <c r="AO50" s="585"/>
      <c r="AP50" s="585"/>
      <c r="AQ50" s="594"/>
      <c r="AR50" s="585"/>
      <c r="AS50" s="576"/>
      <c r="AT50" s="585"/>
      <c r="AU50" s="585"/>
      <c r="AV50" s="585"/>
      <c r="AW50" s="594"/>
      <c r="AX50" s="585"/>
      <c r="AY50" s="576">
        <v>8.34</v>
      </c>
      <c r="AZ50" s="585">
        <v>8.4239999999999995</v>
      </c>
      <c r="BA50" s="585">
        <v>6.8470000000000004</v>
      </c>
      <c r="BB50" s="585">
        <v>8.1140000000000008</v>
      </c>
      <c r="BC50" s="594">
        <f>+SUM(AY50:BB50)</f>
        <v>31.725000000000001</v>
      </c>
      <c r="BD50" s="585"/>
      <c r="BE50" s="576">
        <v>10.228999999999999</v>
      </c>
      <c r="BF50" s="585">
        <v>8.3580000000000005</v>
      </c>
      <c r="BG50" s="585">
        <v>7.2649999999999997</v>
      </c>
      <c r="BH50" s="585">
        <v>11.353999999999999</v>
      </c>
      <c r="BI50" s="594">
        <f>+SUM(BE50:BH50)</f>
        <v>37.206000000000003</v>
      </c>
      <c r="BJ50" s="585"/>
      <c r="BK50" s="576">
        <v>9.2940000000000005</v>
      </c>
      <c r="BL50" s="585">
        <v>7.0190000000000001</v>
      </c>
      <c r="BM50" s="585">
        <v>5.0439999999999996</v>
      </c>
      <c r="BN50" s="585">
        <v>5.6870000000000003</v>
      </c>
      <c r="BO50" s="594">
        <f>+SUM(BK50:BN50)</f>
        <v>27.044000000000004</v>
      </c>
      <c r="BP50" s="585"/>
      <c r="BQ50" s="576">
        <v>7.1230000000000002</v>
      </c>
      <c r="BR50" s="585">
        <v>6.8849999999999998</v>
      </c>
      <c r="BS50" s="585">
        <v>7.4</v>
      </c>
      <c r="BT50" s="136">
        <f>+BN50*(1+BT51)</f>
        <v>6.1367826201427453</v>
      </c>
      <c r="BU50" s="594">
        <f>+SUM(BQ50:BT50)</f>
        <v>27.544782620142747</v>
      </c>
      <c r="BV50" s="585"/>
      <c r="BW50" s="578">
        <f>+BQ50*(1+BW51)</f>
        <v>7.4079200000000007</v>
      </c>
      <c r="BX50" s="136">
        <f>+BR50*(1+BX51)</f>
        <v>7.1604000000000001</v>
      </c>
      <c r="BY50" s="136">
        <f>+BS50*(1+BY51)</f>
        <v>7.6960000000000006</v>
      </c>
      <c r="BZ50" s="136">
        <f>+BT50*(1+BZ51)</f>
        <v>6.3822539249484551</v>
      </c>
      <c r="CA50" s="594">
        <f>+SUM(BW50:BZ50)</f>
        <v>28.646573924948456</v>
      </c>
      <c r="CB50" s="585"/>
      <c r="CC50" s="578">
        <f>+BW50*(1+CC51)</f>
        <v>7.4819992000000006</v>
      </c>
      <c r="CD50" s="136">
        <f>+BX50*(1+CD51)</f>
        <v>7.2320039999999999</v>
      </c>
      <c r="CE50" s="136">
        <f>+BY50*(1+CE51)</f>
        <v>8.0038400000000003</v>
      </c>
      <c r="CF50" s="136">
        <f>+BZ50*(1+CF51)</f>
        <v>6.6375440819463938</v>
      </c>
      <c r="CG50" s="594">
        <f>+SUM(CC50:CF50)</f>
        <v>29.355387281946395</v>
      </c>
      <c r="CH50" s="585"/>
      <c r="CI50" s="578">
        <f>+CC50*(1+CI51)</f>
        <v>7.5568191920000007</v>
      </c>
      <c r="CJ50" s="136">
        <f>+CD50*(1+CJ51)</f>
        <v>7.30432404</v>
      </c>
      <c r="CK50" s="136">
        <f>+CE50*(1+CK51)</f>
        <v>8.3239936000000014</v>
      </c>
      <c r="CL50" s="136">
        <f>+CF50*(1+CL51)</f>
        <v>6.9030458452242494</v>
      </c>
      <c r="CM50" s="594">
        <f>+SUM(CI50:CL50)</f>
        <v>30.08818267722425</v>
      </c>
      <c r="CN50" s="11"/>
      <c r="CO50" s="11"/>
      <c r="CP50" s="11"/>
      <c r="CQ50" s="11"/>
      <c r="CR50" s="11"/>
      <c r="CS50" s="11"/>
      <c r="CT50" s="11"/>
      <c r="CU50" s="11"/>
      <c r="CV50" s="11"/>
      <c r="CW50" s="11"/>
      <c r="CX50" s="11"/>
    </row>
    <row r="51" spans="1:102" s="31" customFormat="1" ht="11.25" customHeight="1" x14ac:dyDescent="0.2">
      <c r="B51" s="267" t="s">
        <v>261</v>
      </c>
      <c r="C51" s="121"/>
      <c r="D51" s="85"/>
      <c r="E51" s="85"/>
      <c r="F51" s="85"/>
      <c r="G51" s="589"/>
      <c r="H51" s="58"/>
      <c r="I51" s="121"/>
      <c r="J51" s="85"/>
      <c r="K51" s="85"/>
      <c r="L51" s="85"/>
      <c r="M51" s="589"/>
      <c r="N51" s="58"/>
      <c r="O51" s="121"/>
      <c r="P51" s="85"/>
      <c r="Q51" s="85"/>
      <c r="R51" s="85"/>
      <c r="S51" s="589"/>
      <c r="T51" s="58"/>
      <c r="U51" s="121"/>
      <c r="V51" s="85"/>
      <c r="W51" s="85"/>
      <c r="X51" s="85"/>
      <c r="Y51" s="589"/>
      <c r="Z51" s="58"/>
      <c r="AA51" s="600"/>
      <c r="AB51" s="139"/>
      <c r="AC51" s="139"/>
      <c r="AD51" s="139"/>
      <c r="AE51" s="589"/>
      <c r="AF51" s="58"/>
      <c r="AG51" s="600"/>
      <c r="AH51" s="139"/>
      <c r="AI51" s="139"/>
      <c r="AJ51" s="139"/>
      <c r="AK51" s="589"/>
      <c r="AL51" s="58"/>
      <c r="AM51" s="600"/>
      <c r="AN51" s="139"/>
      <c r="AO51" s="85"/>
      <c r="AP51" s="85"/>
      <c r="AQ51" s="589"/>
      <c r="AR51" s="58"/>
      <c r="AS51" s="600"/>
      <c r="AT51" s="139"/>
      <c r="AU51" s="85"/>
      <c r="AV51" s="85"/>
      <c r="AW51" s="589"/>
      <c r="AX51" s="58"/>
      <c r="AY51" s="121"/>
      <c r="AZ51" s="85"/>
      <c r="BA51" s="85"/>
      <c r="BB51" s="85"/>
      <c r="BC51" s="589"/>
      <c r="BD51" s="58"/>
      <c r="BE51" s="121">
        <f>BE50/AY50-1</f>
        <v>0.22649880095923258</v>
      </c>
      <c r="BF51" s="85">
        <f>BF50/AZ50-1</f>
        <v>-7.8347578347577329E-3</v>
      </c>
      <c r="BG51" s="85">
        <f>BG50/BA50-1</f>
        <v>6.1048634438439997E-2</v>
      </c>
      <c r="BH51" s="85">
        <f>BH50/BB50-1</f>
        <v>0.39930983485333971</v>
      </c>
      <c r="BI51" s="589">
        <f>BI50/BC50-1</f>
        <v>0.17276595744680856</v>
      </c>
      <c r="BJ51" s="58"/>
      <c r="BK51" s="121">
        <f>BK50/BE50-1</f>
        <v>-9.140678463192875E-2</v>
      </c>
      <c r="BL51" s="85">
        <f>BL50/BF50-1</f>
        <v>-0.16020579085905728</v>
      </c>
      <c r="BM51" s="85">
        <f>BM50/BG50-1</f>
        <v>-0.30571231933929799</v>
      </c>
      <c r="BN51" s="85">
        <f>BN50/BH50-1</f>
        <v>-0.49911925312665129</v>
      </c>
      <c r="BO51" s="589">
        <f>BO50/BI50-1</f>
        <v>-0.27312799010912214</v>
      </c>
      <c r="BP51" s="58"/>
      <c r="BQ51" s="121">
        <f>BQ50/BK50-1</f>
        <v>-0.23359156445018292</v>
      </c>
      <c r="BR51" s="85">
        <f>BR50/BL50-1</f>
        <v>-1.9091038609488575E-2</v>
      </c>
      <c r="BS51" s="85">
        <f>BS50/BM50-1</f>
        <v>0.46708961141950844</v>
      </c>
      <c r="BT51" s="85">
        <f>+BT52+BT53</f>
        <v>7.9089611419508474E-2</v>
      </c>
      <c r="BU51" s="589">
        <f>BU50/BO50-1</f>
        <v>1.8517328063257787E-2</v>
      </c>
      <c r="BV51" s="58"/>
      <c r="BW51" s="121">
        <f>+BW52+BW53</f>
        <v>0.04</v>
      </c>
      <c r="BX51" s="85">
        <f>+BX52+BX53</f>
        <v>0.04</v>
      </c>
      <c r="BY51" s="85">
        <f>+BY52+BY53</f>
        <v>0.04</v>
      </c>
      <c r="BZ51" s="85">
        <f>+BZ52+BZ53</f>
        <v>0.04</v>
      </c>
      <c r="CA51" s="589">
        <f>CA50/BU50-1</f>
        <v>4.0000000000000036E-2</v>
      </c>
      <c r="CB51" s="58"/>
      <c r="CC51" s="121">
        <f>+CC52+CC53</f>
        <v>0.01</v>
      </c>
      <c r="CD51" s="85">
        <f>+CD52+CD53</f>
        <v>0.01</v>
      </c>
      <c r="CE51" s="85">
        <f>+CE52+CE53</f>
        <v>0.04</v>
      </c>
      <c r="CF51" s="85">
        <f>+CF52+CF53</f>
        <v>0.04</v>
      </c>
      <c r="CG51" s="589">
        <f>CG50/CA50-1</f>
        <v>2.4743390216748651E-2</v>
      </c>
      <c r="CH51" s="58"/>
      <c r="CI51" s="121">
        <f>+CI52+CI53</f>
        <v>0.01</v>
      </c>
      <c r="CJ51" s="85">
        <f>+CJ52+CJ53</f>
        <v>0.01</v>
      </c>
      <c r="CK51" s="85">
        <f>+CK52+CK53</f>
        <v>0.04</v>
      </c>
      <c r="CL51" s="85">
        <f>+CL52+CL53</f>
        <v>0.04</v>
      </c>
      <c r="CM51" s="589">
        <f>CM50/CG50-1</f>
        <v>2.4962893122126406E-2</v>
      </c>
      <c r="CN51" s="11"/>
      <c r="CO51" s="11"/>
      <c r="CP51" s="11"/>
      <c r="CQ51" s="11"/>
      <c r="CR51" s="11"/>
      <c r="CS51" s="11"/>
      <c r="CT51" s="11"/>
      <c r="CU51" s="11"/>
      <c r="CV51" s="11"/>
      <c r="CW51" s="11"/>
      <c r="CX51" s="11"/>
    </row>
    <row r="52" spans="1:102" s="31" customFormat="1" ht="11.25" customHeight="1" x14ac:dyDescent="0.2">
      <c r="B52" s="267" t="s">
        <v>264</v>
      </c>
      <c r="C52" s="228"/>
      <c r="D52" s="239"/>
      <c r="E52" s="239"/>
      <c r="F52" s="229"/>
      <c r="G52" s="589"/>
      <c r="H52" s="106"/>
      <c r="I52" s="228"/>
      <c r="J52" s="239"/>
      <c r="K52" s="239"/>
      <c r="L52" s="229"/>
      <c r="M52" s="589"/>
      <c r="N52" s="106"/>
      <c r="O52" s="228"/>
      <c r="P52" s="239"/>
      <c r="Q52" s="239"/>
      <c r="R52" s="229"/>
      <c r="S52" s="589"/>
      <c r="T52" s="106"/>
      <c r="U52" s="228"/>
      <c r="V52" s="239"/>
      <c r="W52" s="239"/>
      <c r="X52" s="229"/>
      <c r="Y52" s="589"/>
      <c r="Z52" s="106"/>
      <c r="AA52" s="228"/>
      <c r="AB52" s="239"/>
      <c r="AC52" s="239"/>
      <c r="AD52" s="229"/>
      <c r="AE52" s="589"/>
      <c r="AF52" s="106"/>
      <c r="AG52" s="228"/>
      <c r="AH52" s="239"/>
      <c r="AI52" s="239"/>
      <c r="AJ52" s="229"/>
      <c r="AK52" s="589"/>
      <c r="AL52" s="106"/>
      <c r="AM52" s="121"/>
      <c r="AN52" s="85"/>
      <c r="AO52" s="85"/>
      <c r="AP52" s="85"/>
      <c r="AQ52" s="589"/>
      <c r="AR52" s="106"/>
      <c r="AS52" s="121"/>
      <c r="AT52" s="85"/>
      <c r="AU52" s="85"/>
      <c r="AV52" s="85"/>
      <c r="AW52" s="603"/>
      <c r="AX52" s="106"/>
      <c r="AY52" s="228"/>
      <c r="AZ52" s="239"/>
      <c r="BA52" s="239"/>
      <c r="BB52" s="239"/>
      <c r="BC52" s="589"/>
      <c r="BD52" s="106"/>
      <c r="BE52" s="228">
        <f>(22.6+5.1)%</f>
        <v>0.27700000000000002</v>
      </c>
      <c r="BF52" s="239">
        <f>(-0.8+3.8)%</f>
        <v>0.03</v>
      </c>
      <c r="BG52" s="239">
        <f>(6.1+3)%</f>
        <v>9.0999999999999998E-2</v>
      </c>
      <c r="BH52" s="239">
        <f>(39.9+3.2)%</f>
        <v>0.43099999999999999</v>
      </c>
      <c r="BI52" s="589">
        <f>SUMPRODUCT(BE52:BH52,AY50:BB50)/BC50</f>
        <v>0.21065755713159967</v>
      </c>
      <c r="BJ52" s="106"/>
      <c r="BK52" s="228">
        <f>(-9.1+4.6)%</f>
        <v>-4.4999999999999998E-2</v>
      </c>
      <c r="BL52" s="239">
        <f>(-16+9.9)%</f>
        <v>-6.0999999999999999E-2</v>
      </c>
      <c r="BM52" s="239">
        <f>(-30.6+10.9)%</f>
        <v>-0.19700000000000004</v>
      </c>
      <c r="BN52" s="239">
        <f>(-49.9+5.3)%</f>
        <v>-0.44600000000000001</v>
      </c>
      <c r="BO52" s="589">
        <f>SUMPRODUCT(BK52:BN52,BE50:BH50)/BI50</f>
        <v>-0.2006459173251626</v>
      </c>
      <c r="BP52" s="106"/>
      <c r="BQ52" s="228">
        <v>-0.19600000000000001</v>
      </c>
      <c r="BR52" s="239">
        <v>-2.8000000000000001E-2</v>
      </c>
      <c r="BS52" s="239">
        <v>0.40799999999999997</v>
      </c>
      <c r="BT52" s="596">
        <v>0.02</v>
      </c>
      <c r="BU52" s="589">
        <f>SUMPRODUCT(BQ52:BT52,BK50:BN50)/BO50</f>
        <v>5.6772666765271219E-3</v>
      </c>
      <c r="BV52" s="106"/>
      <c r="BW52" s="595">
        <v>0.04</v>
      </c>
      <c r="BX52" s="596">
        <f>+BW52</f>
        <v>0.04</v>
      </c>
      <c r="BY52" s="596">
        <f>+BX52</f>
        <v>0.04</v>
      </c>
      <c r="BZ52" s="596">
        <f>+BY52</f>
        <v>0.04</v>
      </c>
      <c r="CA52" s="589">
        <f>SUMPRODUCT(BW52:BZ52,BQ50:BT50)/BU50</f>
        <v>3.9999999999999994E-2</v>
      </c>
      <c r="CB52" s="106"/>
      <c r="CC52" s="595">
        <v>0.01</v>
      </c>
      <c r="CD52" s="596">
        <v>0.01</v>
      </c>
      <c r="CE52" s="596">
        <v>0.04</v>
      </c>
      <c r="CF52" s="596">
        <v>0.04</v>
      </c>
      <c r="CG52" s="589">
        <f>SUMPRODUCT(CC52:CF52,BW50:BZ50)/CA50</f>
        <v>2.4743390216748706E-2</v>
      </c>
      <c r="CH52" s="106"/>
      <c r="CI52" s="595">
        <v>0.01</v>
      </c>
      <c r="CJ52" s="596">
        <v>0.01</v>
      </c>
      <c r="CK52" s="596">
        <v>0.04</v>
      </c>
      <c r="CL52" s="596">
        <v>0.04</v>
      </c>
      <c r="CM52" s="589">
        <f>SUMPRODUCT(CI52:CL52,CC50:CF50)/CG50</f>
        <v>2.4962893122126378E-2</v>
      </c>
      <c r="CN52" s="11"/>
      <c r="CO52" s="11"/>
      <c r="CP52" s="11"/>
      <c r="CQ52" s="11"/>
      <c r="CR52" s="11"/>
      <c r="CS52" s="11"/>
      <c r="CT52" s="11"/>
      <c r="CU52" s="11"/>
      <c r="CV52" s="11"/>
      <c r="CW52" s="11"/>
      <c r="CX52" s="11"/>
    </row>
    <row r="53" spans="1:102" s="31" customFormat="1" ht="11.25" customHeight="1" x14ac:dyDescent="0.2">
      <c r="B53" s="267" t="s">
        <v>263</v>
      </c>
      <c r="C53" s="121"/>
      <c r="D53" s="85"/>
      <c r="E53" s="85"/>
      <c r="F53" s="85"/>
      <c r="G53" s="589"/>
      <c r="H53" s="58"/>
      <c r="I53" s="121"/>
      <c r="J53" s="85"/>
      <c r="K53" s="85"/>
      <c r="L53" s="85"/>
      <c r="M53" s="589"/>
      <c r="N53" s="58"/>
      <c r="O53" s="121"/>
      <c r="P53" s="85"/>
      <c r="Q53" s="85"/>
      <c r="R53" s="85"/>
      <c r="S53" s="589"/>
      <c r="T53" s="58"/>
      <c r="U53" s="121"/>
      <c r="V53" s="85"/>
      <c r="W53" s="85"/>
      <c r="X53" s="85"/>
      <c r="Y53" s="589"/>
      <c r="Z53" s="58"/>
      <c r="AA53" s="121"/>
      <c r="AB53" s="85"/>
      <c r="AC53" s="85"/>
      <c r="AD53" s="85"/>
      <c r="AE53" s="589"/>
      <c r="AF53" s="58"/>
      <c r="AG53" s="121"/>
      <c r="AH53" s="85"/>
      <c r="AI53" s="85"/>
      <c r="AJ53" s="85"/>
      <c r="AK53" s="589"/>
      <c r="AL53" s="58"/>
      <c r="AM53" s="228"/>
      <c r="AN53" s="239"/>
      <c r="AO53" s="239"/>
      <c r="AP53" s="239"/>
      <c r="AQ53" s="589"/>
      <c r="AR53" s="58"/>
      <c r="AS53" s="228"/>
      <c r="AT53" s="239"/>
      <c r="AU53" s="239"/>
      <c r="AV53" s="239"/>
      <c r="AW53" s="589"/>
      <c r="AX53" s="58"/>
      <c r="AY53" s="121"/>
      <c r="AZ53" s="85"/>
      <c r="BA53" s="85"/>
      <c r="BB53" s="85"/>
      <c r="BC53" s="589"/>
      <c r="BD53" s="58"/>
      <c r="BE53" s="121">
        <f>BE51-BE52</f>
        <v>-5.0501199040767442E-2</v>
      </c>
      <c r="BF53" s="85">
        <f>BF51-BF52</f>
        <v>-3.7834757834757732E-2</v>
      </c>
      <c r="BG53" s="85">
        <f>BG51-BG52</f>
        <v>-2.9951365561560001E-2</v>
      </c>
      <c r="BH53" s="85">
        <f>BH51-BH52</f>
        <v>-3.1690165146660287E-2</v>
      </c>
      <c r="BI53" s="589">
        <f>BI51-BI52</f>
        <v>-3.7891599684791111E-2</v>
      </c>
      <c r="BJ53" s="58"/>
      <c r="BK53" s="121">
        <f>BK51-BK52</f>
        <v>-4.6406784631928752E-2</v>
      </c>
      <c r="BL53" s="85">
        <f>BL51-BL52</f>
        <v>-9.9205790859057286E-2</v>
      </c>
      <c r="BM53" s="85">
        <f>BM51-BM52</f>
        <v>-0.10871231933929795</v>
      </c>
      <c r="BN53" s="85">
        <f>BN51-BN52</f>
        <v>-5.3119253126651278E-2</v>
      </c>
      <c r="BO53" s="589">
        <f>BO51-BO52</f>
        <v>-7.2482072783959545E-2</v>
      </c>
      <c r="BP53" s="58"/>
      <c r="BQ53" s="121">
        <f>BQ51-BQ52</f>
        <v>-3.7591564450182913E-2</v>
      </c>
      <c r="BR53" s="85">
        <f>BR51-BR52</f>
        <v>8.9089613905114252E-3</v>
      </c>
      <c r="BS53" s="85">
        <f>BS51-BS52</f>
        <v>5.908961141950847E-2</v>
      </c>
      <c r="BT53" s="596">
        <f>+BS53</f>
        <v>5.908961141950847E-2</v>
      </c>
      <c r="BU53" s="589">
        <f>BU51-BU52</f>
        <v>1.2840061386730665E-2</v>
      </c>
      <c r="BV53" s="58"/>
      <c r="BW53" s="595">
        <v>0</v>
      </c>
      <c r="BX53" s="596">
        <v>0</v>
      </c>
      <c r="BY53" s="596">
        <v>0</v>
      </c>
      <c r="BZ53" s="596">
        <v>0</v>
      </c>
      <c r="CA53" s="589">
        <f>CA51-CA52</f>
        <v>0</v>
      </c>
      <c r="CB53" s="58"/>
      <c r="CC53" s="595">
        <v>0</v>
      </c>
      <c r="CD53" s="596">
        <v>0</v>
      </c>
      <c r="CE53" s="596">
        <v>0</v>
      </c>
      <c r="CF53" s="596">
        <v>0</v>
      </c>
      <c r="CG53" s="589">
        <f>CG51-CG52</f>
        <v>-5.5511151231257827E-17</v>
      </c>
      <c r="CH53" s="58"/>
      <c r="CI53" s="595">
        <v>0</v>
      </c>
      <c r="CJ53" s="596">
        <v>0</v>
      </c>
      <c r="CK53" s="596">
        <v>0</v>
      </c>
      <c r="CL53" s="596">
        <v>0</v>
      </c>
      <c r="CM53" s="589">
        <f>CM51-CM52</f>
        <v>2.7755575615628914E-17</v>
      </c>
      <c r="CN53" s="11"/>
      <c r="CO53" s="11"/>
      <c r="CP53" s="11"/>
      <c r="CQ53" s="11"/>
      <c r="CR53" s="11"/>
      <c r="CS53" s="11"/>
      <c r="CT53" s="11"/>
      <c r="CU53" s="11"/>
      <c r="CV53" s="11"/>
      <c r="CW53" s="11"/>
      <c r="CX53" s="11"/>
    </row>
    <row r="54" spans="1:102" s="31" customFormat="1" ht="11.25" customHeight="1" x14ac:dyDescent="0.2">
      <c r="B54" s="267" t="s">
        <v>262</v>
      </c>
      <c r="C54" s="228"/>
      <c r="D54" s="239"/>
      <c r="E54" s="239"/>
      <c r="F54" s="229"/>
      <c r="G54" s="603"/>
      <c r="H54" s="58"/>
      <c r="I54" s="228"/>
      <c r="J54" s="239"/>
      <c r="K54" s="239"/>
      <c r="L54" s="229"/>
      <c r="M54" s="603"/>
      <c r="N54" s="58"/>
      <c r="O54" s="228"/>
      <c r="P54" s="239"/>
      <c r="Q54" s="239"/>
      <c r="R54" s="229"/>
      <c r="S54" s="603"/>
      <c r="T54" s="58"/>
      <c r="U54" s="228"/>
      <c r="V54" s="239"/>
      <c r="W54" s="239"/>
      <c r="X54" s="229"/>
      <c r="Y54" s="603"/>
      <c r="Z54" s="58"/>
      <c r="AA54" s="228"/>
      <c r="AB54" s="239"/>
      <c r="AC54" s="239"/>
      <c r="AD54" s="229"/>
      <c r="AE54" s="603"/>
      <c r="AF54" s="58"/>
      <c r="AG54" s="228"/>
      <c r="AH54" s="239"/>
      <c r="AI54" s="239"/>
      <c r="AJ54" s="229"/>
      <c r="AK54" s="603"/>
      <c r="AL54" s="58"/>
      <c r="AM54" s="228"/>
      <c r="AN54" s="239"/>
      <c r="AO54" s="239"/>
      <c r="AP54" s="239"/>
      <c r="AQ54" s="603"/>
      <c r="AR54" s="58"/>
      <c r="AS54" s="228"/>
      <c r="AT54" s="239"/>
      <c r="AU54" s="239"/>
      <c r="AV54" s="239"/>
      <c r="AW54" s="603"/>
      <c r="AX54" s="58"/>
      <c r="AY54" s="228"/>
      <c r="AZ54" s="239"/>
      <c r="BA54" s="239"/>
      <c r="BB54" s="239"/>
      <c r="BC54" s="589"/>
      <c r="BD54" s="58"/>
      <c r="BE54" s="228">
        <v>5.6000000000000001E-2</v>
      </c>
      <c r="BF54" s="239">
        <v>-0.11600000000000001</v>
      </c>
      <c r="BG54" s="239">
        <v>-0.108</v>
      </c>
      <c r="BH54" s="239">
        <v>2.1000000000000001E-2</v>
      </c>
      <c r="BI54" s="589">
        <f>SUMPRODUCT(BE54:BH54,AY50:BB50)/BC50</f>
        <v>-3.4018156028368794E-2</v>
      </c>
      <c r="BJ54" s="58"/>
      <c r="BK54" s="228">
        <v>-1.7000000000000001E-2</v>
      </c>
      <c r="BL54" s="239">
        <v>0</v>
      </c>
      <c r="BM54" s="239">
        <v>0</v>
      </c>
      <c r="BN54" s="239">
        <v>0</v>
      </c>
      <c r="BO54" s="589">
        <f>SUMPRODUCT(BK54:BN54,BE50:BH50)/BI50</f>
        <v>-4.6737891737891734E-3</v>
      </c>
      <c r="BP54" s="58"/>
      <c r="BQ54" s="228">
        <v>0</v>
      </c>
      <c r="BR54" s="239">
        <v>-3.0000000000000001E-3</v>
      </c>
      <c r="BS54" s="239">
        <v>0</v>
      </c>
      <c r="BT54" s="596">
        <v>0</v>
      </c>
      <c r="BU54" s="589">
        <f>SUMPRODUCT(BQ54:BT54,BK50:BN50)/BO50</f>
        <v>-7.7862002662328045E-4</v>
      </c>
      <c r="BV54" s="58"/>
      <c r="BW54" s="595">
        <v>0</v>
      </c>
      <c r="BX54" s="596">
        <v>0</v>
      </c>
      <c r="BY54" s="596">
        <v>0</v>
      </c>
      <c r="BZ54" s="596">
        <v>0</v>
      </c>
      <c r="CA54" s="589">
        <f>SUMPRODUCT(BW54:BZ54,BQ50:BT50)/BU50</f>
        <v>0</v>
      </c>
      <c r="CB54" s="58"/>
      <c r="CC54" s="595">
        <v>0</v>
      </c>
      <c r="CD54" s="596">
        <v>0</v>
      </c>
      <c r="CE54" s="596">
        <v>0</v>
      </c>
      <c r="CF54" s="596">
        <v>0</v>
      </c>
      <c r="CG54" s="589">
        <f>SUMPRODUCT(CC54:CF54,BW50:BZ50)/CA50</f>
        <v>0</v>
      </c>
      <c r="CH54" s="58"/>
      <c r="CI54" s="595">
        <v>0</v>
      </c>
      <c r="CJ54" s="596">
        <v>0</v>
      </c>
      <c r="CK54" s="596">
        <v>0</v>
      </c>
      <c r="CL54" s="596">
        <v>0</v>
      </c>
      <c r="CM54" s="589">
        <f>SUMPRODUCT(CI54:CL54,CC50:CF50)/CG50</f>
        <v>0</v>
      </c>
      <c r="CN54" s="11"/>
      <c r="CO54" s="11"/>
      <c r="CP54" s="11"/>
      <c r="CQ54" s="11"/>
      <c r="CR54" s="11"/>
      <c r="CS54" s="11"/>
      <c r="CT54" s="11"/>
      <c r="CU54" s="11"/>
      <c r="CV54" s="11"/>
      <c r="CW54" s="11"/>
      <c r="CX54" s="11"/>
    </row>
    <row r="55" spans="1:102" s="31" customFormat="1" ht="11.25" customHeight="1" x14ac:dyDescent="0.2">
      <c r="B55" s="620" t="s">
        <v>265</v>
      </c>
      <c r="C55" s="257"/>
      <c r="D55" s="382"/>
      <c r="E55" s="382"/>
      <c r="F55" s="382"/>
      <c r="G55" s="621"/>
      <c r="H55" s="622"/>
      <c r="I55" s="257"/>
      <c r="J55" s="382"/>
      <c r="K55" s="382"/>
      <c r="L55" s="382"/>
      <c r="M55" s="621"/>
      <c r="N55" s="622"/>
      <c r="O55" s="257"/>
      <c r="P55" s="382"/>
      <c r="Q55" s="382"/>
      <c r="R55" s="382"/>
      <c r="S55" s="621"/>
      <c r="T55" s="622"/>
      <c r="U55" s="257"/>
      <c r="V55" s="382"/>
      <c r="W55" s="382"/>
      <c r="X55" s="382"/>
      <c r="Y55" s="621"/>
      <c r="Z55" s="622"/>
      <c r="AA55" s="257"/>
      <c r="AB55" s="382"/>
      <c r="AC55" s="382"/>
      <c r="AD55" s="382"/>
      <c r="AE55" s="621"/>
      <c r="AF55" s="622"/>
      <c r="AG55" s="257"/>
      <c r="AH55" s="382"/>
      <c r="AI55" s="382"/>
      <c r="AJ55" s="382"/>
      <c r="AK55" s="621"/>
      <c r="AL55" s="622"/>
      <c r="AM55" s="257"/>
      <c r="AN55" s="382"/>
      <c r="AO55" s="382"/>
      <c r="AP55" s="382"/>
      <c r="AQ55" s="621"/>
      <c r="AR55" s="622"/>
      <c r="AS55" s="257"/>
      <c r="AT55" s="382"/>
      <c r="AU55" s="382"/>
      <c r="AV55" s="382"/>
      <c r="AW55" s="621"/>
      <c r="AX55" s="622"/>
      <c r="AY55" s="257"/>
      <c r="AZ55" s="382"/>
      <c r="BA55" s="382"/>
      <c r="BB55" s="382"/>
      <c r="BC55" s="621"/>
      <c r="BD55" s="622"/>
      <c r="BE55" s="257">
        <f>+BE52-BE54</f>
        <v>0.22100000000000003</v>
      </c>
      <c r="BF55" s="382">
        <f>+BF52-BF54</f>
        <v>0.14600000000000002</v>
      </c>
      <c r="BG55" s="382">
        <f>+BG52-BG54</f>
        <v>0.19900000000000001</v>
      </c>
      <c r="BH55" s="382">
        <f>+BH52-BH54</f>
        <v>0.41</v>
      </c>
      <c r="BI55" s="621">
        <f>+BI52-BI54</f>
        <v>0.24467571315996847</v>
      </c>
      <c r="BJ55" s="622"/>
      <c r="BK55" s="257">
        <f>+BK52-BK54</f>
        <v>-2.7999999999999997E-2</v>
      </c>
      <c r="BL55" s="382">
        <f>+BL52-BL54</f>
        <v>-6.0999999999999999E-2</v>
      </c>
      <c r="BM55" s="382">
        <f>+BM52-BM54</f>
        <v>-0.19700000000000004</v>
      </c>
      <c r="BN55" s="382">
        <f>+BN52-BN54</f>
        <v>-0.44600000000000001</v>
      </c>
      <c r="BO55" s="621">
        <f>+BO52-BO54</f>
        <v>-0.19597212815137344</v>
      </c>
      <c r="BP55" s="622"/>
      <c r="BQ55" s="257">
        <f>+BQ52-BQ54</f>
        <v>-0.19600000000000001</v>
      </c>
      <c r="BR55" s="382">
        <f>+BR52-BR54</f>
        <v>-2.5000000000000001E-2</v>
      </c>
      <c r="BS55" s="382">
        <f>+BS52-BS54</f>
        <v>0.40799999999999997</v>
      </c>
      <c r="BT55" s="382">
        <f>+BT52-BT54</f>
        <v>0.02</v>
      </c>
      <c r="BU55" s="621">
        <f>+BU52-BU54</f>
        <v>6.4558867031504026E-3</v>
      </c>
      <c r="BV55" s="622"/>
      <c r="BW55" s="257">
        <f>+BW52-BW54</f>
        <v>0.04</v>
      </c>
      <c r="BX55" s="382">
        <f>+BX52-BX54</f>
        <v>0.04</v>
      </c>
      <c r="BY55" s="382">
        <f>+BY52-BY54</f>
        <v>0.04</v>
      </c>
      <c r="BZ55" s="382">
        <f>+BZ52-BZ54</f>
        <v>0.04</v>
      </c>
      <c r="CA55" s="621">
        <f>+CA52-CA54</f>
        <v>3.9999999999999994E-2</v>
      </c>
      <c r="CB55" s="622"/>
      <c r="CC55" s="257">
        <f>+CC52-CC54</f>
        <v>0.01</v>
      </c>
      <c r="CD55" s="382">
        <f>+CD52-CD54</f>
        <v>0.01</v>
      </c>
      <c r="CE55" s="382">
        <f>+CE52-CE54</f>
        <v>0.04</v>
      </c>
      <c r="CF55" s="382">
        <f>+CF52-CF54</f>
        <v>0.04</v>
      </c>
      <c r="CG55" s="621">
        <f>+CG52-CG54</f>
        <v>2.4743390216748706E-2</v>
      </c>
      <c r="CH55" s="622"/>
      <c r="CI55" s="257">
        <f>+CI52-CI54</f>
        <v>0.01</v>
      </c>
      <c r="CJ55" s="382">
        <f>+CJ52-CJ54</f>
        <v>0.01</v>
      </c>
      <c r="CK55" s="382">
        <f>+CK52-CK54</f>
        <v>0.04</v>
      </c>
      <c r="CL55" s="382">
        <f>+CL52-CL54</f>
        <v>0.04</v>
      </c>
      <c r="CM55" s="621">
        <f>+CM52-CM54</f>
        <v>2.4962893122126378E-2</v>
      </c>
      <c r="CN55" s="11"/>
      <c r="CO55" s="11"/>
      <c r="CP55" s="11"/>
      <c r="CQ55" s="11"/>
      <c r="CR55" s="11"/>
      <c r="CS55" s="11"/>
      <c r="CT55" s="11"/>
      <c r="CU55" s="11"/>
      <c r="CV55" s="11"/>
      <c r="CW55" s="11"/>
      <c r="CX55" s="11"/>
    </row>
    <row r="56" spans="1:102" s="31" customFormat="1" ht="11.25" hidden="1" customHeight="1" outlineLevel="1" x14ac:dyDescent="0.2">
      <c r="B56" s="1128"/>
      <c r="C56" s="1063"/>
      <c r="D56" s="382"/>
      <c r="E56" s="382"/>
      <c r="F56" s="382"/>
      <c r="G56" s="621"/>
      <c r="H56" s="622"/>
      <c r="I56" s="1063"/>
      <c r="J56" s="382"/>
      <c r="K56" s="382"/>
      <c r="L56" s="382"/>
      <c r="M56" s="621"/>
      <c r="N56" s="622"/>
      <c r="O56" s="1063"/>
      <c r="P56" s="382"/>
      <c r="Q56" s="382"/>
      <c r="R56" s="382"/>
      <c r="S56" s="621"/>
      <c r="T56" s="622"/>
      <c r="U56" s="1063"/>
      <c r="V56" s="382"/>
      <c r="W56" s="382"/>
      <c r="X56" s="382"/>
      <c r="Y56" s="621"/>
      <c r="Z56" s="622"/>
      <c r="AA56" s="1063"/>
      <c r="AB56" s="382"/>
      <c r="AC56" s="382"/>
      <c r="AD56" s="382"/>
      <c r="AE56" s="621"/>
      <c r="AF56" s="622"/>
      <c r="AG56" s="1063"/>
      <c r="AH56" s="382"/>
      <c r="AI56" s="382"/>
      <c r="AJ56" s="382"/>
      <c r="AK56" s="621"/>
      <c r="AL56" s="622"/>
      <c r="AM56" s="1063"/>
      <c r="AN56" s="382"/>
      <c r="AO56" s="382"/>
      <c r="AP56" s="382"/>
      <c r="AQ56" s="621"/>
      <c r="AR56" s="622"/>
      <c r="AS56" s="1063"/>
      <c r="AT56" s="382"/>
      <c r="AU56" s="382"/>
      <c r="AV56" s="382"/>
      <c r="AW56" s="621"/>
      <c r="AX56" s="622"/>
      <c r="AY56" s="1063"/>
      <c r="AZ56" s="382"/>
      <c r="BA56" s="382"/>
      <c r="BB56" s="382"/>
      <c r="BC56" s="621"/>
      <c r="BD56" s="622"/>
      <c r="BE56" s="1063"/>
      <c r="BF56" s="382"/>
      <c r="BG56" s="382"/>
      <c r="BH56" s="382"/>
      <c r="BI56" s="621"/>
      <c r="BJ56" s="622"/>
      <c r="BK56" s="1063"/>
      <c r="BL56" s="382"/>
      <c r="BM56" s="382"/>
      <c r="BN56" s="382"/>
      <c r="BO56" s="621"/>
      <c r="BP56" s="622"/>
      <c r="BQ56" s="1063"/>
      <c r="BR56" s="382"/>
      <c r="BS56" s="382"/>
      <c r="BT56" s="382"/>
      <c r="BU56" s="621"/>
      <c r="BV56" s="622"/>
      <c r="BW56" s="1063"/>
      <c r="BX56" s="382"/>
      <c r="BY56" s="382"/>
      <c r="BZ56" s="382"/>
      <c r="CA56" s="621"/>
      <c r="CB56" s="622"/>
      <c r="CC56" s="1063"/>
      <c r="CD56" s="382"/>
      <c r="CE56" s="382"/>
      <c r="CF56" s="382"/>
      <c r="CG56" s="621"/>
      <c r="CH56" s="622"/>
      <c r="CI56" s="1063"/>
      <c r="CJ56" s="382"/>
      <c r="CK56" s="382"/>
      <c r="CL56" s="382"/>
      <c r="CM56" s="621"/>
      <c r="CN56" s="11"/>
      <c r="CO56" s="11"/>
      <c r="CP56" s="11"/>
      <c r="CQ56" s="11"/>
      <c r="CR56" s="11"/>
      <c r="CS56" s="11"/>
      <c r="CT56" s="11"/>
      <c r="CU56" s="11"/>
      <c r="CV56" s="11"/>
      <c r="CW56" s="11"/>
      <c r="CX56" s="11"/>
    </row>
    <row r="57" spans="1:102" s="31" customFormat="1" ht="11.25" hidden="1" customHeight="1" outlineLevel="1" x14ac:dyDescent="0.2">
      <c r="B57" s="1373" t="s">
        <v>553</v>
      </c>
      <c r="C57" s="1374"/>
      <c r="D57" s="1375"/>
      <c r="E57" s="1375"/>
      <c r="F57" s="1375"/>
      <c r="G57" s="1376"/>
      <c r="H57" s="1377"/>
      <c r="I57" s="1374"/>
      <c r="J57" s="1375"/>
      <c r="K57" s="1375"/>
      <c r="L57" s="1375"/>
      <c r="M57" s="1376"/>
      <c r="N57" s="1377"/>
      <c r="O57" s="1374"/>
      <c r="P57" s="1375"/>
      <c r="Q57" s="1375"/>
      <c r="R57" s="1375"/>
      <c r="S57" s="1376"/>
      <c r="T57" s="1377"/>
      <c r="U57" s="1374"/>
      <c r="V57" s="1375"/>
      <c r="W57" s="1375"/>
      <c r="X57" s="1375"/>
      <c r="Y57" s="1376"/>
      <c r="Z57" s="1377"/>
      <c r="AA57" s="1374"/>
      <c r="AB57" s="1375"/>
      <c r="AC57" s="1375"/>
      <c r="AD57" s="1375"/>
      <c r="AE57" s="1376"/>
      <c r="AF57" s="1377"/>
      <c r="AG57" s="1374"/>
      <c r="AH57" s="1375"/>
      <c r="AI57" s="1375"/>
      <c r="AJ57" s="1375"/>
      <c r="AK57" s="1376"/>
      <c r="AL57" s="1377"/>
      <c r="AM57" s="1374"/>
      <c r="AN57" s="1375"/>
      <c r="AO57" s="1375"/>
      <c r="AP57" s="1375"/>
      <c r="AQ57" s="1376"/>
      <c r="AR57" s="1377"/>
      <c r="AS57" s="1374"/>
      <c r="AT57" s="1375"/>
      <c r="AU57" s="1375"/>
      <c r="AV57" s="1375"/>
      <c r="AW57" s="1376"/>
      <c r="AX57" s="1377"/>
      <c r="AY57" s="1374"/>
      <c r="AZ57" s="1375"/>
      <c r="BA57" s="1375"/>
      <c r="BB57" s="1375"/>
      <c r="BC57" s="1376"/>
      <c r="BD57" s="1377"/>
      <c r="BE57" s="1374"/>
      <c r="BF57" s="1375"/>
      <c r="BG57" s="1375"/>
      <c r="BH57" s="1375"/>
      <c r="BI57" s="1376"/>
      <c r="BJ57" s="1377"/>
      <c r="BK57" s="1374"/>
      <c r="BL57" s="1375"/>
      <c r="BM57" s="1375"/>
      <c r="BN57" s="1375"/>
      <c r="BO57" s="1376"/>
      <c r="BP57" s="1377"/>
      <c r="BQ57" s="1374"/>
      <c r="BR57" s="1375"/>
      <c r="BS57" s="1375"/>
      <c r="BT57" s="1375"/>
      <c r="BU57" s="1376"/>
      <c r="BV57" s="1377"/>
      <c r="BW57" s="1374"/>
      <c r="BX57" s="1375"/>
      <c r="BY57" s="1375"/>
      <c r="BZ57" s="1375"/>
      <c r="CA57" s="1376"/>
      <c r="CB57" s="1377"/>
      <c r="CC57" s="1374"/>
      <c r="CD57" s="1375"/>
      <c r="CE57" s="1375"/>
      <c r="CF57" s="1375"/>
      <c r="CG57" s="1376"/>
      <c r="CH57" s="1377"/>
      <c r="CI57" s="1374"/>
      <c r="CJ57" s="1375"/>
      <c r="CK57" s="1375"/>
      <c r="CL57" s="1375"/>
      <c r="CM57" s="1376"/>
      <c r="CN57" s="11"/>
      <c r="CO57" s="11"/>
      <c r="CP57" s="11"/>
      <c r="CQ57" s="11"/>
      <c r="CR57" s="11"/>
      <c r="CS57" s="11"/>
      <c r="CT57" s="11"/>
      <c r="CU57" s="11"/>
      <c r="CV57" s="11"/>
      <c r="CW57" s="11"/>
      <c r="CX57" s="11"/>
    </row>
    <row r="58" spans="1:102" s="31" customFormat="1" ht="11.25" hidden="1" customHeight="1" outlineLevel="1" x14ac:dyDescent="0.2">
      <c r="B58" s="1378" t="s">
        <v>552</v>
      </c>
      <c r="C58" s="1374"/>
      <c r="D58" s="1375"/>
      <c r="E58" s="1375"/>
      <c r="F58" s="1375"/>
      <c r="G58" s="1376"/>
      <c r="H58" s="1377"/>
      <c r="I58" s="1374"/>
      <c r="J58" s="1375"/>
      <c r="K58" s="1375"/>
      <c r="L58" s="1375"/>
      <c r="M58" s="1376"/>
      <c r="N58" s="1377"/>
      <c r="O58" s="1374"/>
      <c r="P58" s="1375"/>
      <c r="Q58" s="1375"/>
      <c r="R58" s="1375"/>
      <c r="S58" s="1376"/>
      <c r="T58" s="1377"/>
      <c r="U58" s="1374"/>
      <c r="V58" s="1375"/>
      <c r="W58" s="1375"/>
      <c r="X58" s="1375"/>
      <c r="Y58" s="1376"/>
      <c r="Z58" s="1377"/>
      <c r="AA58" s="1374"/>
      <c r="AB58" s="1375"/>
      <c r="AC58" s="1375"/>
      <c r="AD58" s="1375"/>
      <c r="AE58" s="1376"/>
      <c r="AF58" s="1377"/>
      <c r="AG58" s="1374"/>
      <c r="AH58" s="1375"/>
      <c r="AI58" s="1375"/>
      <c r="AJ58" s="1375"/>
      <c r="AK58" s="1376"/>
      <c r="AL58" s="1377"/>
      <c r="AM58" s="1374"/>
      <c r="AN58" s="1375"/>
      <c r="AO58" s="1375"/>
      <c r="AP58" s="1375"/>
      <c r="AQ58" s="1376"/>
      <c r="AR58" s="1377"/>
      <c r="AS58" s="1374"/>
      <c r="AT58" s="1375"/>
      <c r="AU58" s="1375"/>
      <c r="AV58" s="1375"/>
      <c r="AW58" s="1376"/>
      <c r="AX58" s="1377"/>
      <c r="AY58" s="1374"/>
      <c r="AZ58" s="1375"/>
      <c r="BA58" s="1375"/>
      <c r="BB58" s="1375"/>
      <c r="BC58" s="1376"/>
      <c r="BD58" s="1377"/>
      <c r="BE58" s="1379">
        <f>+BE78-BE71</f>
        <v>404.30600000000004</v>
      </c>
      <c r="BF58" s="1380">
        <f>+BF78-BF71</f>
        <v>405.99299999999999</v>
      </c>
      <c r="BG58" s="1380">
        <f>+BG78-BG71</f>
        <v>387.83900000000006</v>
      </c>
      <c r="BH58" s="1380">
        <f>+BH78-BH71</f>
        <v>421.58200000000005</v>
      </c>
      <c r="BI58" s="1381">
        <f>+SUM(BE58:BH58)</f>
        <v>1619.72</v>
      </c>
      <c r="BJ58" s="1377"/>
      <c r="BK58" s="1379">
        <f>+BK78-BK71</f>
        <v>400.73099999999999</v>
      </c>
      <c r="BL58" s="1380">
        <f t="shared" ref="BL58:BN58" si="11">+BL78-BL71</f>
        <v>420.63146</v>
      </c>
      <c r="BM58" s="1380">
        <f t="shared" si="11"/>
        <v>395.99863800000003</v>
      </c>
      <c r="BN58" s="1380">
        <f t="shared" si="11"/>
        <v>436.29884399999997</v>
      </c>
      <c r="BO58" s="1381">
        <f>+SUM(BK58:BN58)</f>
        <v>1653.659942</v>
      </c>
      <c r="BP58" s="1377"/>
      <c r="BQ58" s="1379">
        <f>+BQ78-BQ71</f>
        <v>392.52200000000011</v>
      </c>
      <c r="BR58" s="1380">
        <f t="shared" ref="BR58:BS58" si="12">+BR78-BR71</f>
        <v>420.83484931999999</v>
      </c>
      <c r="BS58" s="1380">
        <f t="shared" ref="BS58" si="13">+BS78-BS71</f>
        <v>396.02974214399995</v>
      </c>
      <c r="BT58" s="1380">
        <f t="shared" ref="BS58:BT58" si="14">+BT78-BT71</f>
        <v>441.83136468833663</v>
      </c>
      <c r="BU58" s="1381">
        <f>+SUM(BQ58:BT58)</f>
        <v>1651.2179561523367</v>
      </c>
      <c r="BV58" s="1377"/>
      <c r="BW58" s="1379">
        <f>+BW78-BW71</f>
        <v>412.05902000000009</v>
      </c>
      <c r="BX58" s="1380">
        <f t="shared" ref="BX58:BZ58" si="15">+BX78-BX71</f>
        <v>457.79320479960006</v>
      </c>
      <c r="BY58" s="1380">
        <f t="shared" si="15"/>
        <v>415.85930440832004</v>
      </c>
      <c r="BZ58" s="1380">
        <f t="shared" si="15"/>
        <v>479.92619894826424</v>
      </c>
      <c r="CA58" s="1381">
        <f>+SUM(BW58:BZ58)</f>
        <v>1765.6377281561845</v>
      </c>
      <c r="CB58" s="1377"/>
      <c r="CC58" s="1379">
        <f t="shared" ref="CC58:CF58" si="16">+CC78-CC71</f>
        <v>428.27149980000007</v>
      </c>
      <c r="CD58" s="1380">
        <f t="shared" si="16"/>
        <v>475.71110994358799</v>
      </c>
      <c r="CE58" s="1380">
        <f t="shared" si="16"/>
        <v>432.50687194056945</v>
      </c>
      <c r="CF58" s="1380">
        <f t="shared" si="16"/>
        <v>498.8103597695461</v>
      </c>
      <c r="CG58" s="1381">
        <f t="shared" ref="CG58" si="17">+SUM(CC58:CF58)</f>
        <v>1835.2998414537035</v>
      </c>
      <c r="CH58" s="1377"/>
      <c r="CI58" s="1379">
        <f t="shared" ref="CI58:CL58" si="18">+CI78-CI71</f>
        <v>445.10883277600004</v>
      </c>
      <c r="CJ58" s="1380">
        <f t="shared" si="18"/>
        <v>494.31657625689564</v>
      </c>
      <c r="CK58" s="1380">
        <f t="shared" si="18"/>
        <v>449.80026389278657</v>
      </c>
      <c r="CL58" s="1380">
        <f t="shared" si="18"/>
        <v>518.41838764801196</v>
      </c>
      <c r="CM58" s="1381">
        <f t="shared" ref="CM58" si="19">+SUM(CI58:CL58)</f>
        <v>1907.6440605736943</v>
      </c>
      <c r="CN58" s="11"/>
      <c r="CO58" s="11"/>
      <c r="CP58" s="11"/>
      <c r="CQ58" s="11"/>
      <c r="CR58" s="11"/>
      <c r="CS58" s="11"/>
      <c r="CT58" s="11"/>
      <c r="CU58" s="11"/>
      <c r="CV58" s="11"/>
      <c r="CW58" s="11"/>
      <c r="CX58" s="11"/>
    </row>
    <row r="59" spans="1:102" s="31" customFormat="1" ht="11.25" hidden="1" customHeight="1" outlineLevel="1" x14ac:dyDescent="0.2">
      <c r="B59" s="1382" t="s">
        <v>261</v>
      </c>
      <c r="C59" s="1374"/>
      <c r="D59" s="1375"/>
      <c r="E59" s="1375"/>
      <c r="F59" s="1375"/>
      <c r="G59" s="1376"/>
      <c r="H59" s="1377"/>
      <c r="I59" s="1374"/>
      <c r="J59" s="1375"/>
      <c r="K59" s="1375"/>
      <c r="L59" s="1375"/>
      <c r="M59" s="1376"/>
      <c r="N59" s="1377"/>
      <c r="O59" s="1374"/>
      <c r="P59" s="1375"/>
      <c r="Q59" s="1375"/>
      <c r="R59" s="1375"/>
      <c r="S59" s="1376"/>
      <c r="T59" s="1377"/>
      <c r="U59" s="1374"/>
      <c r="V59" s="1375"/>
      <c r="W59" s="1375"/>
      <c r="X59" s="1375"/>
      <c r="Y59" s="1376"/>
      <c r="Z59" s="1377"/>
      <c r="AA59" s="1374"/>
      <c r="AB59" s="1375"/>
      <c r="AC59" s="1375"/>
      <c r="AD59" s="1375"/>
      <c r="AE59" s="1376"/>
      <c r="AF59" s="1377"/>
      <c r="AG59" s="1374"/>
      <c r="AH59" s="1375"/>
      <c r="AI59" s="1375"/>
      <c r="AJ59" s="1375"/>
      <c r="AK59" s="1376"/>
      <c r="AL59" s="1377"/>
      <c r="AM59" s="1374"/>
      <c r="AN59" s="1375"/>
      <c r="AO59" s="1375"/>
      <c r="AP59" s="1375"/>
      <c r="AQ59" s="1376"/>
      <c r="AR59" s="1377"/>
      <c r="AS59" s="1374"/>
      <c r="AT59" s="1375"/>
      <c r="AU59" s="1375"/>
      <c r="AV59" s="1375"/>
      <c r="AW59" s="1376"/>
      <c r="AX59" s="1377"/>
      <c r="AY59" s="1374"/>
      <c r="AZ59" s="1375"/>
      <c r="BA59" s="1375"/>
      <c r="BB59" s="1375"/>
      <c r="BC59" s="1376"/>
      <c r="BD59" s="1377"/>
      <c r="BE59" s="1383">
        <f>+BE60-1.5%</f>
        <v>5.000000000000001E-3</v>
      </c>
      <c r="BF59" s="1384">
        <f>+BF60-1.5%</f>
        <v>1.8000000000000002E-2</v>
      </c>
      <c r="BG59" s="1384">
        <v>4.4999999999999998E-2</v>
      </c>
      <c r="BH59" s="1384">
        <f>+BH60-1.5%</f>
        <v>6.7000000000000004E-2</v>
      </c>
      <c r="BI59" s="1385">
        <f>+AVERAGE(BE59:BH59)</f>
        <v>3.3750000000000002E-2</v>
      </c>
      <c r="BJ59" s="1377"/>
      <c r="BK59" s="1386">
        <v>0.03</v>
      </c>
      <c r="BL59" s="1387">
        <v>3.5999999999999997E-2</v>
      </c>
      <c r="BM59" s="1387">
        <v>1.9E-2</v>
      </c>
      <c r="BN59" s="1387">
        <v>3.5000000000000003E-2</v>
      </c>
      <c r="BO59" s="1385">
        <f>BO58/BI58-1</f>
        <v>2.095420319561403E-2</v>
      </c>
      <c r="BP59" s="1377"/>
      <c r="BQ59" s="1386">
        <v>-0.03</v>
      </c>
      <c r="BR59" s="1384">
        <f>+BR58/BL58-1</f>
        <v>4.8353330490291668E-4</v>
      </c>
      <c r="BS59" s="1384">
        <f>+BS58/BM58-1</f>
        <v>7.8546088332576147E-5</v>
      </c>
      <c r="BT59" s="1384">
        <f t="shared" ref="BS59:BT59" si="20">+BT58/BN58-1</f>
        <v>1.2680576087743756E-2</v>
      </c>
      <c r="BU59" s="1385">
        <f>BU58/BO58-1</f>
        <v>-1.476715850484922E-3</v>
      </c>
      <c r="BV59" s="1377"/>
      <c r="BW59" s="1383">
        <f>+BW58/BQ58-1</f>
        <v>4.9773057306341961E-2</v>
      </c>
      <c r="BX59" s="1384">
        <f>+BX58/BR58-1</f>
        <v>8.7821518439641366E-2</v>
      </c>
      <c r="BY59" s="1384">
        <f t="shared" ref="BY59" si="21">+BY58/BS58-1</f>
        <v>5.0070891537004503E-2</v>
      </c>
      <c r="BZ59" s="1384">
        <f t="shared" ref="BZ59" si="22">+BZ58/BT58-1</f>
        <v>8.6220303275208465E-2</v>
      </c>
      <c r="CA59" s="1385">
        <f>CA58/BU58-1</f>
        <v>6.9294166513588884E-2</v>
      </c>
      <c r="CB59" s="1377"/>
      <c r="CC59" s="1383">
        <f t="shared" ref="CC59:CD59" si="23">+CC58/BW58-1</f>
        <v>3.9345042853327072E-2</v>
      </c>
      <c r="CD59" s="1384">
        <f t="shared" si="23"/>
        <v>3.9139735924720753E-2</v>
      </c>
      <c r="CE59" s="1384">
        <f t="shared" ref="CE59" si="24">+CE58/BY58-1</f>
        <v>4.0031730337103832E-2</v>
      </c>
      <c r="CF59" s="1384">
        <f t="shared" ref="CF59" si="25">+CF58/BZ58-1</f>
        <v>3.9348051560147423E-2</v>
      </c>
      <c r="CG59" s="1385">
        <f t="shared" ref="CG59" si="26">CG58/CA58-1</f>
        <v>3.9454363818032911E-2</v>
      </c>
      <c r="CH59" s="1377"/>
      <c r="CI59" s="1383">
        <f t="shared" ref="CI59:CJ59" si="27">+CI58/CC58-1</f>
        <v>3.9314623980028829E-2</v>
      </c>
      <c r="CJ59" s="1384">
        <f t="shared" si="27"/>
        <v>3.9110850943788078E-2</v>
      </c>
      <c r="CK59" s="1384">
        <f t="shared" ref="CK59" si="28">+CK58/CE58-1</f>
        <v>3.9984085974461347E-2</v>
      </c>
      <c r="CL59" s="1384">
        <f t="shared" ref="CL59" si="29">+CL58/CF58-1</f>
        <v>3.9309584282742005E-2</v>
      </c>
      <c r="CM59" s="1385">
        <f t="shared" ref="CM59" si="30">CM58/CG58-1</f>
        <v>3.9418201585354362E-2</v>
      </c>
      <c r="CN59" s="11"/>
      <c r="CO59" s="11"/>
      <c r="CP59" s="11"/>
      <c r="CQ59" s="11"/>
      <c r="CR59" s="11"/>
      <c r="CS59" s="11"/>
      <c r="CT59" s="11"/>
      <c r="CU59" s="11"/>
      <c r="CV59" s="11"/>
      <c r="CW59" s="11"/>
      <c r="CX59" s="11"/>
    </row>
    <row r="60" spans="1:102" s="31" customFormat="1" ht="11.25" hidden="1" customHeight="1" outlineLevel="1" x14ac:dyDescent="0.2">
      <c r="B60" s="1382" t="s">
        <v>264</v>
      </c>
      <c r="C60" s="1374"/>
      <c r="D60" s="1375"/>
      <c r="E60" s="1375"/>
      <c r="F60" s="1375"/>
      <c r="G60" s="1376"/>
      <c r="H60" s="1377"/>
      <c r="I60" s="1374"/>
      <c r="J60" s="1375"/>
      <c r="K60" s="1375"/>
      <c r="L60" s="1375"/>
      <c r="M60" s="1376"/>
      <c r="N60" s="1377"/>
      <c r="O60" s="1374"/>
      <c r="P60" s="1375"/>
      <c r="Q60" s="1375"/>
      <c r="R60" s="1375"/>
      <c r="S60" s="1376"/>
      <c r="T60" s="1377"/>
      <c r="U60" s="1374"/>
      <c r="V60" s="1375"/>
      <c r="W60" s="1375"/>
      <c r="X60" s="1375"/>
      <c r="Y60" s="1376"/>
      <c r="Z60" s="1377"/>
      <c r="AA60" s="1374"/>
      <c r="AB60" s="1375"/>
      <c r="AC60" s="1375"/>
      <c r="AD60" s="1375"/>
      <c r="AE60" s="1376"/>
      <c r="AF60" s="1377"/>
      <c r="AG60" s="1374"/>
      <c r="AH60" s="1375"/>
      <c r="AI60" s="1375"/>
      <c r="AJ60" s="1375"/>
      <c r="AK60" s="1376"/>
      <c r="AL60" s="1377"/>
      <c r="AM60" s="1374"/>
      <c r="AN60" s="1375"/>
      <c r="AO60" s="1375"/>
      <c r="AP60" s="1375"/>
      <c r="AQ60" s="1376"/>
      <c r="AR60" s="1377"/>
      <c r="AS60" s="1374"/>
      <c r="AT60" s="1375"/>
      <c r="AU60" s="1375"/>
      <c r="AV60" s="1375"/>
      <c r="AW60" s="1376"/>
      <c r="AX60" s="1377"/>
      <c r="AY60" s="1374"/>
      <c r="AZ60" s="1375"/>
      <c r="BA60" s="1375"/>
      <c r="BB60" s="1375"/>
      <c r="BC60" s="1376"/>
      <c r="BD60" s="1377"/>
      <c r="BE60" s="1386">
        <v>0.02</v>
      </c>
      <c r="BF60" s="1387">
        <v>3.3000000000000002E-2</v>
      </c>
      <c r="BG60" s="1387">
        <v>6.2E-2</v>
      </c>
      <c r="BH60" s="1387">
        <v>8.2000000000000003E-2</v>
      </c>
      <c r="BI60" s="1385">
        <f>+AVERAGE(BE60:BH60)</f>
        <v>4.9250000000000002E-2</v>
      </c>
      <c r="BJ60" s="1377"/>
      <c r="BK60" s="1386">
        <v>0.11700000000000001</v>
      </c>
      <c r="BL60" s="1387">
        <v>0.108</v>
      </c>
      <c r="BM60" s="1387">
        <v>8.5000000000000006E-2</v>
      </c>
      <c r="BN60" s="1387">
        <v>8.3000000000000004E-2</v>
      </c>
      <c r="BO60" s="1385">
        <f>SUMPRODUCT(BK60:BN60,BE58:BH58)/BI58</f>
        <v>9.8232204949003546E-2</v>
      </c>
      <c r="BP60" s="1377"/>
      <c r="BQ60" s="1386">
        <v>1.2E-2</v>
      </c>
      <c r="BR60" s="1387">
        <v>-1.4E-2</v>
      </c>
      <c r="BS60" s="1387">
        <v>-0.04</v>
      </c>
      <c r="BT60" s="1388">
        <v>0</v>
      </c>
      <c r="BU60" s="1385">
        <f>SUMPRODUCT(BQ60:BT60,BK58:BN58)/BO58</f>
        <v>-1.0231858153095422E-2</v>
      </c>
      <c r="BV60" s="1377"/>
      <c r="BW60" s="1389">
        <v>0.04</v>
      </c>
      <c r="BX60" s="1388">
        <v>0.06</v>
      </c>
      <c r="BY60" s="1388">
        <v>0.04</v>
      </c>
      <c r="BZ60" s="1388">
        <v>0.06</v>
      </c>
      <c r="CA60" s="1385">
        <f>SUMPRODUCT(BW60:BZ60,BQ58:BT58)/BU58</f>
        <v>5.0448847298372644E-2</v>
      </c>
      <c r="CB60" s="1377"/>
      <c r="CC60" s="1389">
        <v>0.04</v>
      </c>
      <c r="CD60" s="1388">
        <f>+CC60</f>
        <v>0.04</v>
      </c>
      <c r="CE60" s="1388">
        <f>+CD60</f>
        <v>0.04</v>
      </c>
      <c r="CF60" s="1388">
        <f>+CE60</f>
        <v>0.04</v>
      </c>
      <c r="CG60" s="1385">
        <f t="shared" ref="CG60" si="31">SUMPRODUCT(CC60:CF60,BW58:BZ58)/CA58</f>
        <v>0.04</v>
      </c>
      <c r="CH60" s="1377"/>
      <c r="CI60" s="1389">
        <v>0.04</v>
      </c>
      <c r="CJ60" s="1388">
        <f t="shared" ref="CJ60:CL60" si="32">+CI60</f>
        <v>0.04</v>
      </c>
      <c r="CK60" s="1388">
        <f t="shared" si="32"/>
        <v>0.04</v>
      </c>
      <c r="CL60" s="1388">
        <f t="shared" si="32"/>
        <v>0.04</v>
      </c>
      <c r="CM60" s="1385">
        <f t="shared" ref="CM60" si="33">SUMPRODUCT(CI60:CL60,CC58:CF58)/CG58</f>
        <v>4.0000000000000008E-2</v>
      </c>
      <c r="CN60" s="11"/>
      <c r="CO60" s="11"/>
      <c r="CP60" s="11"/>
      <c r="CQ60" s="11"/>
      <c r="CR60" s="11"/>
      <c r="CS60" s="11"/>
      <c r="CT60" s="11"/>
      <c r="CU60" s="11"/>
      <c r="CV60" s="11"/>
      <c r="CW60" s="11"/>
      <c r="CX60" s="11"/>
    </row>
    <row r="61" spans="1:102" s="31" customFormat="1" ht="11.25" hidden="1" customHeight="1" outlineLevel="1" x14ac:dyDescent="0.2">
      <c r="B61" s="1382" t="s">
        <v>263</v>
      </c>
      <c r="C61" s="1374"/>
      <c r="D61" s="1375"/>
      <c r="E61" s="1375"/>
      <c r="F61" s="1375"/>
      <c r="G61" s="1376"/>
      <c r="H61" s="1377"/>
      <c r="I61" s="1374"/>
      <c r="J61" s="1375"/>
      <c r="K61" s="1375"/>
      <c r="L61" s="1375"/>
      <c r="M61" s="1376"/>
      <c r="N61" s="1377"/>
      <c r="O61" s="1374"/>
      <c r="P61" s="1375"/>
      <c r="Q61" s="1375"/>
      <c r="R61" s="1375"/>
      <c r="S61" s="1376"/>
      <c r="T61" s="1377"/>
      <c r="U61" s="1374"/>
      <c r="V61" s="1375"/>
      <c r="W61" s="1375"/>
      <c r="X61" s="1375"/>
      <c r="Y61" s="1376"/>
      <c r="Z61" s="1377"/>
      <c r="AA61" s="1374"/>
      <c r="AB61" s="1375"/>
      <c r="AC61" s="1375"/>
      <c r="AD61" s="1375"/>
      <c r="AE61" s="1376"/>
      <c r="AF61" s="1377"/>
      <c r="AG61" s="1374"/>
      <c r="AH61" s="1375"/>
      <c r="AI61" s="1375"/>
      <c r="AJ61" s="1375"/>
      <c r="AK61" s="1376"/>
      <c r="AL61" s="1377"/>
      <c r="AM61" s="1374"/>
      <c r="AN61" s="1375"/>
      <c r="AO61" s="1375"/>
      <c r="AP61" s="1375"/>
      <c r="AQ61" s="1376"/>
      <c r="AR61" s="1377"/>
      <c r="AS61" s="1374"/>
      <c r="AT61" s="1375"/>
      <c r="AU61" s="1375"/>
      <c r="AV61" s="1375"/>
      <c r="AW61" s="1376"/>
      <c r="AX61" s="1377"/>
      <c r="AY61" s="1374"/>
      <c r="AZ61" s="1375"/>
      <c r="BA61" s="1375"/>
      <c r="BB61" s="1375"/>
      <c r="BC61" s="1376"/>
      <c r="BD61" s="1377"/>
      <c r="BE61" s="1383">
        <f t="shared" ref="BE61" si="34">+BE59-BE60</f>
        <v>-1.4999999999999999E-2</v>
      </c>
      <c r="BF61" s="1384">
        <f t="shared" ref="BF61" si="35">+BF59-BF60</f>
        <v>-1.4999999999999999E-2</v>
      </c>
      <c r="BG61" s="1384">
        <f t="shared" ref="BG61" si="36">+BG59-BG60</f>
        <v>-1.7000000000000001E-2</v>
      </c>
      <c r="BH61" s="1384">
        <f>+BH59-BH60</f>
        <v>-1.4999999999999999E-2</v>
      </c>
      <c r="BI61" s="1385">
        <f>+AVERAGE(BE61:BH61)</f>
        <v>-1.55E-2</v>
      </c>
      <c r="BJ61" s="1377"/>
      <c r="BK61" s="1383">
        <f t="shared" ref="BK61:BM61" si="37">+BK59-BK60</f>
        <v>-8.7000000000000008E-2</v>
      </c>
      <c r="BL61" s="1384">
        <f t="shared" si="37"/>
        <v>-7.2000000000000008E-2</v>
      </c>
      <c r="BM61" s="1384">
        <f t="shared" si="37"/>
        <v>-6.6000000000000003E-2</v>
      </c>
      <c r="BN61" s="1384">
        <f>+BN59-BN60</f>
        <v>-4.8000000000000001E-2</v>
      </c>
      <c r="BO61" s="1385">
        <f>BO59-BO60</f>
        <v>-7.7278001753389516E-2</v>
      </c>
      <c r="BP61" s="1377"/>
      <c r="BQ61" s="1383">
        <f t="shared" ref="BQ61:BS61" si="38">+BQ59-BQ60</f>
        <v>-4.1999999999999996E-2</v>
      </c>
      <c r="BR61" s="1384">
        <f t="shared" si="38"/>
        <v>1.4483533304902917E-2</v>
      </c>
      <c r="BS61" s="1384">
        <f t="shared" ref="BS61" si="39">+BS59-BS60</f>
        <v>4.0078546088332577E-2</v>
      </c>
      <c r="BT61" s="1384">
        <f t="shared" ref="BS61:BT61" si="40">+BT59-BT60</f>
        <v>1.2680576087743756E-2</v>
      </c>
      <c r="BU61" s="1385">
        <f>BU59-BU60</f>
        <v>8.7551423026104996E-3</v>
      </c>
      <c r="BV61" s="1377"/>
      <c r="BW61" s="1383">
        <f t="shared" ref="BW61:BZ61" si="41">+BW59-BW60</f>
        <v>9.7730573063419604E-3</v>
      </c>
      <c r="BX61" s="1384">
        <f t="shared" si="41"/>
        <v>2.7821518439641368E-2</v>
      </c>
      <c r="BY61" s="1384">
        <f t="shared" si="41"/>
        <v>1.0070891537004502E-2</v>
      </c>
      <c r="BZ61" s="1384">
        <f t="shared" si="41"/>
        <v>2.6220303275208467E-2</v>
      </c>
      <c r="CA61" s="1385">
        <f>CA59-CA60</f>
        <v>1.884531921521624E-2</v>
      </c>
      <c r="CB61" s="1377"/>
      <c r="CC61" s="1383">
        <f t="shared" ref="CC61:CF61" si="42">+CC59-CC60</f>
        <v>-6.5495714667292843E-4</v>
      </c>
      <c r="CD61" s="1384">
        <f t="shared" si="42"/>
        <v>-8.6026407527924759E-4</v>
      </c>
      <c r="CE61" s="1384">
        <f t="shared" si="42"/>
        <v>3.1730337103831607E-5</v>
      </c>
      <c r="CF61" s="1384">
        <f t="shared" si="42"/>
        <v>-6.5194843985257739E-4</v>
      </c>
      <c r="CG61" s="1385">
        <f t="shared" ref="CG61" si="43">CG59-CG60</f>
        <v>-5.4563618196708935E-4</v>
      </c>
      <c r="CH61" s="1377"/>
      <c r="CI61" s="1383">
        <f t="shared" ref="CI61:CL61" si="44">+CI59-CI60</f>
        <v>-6.8537601997117198E-4</v>
      </c>
      <c r="CJ61" s="1384">
        <f t="shared" si="44"/>
        <v>-8.8914905621192281E-4</v>
      </c>
      <c r="CK61" s="1384">
        <f t="shared" si="44"/>
        <v>-1.5914025538653342E-5</v>
      </c>
      <c r="CL61" s="1384">
        <f t="shared" si="44"/>
        <v>-6.9041571725799583E-4</v>
      </c>
      <c r="CM61" s="1385">
        <f t="shared" ref="CM61" si="45">CM59-CM60</f>
        <v>-5.8179841464564563E-4</v>
      </c>
      <c r="CN61" s="11"/>
      <c r="CO61" s="11"/>
      <c r="CP61" s="11"/>
      <c r="CQ61" s="11"/>
      <c r="CR61" s="11"/>
      <c r="CS61" s="11"/>
      <c r="CT61" s="11"/>
      <c r="CU61" s="11"/>
      <c r="CV61" s="11"/>
      <c r="CW61" s="11"/>
      <c r="CX61" s="11"/>
    </row>
    <row r="62" spans="1:102" s="31" customFormat="1" ht="11.25" hidden="1" customHeight="1" outlineLevel="1" x14ac:dyDescent="0.2">
      <c r="B62" s="1382" t="s">
        <v>262</v>
      </c>
      <c r="C62" s="1374"/>
      <c r="D62" s="1375"/>
      <c r="E62" s="1375"/>
      <c r="F62" s="1375"/>
      <c r="G62" s="1376"/>
      <c r="H62" s="1377"/>
      <c r="I62" s="1374"/>
      <c r="J62" s="1375"/>
      <c r="K62" s="1375"/>
      <c r="L62" s="1375"/>
      <c r="M62" s="1376"/>
      <c r="N62" s="1377"/>
      <c r="O62" s="1374"/>
      <c r="P62" s="1375"/>
      <c r="Q62" s="1375"/>
      <c r="R62" s="1375"/>
      <c r="S62" s="1376"/>
      <c r="T62" s="1377"/>
      <c r="U62" s="1374"/>
      <c r="V62" s="1375"/>
      <c r="W62" s="1375"/>
      <c r="X62" s="1375"/>
      <c r="Y62" s="1376"/>
      <c r="Z62" s="1377"/>
      <c r="AA62" s="1374"/>
      <c r="AB62" s="1375"/>
      <c r="AC62" s="1375"/>
      <c r="AD62" s="1375"/>
      <c r="AE62" s="1376"/>
      <c r="AF62" s="1377"/>
      <c r="AG62" s="1374"/>
      <c r="AH62" s="1375"/>
      <c r="AI62" s="1375"/>
      <c r="AJ62" s="1375"/>
      <c r="AK62" s="1376"/>
      <c r="AL62" s="1377"/>
      <c r="AM62" s="1374"/>
      <c r="AN62" s="1375"/>
      <c r="AO62" s="1375"/>
      <c r="AP62" s="1375"/>
      <c r="AQ62" s="1376"/>
      <c r="AR62" s="1377"/>
      <c r="AS62" s="1374"/>
      <c r="AT62" s="1375"/>
      <c r="AU62" s="1375"/>
      <c r="AV62" s="1375"/>
      <c r="AW62" s="1376"/>
      <c r="AX62" s="1377"/>
      <c r="AY62" s="1374"/>
      <c r="AZ62" s="1375"/>
      <c r="BA62" s="1375"/>
      <c r="BB62" s="1375"/>
      <c r="BC62" s="1376"/>
      <c r="BD62" s="1377"/>
      <c r="BE62" s="1386">
        <v>0</v>
      </c>
      <c r="BF62" s="1387">
        <v>0</v>
      </c>
      <c r="BG62" s="1387">
        <v>0</v>
      </c>
      <c r="BH62" s="1387">
        <v>2.5000000000000001E-2</v>
      </c>
      <c r="BI62" s="1385">
        <f>+AVERAGE(BE62:BH62)</f>
        <v>6.2500000000000003E-3</v>
      </c>
      <c r="BJ62" s="1377"/>
      <c r="BK62" s="1386">
        <v>0.03</v>
      </c>
      <c r="BL62" s="1387">
        <v>0.03</v>
      </c>
      <c r="BM62" s="1387">
        <v>0.03</v>
      </c>
      <c r="BN62" s="1387">
        <v>0.03</v>
      </c>
      <c r="BO62" s="1385">
        <f>SUMPRODUCT(BK62:BN62,BE58:BH58)/BI58</f>
        <v>3.0000000000000002E-2</v>
      </c>
      <c r="BP62" s="1377"/>
      <c r="BQ62" s="1386">
        <v>-4.8000000000000001E-2</v>
      </c>
      <c r="BR62" s="1387">
        <v>-4.5999999999999999E-2</v>
      </c>
      <c r="BS62" s="1387">
        <v>-4.3999999999999997E-2</v>
      </c>
      <c r="BT62" s="1388">
        <v>-0.04</v>
      </c>
      <c r="BU62" s="1385">
        <f>SUMPRODUCT(BQ62:BT62,BK58:BN58)/BO58</f>
        <v>-4.4422693642294203E-2</v>
      </c>
      <c r="BV62" s="1377"/>
      <c r="BW62" s="1389">
        <v>0</v>
      </c>
      <c r="BX62" s="1388">
        <v>0</v>
      </c>
      <c r="BY62" s="1388">
        <v>0</v>
      </c>
      <c r="BZ62" s="1388">
        <v>0</v>
      </c>
      <c r="CA62" s="1385">
        <f>SUMPRODUCT(BW62:BZ62,BQ58:BT58)/BU58</f>
        <v>0</v>
      </c>
      <c r="CB62" s="1377"/>
      <c r="CC62" s="1389">
        <v>0</v>
      </c>
      <c r="CD62" s="1388">
        <v>0</v>
      </c>
      <c r="CE62" s="1388">
        <v>0</v>
      </c>
      <c r="CF62" s="1388">
        <v>0</v>
      </c>
      <c r="CG62" s="1385">
        <f t="shared" ref="CG62" si="46">SUMPRODUCT(CC62:CF62,BW58:BZ58)/CA58</f>
        <v>0</v>
      </c>
      <c r="CH62" s="1377"/>
      <c r="CI62" s="1389">
        <v>0</v>
      </c>
      <c r="CJ62" s="1388">
        <v>0</v>
      </c>
      <c r="CK62" s="1388">
        <v>0</v>
      </c>
      <c r="CL62" s="1388">
        <v>0</v>
      </c>
      <c r="CM62" s="1385">
        <f t="shared" ref="CM62" si="47">SUMPRODUCT(CI62:CL62,CC58:CF58)/CG58</f>
        <v>0</v>
      </c>
      <c r="CN62" s="11"/>
      <c r="CO62" s="11"/>
      <c r="CP62" s="11"/>
      <c r="CQ62" s="11"/>
      <c r="CR62" s="11"/>
      <c r="CS62" s="11"/>
      <c r="CT62" s="11"/>
      <c r="CU62" s="11"/>
      <c r="CV62" s="11"/>
      <c r="CW62" s="11"/>
      <c r="CX62" s="11"/>
    </row>
    <row r="63" spans="1:102" s="31" customFormat="1" ht="11.25" hidden="1" customHeight="1" outlineLevel="1" x14ac:dyDescent="0.2">
      <c r="B63" s="1390" t="s">
        <v>265</v>
      </c>
      <c r="C63" s="1374"/>
      <c r="D63" s="1375"/>
      <c r="E63" s="1375"/>
      <c r="F63" s="1375"/>
      <c r="G63" s="1376"/>
      <c r="H63" s="1377"/>
      <c r="I63" s="1374"/>
      <c r="J63" s="1375"/>
      <c r="K63" s="1375"/>
      <c r="L63" s="1375"/>
      <c r="M63" s="1376"/>
      <c r="N63" s="1377"/>
      <c r="O63" s="1374"/>
      <c r="P63" s="1375"/>
      <c r="Q63" s="1375"/>
      <c r="R63" s="1375"/>
      <c r="S63" s="1376"/>
      <c r="T63" s="1377"/>
      <c r="U63" s="1374"/>
      <c r="V63" s="1375"/>
      <c r="W63" s="1375"/>
      <c r="X63" s="1375"/>
      <c r="Y63" s="1376"/>
      <c r="Z63" s="1377"/>
      <c r="AA63" s="1374"/>
      <c r="AB63" s="1375"/>
      <c r="AC63" s="1375"/>
      <c r="AD63" s="1375"/>
      <c r="AE63" s="1376"/>
      <c r="AF63" s="1377"/>
      <c r="AG63" s="1374"/>
      <c r="AH63" s="1375"/>
      <c r="AI63" s="1375"/>
      <c r="AJ63" s="1375"/>
      <c r="AK63" s="1376"/>
      <c r="AL63" s="1377"/>
      <c r="AM63" s="1374"/>
      <c r="AN63" s="1375"/>
      <c r="AO63" s="1375"/>
      <c r="AP63" s="1375"/>
      <c r="AQ63" s="1376"/>
      <c r="AR63" s="1377"/>
      <c r="AS63" s="1374"/>
      <c r="AT63" s="1375"/>
      <c r="AU63" s="1375"/>
      <c r="AV63" s="1375"/>
      <c r="AW63" s="1376"/>
      <c r="AX63" s="1377"/>
      <c r="AY63" s="1374"/>
      <c r="AZ63" s="1375"/>
      <c r="BA63" s="1375"/>
      <c r="BB63" s="1375"/>
      <c r="BC63" s="1376"/>
      <c r="BD63" s="1377"/>
      <c r="BE63" s="1374">
        <f>+BE60-BE62</f>
        <v>0.02</v>
      </c>
      <c r="BF63" s="1375">
        <f>+BF60-BF62</f>
        <v>3.3000000000000002E-2</v>
      </c>
      <c r="BG63" s="1375">
        <f>+BG60-BG62</f>
        <v>6.2E-2</v>
      </c>
      <c r="BH63" s="1375">
        <f>+BH60-BH62</f>
        <v>5.7000000000000002E-2</v>
      </c>
      <c r="BI63" s="1376">
        <f>+BI60-BI62</f>
        <v>4.3000000000000003E-2</v>
      </c>
      <c r="BJ63" s="1377"/>
      <c r="BK63" s="1374">
        <f>+BK60-BK62</f>
        <v>8.7000000000000008E-2</v>
      </c>
      <c r="BL63" s="1375">
        <f>+BL60-BL62</f>
        <v>7.8E-2</v>
      </c>
      <c r="BM63" s="1375">
        <f>+BM60-BM62</f>
        <v>5.5000000000000007E-2</v>
      </c>
      <c r="BN63" s="1375">
        <f>+BN60-BN62</f>
        <v>5.3000000000000005E-2</v>
      </c>
      <c r="BO63" s="1376">
        <f>+BO60-BO62</f>
        <v>6.8232204949003547E-2</v>
      </c>
      <c r="BP63" s="1377"/>
      <c r="BQ63" s="1374">
        <f>+BQ60-BQ62</f>
        <v>0.06</v>
      </c>
      <c r="BR63" s="1375">
        <f>+BR60-BR62</f>
        <v>3.2000000000000001E-2</v>
      </c>
      <c r="BS63" s="1375">
        <f>+BS60-BS62</f>
        <v>3.9999999999999966E-3</v>
      </c>
      <c r="BT63" s="1375">
        <f t="shared" ref="BS63:BT63" si="48">+BT60-BT62</f>
        <v>0.04</v>
      </c>
      <c r="BU63" s="1376">
        <f>+BU60-BU62</f>
        <v>3.4190835489198781E-2</v>
      </c>
      <c r="BV63" s="1377"/>
      <c r="BW63" s="1374">
        <f>+BW60-BW62</f>
        <v>0.04</v>
      </c>
      <c r="BX63" s="1375">
        <f>+BX60-BX62</f>
        <v>0.06</v>
      </c>
      <c r="BY63" s="1375">
        <f t="shared" ref="BY63" si="49">+BY60-BY62</f>
        <v>0.04</v>
      </c>
      <c r="BZ63" s="1375">
        <f t="shared" ref="BZ63" si="50">+BZ60-BZ62</f>
        <v>0.06</v>
      </c>
      <c r="CA63" s="1376">
        <f>+CA60-CA62</f>
        <v>5.0448847298372644E-2</v>
      </c>
      <c r="CB63" s="1377"/>
      <c r="CC63" s="1374">
        <f t="shared" ref="CC63:CD63" si="51">+CC60-CC62</f>
        <v>0.04</v>
      </c>
      <c r="CD63" s="1375">
        <f t="shared" si="51"/>
        <v>0.04</v>
      </c>
      <c r="CE63" s="1375">
        <f t="shared" ref="CE63" si="52">+CE60-CE62</f>
        <v>0.04</v>
      </c>
      <c r="CF63" s="1375">
        <f t="shared" ref="CF63:CG63" si="53">+CF60-CF62</f>
        <v>0.04</v>
      </c>
      <c r="CG63" s="1376">
        <f t="shared" si="53"/>
        <v>0.04</v>
      </c>
      <c r="CH63" s="1377"/>
      <c r="CI63" s="1374">
        <f t="shared" ref="CI63:CJ63" si="54">+CI60-CI62</f>
        <v>0.04</v>
      </c>
      <c r="CJ63" s="1375">
        <f t="shared" si="54"/>
        <v>0.04</v>
      </c>
      <c r="CK63" s="1375">
        <f t="shared" ref="CK63" si="55">+CK60-CK62</f>
        <v>0.04</v>
      </c>
      <c r="CL63" s="1375">
        <f t="shared" ref="CL63:CM63" si="56">+CL60-CL62</f>
        <v>0.04</v>
      </c>
      <c r="CM63" s="1376">
        <f t="shared" si="56"/>
        <v>4.0000000000000008E-2</v>
      </c>
      <c r="CN63" s="11"/>
      <c r="CO63" s="11"/>
      <c r="CP63" s="11"/>
      <c r="CQ63" s="11"/>
      <c r="CR63" s="11"/>
      <c r="CS63" s="11"/>
      <c r="CT63" s="11"/>
      <c r="CU63" s="11"/>
      <c r="CV63" s="11"/>
      <c r="CW63" s="11"/>
      <c r="CX63" s="11"/>
    </row>
    <row r="64" spans="1:102" s="31" customFormat="1" ht="11.25" hidden="1" customHeight="1" outlineLevel="1" x14ac:dyDescent="0.2">
      <c r="B64" s="1378"/>
      <c r="C64" s="1374"/>
      <c r="D64" s="1375"/>
      <c r="E64" s="1375"/>
      <c r="F64" s="1375"/>
      <c r="G64" s="1376"/>
      <c r="H64" s="1377"/>
      <c r="I64" s="1374"/>
      <c r="J64" s="1375"/>
      <c r="K64" s="1375"/>
      <c r="L64" s="1375"/>
      <c r="M64" s="1376"/>
      <c r="N64" s="1377"/>
      <c r="O64" s="1374"/>
      <c r="P64" s="1375"/>
      <c r="Q64" s="1375"/>
      <c r="R64" s="1375"/>
      <c r="S64" s="1376"/>
      <c r="T64" s="1377"/>
      <c r="U64" s="1374"/>
      <c r="V64" s="1375"/>
      <c r="W64" s="1375"/>
      <c r="X64" s="1375"/>
      <c r="Y64" s="1376"/>
      <c r="Z64" s="1377"/>
      <c r="AA64" s="1374"/>
      <c r="AB64" s="1375"/>
      <c r="AC64" s="1375"/>
      <c r="AD64" s="1375"/>
      <c r="AE64" s="1376"/>
      <c r="AF64" s="1377"/>
      <c r="AG64" s="1374"/>
      <c r="AH64" s="1375"/>
      <c r="AI64" s="1375"/>
      <c r="AJ64" s="1375"/>
      <c r="AK64" s="1376"/>
      <c r="AL64" s="1377"/>
      <c r="AM64" s="1374"/>
      <c r="AN64" s="1375"/>
      <c r="AO64" s="1375"/>
      <c r="AP64" s="1375"/>
      <c r="AQ64" s="1376"/>
      <c r="AR64" s="1377"/>
      <c r="AS64" s="1374"/>
      <c r="AT64" s="1375"/>
      <c r="AU64" s="1375"/>
      <c r="AV64" s="1375"/>
      <c r="AW64" s="1376"/>
      <c r="AX64" s="1377"/>
      <c r="AY64" s="1374"/>
      <c r="AZ64" s="1375"/>
      <c r="BA64" s="1375"/>
      <c r="BB64" s="1375"/>
      <c r="BC64" s="1376"/>
      <c r="BD64" s="1377"/>
      <c r="BE64" s="1374"/>
      <c r="BF64" s="1375"/>
      <c r="BG64" s="1375"/>
      <c r="BH64" s="1375"/>
      <c r="BI64" s="1376"/>
      <c r="BJ64" s="1377"/>
      <c r="BK64" s="1374"/>
      <c r="BL64" s="1375"/>
      <c r="BM64" s="1375"/>
      <c r="BN64" s="1375"/>
      <c r="BO64" s="1376"/>
      <c r="BP64" s="1377"/>
      <c r="BQ64" s="1374"/>
      <c r="BR64" s="1375"/>
      <c r="BS64" s="1375"/>
      <c r="BT64" s="1375"/>
      <c r="BU64" s="1376"/>
      <c r="BV64" s="1377"/>
      <c r="BW64" s="1374"/>
      <c r="BX64" s="1375"/>
      <c r="BY64" s="1375"/>
      <c r="BZ64" s="1375"/>
      <c r="CA64" s="1376"/>
      <c r="CB64" s="1377"/>
      <c r="CC64" s="1374"/>
      <c r="CD64" s="1375"/>
      <c r="CE64" s="1375"/>
      <c r="CF64" s="1375"/>
      <c r="CG64" s="1376"/>
      <c r="CH64" s="1377"/>
      <c r="CI64" s="1374"/>
      <c r="CJ64" s="1375"/>
      <c r="CK64" s="1375"/>
      <c r="CL64" s="1375"/>
      <c r="CM64" s="1376"/>
      <c r="CN64" s="11"/>
      <c r="CO64" s="11"/>
      <c r="CP64" s="11"/>
      <c r="CQ64" s="11"/>
      <c r="CR64" s="11"/>
      <c r="CS64" s="11"/>
      <c r="CT64" s="11"/>
      <c r="CU64" s="11"/>
      <c r="CV64" s="11"/>
      <c r="CW64" s="11"/>
      <c r="CX64" s="11"/>
    </row>
    <row r="65" spans="1:102" s="31" customFormat="1" ht="11.25" hidden="1" customHeight="1" outlineLevel="1" x14ac:dyDescent="0.2">
      <c r="B65" s="1378" t="s">
        <v>554</v>
      </c>
      <c r="C65" s="1374"/>
      <c r="D65" s="1375"/>
      <c r="E65" s="1375"/>
      <c r="F65" s="1375"/>
      <c r="G65" s="1376"/>
      <c r="H65" s="1377"/>
      <c r="I65" s="1374"/>
      <c r="J65" s="1375"/>
      <c r="K65" s="1375"/>
      <c r="L65" s="1375"/>
      <c r="M65" s="1376"/>
      <c r="N65" s="1377"/>
      <c r="O65" s="1374"/>
      <c r="P65" s="1375"/>
      <c r="Q65" s="1375"/>
      <c r="R65" s="1375"/>
      <c r="S65" s="1376"/>
      <c r="T65" s="1377"/>
      <c r="U65" s="1374"/>
      <c r="V65" s="1375"/>
      <c r="W65" s="1375"/>
      <c r="X65" s="1375"/>
      <c r="Y65" s="1376"/>
      <c r="Z65" s="1377"/>
      <c r="AA65" s="1374"/>
      <c r="AB65" s="1375"/>
      <c r="AC65" s="1375"/>
      <c r="AD65" s="1375"/>
      <c r="AE65" s="1376"/>
      <c r="AF65" s="1377"/>
      <c r="AG65" s="1374"/>
      <c r="AH65" s="1375"/>
      <c r="AI65" s="1375"/>
      <c r="AJ65" s="1375"/>
      <c r="AK65" s="1376"/>
      <c r="AL65" s="1377"/>
      <c r="AM65" s="1374"/>
      <c r="AN65" s="1375"/>
      <c r="AO65" s="1375"/>
      <c r="AP65" s="1375"/>
      <c r="AQ65" s="1376"/>
      <c r="AR65" s="1377"/>
      <c r="AS65" s="1374"/>
      <c r="AT65" s="1375"/>
      <c r="AU65" s="1375"/>
      <c r="AV65" s="1375"/>
      <c r="AW65" s="1376"/>
      <c r="AX65" s="1377"/>
      <c r="AY65" s="1374"/>
      <c r="AZ65" s="1375"/>
      <c r="BA65" s="1375"/>
      <c r="BB65" s="1375"/>
      <c r="BC65" s="1376"/>
      <c r="BD65" s="1377"/>
      <c r="BE65" s="1383">
        <f>+BE66</f>
        <v>5.0999999999999997E-2</v>
      </c>
      <c r="BF65" s="1384">
        <f>+BF66</f>
        <v>0.05</v>
      </c>
      <c r="BG65" s="1387">
        <v>0.113</v>
      </c>
      <c r="BH65" s="1387">
        <v>0.105</v>
      </c>
      <c r="BI65" s="1376">
        <f>+AVERAGE(BE65:BH65)</f>
        <v>7.9750000000000001E-2</v>
      </c>
      <c r="BJ65" s="1377"/>
      <c r="BK65" s="1391">
        <v>0.11700000000000001</v>
      </c>
      <c r="BL65" s="1387">
        <v>0.158</v>
      </c>
      <c r="BM65" s="1387">
        <v>0.128</v>
      </c>
      <c r="BN65" s="1387">
        <v>0.106</v>
      </c>
      <c r="BO65" s="1376">
        <f>+AVERAGE(BK65:BN65)</f>
        <v>0.12725</v>
      </c>
      <c r="BP65" s="1377"/>
      <c r="BQ65" s="1391"/>
      <c r="BR65" s="1387"/>
      <c r="BS65" s="1387">
        <v>0</v>
      </c>
      <c r="BT65" s="1387"/>
      <c r="BU65" s="1376"/>
      <c r="BV65" s="1377"/>
      <c r="BW65" s="1374"/>
      <c r="BX65" s="1375"/>
      <c r="BY65" s="1375"/>
      <c r="BZ65" s="1375"/>
      <c r="CA65" s="1376"/>
      <c r="CB65" s="1377"/>
      <c r="CC65" s="1374"/>
      <c r="CD65" s="1375"/>
      <c r="CE65" s="1375"/>
      <c r="CF65" s="1375"/>
      <c r="CG65" s="1376"/>
      <c r="CH65" s="1377"/>
      <c r="CI65" s="1374"/>
      <c r="CJ65" s="1375"/>
      <c r="CK65" s="1375"/>
      <c r="CL65" s="1375"/>
      <c r="CM65" s="1376"/>
      <c r="CN65" s="11"/>
      <c r="CO65" s="11"/>
      <c r="CP65" s="11"/>
      <c r="CQ65" s="11"/>
      <c r="CR65" s="11"/>
      <c r="CS65" s="11"/>
      <c r="CT65" s="11"/>
      <c r="CU65" s="11"/>
      <c r="CV65" s="11"/>
      <c r="CW65" s="11"/>
      <c r="CX65" s="11"/>
    </row>
    <row r="66" spans="1:102" s="31" customFormat="1" ht="11.25" hidden="1" customHeight="1" outlineLevel="1" x14ac:dyDescent="0.2">
      <c r="B66" s="1390" t="s">
        <v>550</v>
      </c>
      <c r="C66" s="1374"/>
      <c r="D66" s="1375"/>
      <c r="E66" s="1375"/>
      <c r="F66" s="1375"/>
      <c r="G66" s="1376"/>
      <c r="H66" s="1377"/>
      <c r="I66" s="1374"/>
      <c r="J66" s="1375"/>
      <c r="K66" s="1375"/>
      <c r="L66" s="1375"/>
      <c r="M66" s="1376"/>
      <c r="N66" s="1377"/>
      <c r="O66" s="1374"/>
      <c r="P66" s="1375"/>
      <c r="Q66" s="1375"/>
      <c r="R66" s="1375"/>
      <c r="S66" s="1376"/>
      <c r="T66" s="1377"/>
      <c r="U66" s="1374"/>
      <c r="V66" s="1375"/>
      <c r="W66" s="1375"/>
      <c r="X66" s="1375"/>
      <c r="Y66" s="1376"/>
      <c r="Z66" s="1377"/>
      <c r="AA66" s="1374"/>
      <c r="AB66" s="1375"/>
      <c r="AC66" s="1375"/>
      <c r="AD66" s="1375"/>
      <c r="AE66" s="1376"/>
      <c r="AF66" s="1377"/>
      <c r="AG66" s="1374"/>
      <c r="AH66" s="1375"/>
      <c r="AI66" s="1375"/>
      <c r="AJ66" s="1375"/>
      <c r="AK66" s="1376"/>
      <c r="AL66" s="1377"/>
      <c r="AM66" s="1374"/>
      <c r="AN66" s="1375"/>
      <c r="AO66" s="1375"/>
      <c r="AP66" s="1375"/>
      <c r="AQ66" s="1376"/>
      <c r="AR66" s="1377"/>
      <c r="AS66" s="1374"/>
      <c r="AT66" s="1375"/>
      <c r="AU66" s="1375"/>
      <c r="AV66" s="1375"/>
      <c r="AW66" s="1376"/>
      <c r="AX66" s="1377"/>
      <c r="AY66" s="1391">
        <v>7.0000000000000007E-2</v>
      </c>
      <c r="AZ66" s="1392">
        <v>6.4000000000000001E-2</v>
      </c>
      <c r="BA66" s="1392">
        <v>-1.9E-2</v>
      </c>
      <c r="BB66" s="1392">
        <v>0.1</v>
      </c>
      <c r="BC66" s="1376">
        <f>+AVERAGE(AY66:BB66)</f>
        <v>5.3750000000000006E-2</v>
      </c>
      <c r="BD66" s="1377"/>
      <c r="BE66" s="1391">
        <v>5.0999999999999997E-2</v>
      </c>
      <c r="BF66" s="1392">
        <v>0.05</v>
      </c>
      <c r="BG66" s="1392">
        <v>0.113</v>
      </c>
      <c r="BH66" s="1375">
        <f>+BH65-2.5%</f>
        <v>7.9999999999999988E-2</v>
      </c>
      <c r="BI66" s="1376">
        <f>+AVERAGE(BE66:BH66)</f>
        <v>7.350000000000001E-2</v>
      </c>
      <c r="BJ66" s="1377"/>
      <c r="BK66" s="1391">
        <v>8.1000000000000003E-2</v>
      </c>
      <c r="BL66" s="1392">
        <v>9.8000000000000004E-2</v>
      </c>
      <c r="BM66" s="1392">
        <v>6.2E-2</v>
      </c>
      <c r="BN66" s="1375">
        <f>+BN65-4.3%</f>
        <v>6.3E-2</v>
      </c>
      <c r="BO66" s="1376">
        <f>+AVERAGE(BK66:BN66)</f>
        <v>7.5999999999999998E-2</v>
      </c>
      <c r="BP66" s="1377"/>
      <c r="BQ66" s="1391"/>
      <c r="BR66" s="1392"/>
      <c r="BS66" s="1392"/>
      <c r="BT66" s="1392"/>
      <c r="BU66" s="1376"/>
      <c r="BV66" s="1377"/>
      <c r="BW66" s="1374"/>
      <c r="BX66" s="1375"/>
      <c r="BY66" s="1375"/>
      <c r="BZ66" s="1375"/>
      <c r="CA66" s="1376"/>
      <c r="CB66" s="1377"/>
      <c r="CC66" s="1374"/>
      <c r="CD66" s="1375"/>
      <c r="CE66" s="1375"/>
      <c r="CF66" s="1375"/>
      <c r="CG66" s="1376"/>
      <c r="CH66" s="1377"/>
      <c r="CI66" s="1374"/>
      <c r="CJ66" s="1375"/>
      <c r="CK66" s="1375"/>
      <c r="CL66" s="1375"/>
      <c r="CM66" s="1376"/>
      <c r="CN66" s="11"/>
      <c r="CO66" s="11"/>
      <c r="CP66" s="11"/>
      <c r="CQ66" s="11"/>
      <c r="CR66" s="11"/>
      <c r="CS66" s="11"/>
      <c r="CT66" s="11"/>
      <c r="CU66" s="11"/>
      <c r="CV66" s="11"/>
      <c r="CW66" s="11"/>
      <c r="CX66" s="11"/>
    </row>
    <row r="67" spans="1:102" s="31" customFormat="1" ht="11.25" hidden="1" customHeight="1" outlineLevel="1" x14ac:dyDescent="0.2">
      <c r="B67" s="1378"/>
      <c r="C67" s="1374"/>
      <c r="D67" s="1375"/>
      <c r="E67" s="1375"/>
      <c r="F67" s="1375"/>
      <c r="G67" s="1376"/>
      <c r="H67" s="1377"/>
      <c r="I67" s="1374"/>
      <c r="J67" s="1375"/>
      <c r="K67" s="1375"/>
      <c r="L67" s="1375"/>
      <c r="M67" s="1376"/>
      <c r="N67" s="1377"/>
      <c r="O67" s="1374"/>
      <c r="P67" s="1375"/>
      <c r="Q67" s="1375"/>
      <c r="R67" s="1375"/>
      <c r="S67" s="1376"/>
      <c r="T67" s="1377"/>
      <c r="U67" s="1374"/>
      <c r="V67" s="1375"/>
      <c r="W67" s="1375"/>
      <c r="X67" s="1375"/>
      <c r="Y67" s="1376"/>
      <c r="Z67" s="1377"/>
      <c r="AA67" s="1374"/>
      <c r="AB67" s="1375"/>
      <c r="AC67" s="1375"/>
      <c r="AD67" s="1375"/>
      <c r="AE67" s="1376"/>
      <c r="AF67" s="1377"/>
      <c r="AG67" s="1374"/>
      <c r="AH67" s="1375"/>
      <c r="AI67" s="1375"/>
      <c r="AJ67" s="1375"/>
      <c r="AK67" s="1376"/>
      <c r="AL67" s="1377"/>
      <c r="AM67" s="1374"/>
      <c r="AN67" s="1375"/>
      <c r="AO67" s="1375"/>
      <c r="AP67" s="1375"/>
      <c r="AQ67" s="1376"/>
      <c r="AR67" s="1377"/>
      <c r="AS67" s="1374"/>
      <c r="AT67" s="1375"/>
      <c r="AU67" s="1375"/>
      <c r="AV67" s="1375"/>
      <c r="AW67" s="1376"/>
      <c r="AX67" s="1377"/>
      <c r="AY67" s="1374"/>
      <c r="AZ67" s="1375"/>
      <c r="BA67" s="1375"/>
      <c r="BB67" s="1375"/>
      <c r="BC67" s="1376"/>
      <c r="BD67" s="1377"/>
      <c r="BE67" s="1391"/>
      <c r="BF67" s="1392"/>
      <c r="BG67" s="1392"/>
      <c r="BH67" s="1375"/>
      <c r="BI67" s="1376"/>
      <c r="BJ67" s="1377"/>
      <c r="BK67" s="1391"/>
      <c r="BL67" s="1392"/>
      <c r="BM67" s="1392"/>
      <c r="BN67" s="1375"/>
      <c r="BO67" s="1376"/>
      <c r="BP67" s="1377"/>
      <c r="BQ67" s="1391"/>
      <c r="BR67" s="1392"/>
      <c r="BS67" s="1392"/>
      <c r="BT67" s="1392"/>
      <c r="BU67" s="1376"/>
      <c r="BV67" s="1377"/>
      <c r="BW67" s="1374"/>
      <c r="BX67" s="1375"/>
      <c r="BY67" s="1375"/>
      <c r="BZ67" s="1375"/>
      <c r="CA67" s="1376"/>
      <c r="CB67" s="1377"/>
      <c r="CC67" s="1374"/>
      <c r="CD67" s="1375"/>
      <c r="CE67" s="1375"/>
      <c r="CF67" s="1375"/>
      <c r="CG67" s="1376"/>
      <c r="CH67" s="1377"/>
      <c r="CI67" s="1374"/>
      <c r="CJ67" s="1375"/>
      <c r="CK67" s="1375"/>
      <c r="CL67" s="1375"/>
      <c r="CM67" s="1376"/>
      <c r="CN67" s="11"/>
      <c r="CO67" s="11"/>
      <c r="CP67" s="11"/>
      <c r="CQ67" s="11"/>
      <c r="CR67" s="11"/>
      <c r="CS67" s="11"/>
      <c r="CT67" s="11"/>
      <c r="CU67" s="11"/>
      <c r="CV67" s="11"/>
      <c r="CW67" s="11"/>
      <c r="CX67" s="11"/>
    </row>
    <row r="68" spans="1:102" s="31" customFormat="1" ht="11.25" hidden="1" customHeight="1" outlineLevel="1" x14ac:dyDescent="0.2">
      <c r="B68" s="1378" t="s">
        <v>558</v>
      </c>
      <c r="C68" s="1374"/>
      <c r="D68" s="1375"/>
      <c r="E68" s="1375"/>
      <c r="F68" s="1375"/>
      <c r="G68" s="1376"/>
      <c r="H68" s="1377"/>
      <c r="I68" s="1374"/>
      <c r="J68" s="1375"/>
      <c r="K68" s="1375"/>
      <c r="L68" s="1375"/>
      <c r="M68" s="1376"/>
      <c r="N68" s="1377"/>
      <c r="O68" s="1374"/>
      <c r="P68" s="1375"/>
      <c r="Q68" s="1375"/>
      <c r="R68" s="1375"/>
      <c r="S68" s="1376"/>
      <c r="T68" s="1377"/>
      <c r="U68" s="1374"/>
      <c r="V68" s="1375"/>
      <c r="W68" s="1375"/>
      <c r="X68" s="1375"/>
      <c r="Y68" s="1376"/>
      <c r="Z68" s="1377"/>
      <c r="AA68" s="1374"/>
      <c r="AB68" s="1375"/>
      <c r="AC68" s="1375"/>
      <c r="AD68" s="1375"/>
      <c r="AE68" s="1376"/>
      <c r="AF68" s="1377"/>
      <c r="AG68" s="1374"/>
      <c r="AH68" s="1375"/>
      <c r="AI68" s="1375"/>
      <c r="AJ68" s="1375"/>
      <c r="AK68" s="1376"/>
      <c r="AL68" s="1377"/>
      <c r="AM68" s="1374"/>
      <c r="AN68" s="1375"/>
      <c r="AO68" s="1375"/>
      <c r="AP68" s="1375"/>
      <c r="AQ68" s="1376"/>
      <c r="AR68" s="1377"/>
      <c r="AS68" s="1374"/>
      <c r="AT68" s="1375"/>
      <c r="AU68" s="1375"/>
      <c r="AV68" s="1375"/>
      <c r="AW68" s="1376"/>
      <c r="AX68" s="1377"/>
      <c r="AY68" s="1374"/>
      <c r="AZ68" s="1375"/>
      <c r="BA68" s="1375"/>
      <c r="BB68" s="1375"/>
      <c r="BC68" s="1376"/>
      <c r="BD68" s="1377"/>
      <c r="BE68" s="1391"/>
      <c r="BF68" s="1392"/>
      <c r="BG68" s="1392"/>
      <c r="BH68" s="1387"/>
      <c r="BI68" s="1376"/>
      <c r="BJ68" s="1377"/>
      <c r="BK68" s="1391"/>
      <c r="BL68" s="1392"/>
      <c r="BM68" s="1392"/>
      <c r="BN68" s="1375"/>
      <c r="BO68" s="1376"/>
      <c r="BP68" s="1377"/>
      <c r="BQ68" s="1391"/>
      <c r="BR68" s="1392"/>
      <c r="BS68" s="1392"/>
      <c r="BT68" s="1392"/>
      <c r="BU68" s="1376"/>
      <c r="BV68" s="1377"/>
      <c r="BW68" s="1374"/>
      <c r="BX68" s="1375"/>
      <c r="BY68" s="1375"/>
      <c r="BZ68" s="1375"/>
      <c r="CA68" s="1376"/>
      <c r="CB68" s="1377"/>
      <c r="CC68" s="1374"/>
      <c r="CD68" s="1375"/>
      <c r="CE68" s="1375"/>
      <c r="CF68" s="1375"/>
      <c r="CG68" s="1376"/>
      <c r="CH68" s="1377"/>
      <c r="CI68" s="1374"/>
      <c r="CJ68" s="1375"/>
      <c r="CK68" s="1375"/>
      <c r="CL68" s="1375"/>
      <c r="CM68" s="1376"/>
      <c r="CN68" s="11"/>
      <c r="CO68" s="11"/>
      <c r="CP68" s="11"/>
      <c r="CQ68" s="11"/>
      <c r="CR68" s="11"/>
      <c r="CS68" s="11"/>
      <c r="CT68" s="11"/>
      <c r="CU68" s="11"/>
      <c r="CV68" s="11"/>
      <c r="CW68" s="11"/>
      <c r="CX68" s="11"/>
    </row>
    <row r="69" spans="1:102" s="31" customFormat="1" ht="11.25" hidden="1" customHeight="1" outlineLevel="1" x14ac:dyDescent="0.2">
      <c r="B69" s="1390" t="s">
        <v>550</v>
      </c>
      <c r="C69" s="1374"/>
      <c r="D69" s="1375"/>
      <c r="E69" s="1375"/>
      <c r="F69" s="1375"/>
      <c r="G69" s="1376"/>
      <c r="H69" s="1377"/>
      <c r="I69" s="1374"/>
      <c r="J69" s="1375"/>
      <c r="K69" s="1375"/>
      <c r="L69" s="1375"/>
      <c r="M69" s="1376"/>
      <c r="N69" s="1377"/>
      <c r="O69" s="1374"/>
      <c r="P69" s="1375"/>
      <c r="Q69" s="1375"/>
      <c r="R69" s="1375"/>
      <c r="S69" s="1376"/>
      <c r="T69" s="1377"/>
      <c r="U69" s="1374"/>
      <c r="V69" s="1375"/>
      <c r="W69" s="1375"/>
      <c r="X69" s="1375"/>
      <c r="Y69" s="1376"/>
      <c r="Z69" s="1377"/>
      <c r="AA69" s="1374"/>
      <c r="AB69" s="1375"/>
      <c r="AC69" s="1375"/>
      <c r="AD69" s="1375"/>
      <c r="AE69" s="1376"/>
      <c r="AF69" s="1377"/>
      <c r="AG69" s="1374"/>
      <c r="AH69" s="1375"/>
      <c r="AI69" s="1375"/>
      <c r="AJ69" s="1375"/>
      <c r="AK69" s="1376"/>
      <c r="AL69" s="1377"/>
      <c r="AM69" s="1374"/>
      <c r="AN69" s="1375"/>
      <c r="AO69" s="1375"/>
      <c r="AP69" s="1375"/>
      <c r="AQ69" s="1376"/>
      <c r="AR69" s="1377"/>
      <c r="AS69" s="1374"/>
      <c r="AT69" s="1375"/>
      <c r="AU69" s="1375"/>
      <c r="AV69" s="1375"/>
      <c r="AW69" s="1376"/>
      <c r="AX69" s="1377"/>
      <c r="AY69" s="1374"/>
      <c r="AZ69" s="1375"/>
      <c r="BA69" s="1392">
        <v>0.104</v>
      </c>
      <c r="BB69" s="1392">
        <v>0.05</v>
      </c>
      <c r="BC69" s="1376"/>
      <c r="BD69" s="1377"/>
      <c r="BE69" s="1391">
        <v>-2.3E-2</v>
      </c>
      <c r="BF69" s="1392">
        <v>0.01</v>
      </c>
      <c r="BG69" s="1392">
        <v>5.0000000000000001E-3</v>
      </c>
      <c r="BH69" s="1392">
        <v>0.05</v>
      </c>
      <c r="BI69" s="1376">
        <f>+AVERAGE(BE69:BH69)</f>
        <v>1.0500000000000001E-2</v>
      </c>
      <c r="BJ69" s="1377"/>
      <c r="BK69" s="1374"/>
      <c r="BL69" s="1375"/>
      <c r="BM69" s="1375"/>
      <c r="BN69" s="1375"/>
      <c r="BO69" s="1376"/>
      <c r="BP69" s="1377"/>
      <c r="BQ69" s="1374"/>
      <c r="BR69" s="1375"/>
      <c r="BS69" s="1375"/>
      <c r="BT69" s="1375"/>
      <c r="BU69" s="1376"/>
      <c r="BV69" s="1377"/>
      <c r="BW69" s="1374"/>
      <c r="BX69" s="1375"/>
      <c r="BY69" s="1375"/>
      <c r="BZ69" s="1375"/>
      <c r="CA69" s="1376"/>
      <c r="CB69" s="1377"/>
      <c r="CC69" s="1374"/>
      <c r="CD69" s="1375"/>
      <c r="CE69" s="1375"/>
      <c r="CF69" s="1375"/>
      <c r="CG69" s="1376"/>
      <c r="CH69" s="1377"/>
      <c r="CI69" s="1374"/>
      <c r="CJ69" s="1375"/>
      <c r="CK69" s="1375"/>
      <c r="CL69" s="1375"/>
      <c r="CM69" s="1376"/>
      <c r="CN69" s="11"/>
      <c r="CO69" s="11"/>
      <c r="CP69" s="11"/>
      <c r="CQ69" s="11"/>
      <c r="CR69" s="11"/>
      <c r="CS69" s="11"/>
      <c r="CT69" s="11"/>
      <c r="CU69" s="11"/>
      <c r="CV69" s="11"/>
      <c r="CW69" s="11"/>
      <c r="CX69" s="11"/>
    </row>
    <row r="70" spans="1:102" s="31" customFormat="1" ht="11.25" hidden="1" customHeight="1" outlineLevel="1" x14ac:dyDescent="0.2">
      <c r="B70" s="1378"/>
      <c r="C70" s="1374"/>
      <c r="D70" s="1375"/>
      <c r="E70" s="1375"/>
      <c r="F70" s="1375"/>
      <c r="G70" s="1376"/>
      <c r="H70" s="1377"/>
      <c r="I70" s="1374"/>
      <c r="J70" s="1375"/>
      <c r="K70" s="1375"/>
      <c r="L70" s="1375"/>
      <c r="M70" s="1376"/>
      <c r="N70" s="1377"/>
      <c r="O70" s="1374"/>
      <c r="P70" s="1375"/>
      <c r="Q70" s="1375"/>
      <c r="R70" s="1375"/>
      <c r="S70" s="1376"/>
      <c r="T70" s="1377"/>
      <c r="U70" s="1374"/>
      <c r="V70" s="1375"/>
      <c r="W70" s="1375"/>
      <c r="X70" s="1375"/>
      <c r="Y70" s="1376"/>
      <c r="Z70" s="1377"/>
      <c r="AA70" s="1374"/>
      <c r="AB70" s="1375"/>
      <c r="AC70" s="1375"/>
      <c r="AD70" s="1375"/>
      <c r="AE70" s="1376"/>
      <c r="AF70" s="1377"/>
      <c r="AG70" s="1374"/>
      <c r="AH70" s="1375"/>
      <c r="AI70" s="1375"/>
      <c r="AJ70" s="1375"/>
      <c r="AK70" s="1376"/>
      <c r="AL70" s="1377"/>
      <c r="AM70" s="1374"/>
      <c r="AN70" s="1375"/>
      <c r="AO70" s="1375"/>
      <c r="AP70" s="1375"/>
      <c r="AQ70" s="1376"/>
      <c r="AR70" s="1377"/>
      <c r="AS70" s="1374"/>
      <c r="AT70" s="1375"/>
      <c r="AU70" s="1375"/>
      <c r="AV70" s="1375"/>
      <c r="AW70" s="1376"/>
      <c r="AX70" s="1377"/>
      <c r="AY70" s="1374"/>
      <c r="AZ70" s="1375"/>
      <c r="BA70" s="1375"/>
      <c r="BB70" s="1375"/>
      <c r="BC70" s="1376"/>
      <c r="BD70" s="1377"/>
      <c r="BE70" s="1374"/>
      <c r="BF70" s="1375"/>
      <c r="BG70" s="1375"/>
      <c r="BH70" s="1375"/>
      <c r="BI70" s="1376"/>
      <c r="BJ70" s="1377"/>
      <c r="BK70" s="1374"/>
      <c r="BL70" s="1375"/>
      <c r="BM70" s="1375"/>
      <c r="BN70" s="1375"/>
      <c r="BO70" s="1376"/>
      <c r="BP70" s="1377"/>
      <c r="BQ70" s="1374"/>
      <c r="BR70" s="1375"/>
      <c r="BS70" s="1375"/>
      <c r="BT70" s="1375"/>
      <c r="BU70" s="1376"/>
      <c r="BV70" s="1377"/>
      <c r="BW70" s="1374"/>
      <c r="BX70" s="1375"/>
      <c r="BY70" s="1375"/>
      <c r="BZ70" s="1375"/>
      <c r="CA70" s="1376"/>
      <c r="CB70" s="1377"/>
      <c r="CC70" s="1374"/>
      <c r="CD70" s="1375"/>
      <c r="CE70" s="1375"/>
      <c r="CF70" s="1375"/>
      <c r="CG70" s="1376"/>
      <c r="CH70" s="1377"/>
      <c r="CI70" s="1374"/>
      <c r="CJ70" s="1375"/>
      <c r="CK70" s="1375"/>
      <c r="CL70" s="1375"/>
      <c r="CM70" s="1376"/>
      <c r="CN70" s="11"/>
      <c r="CO70" s="11"/>
      <c r="CP70" s="11"/>
      <c r="CQ70" s="11"/>
      <c r="CR70" s="11"/>
      <c r="CS70" s="11"/>
      <c r="CT70" s="11"/>
      <c r="CU70" s="11"/>
      <c r="CV70" s="11"/>
      <c r="CW70" s="11"/>
      <c r="CX70" s="11"/>
    </row>
    <row r="71" spans="1:102" s="31" customFormat="1" ht="11.25" hidden="1" customHeight="1" outlineLevel="1" x14ac:dyDescent="0.2">
      <c r="B71" s="1378" t="s">
        <v>551</v>
      </c>
      <c r="C71" s="1374"/>
      <c r="D71" s="1375"/>
      <c r="E71" s="1375"/>
      <c r="F71" s="1375"/>
      <c r="G71" s="1376"/>
      <c r="H71" s="1377"/>
      <c r="I71" s="1374"/>
      <c r="J71" s="1375"/>
      <c r="K71" s="1375"/>
      <c r="L71" s="1375"/>
      <c r="M71" s="1376"/>
      <c r="N71" s="1377"/>
      <c r="O71" s="1374"/>
      <c r="P71" s="1375"/>
      <c r="Q71" s="1375"/>
      <c r="R71" s="1375"/>
      <c r="S71" s="1376"/>
      <c r="T71" s="1377"/>
      <c r="U71" s="1374"/>
      <c r="V71" s="1375"/>
      <c r="W71" s="1375"/>
      <c r="X71" s="1375"/>
      <c r="Y71" s="1376"/>
      <c r="Z71" s="1377"/>
      <c r="AA71" s="1374"/>
      <c r="AB71" s="1375"/>
      <c r="AC71" s="1375"/>
      <c r="AD71" s="1375"/>
      <c r="AE71" s="1376"/>
      <c r="AF71" s="1377"/>
      <c r="AG71" s="1374"/>
      <c r="AH71" s="1375"/>
      <c r="AI71" s="1375"/>
      <c r="AJ71" s="1375"/>
      <c r="AK71" s="1376"/>
      <c r="AL71" s="1377"/>
      <c r="AM71" s="1374"/>
      <c r="AN71" s="1375"/>
      <c r="AO71" s="1375"/>
      <c r="AP71" s="1375"/>
      <c r="AQ71" s="1376"/>
      <c r="AR71" s="1377"/>
      <c r="AS71" s="1374"/>
      <c r="AT71" s="1375"/>
      <c r="AU71" s="1375"/>
      <c r="AV71" s="1375"/>
      <c r="AW71" s="1376"/>
      <c r="AX71" s="1377"/>
      <c r="AY71" s="1374"/>
      <c r="AZ71" s="1375"/>
      <c r="BA71" s="1375"/>
      <c r="BB71" s="1375"/>
      <c r="BC71" s="1376"/>
      <c r="BD71" s="1377"/>
      <c r="BE71" s="1393">
        <f>171.9*89%</f>
        <v>152.99100000000001</v>
      </c>
      <c r="BF71" s="1394">
        <f>414*89%</f>
        <v>368.46</v>
      </c>
      <c r="BG71" s="1394">
        <f>406.6*89%</f>
        <v>361.87400000000002</v>
      </c>
      <c r="BH71" s="1394">
        <f>403.6*89%</f>
        <v>359.20400000000001</v>
      </c>
      <c r="BI71" s="1381">
        <f>+SUM(BE71:BH71)</f>
        <v>1242.529</v>
      </c>
      <c r="BJ71" s="1377"/>
      <c r="BK71" s="1393">
        <v>361.9</v>
      </c>
      <c r="BL71" s="1380">
        <f>+BF71*(1+BL72)</f>
        <v>386.51453999999995</v>
      </c>
      <c r="BM71" s="1380">
        <f t="shared" ref="BM71:BN71" si="57">+BG71*(1+BM72)</f>
        <v>366.57836199999997</v>
      </c>
      <c r="BN71" s="1380">
        <f t="shared" si="57"/>
        <v>391.17315600000001</v>
      </c>
      <c r="BO71" s="1381">
        <f>+SUM(BK71:BN71)</f>
        <v>1506.166058</v>
      </c>
      <c r="BP71" s="1377"/>
      <c r="BQ71" s="1379">
        <f>+BK71*(1+BQ72)</f>
        <v>383.61399999999998</v>
      </c>
      <c r="BR71" s="1380">
        <f>+BL71*(1+BR72)</f>
        <v>402.74815067999998</v>
      </c>
      <c r="BS71" s="1380">
        <f t="shared" ref="BS71" si="58">+BM71*(1+BS72)</f>
        <v>398.83725785600001</v>
      </c>
      <c r="BT71" s="1380">
        <f t="shared" ref="BS71:BT71" si="59">+BN71*(1+BT72)</f>
        <v>398.99661911999999</v>
      </c>
      <c r="BU71" s="1381">
        <f>+SUM(BQ71:BT71)</f>
        <v>1584.1960276559998</v>
      </c>
      <c r="BV71" s="1377"/>
      <c r="BW71" s="1379">
        <f>+BQ71*(1+BW72)</f>
        <v>395.12241999999998</v>
      </c>
      <c r="BX71" s="1380">
        <f>+BR71*(1+BX72)</f>
        <v>414.83059520040001</v>
      </c>
      <c r="BY71" s="1380">
        <f t="shared" ref="BY71" si="60">+BS71*(1+BY72)</f>
        <v>410.80237559168</v>
      </c>
      <c r="BZ71" s="1380">
        <f t="shared" ref="BZ71" si="61">+BT71*(1+BZ72)</f>
        <v>410.9665176936</v>
      </c>
      <c r="CA71" s="1381">
        <f>+SUM(BW71:BZ71)</f>
        <v>1631.7219084856799</v>
      </c>
      <c r="CB71" s="1377"/>
      <c r="CC71" s="1379">
        <f t="shared" ref="CC71:CD71" si="62">+BW71*(1+CC72)</f>
        <v>406.97609259999996</v>
      </c>
      <c r="CD71" s="1380">
        <f t="shared" si="62"/>
        <v>427.27551305641202</v>
      </c>
      <c r="CE71" s="1380">
        <f t="shared" ref="CE71" si="63">+BY71*(1+CE72)</f>
        <v>423.12644685943042</v>
      </c>
      <c r="CF71" s="1380">
        <f t="shared" ref="CF71" si="64">+BZ71*(1+CF72)</f>
        <v>423.29551322440801</v>
      </c>
      <c r="CG71" s="1381">
        <f t="shared" ref="CG71" si="65">+SUM(CC71:CF71)</f>
        <v>1680.6735657402505</v>
      </c>
      <c r="CH71" s="1377"/>
      <c r="CI71" s="1379">
        <f t="shared" ref="CI71:CJ71" si="66">+CC71*(1+CI72)</f>
        <v>419.18537537799995</v>
      </c>
      <c r="CJ71" s="1380">
        <f t="shared" si="66"/>
        <v>440.09377844810439</v>
      </c>
      <c r="CK71" s="1380">
        <f t="shared" ref="CK71" si="67">+CE71*(1+CK72)</f>
        <v>435.82024026521333</v>
      </c>
      <c r="CL71" s="1380">
        <f t="shared" ref="CL71" si="68">+CF71*(1+CL72)</f>
        <v>435.99437862114024</v>
      </c>
      <c r="CM71" s="1381">
        <f t="shared" ref="CM71" si="69">+SUM(CI71:CL71)</f>
        <v>1731.0937727124578</v>
      </c>
      <c r="CN71" s="11"/>
      <c r="CO71" s="11"/>
      <c r="CP71" s="11"/>
      <c r="CQ71" s="11"/>
      <c r="CR71" s="11"/>
      <c r="CS71" s="11"/>
      <c r="CT71" s="11"/>
      <c r="CU71" s="11"/>
      <c r="CV71" s="11"/>
      <c r="CW71" s="11"/>
      <c r="CX71" s="11"/>
    </row>
    <row r="72" spans="1:102" s="31" customFormat="1" ht="11.25" hidden="1" customHeight="1" outlineLevel="1" x14ac:dyDescent="0.2">
      <c r="B72" s="1382" t="s">
        <v>261</v>
      </c>
      <c r="C72" s="1374"/>
      <c r="D72" s="1375"/>
      <c r="E72" s="1375"/>
      <c r="F72" s="1375"/>
      <c r="G72" s="1376"/>
      <c r="H72" s="1377"/>
      <c r="I72" s="1374"/>
      <c r="J72" s="1375"/>
      <c r="K72" s="1375"/>
      <c r="L72" s="1375"/>
      <c r="M72" s="1376"/>
      <c r="N72" s="1377"/>
      <c r="O72" s="1374"/>
      <c r="P72" s="1375"/>
      <c r="Q72" s="1375"/>
      <c r="R72" s="1375"/>
      <c r="S72" s="1376"/>
      <c r="T72" s="1377"/>
      <c r="U72" s="1374"/>
      <c r="V72" s="1375"/>
      <c r="W72" s="1375"/>
      <c r="X72" s="1375"/>
      <c r="Y72" s="1376"/>
      <c r="Z72" s="1377"/>
      <c r="AA72" s="1374"/>
      <c r="AB72" s="1375"/>
      <c r="AC72" s="1375"/>
      <c r="AD72" s="1375"/>
      <c r="AE72" s="1376"/>
      <c r="AF72" s="1377"/>
      <c r="AG72" s="1374"/>
      <c r="AH72" s="1375"/>
      <c r="AI72" s="1375"/>
      <c r="AJ72" s="1375"/>
      <c r="AK72" s="1376"/>
      <c r="AL72" s="1377"/>
      <c r="AM72" s="1374"/>
      <c r="AN72" s="1375"/>
      <c r="AO72" s="1375"/>
      <c r="AP72" s="1375"/>
      <c r="AQ72" s="1376"/>
      <c r="AR72" s="1377"/>
      <c r="AS72" s="1374"/>
      <c r="AT72" s="1375"/>
      <c r="AU72" s="1375"/>
      <c r="AV72" s="1375"/>
      <c r="AW72" s="1376"/>
      <c r="AX72" s="1377"/>
      <c r="AY72" s="1374"/>
      <c r="AZ72" s="1375"/>
      <c r="BA72" s="1375"/>
      <c r="BB72" s="1375"/>
      <c r="BC72" s="1376"/>
      <c r="BD72" s="1377"/>
      <c r="BE72" s="1383"/>
      <c r="BF72" s="1384"/>
      <c r="BG72" s="1384"/>
      <c r="BH72" s="1384"/>
      <c r="BI72" s="1385"/>
      <c r="BJ72" s="1377"/>
      <c r="BK72" s="1383">
        <f>+BK73</f>
        <v>0.03</v>
      </c>
      <c r="BL72" s="1384">
        <f>+BL73</f>
        <v>4.9000000000000002E-2</v>
      </c>
      <c r="BM72" s="1384">
        <f>+BM73</f>
        <v>1.2999999999999999E-2</v>
      </c>
      <c r="BN72" s="1384">
        <f>+BN73</f>
        <v>8.8999999999999996E-2</v>
      </c>
      <c r="BO72" s="1385">
        <f>BO71/BI71-1</f>
        <v>0.21217779061897146</v>
      </c>
      <c r="BP72" s="1377"/>
      <c r="BQ72" s="1383">
        <f>+BQ73</f>
        <v>0.06</v>
      </c>
      <c r="BR72" s="1384">
        <f>+BR73</f>
        <v>4.2000000000000003E-2</v>
      </c>
      <c r="BS72" s="1384">
        <f>+BS73</f>
        <v>8.7999999999999995E-2</v>
      </c>
      <c r="BT72" s="1384">
        <f t="shared" ref="BS72:BT72" si="70">+BT73</f>
        <v>0.02</v>
      </c>
      <c r="BU72" s="1385">
        <f>BU71/BO71-1</f>
        <v>5.180701639207963E-2</v>
      </c>
      <c r="BV72" s="1377"/>
      <c r="BW72" s="1383">
        <f>+BW73</f>
        <v>0.03</v>
      </c>
      <c r="BX72" s="1384">
        <f>+BX73</f>
        <v>0.03</v>
      </c>
      <c r="BY72" s="1384">
        <f t="shared" ref="BY72" si="71">+BY73</f>
        <v>0.03</v>
      </c>
      <c r="BZ72" s="1384">
        <f t="shared" ref="BZ72" si="72">+BZ73</f>
        <v>0.03</v>
      </c>
      <c r="CA72" s="1385">
        <f>CA71/BU71-1</f>
        <v>3.0000000000000027E-2</v>
      </c>
      <c r="CB72" s="1377"/>
      <c r="CC72" s="1383">
        <f t="shared" ref="CC72:CD72" si="73">+CC73</f>
        <v>0.03</v>
      </c>
      <c r="CD72" s="1384">
        <f t="shared" si="73"/>
        <v>0.03</v>
      </c>
      <c r="CE72" s="1384">
        <f t="shared" ref="CE72" si="74">+CE73</f>
        <v>0.03</v>
      </c>
      <c r="CF72" s="1384">
        <f t="shared" ref="CF72" si="75">+CF73</f>
        <v>0.03</v>
      </c>
      <c r="CG72" s="1385">
        <f t="shared" ref="CG72" si="76">CG71/CA71-1</f>
        <v>3.0000000000000027E-2</v>
      </c>
      <c r="CH72" s="1377"/>
      <c r="CI72" s="1383">
        <f t="shared" ref="CI72:CJ72" si="77">+CI73</f>
        <v>0.03</v>
      </c>
      <c r="CJ72" s="1384">
        <f t="shared" si="77"/>
        <v>0.03</v>
      </c>
      <c r="CK72" s="1384">
        <f t="shared" ref="CK72" si="78">+CK73</f>
        <v>0.03</v>
      </c>
      <c r="CL72" s="1384">
        <f t="shared" ref="CL72" si="79">+CL73</f>
        <v>0.03</v>
      </c>
      <c r="CM72" s="1385">
        <f t="shared" ref="CM72" si="80">CM71/CG71-1</f>
        <v>2.9999999999999805E-2</v>
      </c>
      <c r="CN72" s="11"/>
      <c r="CO72" s="11"/>
      <c r="CP72" s="11"/>
      <c r="CQ72" s="11"/>
      <c r="CR72" s="11"/>
      <c r="CS72" s="11"/>
      <c r="CT72" s="11"/>
      <c r="CU72" s="11"/>
      <c r="CV72" s="11"/>
      <c r="CW72" s="11"/>
      <c r="CX72" s="11"/>
    </row>
    <row r="73" spans="1:102" s="31" customFormat="1" ht="11.25" hidden="1" customHeight="1" outlineLevel="1" x14ac:dyDescent="0.2">
      <c r="B73" s="1382" t="s">
        <v>264</v>
      </c>
      <c r="C73" s="1374"/>
      <c r="D73" s="1375"/>
      <c r="E73" s="1375"/>
      <c r="F73" s="1375"/>
      <c r="G73" s="1376"/>
      <c r="H73" s="1377"/>
      <c r="I73" s="1374"/>
      <c r="J73" s="1375"/>
      <c r="K73" s="1375"/>
      <c r="L73" s="1375"/>
      <c r="M73" s="1376"/>
      <c r="N73" s="1377"/>
      <c r="O73" s="1374"/>
      <c r="P73" s="1375"/>
      <c r="Q73" s="1375"/>
      <c r="R73" s="1375"/>
      <c r="S73" s="1376"/>
      <c r="T73" s="1377"/>
      <c r="U73" s="1374"/>
      <c r="V73" s="1375"/>
      <c r="W73" s="1375"/>
      <c r="X73" s="1375"/>
      <c r="Y73" s="1376"/>
      <c r="Z73" s="1377"/>
      <c r="AA73" s="1374"/>
      <c r="AB73" s="1375"/>
      <c r="AC73" s="1375"/>
      <c r="AD73" s="1375"/>
      <c r="AE73" s="1376"/>
      <c r="AF73" s="1377"/>
      <c r="AG73" s="1374"/>
      <c r="AH73" s="1375"/>
      <c r="AI73" s="1375"/>
      <c r="AJ73" s="1375"/>
      <c r="AK73" s="1376"/>
      <c r="AL73" s="1377"/>
      <c r="AM73" s="1374"/>
      <c r="AN73" s="1375"/>
      <c r="AO73" s="1375"/>
      <c r="AP73" s="1375"/>
      <c r="AQ73" s="1376"/>
      <c r="AR73" s="1377"/>
      <c r="AS73" s="1374"/>
      <c r="AT73" s="1375"/>
      <c r="AU73" s="1375"/>
      <c r="AV73" s="1375"/>
      <c r="AW73" s="1376"/>
      <c r="AX73" s="1377"/>
      <c r="AY73" s="1374"/>
      <c r="AZ73" s="1375"/>
      <c r="BA73" s="1375"/>
      <c r="BB73" s="1375"/>
      <c r="BC73" s="1376"/>
      <c r="BD73" s="1377"/>
      <c r="BE73" s="1386"/>
      <c r="BF73" s="1387"/>
      <c r="BG73" s="1387"/>
      <c r="BH73" s="1387"/>
      <c r="BI73" s="1385"/>
      <c r="BJ73" s="1377"/>
      <c r="BK73" s="1386">
        <v>0.03</v>
      </c>
      <c r="BL73" s="1387">
        <v>4.9000000000000002E-2</v>
      </c>
      <c r="BM73" s="1387">
        <v>1.2999999999999999E-2</v>
      </c>
      <c r="BN73" s="1387">
        <v>8.8999999999999996E-2</v>
      </c>
      <c r="BO73" s="1385">
        <f>SUMPRODUCT(BK73:BN73,BE71:BH71)/BI71</f>
        <v>4.773956020342382E-2</v>
      </c>
      <c r="BP73" s="1377"/>
      <c r="BQ73" s="1386">
        <v>0.06</v>
      </c>
      <c r="BR73" s="1387">
        <v>4.2000000000000003E-2</v>
      </c>
      <c r="BS73" s="1387">
        <v>8.7999999999999995E-2</v>
      </c>
      <c r="BT73" s="1388">
        <v>0.02</v>
      </c>
      <c r="BU73" s="1385">
        <f>SUMPRODUCT(BQ73:BT73,BK71:BN71)/BO71</f>
        <v>5.1807016392079651E-2</v>
      </c>
      <c r="BV73" s="1377"/>
      <c r="BW73" s="1389">
        <v>0.03</v>
      </c>
      <c r="BX73" s="1388">
        <f>+BW73</f>
        <v>0.03</v>
      </c>
      <c r="BY73" s="1388">
        <f>+BX73</f>
        <v>0.03</v>
      </c>
      <c r="BZ73" s="1388">
        <f>+BY73</f>
        <v>0.03</v>
      </c>
      <c r="CA73" s="1385">
        <f>SUMPRODUCT(BW73:BZ73,BQ71:BT71)/BU71</f>
        <v>3.0000000000000002E-2</v>
      </c>
      <c r="CB73" s="1377"/>
      <c r="CC73" s="1389">
        <v>0.03</v>
      </c>
      <c r="CD73" s="1388">
        <f>+CC73</f>
        <v>0.03</v>
      </c>
      <c r="CE73" s="1388">
        <f>+CD73</f>
        <v>0.03</v>
      </c>
      <c r="CF73" s="1388">
        <f>+CE73</f>
        <v>0.03</v>
      </c>
      <c r="CG73" s="1385">
        <f t="shared" ref="CG73" si="81">SUMPRODUCT(CC73:CF73,BW71:BZ71)/CA71</f>
        <v>3.0000000000000002E-2</v>
      </c>
      <c r="CH73" s="1377"/>
      <c r="CI73" s="1389">
        <v>0.03</v>
      </c>
      <c r="CJ73" s="1388">
        <f t="shared" ref="CJ73:CL73" si="82">+CI73</f>
        <v>0.03</v>
      </c>
      <c r="CK73" s="1388">
        <f t="shared" si="82"/>
        <v>0.03</v>
      </c>
      <c r="CL73" s="1388">
        <f t="shared" si="82"/>
        <v>0.03</v>
      </c>
      <c r="CM73" s="1385">
        <f t="shared" ref="CM73" si="83">SUMPRODUCT(CI73:CL73,CC71:CF71)/CG71</f>
        <v>2.9999999999999995E-2</v>
      </c>
      <c r="CN73" s="11"/>
      <c r="CO73" s="11"/>
      <c r="CP73" s="11"/>
      <c r="CQ73" s="11"/>
      <c r="CR73" s="11"/>
      <c r="CS73" s="11"/>
      <c r="CT73" s="11"/>
      <c r="CU73" s="11"/>
      <c r="CV73" s="11"/>
      <c r="CW73" s="11"/>
      <c r="CX73" s="11"/>
    </row>
    <row r="74" spans="1:102" s="31" customFormat="1" ht="11.25" hidden="1" customHeight="1" outlineLevel="1" x14ac:dyDescent="0.2">
      <c r="B74" s="1382" t="s">
        <v>263</v>
      </c>
      <c r="C74" s="1374"/>
      <c r="D74" s="1375"/>
      <c r="E74" s="1375"/>
      <c r="F74" s="1375"/>
      <c r="G74" s="1376"/>
      <c r="H74" s="1377"/>
      <c r="I74" s="1374"/>
      <c r="J74" s="1375"/>
      <c r="K74" s="1375"/>
      <c r="L74" s="1375"/>
      <c r="M74" s="1376"/>
      <c r="N74" s="1377"/>
      <c r="O74" s="1374"/>
      <c r="P74" s="1375"/>
      <c r="Q74" s="1375"/>
      <c r="R74" s="1375"/>
      <c r="S74" s="1376"/>
      <c r="T74" s="1377"/>
      <c r="U74" s="1374"/>
      <c r="V74" s="1375"/>
      <c r="W74" s="1375"/>
      <c r="X74" s="1375"/>
      <c r="Y74" s="1376"/>
      <c r="Z74" s="1377"/>
      <c r="AA74" s="1374"/>
      <c r="AB74" s="1375"/>
      <c r="AC74" s="1375"/>
      <c r="AD74" s="1375"/>
      <c r="AE74" s="1376"/>
      <c r="AF74" s="1377"/>
      <c r="AG74" s="1374"/>
      <c r="AH74" s="1375"/>
      <c r="AI74" s="1375"/>
      <c r="AJ74" s="1375"/>
      <c r="AK74" s="1376"/>
      <c r="AL74" s="1377"/>
      <c r="AM74" s="1374"/>
      <c r="AN74" s="1375"/>
      <c r="AO74" s="1375"/>
      <c r="AP74" s="1375"/>
      <c r="AQ74" s="1376"/>
      <c r="AR74" s="1377"/>
      <c r="AS74" s="1374"/>
      <c r="AT74" s="1375"/>
      <c r="AU74" s="1375"/>
      <c r="AV74" s="1375"/>
      <c r="AW74" s="1376"/>
      <c r="AX74" s="1377"/>
      <c r="AY74" s="1374"/>
      <c r="AZ74" s="1375"/>
      <c r="BA74" s="1375"/>
      <c r="BB74" s="1375"/>
      <c r="BC74" s="1376"/>
      <c r="BD74" s="1377"/>
      <c r="BE74" s="1383"/>
      <c r="BF74" s="1384"/>
      <c r="BG74" s="1384"/>
      <c r="BH74" s="1384"/>
      <c r="BI74" s="1385"/>
      <c r="BJ74" s="1377"/>
      <c r="BK74" s="1383">
        <f>+BK72-BK73</f>
        <v>0</v>
      </c>
      <c r="BL74" s="1384">
        <f>+BL72-BL73</f>
        <v>0</v>
      </c>
      <c r="BM74" s="1384">
        <f>+BM72-BM73</f>
        <v>0</v>
      </c>
      <c r="BN74" s="1384">
        <f>+BN72-BN73</f>
        <v>0</v>
      </c>
      <c r="BO74" s="1385">
        <f>SUMPRODUCT(BK74:BN74,BE72:BH72)/BI71</f>
        <v>0</v>
      </c>
      <c r="BP74" s="1377"/>
      <c r="BQ74" s="1383">
        <f>+BQ72-BQ73</f>
        <v>0</v>
      </c>
      <c r="BR74" s="1384">
        <f>+BR72-BR73</f>
        <v>0</v>
      </c>
      <c r="BS74" s="1384">
        <f>+BS72-BS73</f>
        <v>0</v>
      </c>
      <c r="BT74" s="1384">
        <f t="shared" ref="BS74:BT74" si="84">+BT72-BT73</f>
        <v>0</v>
      </c>
      <c r="BU74" s="1385">
        <f>SUMPRODUCT(BQ74:BT74,BK72:BN72)/BO71</f>
        <v>0</v>
      </c>
      <c r="BV74" s="1377"/>
      <c r="BW74" s="1383">
        <f>+BW72-BW73</f>
        <v>0</v>
      </c>
      <c r="BX74" s="1384">
        <f>+BX72-BX73</f>
        <v>0</v>
      </c>
      <c r="BY74" s="1384">
        <f t="shared" ref="BY74" si="85">+BY72-BY73</f>
        <v>0</v>
      </c>
      <c r="BZ74" s="1384">
        <f t="shared" ref="BZ74" si="86">+BZ72-BZ73</f>
        <v>0</v>
      </c>
      <c r="CA74" s="1385">
        <f>SUMPRODUCT(BW74:BZ74,BQ72:BT72)/BU71</f>
        <v>0</v>
      </c>
      <c r="CB74" s="1377"/>
      <c r="CC74" s="1383">
        <f t="shared" ref="CC74:CD74" si="87">+CC72-CC73</f>
        <v>0</v>
      </c>
      <c r="CD74" s="1384">
        <f t="shared" si="87"/>
        <v>0</v>
      </c>
      <c r="CE74" s="1384">
        <f t="shared" ref="CE74" si="88">+CE72-CE73</f>
        <v>0</v>
      </c>
      <c r="CF74" s="1384">
        <f t="shared" ref="CF74" si="89">+CF72-CF73</f>
        <v>0</v>
      </c>
      <c r="CG74" s="1385">
        <f t="shared" ref="CG74" si="90">SUMPRODUCT(CC74:CF74,BW72:BZ72)/CA71</f>
        <v>0</v>
      </c>
      <c r="CH74" s="1377"/>
      <c r="CI74" s="1383">
        <f t="shared" ref="CI74:CJ74" si="91">+CI72-CI73</f>
        <v>0</v>
      </c>
      <c r="CJ74" s="1384">
        <f t="shared" si="91"/>
        <v>0</v>
      </c>
      <c r="CK74" s="1384">
        <f t="shared" ref="CK74" si="92">+CK72-CK73</f>
        <v>0</v>
      </c>
      <c r="CL74" s="1384">
        <f t="shared" ref="CL74" si="93">+CL72-CL73</f>
        <v>0</v>
      </c>
      <c r="CM74" s="1385">
        <f t="shared" ref="CM74" si="94">SUMPRODUCT(CI74:CL74,CC72:CF72)/CG71</f>
        <v>0</v>
      </c>
      <c r="CN74" s="11"/>
      <c r="CO74" s="11"/>
      <c r="CP74" s="11"/>
      <c r="CQ74" s="11"/>
      <c r="CR74" s="11"/>
      <c r="CS74" s="11"/>
      <c r="CT74" s="11"/>
      <c r="CU74" s="11"/>
      <c r="CV74" s="11"/>
      <c r="CW74" s="11"/>
      <c r="CX74" s="11"/>
    </row>
    <row r="75" spans="1:102" s="31" customFormat="1" ht="11.25" hidden="1" customHeight="1" outlineLevel="1" x14ac:dyDescent="0.2">
      <c r="B75" s="1382" t="s">
        <v>262</v>
      </c>
      <c r="C75" s="1374"/>
      <c r="D75" s="1375"/>
      <c r="E75" s="1375"/>
      <c r="F75" s="1375"/>
      <c r="G75" s="1376"/>
      <c r="H75" s="1377"/>
      <c r="I75" s="1374"/>
      <c r="J75" s="1375"/>
      <c r="K75" s="1375"/>
      <c r="L75" s="1375"/>
      <c r="M75" s="1376"/>
      <c r="N75" s="1377"/>
      <c r="O75" s="1374"/>
      <c r="P75" s="1375"/>
      <c r="Q75" s="1375"/>
      <c r="R75" s="1375"/>
      <c r="S75" s="1376"/>
      <c r="T75" s="1377"/>
      <c r="U75" s="1374"/>
      <c r="V75" s="1375"/>
      <c r="W75" s="1375"/>
      <c r="X75" s="1375"/>
      <c r="Y75" s="1376"/>
      <c r="Z75" s="1377"/>
      <c r="AA75" s="1374"/>
      <c r="AB75" s="1375"/>
      <c r="AC75" s="1375"/>
      <c r="AD75" s="1375"/>
      <c r="AE75" s="1376"/>
      <c r="AF75" s="1377"/>
      <c r="AG75" s="1374"/>
      <c r="AH75" s="1375"/>
      <c r="AI75" s="1375"/>
      <c r="AJ75" s="1375"/>
      <c r="AK75" s="1376"/>
      <c r="AL75" s="1377"/>
      <c r="AM75" s="1374"/>
      <c r="AN75" s="1375"/>
      <c r="AO75" s="1375"/>
      <c r="AP75" s="1375"/>
      <c r="AQ75" s="1376"/>
      <c r="AR75" s="1377"/>
      <c r="AS75" s="1374"/>
      <c r="AT75" s="1375"/>
      <c r="AU75" s="1375"/>
      <c r="AV75" s="1375"/>
      <c r="AW75" s="1376"/>
      <c r="AX75" s="1377"/>
      <c r="AY75" s="1374"/>
      <c r="AZ75" s="1375"/>
      <c r="BA75" s="1375"/>
      <c r="BB75" s="1375"/>
      <c r="BC75" s="1376"/>
      <c r="BD75" s="1377"/>
      <c r="BE75" s="1386"/>
      <c r="BF75" s="1387"/>
      <c r="BG75" s="1387"/>
      <c r="BH75" s="1387"/>
      <c r="BI75" s="1385"/>
      <c r="BJ75" s="1377"/>
      <c r="BK75" s="1386">
        <v>0</v>
      </c>
      <c r="BL75" s="1387">
        <v>0</v>
      </c>
      <c r="BM75" s="1387">
        <v>0</v>
      </c>
      <c r="BN75" s="1387">
        <v>0</v>
      </c>
      <c r="BO75" s="1385">
        <f>+BO72-BO73</f>
        <v>0.16443823041554764</v>
      </c>
      <c r="BP75" s="1377"/>
      <c r="BQ75" s="1386">
        <v>0</v>
      </c>
      <c r="BR75" s="1387">
        <v>0</v>
      </c>
      <c r="BS75" s="1387">
        <v>0</v>
      </c>
      <c r="BT75" s="1388">
        <v>0</v>
      </c>
      <c r="BU75" s="1385">
        <f>+BU72-BU73</f>
        <v>0</v>
      </c>
      <c r="BV75" s="1377"/>
      <c r="BW75" s="1389">
        <v>0</v>
      </c>
      <c r="BX75" s="1388">
        <v>0</v>
      </c>
      <c r="BY75" s="1388">
        <v>0</v>
      </c>
      <c r="BZ75" s="1388">
        <v>0</v>
      </c>
      <c r="CA75" s="1385">
        <f>+CA72-CA73</f>
        <v>0</v>
      </c>
      <c r="CB75" s="1377"/>
      <c r="CC75" s="1389">
        <v>0</v>
      </c>
      <c r="CD75" s="1388">
        <v>0</v>
      </c>
      <c r="CE75" s="1388">
        <v>0</v>
      </c>
      <c r="CF75" s="1388">
        <v>0</v>
      </c>
      <c r="CG75" s="1385">
        <f t="shared" ref="CG75" si="95">+CG72-CG73</f>
        <v>0</v>
      </c>
      <c r="CH75" s="1377"/>
      <c r="CI75" s="1389">
        <v>0</v>
      </c>
      <c r="CJ75" s="1388">
        <v>0</v>
      </c>
      <c r="CK75" s="1388">
        <v>0</v>
      </c>
      <c r="CL75" s="1388">
        <v>0</v>
      </c>
      <c r="CM75" s="1385">
        <f t="shared" ref="CM75" si="96">+CM72-CM73</f>
        <v>-1.9081958235744878E-16</v>
      </c>
      <c r="CN75" s="11"/>
      <c r="CO75" s="11"/>
      <c r="CP75" s="11"/>
      <c r="CQ75" s="11"/>
      <c r="CR75" s="11"/>
      <c r="CS75" s="11"/>
      <c r="CT75" s="11"/>
      <c r="CU75" s="11"/>
      <c r="CV75" s="11"/>
      <c r="CW75" s="11"/>
      <c r="CX75" s="11"/>
    </row>
    <row r="76" spans="1:102" s="31" customFormat="1" ht="11.25" hidden="1" customHeight="1" outlineLevel="1" x14ac:dyDescent="0.2">
      <c r="B76" s="1390" t="s">
        <v>265</v>
      </c>
      <c r="C76" s="1374"/>
      <c r="D76" s="1375"/>
      <c r="E76" s="1375"/>
      <c r="F76" s="1375"/>
      <c r="G76" s="1376"/>
      <c r="H76" s="1377"/>
      <c r="I76" s="1374"/>
      <c r="J76" s="1375"/>
      <c r="K76" s="1375"/>
      <c r="L76" s="1375"/>
      <c r="M76" s="1376"/>
      <c r="N76" s="1377"/>
      <c r="O76" s="1374"/>
      <c r="P76" s="1375"/>
      <c r="Q76" s="1375"/>
      <c r="R76" s="1375"/>
      <c r="S76" s="1376"/>
      <c r="T76" s="1377"/>
      <c r="U76" s="1374"/>
      <c r="V76" s="1375"/>
      <c r="W76" s="1375"/>
      <c r="X76" s="1375"/>
      <c r="Y76" s="1376"/>
      <c r="Z76" s="1377"/>
      <c r="AA76" s="1374"/>
      <c r="AB76" s="1375"/>
      <c r="AC76" s="1375"/>
      <c r="AD76" s="1375"/>
      <c r="AE76" s="1376"/>
      <c r="AF76" s="1377"/>
      <c r="AG76" s="1374"/>
      <c r="AH76" s="1375"/>
      <c r="AI76" s="1375"/>
      <c r="AJ76" s="1375"/>
      <c r="AK76" s="1376"/>
      <c r="AL76" s="1377"/>
      <c r="AM76" s="1374"/>
      <c r="AN76" s="1375"/>
      <c r="AO76" s="1375"/>
      <c r="AP76" s="1375"/>
      <c r="AQ76" s="1376"/>
      <c r="AR76" s="1377"/>
      <c r="AS76" s="1374"/>
      <c r="AT76" s="1375"/>
      <c r="AU76" s="1375"/>
      <c r="AV76" s="1375"/>
      <c r="AW76" s="1376"/>
      <c r="AX76" s="1377"/>
      <c r="AY76" s="1374"/>
      <c r="AZ76" s="1375"/>
      <c r="BA76" s="1375"/>
      <c r="BB76" s="1375"/>
      <c r="BC76" s="1376"/>
      <c r="BD76" s="1377"/>
      <c r="BE76" s="1374"/>
      <c r="BF76" s="1375"/>
      <c r="BG76" s="1375"/>
      <c r="BH76" s="1392">
        <v>0.02</v>
      </c>
      <c r="BI76" s="1395">
        <v>0.02</v>
      </c>
      <c r="BJ76" s="1377"/>
      <c r="BK76" s="1374">
        <f>+BK73-BK75</f>
        <v>0.03</v>
      </c>
      <c r="BL76" s="1375">
        <f>+BL73-BL75</f>
        <v>4.9000000000000002E-2</v>
      </c>
      <c r="BM76" s="1375">
        <f>+BM73-BM75</f>
        <v>1.2999999999999999E-2</v>
      </c>
      <c r="BN76" s="1375">
        <f>+BN73-BN75</f>
        <v>8.8999999999999996E-2</v>
      </c>
      <c r="BO76" s="1376">
        <f>+BO72-BO75</f>
        <v>4.773956020342382E-2</v>
      </c>
      <c r="BP76" s="1377"/>
      <c r="BQ76" s="1374">
        <f>+BQ73-BQ75</f>
        <v>0.06</v>
      </c>
      <c r="BR76" s="1375">
        <f>+BR73-BR75</f>
        <v>4.2000000000000003E-2</v>
      </c>
      <c r="BS76" s="1375">
        <f>+BS73-BS75</f>
        <v>8.7999999999999995E-2</v>
      </c>
      <c r="BT76" s="1375">
        <f t="shared" ref="BS76:BT76" si="97">+BT73-BT75</f>
        <v>0.02</v>
      </c>
      <c r="BU76" s="1376">
        <f>+BU72-BU75</f>
        <v>5.180701639207963E-2</v>
      </c>
      <c r="BV76" s="1377"/>
      <c r="BW76" s="1374">
        <f>+BW73-BW75</f>
        <v>0.03</v>
      </c>
      <c r="BX76" s="1375">
        <f>+BX73-BX75</f>
        <v>0.03</v>
      </c>
      <c r="BY76" s="1375">
        <f t="shared" ref="BY76" si="98">+BY73-BY75</f>
        <v>0.03</v>
      </c>
      <c r="BZ76" s="1375">
        <f t="shared" ref="BZ76" si="99">+BZ73-BZ75</f>
        <v>0.03</v>
      </c>
      <c r="CA76" s="1376">
        <f>+CA72-CA75</f>
        <v>3.0000000000000027E-2</v>
      </c>
      <c r="CB76" s="1377"/>
      <c r="CC76" s="1374">
        <f t="shared" ref="CC76:CD76" si="100">+CC73-CC75</f>
        <v>0.03</v>
      </c>
      <c r="CD76" s="1375">
        <f t="shared" si="100"/>
        <v>0.03</v>
      </c>
      <c r="CE76" s="1375">
        <f t="shared" ref="CE76" si="101">+CE73-CE75</f>
        <v>0.03</v>
      </c>
      <c r="CF76" s="1375">
        <f t="shared" ref="CF76" si="102">+CF73-CF75</f>
        <v>0.03</v>
      </c>
      <c r="CG76" s="1376">
        <f t="shared" ref="CG76" si="103">+CG72-CG75</f>
        <v>3.0000000000000027E-2</v>
      </c>
      <c r="CH76" s="1377"/>
      <c r="CI76" s="1374">
        <f t="shared" ref="CI76:CJ76" si="104">+CI73-CI75</f>
        <v>0.03</v>
      </c>
      <c r="CJ76" s="1375">
        <f t="shared" si="104"/>
        <v>0.03</v>
      </c>
      <c r="CK76" s="1375">
        <f t="shared" ref="CK76" si="105">+CK73-CK75</f>
        <v>0.03</v>
      </c>
      <c r="CL76" s="1375">
        <f t="shared" ref="CL76" si="106">+CL73-CL75</f>
        <v>0.03</v>
      </c>
      <c r="CM76" s="1376">
        <f t="shared" ref="CM76" si="107">+CM72-CM75</f>
        <v>2.9999999999999995E-2</v>
      </c>
      <c r="CN76" s="11"/>
      <c r="CO76" s="11"/>
      <c r="CP76" s="11"/>
      <c r="CQ76" s="11"/>
      <c r="CR76" s="11"/>
      <c r="CS76" s="11"/>
      <c r="CT76" s="11"/>
      <c r="CU76" s="11"/>
      <c r="CV76" s="11"/>
      <c r="CW76" s="11"/>
      <c r="CX76" s="11"/>
    </row>
    <row r="77" spans="1:102" s="31" customFormat="1" ht="11.25" customHeight="1" collapsed="1" x14ac:dyDescent="0.2">
      <c r="B77" s="640"/>
      <c r="C77" s="633"/>
      <c r="D77" s="634"/>
      <c r="E77" s="634"/>
      <c r="F77" s="635"/>
      <c r="G77" s="636"/>
      <c r="H77" s="106"/>
      <c r="I77" s="633"/>
      <c r="J77" s="634"/>
      <c r="K77" s="634"/>
      <c r="L77" s="635"/>
      <c r="M77" s="636"/>
      <c r="N77" s="106"/>
      <c r="O77" s="633"/>
      <c r="P77" s="634"/>
      <c r="Q77" s="634"/>
      <c r="R77" s="635"/>
      <c r="S77" s="636"/>
      <c r="T77" s="106"/>
      <c r="U77" s="633"/>
      <c r="V77" s="634"/>
      <c r="W77" s="634"/>
      <c r="X77" s="635"/>
      <c r="Y77" s="636"/>
      <c r="Z77" s="106"/>
      <c r="AA77" s="633"/>
      <c r="AB77" s="634"/>
      <c r="AC77" s="634"/>
      <c r="AD77" s="635"/>
      <c r="AE77" s="636"/>
      <c r="AF77" s="106"/>
      <c r="AG77" s="633"/>
      <c r="AH77" s="634"/>
      <c r="AI77" s="634"/>
      <c r="AJ77" s="635"/>
      <c r="AK77" s="636"/>
      <c r="AL77" s="106"/>
      <c r="AM77" s="633"/>
      <c r="AN77" s="634"/>
      <c r="AO77" s="634"/>
      <c r="AP77" s="635"/>
      <c r="AQ77" s="636"/>
      <c r="AR77" s="106"/>
      <c r="AS77" s="633"/>
      <c r="AT77" s="634"/>
      <c r="AU77" s="634"/>
      <c r="AV77" s="635"/>
      <c r="AW77" s="636"/>
      <c r="AX77" s="106"/>
      <c r="AY77" s="633"/>
      <c r="AZ77" s="634"/>
      <c r="BA77" s="634"/>
      <c r="BB77" s="635"/>
      <c r="BC77" s="636"/>
      <c r="BD77" s="106"/>
      <c r="BE77" s="633"/>
      <c r="BF77" s="634"/>
      <c r="BG77" s="634"/>
      <c r="BH77" s="635"/>
      <c r="BI77" s="636"/>
      <c r="BJ77" s="106"/>
      <c r="BK77" s="633"/>
      <c r="BL77" s="634"/>
      <c r="BM77" s="634"/>
      <c r="BN77" s="635"/>
      <c r="BO77" s="636"/>
      <c r="BP77" s="106"/>
      <c r="BQ77" s="633"/>
      <c r="BR77" s="634"/>
      <c r="BS77" s="634"/>
      <c r="BT77" s="635"/>
      <c r="BU77" s="636"/>
      <c r="BV77" s="106"/>
      <c r="BW77" s="633"/>
      <c r="BX77" s="634"/>
      <c r="BY77" s="634"/>
      <c r="BZ77" s="635"/>
      <c r="CA77" s="636"/>
      <c r="CB77" s="106"/>
      <c r="CC77" s="633"/>
      <c r="CD77" s="634"/>
      <c r="CE77" s="634"/>
      <c r="CF77" s="635"/>
      <c r="CG77" s="636"/>
      <c r="CH77" s="106"/>
      <c r="CI77" s="633"/>
      <c r="CJ77" s="634"/>
      <c r="CK77" s="634"/>
      <c r="CL77" s="635"/>
      <c r="CM77" s="636"/>
      <c r="CN77" s="11"/>
      <c r="CO77" s="11"/>
      <c r="CP77" s="11"/>
      <c r="CQ77" s="11"/>
      <c r="CR77" s="11"/>
      <c r="CS77" s="11"/>
      <c r="CT77" s="11"/>
      <c r="CU77" s="11"/>
      <c r="CV77" s="11"/>
      <c r="CW77" s="11"/>
      <c r="CX77" s="11"/>
    </row>
    <row r="78" spans="1:102" s="9" customFormat="1" ht="11.25" customHeight="1" x14ac:dyDescent="0.2">
      <c r="A78" s="12"/>
      <c r="B78" s="620" t="s">
        <v>355</v>
      </c>
      <c r="C78" s="576"/>
      <c r="D78" s="585"/>
      <c r="E78" s="585"/>
      <c r="F78" s="585"/>
      <c r="G78" s="594"/>
      <c r="H78" s="585"/>
      <c r="I78" s="576"/>
      <c r="J78" s="585"/>
      <c r="K78" s="585"/>
      <c r="L78" s="585"/>
      <c r="M78" s="594"/>
      <c r="N78" s="585"/>
      <c r="O78" s="576"/>
      <c r="P78" s="585"/>
      <c r="Q78" s="585"/>
      <c r="R78" s="585"/>
      <c r="S78" s="594"/>
      <c r="T78" s="585"/>
      <c r="U78" s="576"/>
      <c r="V78" s="585"/>
      <c r="W78" s="585"/>
      <c r="X78" s="585"/>
      <c r="Y78" s="594"/>
      <c r="Z78" s="585"/>
      <c r="AA78" s="576"/>
      <c r="AB78" s="585"/>
      <c r="AC78" s="585"/>
      <c r="AD78" s="585"/>
      <c r="AE78" s="594"/>
      <c r="AF78" s="585"/>
      <c r="AG78" s="576"/>
      <c r="AH78" s="585"/>
      <c r="AI78" s="585"/>
      <c r="AJ78" s="585"/>
      <c r="AK78" s="594"/>
      <c r="AL78" s="585"/>
      <c r="AM78" s="578"/>
      <c r="AN78" s="136"/>
      <c r="AO78" s="136"/>
      <c r="AP78" s="136"/>
      <c r="AQ78" s="594"/>
      <c r="AR78" s="585"/>
      <c r="AS78" s="578"/>
      <c r="AT78" s="136"/>
      <c r="AU78" s="136"/>
      <c r="AV78" s="136"/>
      <c r="AW78" s="594"/>
      <c r="AX78" s="585"/>
      <c r="AY78" s="578">
        <f>AY36+AY43+AY50</f>
        <v>386.29999999999995</v>
      </c>
      <c r="AZ78" s="136">
        <f>AZ36+AZ43+AZ50</f>
        <v>376.47399999999999</v>
      </c>
      <c r="BA78" s="136">
        <f>BA36+BA43+BA50</f>
        <v>337.81499999999994</v>
      </c>
      <c r="BB78" s="136">
        <f>BB36+BB43+BB50</f>
        <v>355.98099999999999</v>
      </c>
      <c r="BC78" s="594">
        <f>BC36+BC43+BC50</f>
        <v>1456.57</v>
      </c>
      <c r="BD78" s="585"/>
      <c r="BE78" s="578">
        <f>BE36+BE43+BE50</f>
        <v>557.29700000000003</v>
      </c>
      <c r="BF78" s="136">
        <v>774.45299999999997</v>
      </c>
      <c r="BG78" s="136">
        <f>BG36+BG43+BG50</f>
        <v>749.71300000000008</v>
      </c>
      <c r="BH78" s="136">
        <f>BH36+BH43+BH50</f>
        <v>780.78600000000006</v>
      </c>
      <c r="BI78" s="594">
        <f>BI36+BI43+BI50</f>
        <v>2862.2490000000003</v>
      </c>
      <c r="BJ78" s="585"/>
      <c r="BK78" s="578">
        <f>BK36+BK43+BK50</f>
        <v>762.63099999999997</v>
      </c>
      <c r="BL78" s="136">
        <f>BL36+BL43+BL50</f>
        <v>807.14599999999996</v>
      </c>
      <c r="BM78" s="136">
        <f>BM36+BM43+BM50</f>
        <v>762.577</v>
      </c>
      <c r="BN78" s="136">
        <f>BN36+BN43+BN50</f>
        <v>827.47199999999998</v>
      </c>
      <c r="BO78" s="594">
        <f>BO36+BO43+BO50</f>
        <v>3159.8259999999996</v>
      </c>
      <c r="BP78" s="585"/>
      <c r="BQ78" s="578">
        <f>BQ36+BQ43+BQ50</f>
        <v>776.13600000000008</v>
      </c>
      <c r="BR78" s="136">
        <f>BR36+BR43+BR50</f>
        <v>823.58299999999997</v>
      </c>
      <c r="BS78" s="136">
        <f>BS36+BS43+BS50</f>
        <v>794.86699999999996</v>
      </c>
      <c r="BT78" s="136">
        <f>BT36+BT43+BT50</f>
        <v>840.82798380833663</v>
      </c>
      <c r="BU78" s="594">
        <f>BU36+BU43+BU50</f>
        <v>3235.4139838083365</v>
      </c>
      <c r="BV78" s="585"/>
      <c r="BW78" s="578">
        <f>BW36+BW43+BW50</f>
        <v>807.18144000000007</v>
      </c>
      <c r="BX78" s="136">
        <f>BX36+BX43+BX50</f>
        <v>872.62380000000007</v>
      </c>
      <c r="BY78" s="136">
        <f>BY36+BY43+BY50</f>
        <v>826.66168000000005</v>
      </c>
      <c r="BZ78" s="136">
        <f>BZ36+BZ43+BZ50</f>
        <v>890.89271664186424</v>
      </c>
      <c r="CA78" s="594">
        <f>CA36+CA43+CA50</f>
        <v>3397.3596366418647</v>
      </c>
      <c r="CB78" s="585"/>
      <c r="CC78" s="578">
        <f>CC36+CC43+CC50</f>
        <v>835.24759240000003</v>
      </c>
      <c r="CD78" s="136">
        <f>CD36+CD43+CD50</f>
        <v>902.98662300000001</v>
      </c>
      <c r="CE78" s="136">
        <f>CE36+CE43+CE50</f>
        <v>855.63331879999987</v>
      </c>
      <c r="CF78" s="136">
        <f>CF36+CF43+CF50</f>
        <v>922.10587299395411</v>
      </c>
      <c r="CG78" s="594">
        <f>CG36+CG43+CG50</f>
        <v>3515.9734071939542</v>
      </c>
      <c r="CH78" s="585"/>
      <c r="CI78" s="578">
        <f>CI36+CI43+CI50</f>
        <v>864.29420815399999</v>
      </c>
      <c r="CJ78" s="136">
        <f>CJ36+CJ43+CJ50</f>
        <v>934.41035470500003</v>
      </c>
      <c r="CK78" s="136">
        <f>CK36+CK43+CK50</f>
        <v>885.6205041579999</v>
      </c>
      <c r="CL78" s="136">
        <f>CL36+CL43+CL50</f>
        <v>954.41276626915214</v>
      </c>
      <c r="CM78" s="594">
        <f>CM36+CM43+CM50</f>
        <v>3638.7378332861522</v>
      </c>
      <c r="CN78" s="11"/>
      <c r="CO78" s="11"/>
      <c r="CP78" s="11"/>
      <c r="CQ78" s="11"/>
      <c r="CR78" s="11"/>
      <c r="CS78" s="11"/>
      <c r="CT78" s="11"/>
      <c r="CU78" s="11"/>
      <c r="CV78" s="11"/>
      <c r="CW78" s="11"/>
      <c r="CX78" s="11"/>
    </row>
    <row r="79" spans="1:102" s="31" customFormat="1" ht="11.25" customHeight="1" x14ac:dyDescent="0.2">
      <c r="A79" s="84"/>
      <c r="B79" s="607" t="s">
        <v>261</v>
      </c>
      <c r="C79" s="121"/>
      <c r="D79" s="85"/>
      <c r="E79" s="85"/>
      <c r="F79" s="85"/>
      <c r="G79" s="589"/>
      <c r="H79" s="58"/>
      <c r="I79" s="121"/>
      <c r="J79" s="85"/>
      <c r="K79" s="85"/>
      <c r="L79" s="85"/>
      <c r="M79" s="589"/>
      <c r="N79" s="58"/>
      <c r="O79" s="121"/>
      <c r="P79" s="85"/>
      <c r="Q79" s="85"/>
      <c r="R79" s="85"/>
      <c r="S79" s="589"/>
      <c r="T79" s="58"/>
      <c r="U79" s="121"/>
      <c r="V79" s="85"/>
      <c r="W79" s="85"/>
      <c r="X79" s="85"/>
      <c r="Y79" s="589"/>
      <c r="Z79" s="58"/>
      <c r="AA79" s="600"/>
      <c r="AB79" s="139"/>
      <c r="AC79" s="139"/>
      <c r="AD79" s="139"/>
      <c r="AE79" s="589"/>
      <c r="AF79" s="58"/>
      <c r="AG79" s="600"/>
      <c r="AH79" s="139"/>
      <c r="AI79" s="139"/>
      <c r="AJ79" s="139"/>
      <c r="AK79" s="589"/>
      <c r="AL79" s="58"/>
      <c r="AM79" s="121"/>
      <c r="AN79" s="85"/>
      <c r="AO79" s="85"/>
      <c r="AP79" s="85"/>
      <c r="AQ79" s="589"/>
      <c r="AR79" s="58"/>
      <c r="AS79" s="121"/>
      <c r="AT79" s="85"/>
      <c r="AU79" s="85"/>
      <c r="AV79" s="85"/>
      <c r="AW79" s="589"/>
      <c r="AX79" s="58"/>
      <c r="AY79" s="121"/>
      <c r="AZ79" s="85"/>
      <c r="BA79" s="85"/>
      <c r="BB79" s="85"/>
      <c r="BC79" s="589"/>
      <c r="BD79" s="58"/>
      <c r="BE79" s="121">
        <f>BE78/AY78-1</f>
        <v>0.44265337820346895</v>
      </c>
      <c r="BF79" s="85">
        <f>BF78/AZ78-1</f>
        <v>1.0571221385806191</v>
      </c>
      <c r="BG79" s="85">
        <f>BG78/BA78-1</f>
        <v>1.2193005047141194</v>
      </c>
      <c r="BH79" s="85">
        <f>BH78/BB78-1</f>
        <v>1.1933361611996149</v>
      </c>
      <c r="BI79" s="589">
        <f>BI78/BC78-1</f>
        <v>0.96506106812580272</v>
      </c>
      <c r="BJ79" s="58"/>
      <c r="BK79" s="121">
        <f>BK78/BE78-1</f>
        <v>0.3684462683273011</v>
      </c>
      <c r="BL79" s="85">
        <f>BL78/BF78-1</f>
        <v>4.2214311262271487E-2</v>
      </c>
      <c r="BM79" s="85">
        <f>BM78/BG78-1</f>
        <v>1.715856601126009E-2</v>
      </c>
      <c r="BN79" s="85">
        <f>BN78/BH78-1</f>
        <v>5.9793592610523083E-2</v>
      </c>
      <c r="BO79" s="589">
        <f>BO78/BI78-1</f>
        <v>0.10396614690056638</v>
      </c>
      <c r="BP79" s="58"/>
      <c r="BQ79" s="121">
        <f>BQ78/BK78-1</f>
        <v>1.7708433042979088E-2</v>
      </c>
      <c r="BR79" s="85">
        <f>BR78/BL78-1</f>
        <v>2.0364345483964597E-2</v>
      </c>
      <c r="BS79" s="85">
        <f>BS78/BM78-1</f>
        <v>4.2343265007992681E-2</v>
      </c>
      <c r="BT79" s="85">
        <f>BT78/BN78-1</f>
        <v>1.6140707852757119E-2</v>
      </c>
      <c r="BU79" s="589">
        <f>BU78/BO78-1</f>
        <v>2.3921565240724307E-2</v>
      </c>
      <c r="BV79" s="58"/>
      <c r="BW79" s="121">
        <f>BW78/BQ78-1</f>
        <v>4.0000000000000036E-2</v>
      </c>
      <c r="BX79" s="85">
        <f>BX78/BR78-1</f>
        <v>5.9545668135452257E-2</v>
      </c>
      <c r="BY79" s="85">
        <f>BY78/BS78-1</f>
        <v>4.0000000000000036E-2</v>
      </c>
      <c r="BZ79" s="85">
        <f>BZ78/BT78-1</f>
        <v>5.9542181989199472E-2</v>
      </c>
      <c r="CA79" s="589">
        <f>CA78/BU78-1</f>
        <v>5.0054074577159824E-2</v>
      </c>
      <c r="CB79" s="58"/>
      <c r="CC79" s="121">
        <f>CC78/BW78-1</f>
        <v>3.4770562117979242E-2</v>
      </c>
      <c r="CD79" s="85">
        <f>CD78/BX78-1</f>
        <v>3.4794860053094956E-2</v>
      </c>
      <c r="CE79" s="85">
        <f>CE78/BY78-1</f>
        <v>3.5046548667890143E-2</v>
      </c>
      <c r="CF79" s="85">
        <f>CF78/BZ78-1</f>
        <v>3.5035819430363047E-2</v>
      </c>
      <c r="CG79" s="589">
        <f>CG78/CA78-1</f>
        <v>3.4913516153189494E-2</v>
      </c>
      <c r="CH79" s="58"/>
      <c r="CI79" s="121">
        <f>CI78/CC78-1</f>
        <v>3.4776054451755245E-2</v>
      </c>
      <c r="CJ79" s="85">
        <f>CJ78/CD78-1</f>
        <v>3.4799775439198211E-2</v>
      </c>
      <c r="CK79" s="85">
        <f>CK78/CE78-1</f>
        <v>3.5046771437157398E-2</v>
      </c>
      <c r="CL79" s="85">
        <f>CL78/CF78-1</f>
        <v>3.503599122549983E-2</v>
      </c>
      <c r="CM79" s="589">
        <f>CM78/CG78-1</f>
        <v>3.4916198695079004E-2</v>
      </c>
      <c r="CN79" s="11"/>
      <c r="CO79" s="11"/>
      <c r="CP79" s="11"/>
      <c r="CQ79" s="11"/>
      <c r="CR79" s="11"/>
      <c r="CS79" s="11"/>
      <c r="CT79" s="11"/>
      <c r="CU79" s="11"/>
      <c r="CV79" s="11"/>
      <c r="CW79" s="11"/>
      <c r="CX79" s="11"/>
    </row>
    <row r="80" spans="1:102" s="31" customFormat="1" ht="11.25" customHeight="1" x14ac:dyDescent="0.2">
      <c r="B80" s="267" t="s">
        <v>264</v>
      </c>
      <c r="C80" s="228"/>
      <c r="D80" s="239"/>
      <c r="E80" s="239"/>
      <c r="F80" s="229"/>
      <c r="G80" s="589"/>
      <c r="H80" s="106"/>
      <c r="I80" s="228"/>
      <c r="J80" s="239"/>
      <c r="K80" s="239"/>
      <c r="L80" s="229"/>
      <c r="M80" s="589"/>
      <c r="N80" s="106"/>
      <c r="O80" s="228"/>
      <c r="P80" s="239"/>
      <c r="Q80" s="239"/>
      <c r="R80" s="229"/>
      <c r="S80" s="589"/>
      <c r="T80" s="106"/>
      <c r="U80" s="228"/>
      <c r="V80" s="239"/>
      <c r="W80" s="239"/>
      <c r="X80" s="229"/>
      <c r="Y80" s="589"/>
      <c r="Z80" s="106"/>
      <c r="AA80" s="228"/>
      <c r="AB80" s="239"/>
      <c r="AC80" s="239"/>
      <c r="AD80" s="229"/>
      <c r="AE80" s="589"/>
      <c r="AF80" s="106"/>
      <c r="AG80" s="228"/>
      <c r="AH80" s="239"/>
      <c r="AI80" s="239"/>
      <c r="AJ80" s="229"/>
      <c r="AK80" s="589"/>
      <c r="AL80" s="106"/>
      <c r="AM80" s="121"/>
      <c r="AN80" s="85"/>
      <c r="AO80" s="85"/>
      <c r="AP80" s="85"/>
      <c r="AQ80" s="589"/>
      <c r="AR80" s="106"/>
      <c r="AS80" s="121"/>
      <c r="AT80" s="85"/>
      <c r="AU80" s="85"/>
      <c r="AV80" s="85"/>
      <c r="AW80" s="603"/>
      <c r="AX80" s="106"/>
      <c r="AY80" s="121"/>
      <c r="AZ80" s="85"/>
      <c r="BA80" s="139">
        <v>3.5000000000000003E-2</v>
      </c>
      <c r="BB80" s="139">
        <v>2.7E-2</v>
      </c>
      <c r="BC80" s="589"/>
      <c r="BD80" s="106"/>
      <c r="BE80" s="121">
        <f>BE79-BE81</f>
        <v>0.47956327465700244</v>
      </c>
      <c r="BF80" s="85">
        <f>BF79-BF81</f>
        <v>1.0850550821570677</v>
      </c>
      <c r="BG80" s="85">
        <f>BG79-BG81</f>
        <v>1.2390977280464164</v>
      </c>
      <c r="BH80" s="85">
        <f>BH79-BH81</f>
        <v>1.2157778589306736</v>
      </c>
      <c r="BI80" s="589">
        <f>SUMPRODUCT(BE80:BH80,AY78:BB78)/BC78</f>
        <v>0.99214588862876496</v>
      </c>
      <c r="BJ80" s="106"/>
      <c r="BK80" s="121">
        <f>BK79-BK81</f>
        <v>0.39781440416869251</v>
      </c>
      <c r="BL80" s="85">
        <f>BL79-BL81</f>
        <v>7.8791980920727173E-2</v>
      </c>
      <c r="BM80" s="85">
        <f>BM79-BM81</f>
        <v>4.9449022492607075E-2</v>
      </c>
      <c r="BN80" s="85">
        <f>BN79-BN81</f>
        <v>8.5798285317615741E-2</v>
      </c>
      <c r="BO80" s="589">
        <f>SUMPRODUCT(BK80:BN80,BE78:BH78)/BI78</f>
        <v>0.13513294440840037</v>
      </c>
      <c r="BP80" s="106"/>
      <c r="BQ80" s="600">
        <v>3.4000000000000002E-2</v>
      </c>
      <c r="BR80" s="85">
        <f>BR79-BR81</f>
        <v>1.4024839372306863E-2</v>
      </c>
      <c r="BS80" s="139">
        <v>2.5999999999999999E-2</v>
      </c>
      <c r="BT80" s="85">
        <f>BT79-BT81</f>
        <v>4.4794264941900447E-4</v>
      </c>
      <c r="BU80" s="589">
        <f>SUMPRODUCT(BQ80:BT80,BK78:BN78)/BO78</f>
        <v>1.8180497597019597E-2</v>
      </c>
      <c r="BV80" s="106"/>
      <c r="BW80" s="121">
        <f>BW79-BW81</f>
        <v>4.0000000000000036E-2</v>
      </c>
      <c r="BX80" s="85">
        <f>BX79-BX81</f>
        <v>5.9545668135452257E-2</v>
      </c>
      <c r="BY80" s="85">
        <f>BY79-BY81</f>
        <v>4.0000000000000036E-2</v>
      </c>
      <c r="BZ80" s="85">
        <f>BZ79-BZ81</f>
        <v>5.9542181989199472E-2</v>
      </c>
      <c r="CA80" s="589">
        <f>SUMPRODUCT(BW80:BZ80,BQ78:BT78)/BU78</f>
        <v>5.0054074577159713E-2</v>
      </c>
      <c r="CB80" s="106"/>
      <c r="CC80" s="121">
        <f>CC79-CC81</f>
        <v>3.4770562117979242E-2</v>
      </c>
      <c r="CD80" s="85">
        <f>CD79-CD81</f>
        <v>3.4794860053094956E-2</v>
      </c>
      <c r="CE80" s="85">
        <f>CE79-CE81</f>
        <v>3.5046548667890143E-2</v>
      </c>
      <c r="CF80" s="85">
        <f>CF79-CF81</f>
        <v>3.5035819430363047E-2</v>
      </c>
      <c r="CG80" s="589">
        <f>SUMPRODUCT(CC80:CF80,BW78:BZ78)/CA78</f>
        <v>3.4913516153189467E-2</v>
      </c>
      <c r="CH80" s="106"/>
      <c r="CI80" s="121">
        <f>CI79-CI81</f>
        <v>3.4776054451755245E-2</v>
      </c>
      <c r="CJ80" s="85">
        <f>CJ79-CJ81</f>
        <v>3.4799775439198211E-2</v>
      </c>
      <c r="CK80" s="85">
        <f>CK79-CK81</f>
        <v>3.5046771437157398E-2</v>
      </c>
      <c r="CL80" s="85">
        <f>CL79-CL81</f>
        <v>3.503599122549983E-2</v>
      </c>
      <c r="CM80" s="589">
        <f>SUMPRODUCT(CI80:CL80,CC78:CF78)/CG78</f>
        <v>3.4916198695078962E-2</v>
      </c>
      <c r="CN80" s="11"/>
      <c r="CO80" s="11"/>
      <c r="CP80" s="11"/>
      <c r="CQ80" s="11"/>
      <c r="CR80" s="11"/>
      <c r="CS80" s="11"/>
      <c r="CT80" s="11"/>
      <c r="CU80" s="11"/>
      <c r="CV80" s="11"/>
      <c r="CW80" s="11"/>
      <c r="CX80" s="11"/>
    </row>
    <row r="81" spans="1:102" s="31" customFormat="1" ht="11.25" customHeight="1" x14ac:dyDescent="0.2">
      <c r="B81" s="267" t="s">
        <v>263</v>
      </c>
      <c r="C81" s="121"/>
      <c r="D81" s="85"/>
      <c r="E81" s="85"/>
      <c r="F81" s="85"/>
      <c r="G81" s="589"/>
      <c r="H81" s="58"/>
      <c r="I81" s="121"/>
      <c r="J81" s="85"/>
      <c r="K81" s="85"/>
      <c r="L81" s="85"/>
      <c r="M81" s="589"/>
      <c r="N81" s="58"/>
      <c r="O81" s="121"/>
      <c r="P81" s="85"/>
      <c r="Q81" s="85"/>
      <c r="R81" s="85"/>
      <c r="S81" s="589"/>
      <c r="T81" s="58"/>
      <c r="U81" s="121"/>
      <c r="V81" s="85"/>
      <c r="W81" s="85"/>
      <c r="X81" s="85"/>
      <c r="Y81" s="589"/>
      <c r="Z81" s="58"/>
      <c r="AA81" s="121"/>
      <c r="AB81" s="85"/>
      <c r="AC81" s="85"/>
      <c r="AD81" s="85"/>
      <c r="AE81" s="589"/>
      <c r="AF81" s="58"/>
      <c r="AG81" s="121"/>
      <c r="AH81" s="85"/>
      <c r="AI81" s="85"/>
      <c r="AJ81" s="85"/>
      <c r="AK81" s="589"/>
      <c r="AL81" s="58"/>
      <c r="AM81" s="121"/>
      <c r="AN81" s="85"/>
      <c r="AO81" s="85"/>
      <c r="AP81" s="85"/>
      <c r="AQ81" s="589"/>
      <c r="AR81" s="58"/>
      <c r="AS81" s="121"/>
      <c r="AT81" s="85"/>
      <c r="AU81" s="85"/>
      <c r="AV81" s="85"/>
      <c r="AW81" s="589"/>
      <c r="AX81" s="58"/>
      <c r="AY81" s="121"/>
      <c r="AZ81" s="85"/>
      <c r="BA81" s="139">
        <v>-1.2E-2</v>
      </c>
      <c r="BB81" s="85"/>
      <c r="BC81" s="589"/>
      <c r="BD81" s="58"/>
      <c r="BE81" s="121">
        <f>((BE39*AY36)+(BE46*AY43)+(BE53*AY50))/AY78</f>
        <v>-3.6909896453533458E-2</v>
      </c>
      <c r="BF81" s="85">
        <f>((BF39*AZ36)+(BF46*AZ43)+(BF53*AZ50))/AZ78</f>
        <v>-2.7932943576448679E-2</v>
      </c>
      <c r="BG81" s="85">
        <f>((BG39*BA36)+(BG46*BA43)+(BG53*BA50))/BA78</f>
        <v>-1.9797223332296915E-2</v>
      </c>
      <c r="BH81" s="85">
        <f>((BH39*BB36)+(BH46*BB43)+(BH53*BB50))/BB78</f>
        <v>-2.2441697731058686E-2</v>
      </c>
      <c r="BI81" s="589">
        <f>BI79-BI80</f>
        <v>-2.7084820502962237E-2</v>
      </c>
      <c r="BJ81" s="58"/>
      <c r="BK81" s="121">
        <f>((BK39*BE36)+(BK46*BE43)+(BK53*BE50))/BE78</f>
        <v>-2.9368135841391394E-2</v>
      </c>
      <c r="BL81" s="85">
        <f>((BL39*BF36)+(BL46*BF43)+(BL53*BF50))/BF78</f>
        <v>-3.6577669658455693E-2</v>
      </c>
      <c r="BM81" s="85">
        <f>((BM39*BG36)+(BM46*BG43)+(BM53*BG50))/BG78</f>
        <v>-3.2290456481346985E-2</v>
      </c>
      <c r="BN81" s="85">
        <f>((BN39*BH36)+(BN46*BH43)+(BN53*BH50))/BH78</f>
        <v>-2.6004692707092651E-2</v>
      </c>
      <c r="BO81" s="589">
        <f>BO79-BO80</f>
        <v>-3.1166797507833993E-2</v>
      </c>
      <c r="BP81" s="58"/>
      <c r="BQ81" s="121">
        <f>((BQ39*BK36)+(BQ46*BK43)+(BQ53*BK50))/BK78</f>
        <v>-1.567154495424387E-2</v>
      </c>
      <c r="BR81" s="85">
        <f>((BR39*BL36)+(BR46*BL43)+(BR53*BL50))/BL78</f>
        <v>6.3395061116577334E-3</v>
      </c>
      <c r="BS81" s="85">
        <f>((BS39*BM36)+(BS46*BM43)+(BS53*BM50))/BM78</f>
        <v>1.5547910571653742E-2</v>
      </c>
      <c r="BT81" s="85">
        <f>((BT39*BN36)+(BT46*BN43)+(BT53*BN50))/BN78</f>
        <v>1.5692765203338115E-2</v>
      </c>
      <c r="BU81" s="589">
        <f>BU79-BU80</f>
        <v>5.7410676437047101E-3</v>
      </c>
      <c r="BV81" s="58"/>
      <c r="BW81" s="121">
        <f>((BW39*BQ36)+(BW46*BQ43)+(BW53*BQ50))/BQ78</f>
        <v>0</v>
      </c>
      <c r="BX81" s="85">
        <f>((BX39*BR36)+(BX46*BR43)+(BX53*BR50))/BR78</f>
        <v>0</v>
      </c>
      <c r="BY81" s="85">
        <f>((BY39*BS36)+(BY46*BS43)+(BY53*BS50))/BS78</f>
        <v>0</v>
      </c>
      <c r="BZ81" s="85">
        <f>((BZ39*BT36)+(BZ46*BT43)+(BZ53*BT50))/BT78</f>
        <v>0</v>
      </c>
      <c r="CA81" s="589">
        <f>CA79-CA80</f>
        <v>1.1102230246251565E-16</v>
      </c>
      <c r="CB81" s="58"/>
      <c r="CC81" s="121">
        <f>((CC39*BW36)+(CC46*BW43)+(CC53*BW50))/BW78</f>
        <v>0</v>
      </c>
      <c r="CD81" s="85">
        <f>((CD39*BX36)+(CD46*BX43)+(CD53*BX50))/BX78</f>
        <v>0</v>
      </c>
      <c r="CE81" s="85">
        <f>((CE39*BY36)+(CE46*BY43)+(CE53*BY50))/BY78</f>
        <v>0</v>
      </c>
      <c r="CF81" s="85">
        <f>((CF39*BZ36)+(CF46*BZ43)+(CF53*BZ50))/BZ78</f>
        <v>0</v>
      </c>
      <c r="CG81" s="589">
        <f>CG79-CG80</f>
        <v>0</v>
      </c>
      <c r="CH81" s="58"/>
      <c r="CI81" s="121">
        <f>((CI39*CC36)+(CI46*CC43)+(CI53*CC50))/CC78</f>
        <v>0</v>
      </c>
      <c r="CJ81" s="85">
        <f>((CJ39*CD36)+(CJ46*CD43)+(CJ53*CD50))/CD78</f>
        <v>0</v>
      </c>
      <c r="CK81" s="85">
        <f>((CK39*CE36)+(CK46*CE43)+(CK53*CE50))/CE78</f>
        <v>0</v>
      </c>
      <c r="CL81" s="85">
        <f>((CL39*CF36)+(CL46*CF43)+(CL53*CF50))/CF78</f>
        <v>0</v>
      </c>
      <c r="CM81" s="589">
        <f>CM79-CM80</f>
        <v>0</v>
      </c>
      <c r="CN81" s="11"/>
      <c r="CO81" s="11"/>
      <c r="CP81" s="11"/>
      <c r="CQ81" s="11"/>
      <c r="CR81" s="11"/>
      <c r="CS81" s="11"/>
      <c r="CT81" s="11"/>
      <c r="CU81" s="11"/>
      <c r="CV81" s="11"/>
      <c r="CW81" s="11"/>
      <c r="CX81" s="11"/>
    </row>
    <row r="82" spans="1:102" s="31" customFormat="1" ht="11.25" customHeight="1" x14ac:dyDescent="0.2">
      <c r="B82" s="267" t="s">
        <v>262</v>
      </c>
      <c r="C82" s="228"/>
      <c r="D82" s="239"/>
      <c r="E82" s="239"/>
      <c r="F82" s="229"/>
      <c r="G82" s="603"/>
      <c r="H82" s="58"/>
      <c r="I82" s="228"/>
      <c r="J82" s="239"/>
      <c r="K82" s="239"/>
      <c r="L82" s="229"/>
      <c r="M82" s="603"/>
      <c r="N82" s="58"/>
      <c r="O82" s="228"/>
      <c r="P82" s="239"/>
      <c r="Q82" s="239"/>
      <c r="R82" s="229"/>
      <c r="S82" s="603"/>
      <c r="T82" s="58"/>
      <c r="U82" s="228"/>
      <c r="V82" s="239"/>
      <c r="W82" s="239"/>
      <c r="X82" s="229"/>
      <c r="Y82" s="603"/>
      <c r="Z82" s="58"/>
      <c r="AA82" s="228"/>
      <c r="AB82" s="239"/>
      <c r="AC82" s="239"/>
      <c r="AD82" s="229"/>
      <c r="AE82" s="603"/>
      <c r="AF82" s="58"/>
      <c r="AG82" s="228"/>
      <c r="AH82" s="239"/>
      <c r="AI82" s="239"/>
      <c r="AJ82" s="229"/>
      <c r="AK82" s="603"/>
      <c r="AL82" s="58"/>
      <c r="AM82" s="121"/>
      <c r="AN82" s="85"/>
      <c r="AO82" s="85"/>
      <c r="AP82" s="85"/>
      <c r="AQ82" s="603"/>
      <c r="AR82" s="58"/>
      <c r="AS82" s="121"/>
      <c r="AT82" s="85"/>
      <c r="AU82" s="85"/>
      <c r="AV82" s="85"/>
      <c r="AW82" s="603"/>
      <c r="AX82" s="58"/>
      <c r="AY82" s="121"/>
      <c r="AZ82" s="85"/>
      <c r="BA82" s="139">
        <v>-0.03</v>
      </c>
      <c r="BB82" s="85"/>
      <c r="BC82" s="621"/>
      <c r="BD82" s="58"/>
      <c r="BE82" s="121">
        <f>((BE40*AY36)+(BE47*AY43)+(BE54*AY50))/AY78</f>
        <v>0.4546780144965053</v>
      </c>
      <c r="BF82" s="85">
        <f>((BF40*AZ36)+(BF47*AZ43)+(BF54*AZ50))/AZ78</f>
        <v>1.0528858061911317</v>
      </c>
      <c r="BG82" s="85">
        <f>((BG40*BA36)+(BG47*BA43)+(BG54*BA50))/BA78</f>
        <v>1.1773208782913727</v>
      </c>
      <c r="BH82" s="85">
        <f>((BH40*BB36)+(BH47*BB43)+(BH54*BB50))/BB78</f>
        <v>1.1339343279557055</v>
      </c>
      <c r="BI82" s="589">
        <f>SUMPRODUCT(BE82:BH82,AY78:BB78)/BC78</f>
        <v>0.94290145787706747</v>
      </c>
      <c r="BJ82" s="58"/>
      <c r="BK82" s="121">
        <f>((BK40*BE36)+(BK47*BE43)+(BK54*BE50))/BE78</f>
        <v>0.35252555997968765</v>
      </c>
      <c r="BL82" s="85">
        <f>((BL40*BF36)+(BL47*BF43)+(BL54*BF50))/BF78</f>
        <v>0</v>
      </c>
      <c r="BM82" s="85">
        <f>((BM40*BG36)+(BM47*BG43)+(BM54*BG50))/BG78</f>
        <v>0</v>
      </c>
      <c r="BN82" s="85">
        <f>((BN40*BH36)+(BN47*BH43)+(BN54*BH50))/BH78</f>
        <v>0</v>
      </c>
      <c r="BO82" s="589">
        <f>SUMPRODUCT(BK82:BN82,BE78:BH78)/BI78</f>
        <v>6.8638835055929784E-2</v>
      </c>
      <c r="BP82" s="58"/>
      <c r="BQ82" s="121">
        <f>((BQ40*BK36)+(BQ47*BK43)+(BQ54*BK50))/BK78</f>
        <v>0</v>
      </c>
      <c r="BR82" s="85">
        <f>((BR40*BL36)+(BR47*BL43)+(BR54*BL50))/BL78</f>
        <v>-3.0000000000000001E-3</v>
      </c>
      <c r="BS82" s="85">
        <f>((BS40*BM36)+(BS47*BM43)+(BS54*BM50))/BM78</f>
        <v>0</v>
      </c>
      <c r="BT82" s="85">
        <f>((BT40*BN36)+(BT47*BN43)+(BT54*BN50))/BN78</f>
        <v>0</v>
      </c>
      <c r="BU82" s="589">
        <f>SUMPRODUCT(BQ82:BT82,BK78:BN78)/BO78</f>
        <v>-7.6632004420496577E-4</v>
      </c>
      <c r="BV82" s="58"/>
      <c r="BW82" s="121">
        <f>((BW40*BQ36)+(BW47*BQ43)+(BW54*BQ50))/BQ78</f>
        <v>0</v>
      </c>
      <c r="BX82" s="85">
        <f>((BX40*BR36)+(BX47*BR43)+(BX54*BR50))/BR78</f>
        <v>0</v>
      </c>
      <c r="BY82" s="85">
        <f>((BY40*BS36)+(BY47*BS43)+(BY54*BS50))/BS78</f>
        <v>0</v>
      </c>
      <c r="BZ82" s="85">
        <f>((BZ40*BT36)+(BZ47*BT43)+(BZ54*BT50))/BT78</f>
        <v>0</v>
      </c>
      <c r="CA82" s="589">
        <f>SUMPRODUCT(BW82:BZ82,BQ78:BT78)/BU78</f>
        <v>0</v>
      </c>
      <c r="CB82" s="58"/>
      <c r="CC82" s="121">
        <f>((CC40*BW36)+(CC47*BW43)+(CC54*BW50))/BW78</f>
        <v>0</v>
      </c>
      <c r="CD82" s="85">
        <f>((CD40*BX36)+(CD47*BX43)+(CD54*BX50))/BX78</f>
        <v>0</v>
      </c>
      <c r="CE82" s="85">
        <f>((CE40*BY36)+(CE47*BY43)+(CE54*BY50))/BY78</f>
        <v>0</v>
      </c>
      <c r="CF82" s="85">
        <f>((CF40*BZ36)+(CF47*BZ43)+(CF54*BZ50))/BZ78</f>
        <v>0</v>
      </c>
      <c r="CG82" s="589">
        <f>SUMPRODUCT(CC82:CF82,BW78:BZ78)/CA78</f>
        <v>0</v>
      </c>
      <c r="CH82" s="58"/>
      <c r="CI82" s="121">
        <f>((CI40*CC36)+(CI47*CC43)+(CI54*CC50))/CC78</f>
        <v>0</v>
      </c>
      <c r="CJ82" s="85">
        <f>((CJ40*CD36)+(CJ47*CD43)+(CJ54*CD50))/CD78</f>
        <v>0</v>
      </c>
      <c r="CK82" s="85">
        <f>((CK40*CE36)+(CK47*CE43)+(CK54*CE50))/CE78</f>
        <v>0</v>
      </c>
      <c r="CL82" s="85">
        <f>((CL40*CF36)+(CL47*CF43)+(CL54*CF50))/CF78</f>
        <v>0</v>
      </c>
      <c r="CM82" s="589">
        <f>SUMPRODUCT(CI82:CL82,CC78:CF78)/CG78</f>
        <v>0</v>
      </c>
      <c r="CN82" s="11"/>
      <c r="CO82" s="11"/>
      <c r="CP82" s="11"/>
      <c r="CQ82" s="11"/>
      <c r="CR82" s="11"/>
      <c r="CS82" s="11"/>
      <c r="CT82" s="11"/>
      <c r="CU82" s="11"/>
      <c r="CV82" s="11"/>
      <c r="CW82" s="11"/>
      <c r="CX82" s="11"/>
    </row>
    <row r="83" spans="1:102" s="31" customFormat="1" ht="11.25" customHeight="1" x14ac:dyDescent="0.2">
      <c r="B83" s="620" t="s">
        <v>265</v>
      </c>
      <c r="C83" s="257"/>
      <c r="D83" s="382"/>
      <c r="E83" s="382"/>
      <c r="F83" s="382"/>
      <c r="G83" s="621"/>
      <c r="H83" s="622"/>
      <c r="I83" s="257"/>
      <c r="J83" s="382"/>
      <c r="K83" s="382"/>
      <c r="L83" s="382"/>
      <c r="M83" s="621"/>
      <c r="N83" s="622"/>
      <c r="O83" s="257"/>
      <c r="P83" s="382"/>
      <c r="Q83" s="382"/>
      <c r="R83" s="382"/>
      <c r="S83" s="621"/>
      <c r="T83" s="622"/>
      <c r="U83" s="257"/>
      <c r="V83" s="382"/>
      <c r="W83" s="382"/>
      <c r="X83" s="382"/>
      <c r="Y83" s="621"/>
      <c r="Z83" s="622"/>
      <c r="AA83" s="257"/>
      <c r="AB83" s="382"/>
      <c r="AC83" s="382"/>
      <c r="AD83" s="382"/>
      <c r="AE83" s="621"/>
      <c r="AF83" s="622"/>
      <c r="AG83" s="257"/>
      <c r="AH83" s="382"/>
      <c r="AI83" s="382"/>
      <c r="AJ83" s="382"/>
      <c r="AK83" s="621"/>
      <c r="AL83" s="622"/>
      <c r="AM83" s="257"/>
      <c r="AN83" s="382"/>
      <c r="AO83" s="382"/>
      <c r="AP83" s="382"/>
      <c r="AQ83" s="621"/>
      <c r="AR83" s="622"/>
      <c r="AS83" s="257"/>
      <c r="AT83" s="382"/>
      <c r="AU83" s="382"/>
      <c r="AV83" s="382"/>
      <c r="AW83" s="621"/>
      <c r="AX83" s="622"/>
      <c r="AY83" s="989">
        <v>7.0000000000000007E-2</v>
      </c>
      <c r="AZ83" s="1223">
        <v>6.4000000000000001E-2</v>
      </c>
      <c r="BA83" s="1223">
        <f>+BA80-BA82</f>
        <v>6.5000000000000002E-2</v>
      </c>
      <c r="BB83" s="1223">
        <v>0.08</v>
      </c>
      <c r="BC83" s="621">
        <f>+AVERAGE(AY83:BB83)</f>
        <v>6.9750000000000006E-2</v>
      </c>
      <c r="BD83" s="622"/>
      <c r="BE83" s="257">
        <f>+BE80-BE82</f>
        <v>2.4885260160497136E-2</v>
      </c>
      <c r="BF83" s="382">
        <f>+BF80-BF82</f>
        <v>3.2169275965935995E-2</v>
      </c>
      <c r="BG83" s="382">
        <f>+BG80-BG82</f>
        <v>6.1776849755043717E-2</v>
      </c>
      <c r="BH83" s="382">
        <f>+BH80-BH82</f>
        <v>8.1843530974968104E-2</v>
      </c>
      <c r="BI83" s="621">
        <f>+BI80-BI82</f>
        <v>4.9244430751697488E-2</v>
      </c>
      <c r="BJ83" s="622"/>
      <c r="BK83" s="257">
        <f>+BK80-BK82</f>
        <v>4.5288844189004862E-2</v>
      </c>
      <c r="BL83" s="382">
        <f>+BL80-BL82</f>
        <v>7.8791980920727173E-2</v>
      </c>
      <c r="BM83" s="382">
        <f>+BM80-BM82</f>
        <v>4.9449022492607075E-2</v>
      </c>
      <c r="BN83" s="382">
        <f>+BN80-BN82</f>
        <v>8.5798285317615741E-2</v>
      </c>
      <c r="BO83" s="621">
        <f>+BO80-BO82</f>
        <v>6.649410935247059E-2</v>
      </c>
      <c r="BP83" s="622"/>
      <c r="BQ83" s="257">
        <f>+BQ80-BQ82</f>
        <v>3.4000000000000002E-2</v>
      </c>
      <c r="BR83" s="382">
        <f>+BR80-BR82</f>
        <v>1.7024839372306862E-2</v>
      </c>
      <c r="BS83" s="382">
        <f>+BS80-BS82</f>
        <v>2.5999999999999999E-2</v>
      </c>
      <c r="BT83" s="382">
        <f>+BT80-BT82</f>
        <v>4.4794264941900447E-4</v>
      </c>
      <c r="BU83" s="621">
        <f>+BU80-BU82</f>
        <v>1.8946817641224564E-2</v>
      </c>
      <c r="BV83" s="622"/>
      <c r="BW83" s="257">
        <f>+BW80-BW82</f>
        <v>4.0000000000000036E-2</v>
      </c>
      <c r="BX83" s="382">
        <f>+BX80-BX82</f>
        <v>5.9545668135452257E-2</v>
      </c>
      <c r="BY83" s="382">
        <f>+BY80-BY82</f>
        <v>4.0000000000000036E-2</v>
      </c>
      <c r="BZ83" s="382">
        <f>+BZ80-BZ82</f>
        <v>5.9542181989199472E-2</v>
      </c>
      <c r="CA83" s="621">
        <f>+CA80-CA82</f>
        <v>5.0054074577159713E-2</v>
      </c>
      <c r="CB83" s="622"/>
      <c r="CC83" s="257">
        <f>+CC80-CC82</f>
        <v>3.4770562117979242E-2</v>
      </c>
      <c r="CD83" s="382">
        <f>+CD80-CD82</f>
        <v>3.4794860053094956E-2</v>
      </c>
      <c r="CE83" s="382">
        <f>+CE80-CE82</f>
        <v>3.5046548667890143E-2</v>
      </c>
      <c r="CF83" s="382">
        <f>+CF80-CF82</f>
        <v>3.5035819430363047E-2</v>
      </c>
      <c r="CG83" s="621">
        <f>+CG80-CG82</f>
        <v>3.4913516153189467E-2</v>
      </c>
      <c r="CH83" s="622"/>
      <c r="CI83" s="257">
        <f>+CI80-CI82</f>
        <v>3.4776054451755245E-2</v>
      </c>
      <c r="CJ83" s="382">
        <f>+CJ80-CJ82</f>
        <v>3.4799775439198211E-2</v>
      </c>
      <c r="CK83" s="382">
        <f>+CK80-CK82</f>
        <v>3.5046771437157398E-2</v>
      </c>
      <c r="CL83" s="382">
        <f>+CL80-CL82</f>
        <v>3.503599122549983E-2</v>
      </c>
      <c r="CM83" s="621">
        <f>+CM80-CM82</f>
        <v>3.4916198695078962E-2</v>
      </c>
      <c r="CN83" s="11"/>
      <c r="CO83" s="11"/>
      <c r="CP83" s="11"/>
      <c r="CQ83" s="11"/>
      <c r="CR83" s="11"/>
      <c r="CS83" s="11"/>
      <c r="CT83" s="11"/>
      <c r="CU83" s="11"/>
      <c r="CV83" s="11"/>
      <c r="CW83" s="11"/>
      <c r="CX83" s="11"/>
    </row>
    <row r="84" spans="1:102" s="31" customFormat="1" ht="11.25" customHeight="1" x14ac:dyDescent="0.2">
      <c r="A84" s="84"/>
      <c r="B84" s="607"/>
      <c r="C84" s="228"/>
      <c r="D84" s="239"/>
      <c r="E84" s="239"/>
      <c r="F84" s="229"/>
      <c r="G84" s="589"/>
      <c r="H84" s="106"/>
      <c r="I84" s="228"/>
      <c r="J84" s="239"/>
      <c r="K84" s="239"/>
      <c r="L84" s="229"/>
      <c r="M84" s="589"/>
      <c r="N84" s="106"/>
      <c r="O84" s="228"/>
      <c r="P84" s="239"/>
      <c r="Q84" s="239"/>
      <c r="R84" s="229"/>
      <c r="S84" s="589"/>
      <c r="T84" s="106"/>
      <c r="U84" s="228"/>
      <c r="V84" s="239"/>
      <c r="W84" s="239"/>
      <c r="X84" s="229"/>
      <c r="Y84" s="589"/>
      <c r="Z84" s="106"/>
      <c r="AA84" s="228"/>
      <c r="AB84" s="239"/>
      <c r="AC84" s="239"/>
      <c r="AD84" s="229"/>
      <c r="AE84" s="589"/>
      <c r="AF84" s="106"/>
      <c r="AG84" s="228"/>
      <c r="AH84" s="239"/>
      <c r="AI84" s="239"/>
      <c r="AJ84" s="229"/>
      <c r="AK84" s="589"/>
      <c r="AL84" s="106"/>
      <c r="AM84" s="228"/>
      <c r="AN84" s="239"/>
      <c r="AO84" s="239"/>
      <c r="AP84" s="229"/>
      <c r="AQ84" s="589"/>
      <c r="AR84" s="106"/>
      <c r="AS84" s="228"/>
      <c r="AT84" s="239"/>
      <c r="AU84" s="239"/>
      <c r="AV84" s="229"/>
      <c r="AW84" s="603"/>
      <c r="AX84" s="106"/>
      <c r="AY84" s="228"/>
      <c r="AZ84" s="239"/>
      <c r="BA84" s="239"/>
      <c r="BB84" s="229"/>
      <c r="BC84" s="589"/>
      <c r="BD84" s="106"/>
      <c r="BE84" s="228"/>
      <c r="BF84" s="239"/>
      <c r="BG84" s="239"/>
      <c r="BH84" s="239"/>
      <c r="BI84" s="589"/>
      <c r="BJ84" s="106"/>
      <c r="BK84" s="228"/>
      <c r="BL84" s="239"/>
      <c r="BM84" s="239"/>
      <c r="BN84" s="596"/>
      <c r="BO84" s="589"/>
      <c r="BP84" s="106"/>
      <c r="BQ84" s="595"/>
      <c r="BR84" s="239"/>
      <c r="BS84" s="239"/>
      <c r="BT84" s="596"/>
      <c r="BU84" s="589"/>
      <c r="BV84" s="106"/>
      <c r="BW84" s="595"/>
      <c r="BX84" s="596"/>
      <c r="BY84" s="596"/>
      <c r="BZ84" s="596"/>
      <c r="CA84" s="589"/>
      <c r="CB84" s="106"/>
      <c r="CC84" s="595"/>
      <c r="CD84" s="596"/>
      <c r="CE84" s="596"/>
      <c r="CF84" s="596"/>
      <c r="CG84" s="589"/>
      <c r="CH84" s="106"/>
      <c r="CI84" s="595"/>
      <c r="CJ84" s="596"/>
      <c r="CK84" s="596"/>
      <c r="CL84" s="596"/>
      <c r="CM84" s="589"/>
      <c r="CN84" s="11"/>
      <c r="CO84" s="11"/>
      <c r="CP84" s="11"/>
      <c r="CQ84" s="11"/>
      <c r="CR84" s="11"/>
      <c r="CS84" s="11"/>
      <c r="CT84" s="11"/>
      <c r="CU84" s="11"/>
      <c r="CV84" s="11"/>
      <c r="CW84" s="11"/>
      <c r="CX84" s="11"/>
    </row>
    <row r="85" spans="1:102" s="9" customFormat="1" ht="11.25" customHeight="1" x14ac:dyDescent="0.2">
      <c r="A85" s="12"/>
      <c r="B85" s="567" t="s">
        <v>306</v>
      </c>
      <c r="C85" s="618"/>
      <c r="D85" s="619"/>
      <c r="E85" s="619"/>
      <c r="F85" s="619"/>
      <c r="G85" s="617"/>
      <c r="H85" s="585"/>
      <c r="I85" s="618"/>
      <c r="J85" s="619"/>
      <c r="K85" s="619"/>
      <c r="L85" s="619"/>
      <c r="M85" s="617"/>
      <c r="N85" s="585"/>
      <c r="O85" s="618"/>
      <c r="P85" s="619"/>
      <c r="Q85" s="619"/>
      <c r="R85" s="619"/>
      <c r="S85" s="617"/>
      <c r="T85" s="585"/>
      <c r="U85" s="618"/>
      <c r="V85" s="619"/>
      <c r="W85" s="619"/>
      <c r="X85" s="619"/>
      <c r="Y85" s="617"/>
      <c r="Z85" s="585"/>
      <c r="AA85" s="618"/>
      <c r="AB85" s="619"/>
      <c r="AC85" s="619"/>
      <c r="AD85" s="619"/>
      <c r="AE85" s="617"/>
      <c r="AF85" s="585"/>
      <c r="AG85" s="618"/>
      <c r="AH85" s="619"/>
      <c r="AI85" s="619"/>
      <c r="AJ85" s="619"/>
      <c r="AK85" s="617"/>
      <c r="AL85" s="585"/>
      <c r="AM85" s="618"/>
      <c r="AN85" s="619"/>
      <c r="AO85" s="619"/>
      <c r="AP85" s="619"/>
      <c r="AQ85" s="617"/>
      <c r="AR85" s="585"/>
      <c r="AS85" s="618"/>
      <c r="AT85" s="619"/>
      <c r="AU85" s="619"/>
      <c r="AV85" s="619"/>
      <c r="AW85" s="617"/>
      <c r="AX85" s="585"/>
      <c r="AY85" s="618"/>
      <c r="AZ85" s="619"/>
      <c r="BA85" s="619"/>
      <c r="BB85" s="619"/>
      <c r="BC85" s="617"/>
      <c r="BD85" s="585"/>
      <c r="BE85" s="618"/>
      <c r="BF85" s="619"/>
      <c r="BG85" s="619"/>
      <c r="BH85" s="619"/>
      <c r="BI85" s="617"/>
      <c r="BJ85" s="585"/>
      <c r="BK85" s="618"/>
      <c r="BL85" s="619"/>
      <c r="BM85" s="619"/>
      <c r="BN85" s="619"/>
      <c r="BO85" s="617"/>
      <c r="BP85" s="585"/>
      <c r="BQ85" s="618"/>
      <c r="BR85" s="619"/>
      <c r="BS85" s="619"/>
      <c r="BT85" s="619"/>
      <c r="BU85" s="617"/>
      <c r="BV85" s="585"/>
      <c r="BW85" s="618"/>
      <c r="BX85" s="619"/>
      <c r="BY85" s="619"/>
      <c r="BZ85" s="619"/>
      <c r="CA85" s="617"/>
      <c r="CB85" s="585"/>
      <c r="CC85" s="618"/>
      <c r="CD85" s="619"/>
      <c r="CE85" s="619"/>
      <c r="CF85" s="619"/>
      <c r="CG85" s="617"/>
      <c r="CH85" s="585"/>
      <c r="CI85" s="618"/>
      <c r="CJ85" s="619"/>
      <c r="CK85" s="619"/>
      <c r="CL85" s="619"/>
      <c r="CM85" s="617"/>
      <c r="CN85" s="11"/>
      <c r="CO85" s="11"/>
      <c r="CP85" s="11"/>
      <c r="CQ85" s="11"/>
      <c r="CR85" s="11"/>
      <c r="CS85" s="11"/>
      <c r="CT85" s="11"/>
      <c r="CU85" s="11"/>
      <c r="CV85" s="11"/>
      <c r="CW85" s="11"/>
      <c r="CX85" s="11"/>
    </row>
    <row r="86" spans="1:102" s="9" customFormat="1" ht="11.25" customHeight="1" x14ac:dyDescent="0.2">
      <c r="A86" s="12"/>
      <c r="B86" s="620" t="s">
        <v>312</v>
      </c>
      <c r="C86" s="576"/>
      <c r="D86" s="585"/>
      <c r="E86" s="585"/>
      <c r="F86" s="585"/>
      <c r="G86" s="594"/>
      <c r="H86" s="585"/>
      <c r="I86" s="576"/>
      <c r="J86" s="585"/>
      <c r="K86" s="585"/>
      <c r="L86" s="585"/>
      <c r="M86" s="594"/>
      <c r="N86" s="585"/>
      <c r="O86" s="576"/>
      <c r="P86" s="585"/>
      <c r="Q86" s="585"/>
      <c r="R86" s="585"/>
      <c r="S86" s="594"/>
      <c r="T86" s="585"/>
      <c r="U86" s="576"/>
      <c r="V86" s="585"/>
      <c r="W86" s="585"/>
      <c r="X86" s="585"/>
      <c r="Y86" s="594"/>
      <c r="Z86" s="585"/>
      <c r="AA86" s="576"/>
      <c r="AB86" s="585"/>
      <c r="AC86" s="585"/>
      <c r="AD86" s="585"/>
      <c r="AE86" s="594"/>
      <c r="AF86" s="585"/>
      <c r="AG86" s="576"/>
      <c r="AH86" s="585"/>
      <c r="AI86" s="585"/>
      <c r="AJ86" s="585"/>
      <c r="AK86" s="594"/>
      <c r="AL86" s="585"/>
      <c r="AM86" s="576"/>
      <c r="AN86" s="585"/>
      <c r="AO86" s="585"/>
      <c r="AP86" s="585"/>
      <c r="AQ86" s="594"/>
      <c r="AR86" s="585"/>
      <c r="AS86" s="576"/>
      <c r="AT86" s="585"/>
      <c r="AU86" s="585"/>
      <c r="AV86" s="585"/>
      <c r="AW86" s="594"/>
      <c r="AX86" s="585"/>
      <c r="AY86" s="576">
        <v>9.782</v>
      </c>
      <c r="AZ86" s="585">
        <v>9.11</v>
      </c>
      <c r="BA86" s="585">
        <v>10.157999999999999</v>
      </c>
      <c r="BB86" s="585">
        <v>10.242000000000001</v>
      </c>
      <c r="BC86" s="594">
        <f>SUM(AY86:BB86)</f>
        <v>39.292000000000002</v>
      </c>
      <c r="BD86" s="585"/>
      <c r="BE86" s="576">
        <v>10.456</v>
      </c>
      <c r="BF86" s="585">
        <v>13.435</v>
      </c>
      <c r="BG86" s="585">
        <v>13.489000000000001</v>
      </c>
      <c r="BH86" s="585">
        <v>10.84</v>
      </c>
      <c r="BI86" s="594">
        <f>SUM(BE86:BH86)</f>
        <v>48.22</v>
      </c>
      <c r="BJ86" s="585"/>
      <c r="BK86" s="576">
        <v>14.79</v>
      </c>
      <c r="BL86" s="585">
        <v>9.5419999999999998</v>
      </c>
      <c r="BM86" s="585">
        <v>8.4979999999999993</v>
      </c>
      <c r="BN86" s="585">
        <v>10.252000000000001</v>
      </c>
      <c r="BO86" s="594">
        <f>SUM(BK86:BN86)</f>
        <v>43.082000000000001</v>
      </c>
      <c r="BP86" s="585"/>
      <c r="BQ86" s="576">
        <v>9.1720000000000006</v>
      </c>
      <c r="BR86" s="585">
        <v>8.5239999999999991</v>
      </c>
      <c r="BS86" s="585">
        <v>2.4780000000000002</v>
      </c>
      <c r="BT86" s="136">
        <f>+BN86*(1+BT87)</f>
        <v>5.1260000000000003</v>
      </c>
      <c r="BU86" s="594">
        <f>SUM(BQ86:BT86)</f>
        <v>25.3</v>
      </c>
      <c r="BV86" s="585"/>
      <c r="BW86" s="578">
        <f>+BQ86*(1+BW87)</f>
        <v>8.9885599999999997</v>
      </c>
      <c r="BX86" s="136">
        <f>+BR86*(1+BX87)</f>
        <v>8.3535199999999996</v>
      </c>
      <c r="BY86" s="136">
        <f>+BS86*(1+BY87)</f>
        <v>2.4284400000000002</v>
      </c>
      <c r="BZ86" s="136">
        <f>+BT86*(1+BZ87)</f>
        <v>5.0234800000000002</v>
      </c>
      <c r="CA86" s="594">
        <f>SUM(BW86:BZ86)</f>
        <v>24.793999999999997</v>
      </c>
      <c r="CB86" s="585"/>
      <c r="CC86" s="578">
        <f>+BW86*(1+CC87)</f>
        <v>9.168331199999999</v>
      </c>
      <c r="CD86" s="136">
        <f>+BX86*(1+CD87)</f>
        <v>8.5205903999999997</v>
      </c>
      <c r="CE86" s="136">
        <f>+BY86*(1+CE87)</f>
        <v>2.4770088000000001</v>
      </c>
      <c r="CF86" s="136">
        <f>+BZ86*(1+CF87)</f>
        <v>5.1239496000000004</v>
      </c>
      <c r="CG86" s="594">
        <f>SUM(CC86:CF86)</f>
        <v>25.28988</v>
      </c>
      <c r="CH86" s="585"/>
      <c r="CI86" s="578">
        <f>+CC86*(1+CI87)</f>
        <v>9.3516978239999986</v>
      </c>
      <c r="CJ86" s="136">
        <f>+CD86*(1+CJ87)</f>
        <v>8.6910022080000005</v>
      </c>
      <c r="CK86" s="136">
        <f>+CE86*(1+CK87)</f>
        <v>2.5265489759999999</v>
      </c>
      <c r="CL86" s="136">
        <f>+CF86*(1+CL87)</f>
        <v>5.2264285920000004</v>
      </c>
      <c r="CM86" s="594">
        <f>SUM(CI86:CL86)</f>
        <v>25.795677600000001</v>
      </c>
      <c r="CN86" s="11"/>
      <c r="CO86" s="11"/>
      <c r="CP86" s="11"/>
      <c r="CQ86" s="11"/>
      <c r="CR86" s="11"/>
      <c r="CS86" s="11"/>
      <c r="CT86" s="11"/>
      <c r="CU86" s="11"/>
      <c r="CV86" s="11"/>
      <c r="CW86" s="11"/>
      <c r="CX86" s="11"/>
    </row>
    <row r="87" spans="1:102" s="31" customFormat="1" ht="11.25" customHeight="1" x14ac:dyDescent="0.2">
      <c r="A87" s="84"/>
      <c r="B87" s="607" t="s">
        <v>261</v>
      </c>
      <c r="C87" s="121"/>
      <c r="D87" s="85"/>
      <c r="E87" s="85"/>
      <c r="F87" s="85"/>
      <c r="G87" s="589"/>
      <c r="H87" s="58"/>
      <c r="I87" s="121"/>
      <c r="J87" s="85"/>
      <c r="K87" s="85"/>
      <c r="L87" s="85"/>
      <c r="M87" s="589"/>
      <c r="N87" s="58"/>
      <c r="O87" s="121"/>
      <c r="P87" s="85"/>
      <c r="Q87" s="85"/>
      <c r="R87" s="85"/>
      <c r="S87" s="589"/>
      <c r="T87" s="58"/>
      <c r="U87" s="121"/>
      <c r="V87" s="85"/>
      <c r="W87" s="85"/>
      <c r="X87" s="85"/>
      <c r="Y87" s="589"/>
      <c r="Z87" s="58"/>
      <c r="AA87" s="600"/>
      <c r="AB87" s="139"/>
      <c r="AC87" s="139"/>
      <c r="AD87" s="139"/>
      <c r="AE87" s="589"/>
      <c r="AF87" s="58"/>
      <c r="AG87" s="600"/>
      <c r="AH87" s="139"/>
      <c r="AI87" s="139"/>
      <c r="AJ87" s="139"/>
      <c r="AK87" s="589"/>
      <c r="AL87" s="58"/>
      <c r="AM87" s="121"/>
      <c r="AN87" s="85"/>
      <c r="AO87" s="85"/>
      <c r="AP87" s="85"/>
      <c r="AQ87" s="589"/>
      <c r="AR87" s="58"/>
      <c r="AS87" s="121"/>
      <c r="AT87" s="85"/>
      <c r="AU87" s="85"/>
      <c r="AV87" s="85"/>
      <c r="AW87" s="589"/>
      <c r="AX87" s="58"/>
      <c r="AY87" s="121"/>
      <c r="AZ87" s="85"/>
      <c r="BA87" s="85"/>
      <c r="BB87" s="85"/>
      <c r="BC87" s="589"/>
      <c r="BD87" s="58"/>
      <c r="BE87" s="121">
        <f>BE86/AY86-1</f>
        <v>6.8902065017378833E-2</v>
      </c>
      <c r="BF87" s="85">
        <f>BF86/AZ86-1</f>
        <v>0.47475301866081243</v>
      </c>
      <c r="BG87" s="85">
        <f>BG86/BA86-1</f>
        <v>0.32791888166962013</v>
      </c>
      <c r="BH87" s="85">
        <f>BH86/BB86-1</f>
        <v>5.8387033782464348E-2</v>
      </c>
      <c r="BI87" s="589">
        <f>BI86/BC86-1</f>
        <v>0.22722182632596954</v>
      </c>
      <c r="BJ87" s="58"/>
      <c r="BK87" s="121">
        <f>BK86/BE86-1</f>
        <v>0.41449885233358841</v>
      </c>
      <c r="BL87" s="85">
        <f>BL86/BF86-1</f>
        <v>-0.28976553777446967</v>
      </c>
      <c r="BM87" s="85">
        <f>BM86/BG86-1</f>
        <v>-0.37000518941359639</v>
      </c>
      <c r="BN87" s="85">
        <f>BN86/BH86-1</f>
        <v>-5.4243542435424286E-2</v>
      </c>
      <c r="BO87" s="589">
        <f>BO86/BI86-1</f>
        <v>-0.10655329738697628</v>
      </c>
      <c r="BP87" s="58"/>
      <c r="BQ87" s="121">
        <f>BQ86/BK86-1</f>
        <v>-0.37985125084516558</v>
      </c>
      <c r="BR87" s="85">
        <f>BR86/BL86-1</f>
        <v>-0.1066862293020332</v>
      </c>
      <c r="BS87" s="85">
        <f>BS86/BM86-1</f>
        <v>-0.70840197693574947</v>
      </c>
      <c r="BT87" s="596">
        <v>-0.5</v>
      </c>
      <c r="BU87" s="589">
        <f>BU86/BO86-1</f>
        <v>-0.4127477832969686</v>
      </c>
      <c r="BV87" s="58"/>
      <c r="BW87" s="595">
        <v>-0.02</v>
      </c>
      <c r="BX87" s="596">
        <f>+BW87</f>
        <v>-0.02</v>
      </c>
      <c r="BY87" s="596">
        <f>+BX87</f>
        <v>-0.02</v>
      </c>
      <c r="BZ87" s="596">
        <f>+BY87</f>
        <v>-0.02</v>
      </c>
      <c r="CA87" s="589">
        <f>CA86/BU86-1</f>
        <v>-2.0000000000000129E-2</v>
      </c>
      <c r="CB87" s="58"/>
      <c r="CC87" s="595">
        <v>0.02</v>
      </c>
      <c r="CD87" s="596">
        <f>+CC87</f>
        <v>0.02</v>
      </c>
      <c r="CE87" s="596">
        <f>+CD87</f>
        <v>0.02</v>
      </c>
      <c r="CF87" s="596">
        <f>+CE87</f>
        <v>0.02</v>
      </c>
      <c r="CG87" s="589">
        <f>CG86/CA86-1</f>
        <v>2.000000000000024E-2</v>
      </c>
      <c r="CH87" s="58"/>
      <c r="CI87" s="595">
        <v>0.02</v>
      </c>
      <c r="CJ87" s="596">
        <f>+CI87</f>
        <v>0.02</v>
      </c>
      <c r="CK87" s="596">
        <f>+CJ87</f>
        <v>0.02</v>
      </c>
      <c r="CL87" s="596">
        <f>+CK87</f>
        <v>0.02</v>
      </c>
      <c r="CM87" s="589">
        <f>CM86/CG86-1</f>
        <v>2.0000000000000018E-2</v>
      </c>
      <c r="CN87" s="11"/>
      <c r="CO87" s="11"/>
      <c r="CP87" s="11"/>
      <c r="CQ87" s="11"/>
      <c r="CR87" s="11"/>
      <c r="CS87" s="11"/>
      <c r="CT87" s="11"/>
      <c r="CU87" s="11"/>
      <c r="CV87" s="11"/>
      <c r="CW87" s="11"/>
      <c r="CX87" s="11"/>
    </row>
    <row r="88" spans="1:102" s="31" customFormat="1" ht="11.25" customHeight="1" x14ac:dyDescent="0.2">
      <c r="A88" s="84"/>
      <c r="B88" s="607" t="s">
        <v>549</v>
      </c>
      <c r="C88" s="121"/>
      <c r="D88" s="85"/>
      <c r="E88" s="85"/>
      <c r="F88" s="85"/>
      <c r="G88" s="589"/>
      <c r="H88" s="58"/>
      <c r="I88" s="121"/>
      <c r="J88" s="85"/>
      <c r="K88" s="85"/>
      <c r="L88" s="85"/>
      <c r="M88" s="589"/>
      <c r="N88" s="58"/>
      <c r="O88" s="121"/>
      <c r="P88" s="85"/>
      <c r="Q88" s="85"/>
      <c r="R88" s="85"/>
      <c r="S88" s="589"/>
      <c r="T88" s="58"/>
      <c r="U88" s="121"/>
      <c r="V88" s="85"/>
      <c r="W88" s="85"/>
      <c r="X88" s="85"/>
      <c r="Y88" s="589"/>
      <c r="Z88" s="58"/>
      <c r="AA88" s="600"/>
      <c r="AB88" s="139"/>
      <c r="AC88" s="139"/>
      <c r="AD88" s="139"/>
      <c r="AE88" s="589"/>
      <c r="AF88" s="58"/>
      <c r="AG88" s="600"/>
      <c r="AH88" s="139"/>
      <c r="AI88" s="139"/>
      <c r="AJ88" s="139"/>
      <c r="AK88" s="589"/>
      <c r="AL88" s="58"/>
      <c r="AM88" s="121"/>
      <c r="AN88" s="85"/>
      <c r="AO88" s="85"/>
      <c r="AP88" s="85"/>
      <c r="AQ88" s="589"/>
      <c r="AR88" s="58"/>
      <c r="AS88" s="121"/>
      <c r="AT88" s="85"/>
      <c r="AU88" s="85"/>
      <c r="AV88" s="85"/>
      <c r="AW88" s="589"/>
      <c r="AX88" s="58"/>
      <c r="AY88" s="121">
        <f>+AY86/AY154</f>
        <v>1.0417953556929186E-2</v>
      </c>
      <c r="AZ88" s="85">
        <f t="shared" ref="AZ88:BC88" si="108">+AZ86/AZ154</f>
        <v>9.3128335139334717E-3</v>
      </c>
      <c r="BA88" s="85">
        <f t="shared" si="108"/>
        <v>1.0596394013110402E-2</v>
      </c>
      <c r="BB88" s="85">
        <f t="shared" si="108"/>
        <v>9.8950689862723085E-3</v>
      </c>
      <c r="BC88" s="589">
        <f t="shared" si="108"/>
        <v>1.0046882211480071E-2</v>
      </c>
      <c r="BD88" s="58"/>
      <c r="BE88" s="121">
        <f>+BE86/BE154</f>
        <v>9.1488970749079076E-3</v>
      </c>
      <c r="BF88" s="85">
        <f t="shared" ref="BF88:BI88" si="109">+BF86/BF154</f>
        <v>9.6709640731062977E-3</v>
      </c>
      <c r="BG88" s="85">
        <f t="shared" si="109"/>
        <v>9.6291331067570977E-3</v>
      </c>
      <c r="BH88" s="85">
        <f t="shared" si="109"/>
        <v>7.4564752333587843E-3</v>
      </c>
      <c r="BI88" s="589">
        <f t="shared" si="109"/>
        <v>8.951672293794552E-3</v>
      </c>
      <c r="BJ88" s="58"/>
      <c r="BK88" s="121">
        <f>+BK86/BK154</f>
        <v>1.1099970279998438E-2</v>
      </c>
      <c r="BL88" s="85">
        <f t="shared" ref="BL88:BO88" si="110">+BL86/BL154</f>
        <v>6.7280525665243075E-3</v>
      </c>
      <c r="BM88" s="85">
        <f t="shared" si="110"/>
        <v>6.0812154988700582E-3</v>
      </c>
      <c r="BN88" s="85">
        <f t="shared" si="110"/>
        <v>7.0946525751678854E-3</v>
      </c>
      <c r="BO88" s="589">
        <f t="shared" si="110"/>
        <v>7.7026679351282386E-3</v>
      </c>
      <c r="BP88" s="58"/>
      <c r="BQ88" s="121">
        <f>+BQ86/BQ154</f>
        <v>7.0331220789577598E-3</v>
      </c>
      <c r="BR88" s="85">
        <f t="shared" ref="BR88:BS88" si="111">+BR86/BR154</f>
        <v>6.1512393765916617E-3</v>
      </c>
      <c r="BS88" s="85">
        <f t="shared" si="111"/>
        <v>1.8018908947064548E-3</v>
      </c>
      <c r="BT88" s="85">
        <f t="shared" ref="BS88:BU88" si="112">+BT86/BT154</f>
        <v>3.5558631861256421E-3</v>
      </c>
      <c r="BU88" s="589">
        <f t="shared" si="112"/>
        <v>4.594455933173181E-3</v>
      </c>
      <c r="BV88" s="58"/>
      <c r="BW88" s="121">
        <f>+BW86/BW154</f>
        <v>6.8574776489566591E-3</v>
      </c>
      <c r="BX88" s="85">
        <f t="shared" ref="BX88:CA88" si="113">+BX86/BX154</f>
        <v>5.8319552796114085E-3</v>
      </c>
      <c r="BY88" s="85">
        <f t="shared" si="113"/>
        <v>1.7192754348996434E-3</v>
      </c>
      <c r="BZ88" s="85">
        <f t="shared" si="113"/>
        <v>3.3575656533609E-3</v>
      </c>
      <c r="CA88" s="589">
        <f t="shared" si="113"/>
        <v>4.3869333159900015E-3</v>
      </c>
      <c r="CB88" s="58"/>
      <c r="CC88" s="121">
        <f>+CC86/CC154</f>
        <v>6.825032560549343E-3</v>
      </c>
      <c r="CD88" s="85">
        <f t="shared" ref="CD88:CG88" si="114">+CD86/CD154</f>
        <v>5.8068117834773171E-3</v>
      </c>
      <c r="CE88" s="85">
        <f t="shared" si="114"/>
        <v>1.7081125805071906E-3</v>
      </c>
      <c r="CF88" s="85">
        <f t="shared" si="114"/>
        <v>3.3352845780526461E-3</v>
      </c>
      <c r="CG88" s="589">
        <f t="shared" si="114"/>
        <v>4.3624962427395277E-3</v>
      </c>
      <c r="CH88" s="58"/>
      <c r="CI88" s="121">
        <f>+CI86/CI154</f>
        <v>6.7783763984417388E-3</v>
      </c>
      <c r="CJ88" s="85">
        <f t="shared" ref="CJ88:CM88" si="115">+CJ86/CJ154</f>
        <v>5.7668253194923507E-3</v>
      </c>
      <c r="CK88" s="85">
        <f t="shared" si="115"/>
        <v>1.6968457590081742E-3</v>
      </c>
      <c r="CL88" s="85">
        <f t="shared" si="115"/>
        <v>3.3128067345031646E-3</v>
      </c>
      <c r="CM88" s="589">
        <f t="shared" si="115"/>
        <v>4.3329922795519111E-3</v>
      </c>
      <c r="CN88" s="11"/>
      <c r="CO88" s="11"/>
      <c r="CP88" s="11"/>
      <c r="CQ88" s="11"/>
      <c r="CR88" s="11"/>
      <c r="CS88" s="11"/>
      <c r="CT88" s="11"/>
      <c r="CU88" s="11"/>
      <c r="CV88" s="11"/>
      <c r="CW88" s="11"/>
      <c r="CX88" s="11"/>
    </row>
    <row r="89" spans="1:102" s="31" customFormat="1" ht="11.25" hidden="1" customHeight="1" outlineLevel="1" x14ac:dyDescent="0.2">
      <c r="A89" s="84"/>
      <c r="B89" s="623" t="s">
        <v>338</v>
      </c>
      <c r="C89" s="624"/>
      <c r="D89" s="625"/>
      <c r="E89" s="625"/>
      <c r="F89" s="626"/>
      <c r="G89" s="627"/>
      <c r="H89" s="628"/>
      <c r="I89" s="624"/>
      <c r="J89" s="625"/>
      <c r="K89" s="625"/>
      <c r="L89" s="626"/>
      <c r="M89" s="627"/>
      <c r="N89" s="628"/>
      <c r="O89" s="624"/>
      <c r="P89" s="625"/>
      <c r="Q89" s="625"/>
      <c r="R89" s="626"/>
      <c r="S89" s="627"/>
      <c r="T89" s="628"/>
      <c r="U89" s="624"/>
      <c r="V89" s="625"/>
      <c r="W89" s="625"/>
      <c r="X89" s="626"/>
      <c r="Y89" s="627"/>
      <c r="Z89" s="628"/>
      <c r="AA89" s="624"/>
      <c r="AB89" s="625"/>
      <c r="AC89" s="625"/>
      <c r="AD89" s="626"/>
      <c r="AE89" s="627"/>
      <c r="AF89" s="628"/>
      <c r="AG89" s="624"/>
      <c r="AH89" s="625"/>
      <c r="AI89" s="625"/>
      <c r="AJ89" s="626"/>
      <c r="AK89" s="627"/>
      <c r="AL89" s="628"/>
      <c r="AM89" s="624"/>
      <c r="AN89" s="625"/>
      <c r="AO89" s="625"/>
      <c r="AP89" s="626"/>
      <c r="AQ89" s="627"/>
      <c r="AR89" s="628"/>
      <c r="AS89" s="624"/>
      <c r="AT89" s="625"/>
      <c r="AU89" s="625"/>
      <c r="AV89" s="626"/>
      <c r="AW89" s="627"/>
      <c r="AX89" s="628"/>
      <c r="AY89" s="624"/>
      <c r="AZ89" s="625"/>
      <c r="BA89" s="625"/>
      <c r="BB89" s="626"/>
      <c r="BC89" s="627"/>
      <c r="BD89" s="628"/>
      <c r="BE89" s="624"/>
      <c r="BF89" s="625"/>
      <c r="BG89" s="625"/>
      <c r="BH89" s="625"/>
      <c r="BI89" s="627"/>
      <c r="BJ89" s="628"/>
      <c r="BK89" s="624"/>
      <c r="BL89" s="625"/>
      <c r="BM89" s="625"/>
      <c r="BN89" s="625"/>
      <c r="BO89" s="627"/>
      <c r="BP89" s="628"/>
      <c r="BQ89" s="624"/>
      <c r="BR89" s="625"/>
      <c r="BS89" s="625"/>
      <c r="BT89" s="625"/>
      <c r="BU89" s="627"/>
      <c r="BV89" s="628"/>
      <c r="BW89" s="624"/>
      <c r="BX89" s="625"/>
      <c r="BY89" s="625"/>
      <c r="BZ89" s="625"/>
      <c r="CA89" s="627"/>
      <c r="CB89" s="628"/>
      <c r="CC89" s="624"/>
      <c r="CD89" s="625"/>
      <c r="CE89" s="625"/>
      <c r="CF89" s="625"/>
      <c r="CG89" s="627"/>
      <c r="CH89" s="628"/>
      <c r="CI89" s="624"/>
      <c r="CJ89" s="625"/>
      <c r="CK89" s="625"/>
      <c r="CL89" s="625"/>
      <c r="CM89" s="627"/>
      <c r="CN89" s="11"/>
      <c r="CO89" s="11"/>
      <c r="CP89" s="11"/>
      <c r="CQ89" s="11"/>
      <c r="CR89" s="11"/>
      <c r="CS89" s="11"/>
      <c r="CT89" s="11"/>
      <c r="CU89" s="11"/>
      <c r="CV89" s="11"/>
      <c r="CW89" s="11"/>
      <c r="CX89" s="11"/>
    </row>
    <row r="90" spans="1:102" s="9" customFormat="1" ht="11.25" hidden="1" customHeight="1" outlineLevel="1" x14ac:dyDescent="0.2">
      <c r="A90" s="12"/>
      <c r="B90" s="608" t="s">
        <v>326</v>
      </c>
      <c r="C90" s="129"/>
      <c r="D90" s="130"/>
      <c r="E90" s="130"/>
      <c r="F90" s="130"/>
      <c r="G90" s="587"/>
      <c r="H90" s="585"/>
      <c r="I90" s="129"/>
      <c r="J90" s="130"/>
      <c r="K90" s="130"/>
      <c r="L90" s="130"/>
      <c r="M90" s="587"/>
      <c r="N90" s="585"/>
      <c r="O90" s="129"/>
      <c r="P90" s="130"/>
      <c r="Q90" s="130"/>
      <c r="R90" s="130"/>
      <c r="S90" s="587"/>
      <c r="T90" s="585"/>
      <c r="U90" s="129"/>
      <c r="V90" s="130"/>
      <c r="W90" s="130"/>
      <c r="X90" s="130"/>
      <c r="Y90" s="587"/>
      <c r="Z90" s="585"/>
      <c r="AA90" s="129"/>
      <c r="AB90" s="130"/>
      <c r="AC90" s="130"/>
      <c r="AD90" s="130"/>
      <c r="AE90" s="587"/>
      <c r="AF90" s="585"/>
      <c r="AG90" s="129"/>
      <c r="AH90" s="130"/>
      <c r="AI90" s="130"/>
      <c r="AJ90" s="130"/>
      <c r="AK90" s="587"/>
      <c r="AL90" s="585"/>
      <c r="AM90" s="129"/>
      <c r="AN90" s="130"/>
      <c r="AO90" s="132"/>
      <c r="AP90" s="130"/>
      <c r="AQ90" s="587"/>
      <c r="AR90" s="585"/>
      <c r="AS90" s="129"/>
      <c r="AT90" s="130"/>
      <c r="AU90" s="132"/>
      <c r="AV90" s="130"/>
      <c r="AW90" s="587"/>
      <c r="AX90" s="585"/>
      <c r="AY90" s="129"/>
      <c r="AZ90" s="130"/>
      <c r="BA90" s="132"/>
      <c r="BB90" s="130"/>
      <c r="BC90" s="587"/>
      <c r="BD90" s="585"/>
      <c r="BE90" s="129"/>
      <c r="BF90" s="132"/>
      <c r="BG90" s="132"/>
      <c r="BH90" s="130"/>
      <c r="BI90" s="587"/>
      <c r="BJ90" s="585"/>
      <c r="BK90" s="129"/>
      <c r="BL90" s="132"/>
      <c r="BM90" s="132"/>
      <c r="BN90" s="132"/>
      <c r="BO90" s="587"/>
      <c r="BP90" s="585"/>
      <c r="BQ90" s="129"/>
      <c r="BR90" s="132"/>
      <c r="BS90" s="132"/>
      <c r="BT90" s="132"/>
      <c r="BU90" s="587"/>
      <c r="BV90" s="585"/>
      <c r="BW90" s="131"/>
      <c r="BX90" s="132"/>
      <c r="BY90" s="132"/>
      <c r="BZ90" s="132"/>
      <c r="CA90" s="587"/>
      <c r="CB90" s="585"/>
      <c r="CC90" s="131"/>
      <c r="CD90" s="132"/>
      <c r="CE90" s="132"/>
      <c r="CF90" s="132"/>
      <c r="CG90" s="587"/>
      <c r="CH90" s="585"/>
      <c r="CI90" s="131"/>
      <c r="CJ90" s="132"/>
      <c r="CK90" s="132"/>
      <c r="CL90" s="132"/>
      <c r="CM90" s="587"/>
      <c r="CN90" s="11"/>
      <c r="CO90" s="11"/>
      <c r="CP90" s="11"/>
      <c r="CQ90" s="11"/>
      <c r="CR90" s="11"/>
      <c r="CS90" s="11"/>
      <c r="CT90" s="11"/>
      <c r="CU90" s="11"/>
      <c r="CV90" s="11"/>
      <c r="CW90" s="11"/>
      <c r="CX90" s="11"/>
    </row>
    <row r="91" spans="1:102" s="9" customFormat="1" ht="11.25" hidden="1" customHeight="1" outlineLevel="1" x14ac:dyDescent="0.2">
      <c r="A91" s="12"/>
      <c r="B91" s="606" t="s">
        <v>308</v>
      </c>
      <c r="C91" s="133">
        <v>92.611999999999995</v>
      </c>
      <c r="D91" s="134">
        <v>86.561000000000007</v>
      </c>
      <c r="E91" s="134">
        <v>83.694000000000003</v>
      </c>
      <c r="F91" s="134">
        <v>99.070999999999998</v>
      </c>
      <c r="G91" s="588">
        <f>+SUM(C91:F91)</f>
        <v>361.93799999999999</v>
      </c>
      <c r="H91" s="585"/>
      <c r="I91" s="133">
        <v>103.001</v>
      </c>
      <c r="J91" s="134">
        <v>100.72</v>
      </c>
      <c r="K91" s="134">
        <v>96.602000000000004</v>
      </c>
      <c r="L91" s="134">
        <v>111.211</v>
      </c>
      <c r="M91" s="588">
        <f>+SUM(I91:L91)</f>
        <v>411.53399999999999</v>
      </c>
      <c r="N91" s="585"/>
      <c r="O91" s="133">
        <v>115.217</v>
      </c>
      <c r="P91" s="134">
        <v>115.233</v>
      </c>
      <c r="Q91" s="134">
        <v>133.75399999999999</v>
      </c>
      <c r="R91" s="134">
        <v>151.20500000000001</v>
      </c>
      <c r="S91" s="588">
        <f>+SUM(O91:R91)</f>
        <v>515.40899999999999</v>
      </c>
      <c r="T91" s="585"/>
      <c r="U91" s="133">
        <v>160.82400000000001</v>
      </c>
      <c r="V91" s="134">
        <v>152.23099999999999</v>
      </c>
      <c r="W91" s="134">
        <v>141.32499999999999</v>
      </c>
      <c r="X91" s="134">
        <v>152.33799999999999</v>
      </c>
      <c r="Y91" s="588">
        <f>+SUM(U91:X91)</f>
        <v>606.71799999999996</v>
      </c>
      <c r="Z91" s="585"/>
      <c r="AA91" s="133">
        <v>169.68600000000001</v>
      </c>
      <c r="AB91" s="134">
        <v>152.059</v>
      </c>
      <c r="AC91" s="134">
        <v>138.15299999999999</v>
      </c>
      <c r="AD91" s="134">
        <v>171.113</v>
      </c>
      <c r="AE91" s="588">
        <f>+SUM(AA91:AD91)</f>
        <v>631.01099999999997</v>
      </c>
      <c r="AF91" s="585"/>
      <c r="AG91" s="133">
        <v>169.37700000000001</v>
      </c>
      <c r="AH91" s="134">
        <v>162.727</v>
      </c>
      <c r="AI91" s="134">
        <v>159.02199999999999</v>
      </c>
      <c r="AJ91" s="134">
        <v>194.66399999999999</v>
      </c>
      <c r="AK91" s="588">
        <f>+SUM(AG91:AJ91)</f>
        <v>685.79</v>
      </c>
      <c r="AL91" s="585"/>
      <c r="AM91" s="133">
        <v>181.375</v>
      </c>
      <c r="AN91" s="134">
        <v>174.589</v>
      </c>
      <c r="AO91" s="134">
        <v>161.821</v>
      </c>
      <c r="AP91" s="134">
        <v>191.23599999999999</v>
      </c>
      <c r="AQ91" s="588">
        <f>+SUM(AM91:AP91)</f>
        <v>709.02099999999996</v>
      </c>
      <c r="AR91" s="585"/>
      <c r="AS91" s="133">
        <f>480.124-AT91</f>
        <v>188.20100000000002</v>
      </c>
      <c r="AT91" s="134">
        <v>291.923</v>
      </c>
      <c r="AU91" s="134">
        <v>312.51400000000001</v>
      </c>
      <c r="AV91" s="134">
        <v>342.29399999999998</v>
      </c>
      <c r="AW91" s="588">
        <f>+SUM(AS91:AV91)</f>
        <v>1134.932</v>
      </c>
      <c r="AX91" s="585"/>
      <c r="AY91" s="133"/>
      <c r="AZ91" s="134"/>
      <c r="BA91" s="134"/>
      <c r="BB91" s="134"/>
      <c r="BC91" s="588"/>
      <c r="BD91" s="585"/>
      <c r="BE91" s="133"/>
      <c r="BF91" s="134"/>
      <c r="BG91" s="134"/>
      <c r="BH91" s="134"/>
      <c r="BI91" s="588"/>
      <c r="BJ91" s="585"/>
      <c r="BK91" s="133"/>
      <c r="BL91" s="134"/>
      <c r="BM91" s="135"/>
      <c r="BN91" s="135"/>
      <c r="BO91" s="588"/>
      <c r="BP91" s="585"/>
      <c r="BQ91" s="133"/>
      <c r="BR91" s="134"/>
      <c r="BS91" s="135"/>
      <c r="BT91" s="135"/>
      <c r="BU91" s="588"/>
      <c r="BV91" s="585"/>
      <c r="BW91" s="580"/>
      <c r="BX91" s="135"/>
      <c r="BY91" s="135"/>
      <c r="BZ91" s="135"/>
      <c r="CA91" s="588"/>
      <c r="CB91" s="585"/>
      <c r="CC91" s="580"/>
      <c r="CD91" s="135"/>
      <c r="CE91" s="135"/>
      <c r="CF91" s="135"/>
      <c r="CG91" s="588"/>
      <c r="CH91" s="585"/>
      <c r="CI91" s="580"/>
      <c r="CJ91" s="135"/>
      <c r="CK91" s="135"/>
      <c r="CL91" s="135"/>
      <c r="CM91" s="588"/>
      <c r="CN91" s="11"/>
      <c r="CO91" s="11"/>
      <c r="CP91" s="11"/>
      <c r="CQ91" s="11"/>
      <c r="CR91" s="11"/>
      <c r="CS91" s="11"/>
      <c r="CT91" s="11"/>
      <c r="CU91" s="11"/>
      <c r="CV91" s="11"/>
      <c r="CW91" s="11"/>
      <c r="CX91" s="11"/>
    </row>
    <row r="92" spans="1:102" s="31" customFormat="1" ht="11.25" hidden="1" customHeight="1" outlineLevel="1" x14ac:dyDescent="0.2">
      <c r="A92" s="84"/>
      <c r="B92" s="609" t="s">
        <v>261</v>
      </c>
      <c r="C92" s="152"/>
      <c r="D92" s="153"/>
      <c r="E92" s="153"/>
      <c r="F92" s="153"/>
      <c r="G92" s="590"/>
      <c r="H92" s="58"/>
      <c r="I92" s="152">
        <f>I91/C91-1</f>
        <v>0.11217768755668822</v>
      </c>
      <c r="J92" s="153">
        <f>J91/D91-1</f>
        <v>0.16357250955973224</v>
      </c>
      <c r="K92" s="153">
        <f>K91/E91-1</f>
        <v>0.15422849905608538</v>
      </c>
      <c r="L92" s="153">
        <f>L91/F91-1</f>
        <v>0.12253838156473651</v>
      </c>
      <c r="M92" s="590">
        <f>M91/G91-1</f>
        <v>0.13702899391608514</v>
      </c>
      <c r="N92" s="58"/>
      <c r="O92" s="152">
        <f>O91/I91-1</f>
        <v>0.1186007902835895</v>
      </c>
      <c r="P92" s="153">
        <f>P91/J91-1</f>
        <v>0.14409253375695008</v>
      </c>
      <c r="Q92" s="153">
        <f>Q91/K91-1</f>
        <v>0.38458831080101841</v>
      </c>
      <c r="R92" s="153">
        <f>R91/L91-1</f>
        <v>0.35962269919342527</v>
      </c>
      <c r="S92" s="590">
        <f>S91/M91-1</f>
        <v>0.25240927845572902</v>
      </c>
      <c r="T92" s="58"/>
      <c r="U92" s="152">
        <f>U91/O91-1</f>
        <v>0.39583568397024749</v>
      </c>
      <c r="V92" s="153">
        <f>V91/P91-1</f>
        <v>0.32107122091761897</v>
      </c>
      <c r="W92" s="153">
        <f>W91/Q91-1</f>
        <v>5.6603914649281606E-2</v>
      </c>
      <c r="X92" s="153">
        <f>X91/R91-1</f>
        <v>7.4931384544161261E-3</v>
      </c>
      <c r="Y92" s="590">
        <f>Y91/S91-1</f>
        <v>0.17715833444895224</v>
      </c>
      <c r="Z92" s="58"/>
      <c r="AA92" s="152">
        <f>AA91/U91-1</f>
        <v>5.510371586330387E-2</v>
      </c>
      <c r="AB92" s="153">
        <f>AB91/V91-1</f>
        <v>-1.1298618546813355E-3</v>
      </c>
      <c r="AC92" s="153">
        <f>AC91/W91-1</f>
        <v>-2.2444719617901954E-2</v>
      </c>
      <c r="AD92" s="153">
        <f>AD91/X91-1</f>
        <v>0.12324567737531011</v>
      </c>
      <c r="AE92" s="590">
        <f>AE91/Y91-1</f>
        <v>4.0040018591833482E-2</v>
      </c>
      <c r="AF92" s="58"/>
      <c r="AG92" s="152">
        <f>AG91/AA91-1</f>
        <v>-1.8210105724690839E-3</v>
      </c>
      <c r="AH92" s="153">
        <f>AH91/AB91-1</f>
        <v>7.0156978541224158E-2</v>
      </c>
      <c r="AI92" s="153">
        <f>AI91/AC91-1</f>
        <v>0.15105716126323721</v>
      </c>
      <c r="AJ92" s="153">
        <f>AJ91/AD91-1</f>
        <v>0.13763419494719864</v>
      </c>
      <c r="AK92" s="590">
        <f>AK91/AE91-1</f>
        <v>8.6811481891757802E-2</v>
      </c>
      <c r="AL92" s="58"/>
      <c r="AM92" s="152">
        <f>AM91/AG91-1</f>
        <v>7.0836063928396253E-2</v>
      </c>
      <c r="AN92" s="153">
        <f>AN91/AH91-1</f>
        <v>7.2895094237588109E-2</v>
      </c>
      <c r="AO92" s="153">
        <f>AO91/AI91-1</f>
        <v>1.760133817962295E-2</v>
      </c>
      <c r="AP92" s="153">
        <f>AP91/AJ91-1</f>
        <v>-1.7609830271647531E-2</v>
      </c>
      <c r="AQ92" s="590">
        <f>AQ91/AK91-1</f>
        <v>3.3874801324020432E-2</v>
      </c>
      <c r="AR92" s="58"/>
      <c r="AS92" s="152">
        <f>AS91/AM91-1</f>
        <v>3.763473466574796E-2</v>
      </c>
      <c r="AT92" s="153">
        <f>AT91/AN91-1</f>
        <v>0.6720583771027957</v>
      </c>
      <c r="AU92" s="153">
        <f>AU91/AO91-1</f>
        <v>0.93123265830763624</v>
      </c>
      <c r="AV92" s="153">
        <f>AV91/AP91-1</f>
        <v>0.78990357464075811</v>
      </c>
      <c r="AW92" s="590">
        <f>AW91/AQ91-1</f>
        <v>0.60070294109765454</v>
      </c>
      <c r="AX92" s="58"/>
      <c r="AY92" s="152"/>
      <c r="AZ92" s="153"/>
      <c r="BA92" s="153"/>
      <c r="BB92" s="153"/>
      <c r="BC92" s="590"/>
      <c r="BD92" s="58"/>
      <c r="BE92" s="152"/>
      <c r="BF92" s="153"/>
      <c r="BG92" s="153"/>
      <c r="BH92" s="153"/>
      <c r="BI92" s="590"/>
      <c r="BJ92" s="58"/>
      <c r="BK92" s="152"/>
      <c r="BL92" s="153"/>
      <c r="BM92" s="153"/>
      <c r="BN92" s="153"/>
      <c r="BO92" s="590"/>
      <c r="BP92" s="58"/>
      <c r="BQ92" s="152"/>
      <c r="BR92" s="153"/>
      <c r="BS92" s="153"/>
      <c r="BT92" s="153"/>
      <c r="BU92" s="590"/>
      <c r="BV92" s="58"/>
      <c r="BW92" s="152"/>
      <c r="BX92" s="153"/>
      <c r="BY92" s="153"/>
      <c r="BZ92" s="153"/>
      <c r="CA92" s="590"/>
      <c r="CB92" s="58"/>
      <c r="CC92" s="152"/>
      <c r="CD92" s="153"/>
      <c r="CE92" s="153"/>
      <c r="CF92" s="153"/>
      <c r="CG92" s="590"/>
      <c r="CH92" s="58"/>
      <c r="CI92" s="152"/>
      <c r="CJ92" s="153"/>
      <c r="CK92" s="153"/>
      <c r="CL92" s="153"/>
      <c r="CM92" s="590"/>
      <c r="CN92" s="11"/>
      <c r="CO92" s="11"/>
      <c r="CP92" s="11"/>
      <c r="CQ92" s="11"/>
      <c r="CR92" s="11"/>
      <c r="CS92" s="11"/>
      <c r="CT92" s="11"/>
      <c r="CU92" s="11"/>
      <c r="CV92" s="11"/>
      <c r="CW92" s="11"/>
      <c r="CX92" s="11"/>
    </row>
    <row r="93" spans="1:102" s="31" customFormat="1" ht="11.25" hidden="1" customHeight="1" outlineLevel="1" x14ac:dyDescent="0.2">
      <c r="A93" s="84"/>
      <c r="B93" s="609" t="s">
        <v>264</v>
      </c>
      <c r="C93" s="146"/>
      <c r="D93" s="148"/>
      <c r="E93" s="148"/>
      <c r="F93" s="147"/>
      <c r="G93" s="590"/>
      <c r="H93" s="106"/>
      <c r="I93" s="146"/>
      <c r="J93" s="148"/>
      <c r="K93" s="148"/>
      <c r="L93" s="147"/>
      <c r="M93" s="590"/>
      <c r="N93" s="106"/>
      <c r="O93" s="146"/>
      <c r="P93" s="148"/>
      <c r="Q93" s="148"/>
      <c r="R93" s="147"/>
      <c r="S93" s="590"/>
      <c r="T93" s="106"/>
      <c r="U93" s="146"/>
      <c r="V93" s="148"/>
      <c r="W93" s="148"/>
      <c r="X93" s="147"/>
      <c r="Y93" s="590"/>
      <c r="Z93" s="106"/>
      <c r="AA93" s="146"/>
      <c r="AB93" s="148"/>
      <c r="AC93" s="148"/>
      <c r="AD93" s="147"/>
      <c r="AE93" s="590"/>
      <c r="AF93" s="106"/>
      <c r="AG93" s="146"/>
      <c r="AH93" s="148"/>
      <c r="AI93" s="148"/>
      <c r="AJ93" s="147"/>
      <c r="AK93" s="590"/>
      <c r="AL93" s="106"/>
      <c r="AM93" s="152"/>
      <c r="AN93" s="153"/>
      <c r="AO93" s="153"/>
      <c r="AP93" s="153"/>
      <c r="AQ93" s="590"/>
      <c r="AR93" s="106"/>
      <c r="AS93" s="152"/>
      <c r="AT93" s="153"/>
      <c r="AU93" s="153"/>
      <c r="AV93" s="153"/>
      <c r="AW93" s="604"/>
      <c r="AX93" s="106"/>
      <c r="AY93" s="146"/>
      <c r="AZ93" s="148"/>
      <c r="BA93" s="148"/>
      <c r="BB93" s="148"/>
      <c r="BC93" s="590"/>
      <c r="BD93" s="106"/>
      <c r="BE93" s="146"/>
      <c r="BF93" s="148"/>
      <c r="BG93" s="148"/>
      <c r="BH93" s="148"/>
      <c r="BI93" s="590"/>
      <c r="BJ93" s="106"/>
      <c r="BK93" s="146"/>
      <c r="BL93" s="148"/>
      <c r="BM93" s="598"/>
      <c r="BN93" s="598"/>
      <c r="BO93" s="590"/>
      <c r="BP93" s="106"/>
      <c r="BQ93" s="146"/>
      <c r="BR93" s="148"/>
      <c r="BS93" s="598"/>
      <c r="BT93" s="598"/>
      <c r="BU93" s="590"/>
      <c r="BV93" s="106"/>
      <c r="BW93" s="597"/>
      <c r="BX93" s="598"/>
      <c r="BY93" s="598"/>
      <c r="BZ93" s="598"/>
      <c r="CA93" s="590"/>
      <c r="CB93" s="106"/>
      <c r="CC93" s="597"/>
      <c r="CD93" s="598"/>
      <c r="CE93" s="598"/>
      <c r="CF93" s="598"/>
      <c r="CG93" s="590"/>
      <c r="CH93" s="106"/>
      <c r="CI93" s="597"/>
      <c r="CJ93" s="598"/>
      <c r="CK93" s="598"/>
      <c r="CL93" s="598"/>
      <c r="CM93" s="590"/>
      <c r="CN93" s="11"/>
      <c r="CO93" s="11"/>
      <c r="CP93" s="11"/>
      <c r="CQ93" s="11"/>
      <c r="CR93" s="11"/>
      <c r="CS93" s="11"/>
      <c r="CT93" s="11"/>
      <c r="CU93" s="11"/>
      <c r="CV93" s="11"/>
      <c r="CW93" s="11"/>
      <c r="CX93" s="11"/>
    </row>
    <row r="94" spans="1:102" s="31" customFormat="1" ht="11.25" hidden="1" customHeight="1" outlineLevel="1" x14ac:dyDescent="0.2">
      <c r="A94" s="84"/>
      <c r="B94" s="609" t="s">
        <v>263</v>
      </c>
      <c r="C94" s="152"/>
      <c r="D94" s="153"/>
      <c r="E94" s="153"/>
      <c r="F94" s="153"/>
      <c r="G94" s="590"/>
      <c r="H94" s="58"/>
      <c r="I94" s="152"/>
      <c r="J94" s="153"/>
      <c r="K94" s="153"/>
      <c r="L94" s="153"/>
      <c r="M94" s="590"/>
      <c r="N94" s="58"/>
      <c r="O94" s="152"/>
      <c r="P94" s="153"/>
      <c r="Q94" s="153"/>
      <c r="R94" s="153"/>
      <c r="S94" s="590"/>
      <c r="T94" s="58"/>
      <c r="U94" s="152"/>
      <c r="V94" s="153"/>
      <c r="W94" s="153"/>
      <c r="X94" s="153"/>
      <c r="Y94" s="590"/>
      <c r="Z94" s="58"/>
      <c r="AA94" s="152"/>
      <c r="AB94" s="153"/>
      <c r="AC94" s="153"/>
      <c r="AD94" s="153"/>
      <c r="AE94" s="590"/>
      <c r="AF94" s="58"/>
      <c r="AG94" s="152"/>
      <c r="AH94" s="153"/>
      <c r="AI94" s="153"/>
      <c r="AJ94" s="153"/>
      <c r="AK94" s="590"/>
      <c r="AL94" s="58"/>
      <c r="AM94" s="146"/>
      <c r="AN94" s="148"/>
      <c r="AO94" s="148"/>
      <c r="AP94" s="148"/>
      <c r="AQ94" s="590"/>
      <c r="AR94" s="58"/>
      <c r="AS94" s="146"/>
      <c r="AT94" s="148"/>
      <c r="AU94" s="148"/>
      <c r="AV94" s="148"/>
      <c r="AW94" s="590"/>
      <c r="AX94" s="58"/>
      <c r="AY94" s="152"/>
      <c r="AZ94" s="153"/>
      <c r="BA94" s="153"/>
      <c r="BB94" s="153"/>
      <c r="BC94" s="590"/>
      <c r="BD94" s="58"/>
      <c r="BE94" s="152"/>
      <c r="BF94" s="153"/>
      <c r="BG94" s="153"/>
      <c r="BH94" s="153"/>
      <c r="BI94" s="590"/>
      <c r="BJ94" s="58"/>
      <c r="BK94" s="152"/>
      <c r="BL94" s="153"/>
      <c r="BM94" s="598"/>
      <c r="BN94" s="598"/>
      <c r="BO94" s="590"/>
      <c r="BP94" s="58"/>
      <c r="BQ94" s="152"/>
      <c r="BR94" s="153"/>
      <c r="BS94" s="598"/>
      <c r="BT94" s="598"/>
      <c r="BU94" s="590"/>
      <c r="BV94" s="58"/>
      <c r="BW94" s="597"/>
      <c r="BX94" s="598"/>
      <c r="BY94" s="598"/>
      <c r="BZ94" s="598"/>
      <c r="CA94" s="590"/>
      <c r="CB94" s="58"/>
      <c r="CC94" s="597"/>
      <c r="CD94" s="598"/>
      <c r="CE94" s="598"/>
      <c r="CF94" s="598"/>
      <c r="CG94" s="590"/>
      <c r="CH94" s="58"/>
      <c r="CI94" s="597"/>
      <c r="CJ94" s="598"/>
      <c r="CK94" s="598"/>
      <c r="CL94" s="598"/>
      <c r="CM94" s="590"/>
      <c r="CN94" s="11"/>
      <c r="CO94" s="11"/>
      <c r="CP94" s="11"/>
      <c r="CQ94" s="11"/>
      <c r="CR94" s="11"/>
      <c r="CS94" s="11"/>
      <c r="CT94" s="11"/>
      <c r="CU94" s="11"/>
      <c r="CV94" s="11"/>
      <c r="CW94" s="11"/>
      <c r="CX94" s="11"/>
    </row>
    <row r="95" spans="1:102" s="31" customFormat="1" ht="11.25" hidden="1" customHeight="1" outlineLevel="1" x14ac:dyDescent="0.2">
      <c r="A95" s="84"/>
      <c r="B95" s="609" t="s">
        <v>262</v>
      </c>
      <c r="C95" s="146"/>
      <c r="D95" s="148"/>
      <c r="E95" s="148"/>
      <c r="F95" s="147"/>
      <c r="G95" s="604"/>
      <c r="H95" s="58"/>
      <c r="I95" s="146"/>
      <c r="J95" s="148"/>
      <c r="K95" s="148"/>
      <c r="L95" s="147"/>
      <c r="M95" s="604"/>
      <c r="N95" s="58"/>
      <c r="O95" s="146"/>
      <c r="P95" s="148"/>
      <c r="Q95" s="148"/>
      <c r="R95" s="147"/>
      <c r="S95" s="604"/>
      <c r="T95" s="58"/>
      <c r="U95" s="146"/>
      <c r="V95" s="148"/>
      <c r="W95" s="148"/>
      <c r="X95" s="147"/>
      <c r="Y95" s="604"/>
      <c r="Z95" s="58"/>
      <c r="AA95" s="146"/>
      <c r="AB95" s="148"/>
      <c r="AC95" s="148"/>
      <c r="AD95" s="147"/>
      <c r="AE95" s="604"/>
      <c r="AF95" s="58"/>
      <c r="AG95" s="146"/>
      <c r="AH95" s="148"/>
      <c r="AI95" s="148"/>
      <c r="AJ95" s="147"/>
      <c r="AK95" s="604"/>
      <c r="AL95" s="58"/>
      <c r="AM95" s="146"/>
      <c r="AN95" s="148"/>
      <c r="AO95" s="148"/>
      <c r="AP95" s="148"/>
      <c r="AQ95" s="604"/>
      <c r="AR95" s="58"/>
      <c r="AS95" s="146"/>
      <c r="AT95" s="148"/>
      <c r="AU95" s="148"/>
      <c r="AV95" s="148"/>
      <c r="AW95" s="604"/>
      <c r="AX95" s="58"/>
      <c r="AY95" s="146"/>
      <c r="AZ95" s="148"/>
      <c r="BA95" s="148"/>
      <c r="BB95" s="148"/>
      <c r="BC95" s="590"/>
      <c r="BD95" s="58"/>
      <c r="BE95" s="146"/>
      <c r="BF95" s="148"/>
      <c r="BG95" s="148"/>
      <c r="BH95" s="148"/>
      <c r="BI95" s="590"/>
      <c r="BJ95" s="58"/>
      <c r="BK95" s="146"/>
      <c r="BL95" s="148"/>
      <c r="BM95" s="598"/>
      <c r="BN95" s="598"/>
      <c r="BO95" s="590"/>
      <c r="BP95" s="58"/>
      <c r="BQ95" s="146"/>
      <c r="BR95" s="148"/>
      <c r="BS95" s="598"/>
      <c r="BT95" s="598"/>
      <c r="BU95" s="590"/>
      <c r="BV95" s="58"/>
      <c r="BW95" s="597"/>
      <c r="BX95" s="598"/>
      <c r="BY95" s="598"/>
      <c r="BZ95" s="598"/>
      <c r="CA95" s="590"/>
      <c r="CB95" s="58"/>
      <c r="CC95" s="597"/>
      <c r="CD95" s="598"/>
      <c r="CE95" s="598"/>
      <c r="CF95" s="598"/>
      <c r="CG95" s="590"/>
      <c r="CH95" s="58"/>
      <c r="CI95" s="597"/>
      <c r="CJ95" s="598"/>
      <c r="CK95" s="598"/>
      <c r="CL95" s="598"/>
      <c r="CM95" s="590"/>
      <c r="CN95" s="11"/>
      <c r="CO95" s="11"/>
      <c r="CP95" s="11"/>
      <c r="CQ95" s="11"/>
      <c r="CR95" s="11"/>
      <c r="CS95" s="11"/>
      <c r="CT95" s="11"/>
      <c r="CU95" s="11"/>
      <c r="CV95" s="11"/>
      <c r="CW95" s="11"/>
      <c r="CX95" s="11"/>
    </row>
    <row r="96" spans="1:102" s="31" customFormat="1" ht="11.25" hidden="1" customHeight="1" outlineLevel="1" x14ac:dyDescent="0.2">
      <c r="A96" s="84"/>
      <c r="B96" s="610" t="s">
        <v>265</v>
      </c>
      <c r="C96" s="152"/>
      <c r="D96" s="153"/>
      <c r="E96" s="153"/>
      <c r="F96" s="153"/>
      <c r="G96" s="590"/>
      <c r="H96" s="577"/>
      <c r="I96" s="152"/>
      <c r="J96" s="153"/>
      <c r="K96" s="153"/>
      <c r="L96" s="153"/>
      <c r="M96" s="590"/>
      <c r="N96" s="577"/>
      <c r="O96" s="152"/>
      <c r="P96" s="153"/>
      <c r="Q96" s="153"/>
      <c r="R96" s="153"/>
      <c r="S96" s="590"/>
      <c r="T96" s="577"/>
      <c r="U96" s="152"/>
      <c r="V96" s="153"/>
      <c r="W96" s="153"/>
      <c r="X96" s="153"/>
      <c r="Y96" s="590"/>
      <c r="Z96" s="577"/>
      <c r="AA96" s="152"/>
      <c r="AB96" s="153"/>
      <c r="AC96" s="153"/>
      <c r="AD96" s="153"/>
      <c r="AE96" s="590"/>
      <c r="AF96" s="577"/>
      <c r="AG96" s="152"/>
      <c r="AH96" s="153"/>
      <c r="AI96" s="153"/>
      <c r="AJ96" s="153"/>
      <c r="AK96" s="590"/>
      <c r="AL96" s="577"/>
      <c r="AM96" s="152"/>
      <c r="AN96" s="153"/>
      <c r="AO96" s="153"/>
      <c r="AP96" s="153"/>
      <c r="AQ96" s="590"/>
      <c r="AR96" s="577"/>
      <c r="AS96" s="152"/>
      <c r="AT96" s="153"/>
      <c r="AU96" s="153"/>
      <c r="AV96" s="153"/>
      <c r="AW96" s="590"/>
      <c r="AX96" s="577"/>
      <c r="AY96" s="152"/>
      <c r="AZ96" s="153"/>
      <c r="BA96" s="153"/>
      <c r="BB96" s="153"/>
      <c r="BC96" s="590"/>
      <c r="BD96" s="577"/>
      <c r="BE96" s="152"/>
      <c r="BF96" s="153"/>
      <c r="BG96" s="153"/>
      <c r="BH96" s="153"/>
      <c r="BI96" s="590"/>
      <c r="BJ96" s="577"/>
      <c r="BK96" s="152"/>
      <c r="BL96" s="153"/>
      <c r="BM96" s="153"/>
      <c r="BN96" s="153"/>
      <c r="BO96" s="590"/>
      <c r="BP96" s="577"/>
      <c r="BQ96" s="152"/>
      <c r="BR96" s="153"/>
      <c r="BS96" s="153"/>
      <c r="BT96" s="153"/>
      <c r="BU96" s="590"/>
      <c r="BV96" s="577"/>
      <c r="BW96" s="152"/>
      <c r="BX96" s="153"/>
      <c r="BY96" s="153"/>
      <c r="BZ96" s="153"/>
      <c r="CA96" s="590"/>
      <c r="CB96" s="577"/>
      <c r="CC96" s="152"/>
      <c r="CD96" s="153"/>
      <c r="CE96" s="153"/>
      <c r="CF96" s="153"/>
      <c r="CG96" s="590"/>
      <c r="CH96" s="577"/>
      <c r="CI96" s="152"/>
      <c r="CJ96" s="153"/>
      <c r="CK96" s="153"/>
      <c r="CL96" s="153"/>
      <c r="CM96" s="590"/>
      <c r="CN96" s="11"/>
      <c r="CO96" s="11"/>
      <c r="CP96" s="11"/>
      <c r="CQ96" s="11"/>
      <c r="CR96" s="11"/>
      <c r="CS96" s="11"/>
      <c r="CT96" s="11"/>
      <c r="CU96" s="11"/>
      <c r="CV96" s="11"/>
      <c r="CW96" s="11"/>
      <c r="CX96" s="11"/>
    </row>
    <row r="97" spans="1:102" s="31" customFormat="1" ht="11.25" hidden="1" customHeight="1" outlineLevel="1" x14ac:dyDescent="0.2">
      <c r="A97" s="84"/>
      <c r="B97" s="609"/>
      <c r="C97" s="146"/>
      <c r="D97" s="148"/>
      <c r="E97" s="148"/>
      <c r="F97" s="147"/>
      <c r="G97" s="590"/>
      <c r="H97" s="106"/>
      <c r="I97" s="146"/>
      <c r="J97" s="148"/>
      <c r="K97" s="148"/>
      <c r="L97" s="147"/>
      <c r="M97" s="590"/>
      <c r="N97" s="106"/>
      <c r="O97" s="146"/>
      <c r="P97" s="148"/>
      <c r="Q97" s="148"/>
      <c r="R97" s="147"/>
      <c r="S97" s="590"/>
      <c r="T97" s="106"/>
      <c r="U97" s="146"/>
      <c r="V97" s="148"/>
      <c r="W97" s="148"/>
      <c r="X97" s="147"/>
      <c r="Y97" s="590"/>
      <c r="Z97" s="106"/>
      <c r="AA97" s="146"/>
      <c r="AB97" s="148"/>
      <c r="AC97" s="148"/>
      <c r="AD97" s="147"/>
      <c r="AE97" s="590"/>
      <c r="AF97" s="106"/>
      <c r="AG97" s="146"/>
      <c r="AH97" s="148"/>
      <c r="AI97" s="148"/>
      <c r="AJ97" s="147"/>
      <c r="AK97" s="590"/>
      <c r="AL97" s="106"/>
      <c r="AM97" s="146"/>
      <c r="AN97" s="148"/>
      <c r="AO97" s="148"/>
      <c r="AP97" s="147"/>
      <c r="AQ97" s="590"/>
      <c r="AR97" s="106"/>
      <c r="AS97" s="146"/>
      <c r="AT97" s="148"/>
      <c r="AU97" s="148"/>
      <c r="AV97" s="147"/>
      <c r="AW97" s="604"/>
      <c r="AX97" s="106"/>
      <c r="AY97" s="146"/>
      <c r="AZ97" s="148"/>
      <c r="BA97" s="148"/>
      <c r="BB97" s="147"/>
      <c r="BC97" s="590"/>
      <c r="BD97" s="106"/>
      <c r="BE97" s="146"/>
      <c r="BF97" s="148"/>
      <c r="BG97" s="148"/>
      <c r="BH97" s="148"/>
      <c r="BI97" s="590"/>
      <c r="BJ97" s="106"/>
      <c r="BK97" s="146"/>
      <c r="BL97" s="148"/>
      <c r="BM97" s="598"/>
      <c r="BN97" s="598"/>
      <c r="BO97" s="590"/>
      <c r="BP97" s="106"/>
      <c r="BQ97" s="146"/>
      <c r="BR97" s="148"/>
      <c r="BS97" s="598"/>
      <c r="BT97" s="598"/>
      <c r="BU97" s="590"/>
      <c r="BV97" s="106"/>
      <c r="BW97" s="597"/>
      <c r="BX97" s="598"/>
      <c r="BY97" s="598"/>
      <c r="BZ97" s="598"/>
      <c r="CA97" s="590"/>
      <c r="CB97" s="106"/>
      <c r="CC97" s="597"/>
      <c r="CD97" s="598"/>
      <c r="CE97" s="598"/>
      <c r="CF97" s="598"/>
      <c r="CG97" s="590"/>
      <c r="CH97" s="106"/>
      <c r="CI97" s="597"/>
      <c r="CJ97" s="598"/>
      <c r="CK97" s="598"/>
      <c r="CL97" s="598"/>
      <c r="CM97" s="590"/>
      <c r="CN97" s="11"/>
      <c r="CO97" s="11"/>
      <c r="CP97" s="11"/>
      <c r="CQ97" s="11"/>
      <c r="CR97" s="11"/>
      <c r="CS97" s="11"/>
      <c r="CT97" s="11"/>
      <c r="CU97" s="11"/>
      <c r="CV97" s="11"/>
      <c r="CW97" s="11"/>
      <c r="CX97" s="11"/>
    </row>
    <row r="98" spans="1:102" s="9" customFormat="1" ht="11.25" hidden="1" customHeight="1" outlineLevel="1" x14ac:dyDescent="0.2">
      <c r="A98" s="12"/>
      <c r="B98" s="606" t="s">
        <v>309</v>
      </c>
      <c r="C98" s="133">
        <v>5.3010000000000002</v>
      </c>
      <c r="D98" s="134">
        <v>6.7480000000000002</v>
      </c>
      <c r="E98" s="134">
        <v>8.8360000000000003</v>
      </c>
      <c r="F98" s="134">
        <v>8.6110000000000007</v>
      </c>
      <c r="G98" s="588">
        <f>+SUM(C98:F98)</f>
        <v>29.495999999999999</v>
      </c>
      <c r="H98" s="585"/>
      <c r="I98" s="133">
        <v>5.6879999999999997</v>
      </c>
      <c r="J98" s="134">
        <v>6.4690000000000003</v>
      </c>
      <c r="K98" s="134">
        <v>9.3559999999999999</v>
      </c>
      <c r="L98" s="134">
        <v>6.5209999999999999</v>
      </c>
      <c r="M98" s="588">
        <f>+SUM(I98:L98)</f>
        <v>28.033999999999999</v>
      </c>
      <c r="N98" s="585"/>
      <c r="O98" s="133">
        <v>6.1340000000000003</v>
      </c>
      <c r="P98" s="134">
        <v>5.931</v>
      </c>
      <c r="Q98" s="134">
        <v>10.214</v>
      </c>
      <c r="R98" s="134">
        <v>5.04</v>
      </c>
      <c r="S98" s="588">
        <f>+SUM(O98:R98)</f>
        <v>27.319000000000003</v>
      </c>
      <c r="T98" s="585"/>
      <c r="U98" s="133">
        <v>6.5270000000000001</v>
      </c>
      <c r="V98" s="134">
        <v>6.9569999999999999</v>
      </c>
      <c r="W98" s="134">
        <v>8.9380000000000006</v>
      </c>
      <c r="X98" s="134">
        <v>6.9630000000000001</v>
      </c>
      <c r="Y98" s="588">
        <f>+SUM(U98:X98)</f>
        <v>29.385000000000002</v>
      </c>
      <c r="Z98" s="585"/>
      <c r="AA98" s="133">
        <v>7.274</v>
      </c>
      <c r="AB98" s="134">
        <v>7.32</v>
      </c>
      <c r="AC98" s="134">
        <v>9.9239999999999995</v>
      </c>
      <c r="AD98" s="134">
        <v>9.8049999999999997</v>
      </c>
      <c r="AE98" s="588">
        <f>+SUM(AA98:AD98)</f>
        <v>34.323</v>
      </c>
      <c r="AF98" s="585"/>
      <c r="AG98" s="133">
        <v>7.5670000000000002</v>
      </c>
      <c r="AH98" s="134">
        <v>7.41</v>
      </c>
      <c r="AI98" s="134">
        <v>13.417999999999999</v>
      </c>
      <c r="AJ98" s="134">
        <v>9.9239999999999995</v>
      </c>
      <c r="AK98" s="588">
        <f>+SUM(AG98:AJ98)</f>
        <v>38.319000000000003</v>
      </c>
      <c r="AL98" s="585"/>
      <c r="AM98" s="133">
        <v>7.2140000000000004</v>
      </c>
      <c r="AN98" s="134">
        <v>7.1639999999999997</v>
      </c>
      <c r="AO98" s="134">
        <v>11.391999999999999</v>
      </c>
      <c r="AP98" s="134">
        <v>9.2989999999999995</v>
      </c>
      <c r="AQ98" s="588">
        <f>+SUM(AM98:AP98)</f>
        <v>35.069000000000003</v>
      </c>
      <c r="AR98" s="585"/>
      <c r="AS98" s="133">
        <f>17.636-AT98</f>
        <v>8.0629999999999988</v>
      </c>
      <c r="AT98" s="134">
        <v>9.5730000000000004</v>
      </c>
      <c r="AU98" s="134">
        <v>14.606999999999999</v>
      </c>
      <c r="AV98" s="134">
        <v>11.776999999999999</v>
      </c>
      <c r="AW98" s="588">
        <f>+SUM(AS98:AV98)</f>
        <v>44.019999999999996</v>
      </c>
      <c r="AX98" s="585"/>
      <c r="AY98" s="133"/>
      <c r="AZ98" s="134"/>
      <c r="BA98" s="134"/>
      <c r="BB98" s="134"/>
      <c r="BC98" s="588"/>
      <c r="BD98" s="585"/>
      <c r="BE98" s="133"/>
      <c r="BF98" s="134"/>
      <c r="BG98" s="134"/>
      <c r="BH98" s="134"/>
      <c r="BI98" s="588"/>
      <c r="BJ98" s="585"/>
      <c r="BK98" s="133"/>
      <c r="BL98" s="134"/>
      <c r="BM98" s="135"/>
      <c r="BN98" s="135"/>
      <c r="BO98" s="588"/>
      <c r="BP98" s="585"/>
      <c r="BQ98" s="133"/>
      <c r="BR98" s="134"/>
      <c r="BS98" s="135"/>
      <c r="BT98" s="135"/>
      <c r="BU98" s="588"/>
      <c r="BV98" s="585"/>
      <c r="BW98" s="580"/>
      <c r="BX98" s="135"/>
      <c r="BY98" s="135"/>
      <c r="BZ98" s="135"/>
      <c r="CA98" s="588"/>
      <c r="CB98" s="585"/>
      <c r="CC98" s="580"/>
      <c r="CD98" s="135"/>
      <c r="CE98" s="135"/>
      <c r="CF98" s="135"/>
      <c r="CG98" s="588"/>
      <c r="CH98" s="585"/>
      <c r="CI98" s="580"/>
      <c r="CJ98" s="135"/>
      <c r="CK98" s="135"/>
      <c r="CL98" s="135"/>
      <c r="CM98" s="588"/>
      <c r="CN98" s="11"/>
      <c r="CO98" s="11"/>
      <c r="CP98" s="11"/>
      <c r="CQ98" s="11"/>
      <c r="CR98" s="11"/>
      <c r="CS98" s="11"/>
      <c r="CT98" s="11"/>
      <c r="CU98" s="11"/>
      <c r="CV98" s="11"/>
      <c r="CW98" s="11"/>
      <c r="CX98" s="11"/>
    </row>
    <row r="99" spans="1:102" s="31" customFormat="1" ht="11.25" hidden="1" customHeight="1" outlineLevel="1" x14ac:dyDescent="0.2">
      <c r="A99" s="84"/>
      <c r="B99" s="609" t="s">
        <v>261</v>
      </c>
      <c r="C99" s="152"/>
      <c r="D99" s="153"/>
      <c r="E99" s="153"/>
      <c r="F99" s="153"/>
      <c r="G99" s="590"/>
      <c r="H99" s="58"/>
      <c r="I99" s="152">
        <f>I98/C98-1</f>
        <v>7.3005093378607722E-2</v>
      </c>
      <c r="J99" s="153">
        <f>J98/D98-1</f>
        <v>-4.1345583876704173E-2</v>
      </c>
      <c r="K99" s="153">
        <f>K98/E98-1</f>
        <v>5.8850158442734113E-2</v>
      </c>
      <c r="L99" s="153">
        <f>L98/F98-1</f>
        <v>-0.24271280919753813</v>
      </c>
      <c r="M99" s="590">
        <f>M98/G98-1</f>
        <v>-4.9566042853268266E-2</v>
      </c>
      <c r="N99" s="58"/>
      <c r="O99" s="152">
        <f>O98/I98-1</f>
        <v>7.8410689170183012E-2</v>
      </c>
      <c r="P99" s="153">
        <f>P98/J98-1</f>
        <v>-8.3165867985778408E-2</v>
      </c>
      <c r="Q99" s="153">
        <f>Q98/K98-1</f>
        <v>9.1705857203933316E-2</v>
      </c>
      <c r="R99" s="153">
        <f>R98/L98-1</f>
        <v>-0.22711240607268823</v>
      </c>
      <c r="S99" s="590">
        <f>S98/M98-1</f>
        <v>-2.5504744239138066E-2</v>
      </c>
      <c r="T99" s="58"/>
      <c r="U99" s="152">
        <f>U98/O98-1</f>
        <v>6.406912292142164E-2</v>
      </c>
      <c r="V99" s="153">
        <f>V98/P98-1</f>
        <v>0.17298937784522006</v>
      </c>
      <c r="W99" s="153">
        <f>W98/Q98-1</f>
        <v>-0.12492657137262575</v>
      </c>
      <c r="X99" s="153">
        <f>X98/R98-1</f>
        <v>0.38154761904761902</v>
      </c>
      <c r="Y99" s="590">
        <f>Y98/S98-1</f>
        <v>7.5625022877850556E-2</v>
      </c>
      <c r="Z99" s="58"/>
      <c r="AA99" s="152">
        <f>AA98/U98-1</f>
        <v>0.11444767887237628</v>
      </c>
      <c r="AB99" s="153">
        <f>AB98/V98-1</f>
        <v>5.2177662785683587E-2</v>
      </c>
      <c r="AC99" s="153">
        <f>AC98/W98-1</f>
        <v>0.11031550682479296</v>
      </c>
      <c r="AD99" s="153">
        <f>AD98/X98-1</f>
        <v>0.40815740341806683</v>
      </c>
      <c r="AE99" s="590">
        <f>AE98/Y98-1</f>
        <v>0.16804492087799883</v>
      </c>
      <c r="AF99" s="58"/>
      <c r="AG99" s="152">
        <f>AG98/AA98-1</f>
        <v>4.0280450921088784E-2</v>
      </c>
      <c r="AH99" s="153">
        <f>AH98/AB98-1</f>
        <v>1.2295081967213184E-2</v>
      </c>
      <c r="AI99" s="153">
        <f>AI98/AC98-1</f>
        <v>0.35207577589681582</v>
      </c>
      <c r="AJ99" s="153">
        <f>AJ98/AD98-1</f>
        <v>1.2136664966853727E-2</v>
      </c>
      <c r="AK99" s="590">
        <f>AK98/AE98-1</f>
        <v>0.11642338956384934</v>
      </c>
      <c r="AL99" s="58"/>
      <c r="AM99" s="152">
        <f>AM98/AG98-1</f>
        <v>-4.664992731597728E-2</v>
      </c>
      <c r="AN99" s="153">
        <f>AN98/AH98-1</f>
        <v>-3.3198380566801688E-2</v>
      </c>
      <c r="AO99" s="153">
        <f>AO98/AI98-1</f>
        <v>-0.1509912058428976</v>
      </c>
      <c r="AP99" s="153">
        <f>AP98/AJ98-1</f>
        <v>-6.2978637646110447E-2</v>
      </c>
      <c r="AQ99" s="590">
        <f>AQ98/AK98-1</f>
        <v>-8.4814321876875653E-2</v>
      </c>
      <c r="AR99" s="58"/>
      <c r="AS99" s="152">
        <f>AS98/AM98-1</f>
        <v>0.11768782922095911</v>
      </c>
      <c r="AT99" s="153">
        <f>AT98/AN98-1</f>
        <v>0.33626465661641558</v>
      </c>
      <c r="AU99" s="153">
        <f>AU98/AO98-1</f>
        <v>0.28221558988764039</v>
      </c>
      <c r="AV99" s="153">
        <f>AV98/AP98-1</f>
        <v>0.26648026669534364</v>
      </c>
      <c r="AW99" s="590">
        <f>AW98/AQ98-1</f>
        <v>0.25523967036413908</v>
      </c>
      <c r="AX99" s="58"/>
      <c r="AY99" s="152"/>
      <c r="AZ99" s="153"/>
      <c r="BA99" s="153"/>
      <c r="BB99" s="153"/>
      <c r="BC99" s="590"/>
      <c r="BD99" s="58"/>
      <c r="BE99" s="152"/>
      <c r="BF99" s="153"/>
      <c r="BG99" s="153"/>
      <c r="BH99" s="153"/>
      <c r="BI99" s="590"/>
      <c r="BJ99" s="58"/>
      <c r="BK99" s="152"/>
      <c r="BL99" s="153"/>
      <c r="BM99" s="153"/>
      <c r="BN99" s="153"/>
      <c r="BO99" s="590"/>
      <c r="BP99" s="58"/>
      <c r="BQ99" s="152"/>
      <c r="BR99" s="153"/>
      <c r="BS99" s="153"/>
      <c r="BT99" s="153"/>
      <c r="BU99" s="590"/>
      <c r="BV99" s="58"/>
      <c r="BW99" s="152"/>
      <c r="BX99" s="153"/>
      <c r="BY99" s="153"/>
      <c r="BZ99" s="153"/>
      <c r="CA99" s="590"/>
      <c r="CB99" s="58"/>
      <c r="CC99" s="152"/>
      <c r="CD99" s="153"/>
      <c r="CE99" s="153"/>
      <c r="CF99" s="153"/>
      <c r="CG99" s="590"/>
      <c r="CH99" s="58"/>
      <c r="CI99" s="152"/>
      <c r="CJ99" s="153"/>
      <c r="CK99" s="153"/>
      <c r="CL99" s="153"/>
      <c r="CM99" s="590"/>
      <c r="CN99" s="11"/>
      <c r="CO99" s="11"/>
      <c r="CP99" s="11"/>
      <c r="CQ99" s="11"/>
      <c r="CR99" s="11"/>
      <c r="CS99" s="11"/>
      <c r="CT99" s="11"/>
      <c r="CU99" s="11"/>
      <c r="CV99" s="11"/>
      <c r="CW99" s="11"/>
      <c r="CX99" s="11"/>
    </row>
    <row r="100" spans="1:102" s="31" customFormat="1" ht="11.25" hidden="1" customHeight="1" outlineLevel="1" x14ac:dyDescent="0.2">
      <c r="A100" s="84"/>
      <c r="B100" s="609" t="s">
        <v>264</v>
      </c>
      <c r="C100" s="146"/>
      <c r="D100" s="148"/>
      <c r="E100" s="148"/>
      <c r="F100" s="147"/>
      <c r="G100" s="590"/>
      <c r="H100" s="106"/>
      <c r="I100" s="146"/>
      <c r="J100" s="148"/>
      <c r="K100" s="148"/>
      <c r="L100" s="147"/>
      <c r="M100" s="590"/>
      <c r="N100" s="106"/>
      <c r="O100" s="146"/>
      <c r="P100" s="148"/>
      <c r="Q100" s="148"/>
      <c r="R100" s="147"/>
      <c r="S100" s="590"/>
      <c r="T100" s="106"/>
      <c r="U100" s="146"/>
      <c r="V100" s="148"/>
      <c r="W100" s="148"/>
      <c r="X100" s="147"/>
      <c r="Y100" s="590"/>
      <c r="Z100" s="106"/>
      <c r="AA100" s="146"/>
      <c r="AB100" s="148"/>
      <c r="AC100" s="148"/>
      <c r="AD100" s="147"/>
      <c r="AE100" s="590"/>
      <c r="AF100" s="106"/>
      <c r="AG100" s="146"/>
      <c r="AH100" s="148"/>
      <c r="AI100" s="148"/>
      <c r="AJ100" s="147"/>
      <c r="AK100" s="590"/>
      <c r="AL100" s="106"/>
      <c r="AM100" s="152"/>
      <c r="AN100" s="153"/>
      <c r="AO100" s="153"/>
      <c r="AP100" s="153"/>
      <c r="AQ100" s="590"/>
      <c r="AR100" s="106"/>
      <c r="AS100" s="152"/>
      <c r="AT100" s="153"/>
      <c r="AU100" s="153"/>
      <c r="AV100" s="153"/>
      <c r="AW100" s="604"/>
      <c r="AX100" s="106"/>
      <c r="AY100" s="146"/>
      <c r="AZ100" s="148"/>
      <c r="BA100" s="148"/>
      <c r="BB100" s="148"/>
      <c r="BC100" s="590"/>
      <c r="BD100" s="106"/>
      <c r="BE100" s="146"/>
      <c r="BF100" s="148"/>
      <c r="BG100" s="148"/>
      <c r="BH100" s="148"/>
      <c r="BI100" s="590"/>
      <c r="BJ100" s="106"/>
      <c r="BK100" s="146"/>
      <c r="BL100" s="148"/>
      <c r="BM100" s="598"/>
      <c r="BN100" s="598"/>
      <c r="BO100" s="590"/>
      <c r="BP100" s="106"/>
      <c r="BQ100" s="146"/>
      <c r="BR100" s="148"/>
      <c r="BS100" s="598"/>
      <c r="BT100" s="598"/>
      <c r="BU100" s="590"/>
      <c r="BV100" s="106"/>
      <c r="BW100" s="597"/>
      <c r="BX100" s="598"/>
      <c r="BY100" s="598"/>
      <c r="BZ100" s="598"/>
      <c r="CA100" s="590"/>
      <c r="CB100" s="106"/>
      <c r="CC100" s="597"/>
      <c r="CD100" s="598"/>
      <c r="CE100" s="598"/>
      <c r="CF100" s="598"/>
      <c r="CG100" s="590"/>
      <c r="CH100" s="106"/>
      <c r="CI100" s="597"/>
      <c r="CJ100" s="598"/>
      <c r="CK100" s="598"/>
      <c r="CL100" s="598"/>
      <c r="CM100" s="590"/>
      <c r="CN100" s="11"/>
      <c r="CO100" s="11"/>
      <c r="CP100" s="11"/>
      <c r="CQ100" s="11"/>
      <c r="CR100" s="11"/>
      <c r="CS100" s="11"/>
      <c r="CT100" s="11"/>
      <c r="CU100" s="11"/>
      <c r="CV100" s="11"/>
      <c r="CW100" s="11"/>
      <c r="CX100" s="11"/>
    </row>
    <row r="101" spans="1:102" s="31" customFormat="1" ht="11.25" hidden="1" customHeight="1" outlineLevel="1" x14ac:dyDescent="0.2">
      <c r="A101" s="84"/>
      <c r="B101" s="609" t="s">
        <v>263</v>
      </c>
      <c r="C101" s="152"/>
      <c r="D101" s="153"/>
      <c r="E101" s="153"/>
      <c r="F101" s="153"/>
      <c r="G101" s="590"/>
      <c r="H101" s="58"/>
      <c r="I101" s="152"/>
      <c r="J101" s="153"/>
      <c r="K101" s="153"/>
      <c r="L101" s="153"/>
      <c r="M101" s="590"/>
      <c r="N101" s="58"/>
      <c r="O101" s="152"/>
      <c r="P101" s="153"/>
      <c r="Q101" s="153"/>
      <c r="R101" s="153"/>
      <c r="S101" s="590"/>
      <c r="T101" s="58"/>
      <c r="U101" s="152"/>
      <c r="V101" s="153"/>
      <c r="W101" s="153"/>
      <c r="X101" s="153"/>
      <c r="Y101" s="590"/>
      <c r="Z101" s="58"/>
      <c r="AA101" s="152"/>
      <c r="AB101" s="153"/>
      <c r="AC101" s="153"/>
      <c r="AD101" s="153"/>
      <c r="AE101" s="590"/>
      <c r="AF101" s="58"/>
      <c r="AG101" s="152"/>
      <c r="AH101" s="153"/>
      <c r="AI101" s="153"/>
      <c r="AJ101" s="153"/>
      <c r="AK101" s="590"/>
      <c r="AL101" s="58"/>
      <c r="AM101" s="146"/>
      <c r="AN101" s="148"/>
      <c r="AO101" s="148"/>
      <c r="AP101" s="148"/>
      <c r="AQ101" s="590"/>
      <c r="AR101" s="58"/>
      <c r="AS101" s="146"/>
      <c r="AT101" s="148"/>
      <c r="AU101" s="148"/>
      <c r="AV101" s="148"/>
      <c r="AW101" s="590"/>
      <c r="AX101" s="58"/>
      <c r="AY101" s="152"/>
      <c r="AZ101" s="153"/>
      <c r="BA101" s="153"/>
      <c r="BB101" s="153"/>
      <c r="BC101" s="590"/>
      <c r="BD101" s="58"/>
      <c r="BE101" s="152"/>
      <c r="BF101" s="153"/>
      <c r="BG101" s="153"/>
      <c r="BH101" s="153"/>
      <c r="BI101" s="590"/>
      <c r="BJ101" s="58"/>
      <c r="BK101" s="152"/>
      <c r="BL101" s="153"/>
      <c r="BM101" s="598"/>
      <c r="BN101" s="598"/>
      <c r="BO101" s="590"/>
      <c r="BP101" s="58"/>
      <c r="BQ101" s="152"/>
      <c r="BR101" s="153"/>
      <c r="BS101" s="598"/>
      <c r="BT101" s="598"/>
      <c r="BU101" s="590"/>
      <c r="BV101" s="58"/>
      <c r="BW101" s="597"/>
      <c r="BX101" s="598"/>
      <c r="BY101" s="598"/>
      <c r="BZ101" s="598"/>
      <c r="CA101" s="590"/>
      <c r="CB101" s="58"/>
      <c r="CC101" s="597"/>
      <c r="CD101" s="598"/>
      <c r="CE101" s="598"/>
      <c r="CF101" s="598"/>
      <c r="CG101" s="590"/>
      <c r="CH101" s="58"/>
      <c r="CI101" s="597"/>
      <c r="CJ101" s="598"/>
      <c r="CK101" s="598"/>
      <c r="CL101" s="598"/>
      <c r="CM101" s="590"/>
      <c r="CN101" s="11"/>
      <c r="CO101" s="11"/>
      <c r="CP101" s="11"/>
      <c r="CQ101" s="11"/>
      <c r="CR101" s="11"/>
      <c r="CS101" s="11"/>
      <c r="CT101" s="11"/>
      <c r="CU101" s="11"/>
      <c r="CV101" s="11"/>
      <c r="CW101" s="11"/>
      <c r="CX101" s="11"/>
    </row>
    <row r="102" spans="1:102" s="31" customFormat="1" ht="11.25" hidden="1" customHeight="1" outlineLevel="1" x14ac:dyDescent="0.2">
      <c r="A102" s="84"/>
      <c r="B102" s="609" t="s">
        <v>262</v>
      </c>
      <c r="C102" s="146"/>
      <c r="D102" s="148"/>
      <c r="E102" s="148"/>
      <c r="F102" s="147"/>
      <c r="G102" s="604"/>
      <c r="H102" s="58"/>
      <c r="I102" s="146"/>
      <c r="J102" s="148"/>
      <c r="K102" s="148"/>
      <c r="L102" s="147"/>
      <c r="M102" s="604"/>
      <c r="N102" s="58"/>
      <c r="O102" s="146"/>
      <c r="P102" s="148"/>
      <c r="Q102" s="148"/>
      <c r="R102" s="147"/>
      <c r="S102" s="604"/>
      <c r="T102" s="58"/>
      <c r="U102" s="146"/>
      <c r="V102" s="148"/>
      <c r="W102" s="148"/>
      <c r="X102" s="147"/>
      <c r="Y102" s="604"/>
      <c r="Z102" s="58"/>
      <c r="AA102" s="146"/>
      <c r="AB102" s="148"/>
      <c r="AC102" s="148"/>
      <c r="AD102" s="147"/>
      <c r="AE102" s="604"/>
      <c r="AF102" s="58"/>
      <c r="AG102" s="146"/>
      <c r="AH102" s="148"/>
      <c r="AI102" s="148"/>
      <c r="AJ102" s="147"/>
      <c r="AK102" s="604"/>
      <c r="AL102" s="58"/>
      <c r="AM102" s="146"/>
      <c r="AN102" s="148"/>
      <c r="AO102" s="148"/>
      <c r="AP102" s="148"/>
      <c r="AQ102" s="604"/>
      <c r="AR102" s="58"/>
      <c r="AS102" s="146"/>
      <c r="AT102" s="148"/>
      <c r="AU102" s="148"/>
      <c r="AV102" s="148"/>
      <c r="AW102" s="604"/>
      <c r="AX102" s="58"/>
      <c r="AY102" s="146"/>
      <c r="AZ102" s="148"/>
      <c r="BA102" s="148"/>
      <c r="BB102" s="148"/>
      <c r="BC102" s="590"/>
      <c r="BD102" s="58"/>
      <c r="BE102" s="146"/>
      <c r="BF102" s="148"/>
      <c r="BG102" s="148"/>
      <c r="BH102" s="148"/>
      <c r="BI102" s="590"/>
      <c r="BJ102" s="58"/>
      <c r="BK102" s="146"/>
      <c r="BL102" s="148"/>
      <c r="BM102" s="598"/>
      <c r="BN102" s="598"/>
      <c r="BO102" s="590"/>
      <c r="BP102" s="58"/>
      <c r="BQ102" s="146"/>
      <c r="BR102" s="148"/>
      <c r="BS102" s="598"/>
      <c r="BT102" s="598"/>
      <c r="BU102" s="590"/>
      <c r="BV102" s="58"/>
      <c r="BW102" s="597"/>
      <c r="BX102" s="598"/>
      <c r="BY102" s="598"/>
      <c r="BZ102" s="598"/>
      <c r="CA102" s="590"/>
      <c r="CB102" s="58"/>
      <c r="CC102" s="597"/>
      <c r="CD102" s="598"/>
      <c r="CE102" s="598"/>
      <c r="CF102" s="598"/>
      <c r="CG102" s="590"/>
      <c r="CH102" s="58"/>
      <c r="CI102" s="597"/>
      <c r="CJ102" s="598"/>
      <c r="CK102" s="598"/>
      <c r="CL102" s="598"/>
      <c r="CM102" s="590"/>
      <c r="CN102" s="11"/>
      <c r="CO102" s="11"/>
      <c r="CP102" s="11"/>
      <c r="CQ102" s="11"/>
      <c r="CR102" s="11"/>
      <c r="CS102" s="11"/>
      <c r="CT102" s="11"/>
      <c r="CU102" s="11"/>
      <c r="CV102" s="11"/>
      <c r="CW102" s="11"/>
      <c r="CX102" s="11"/>
    </row>
    <row r="103" spans="1:102" s="31" customFormat="1" ht="11.25" hidden="1" customHeight="1" outlineLevel="1" x14ac:dyDescent="0.2">
      <c r="A103" s="84"/>
      <c r="B103" s="610" t="s">
        <v>265</v>
      </c>
      <c r="C103" s="152"/>
      <c r="D103" s="153"/>
      <c r="E103" s="153"/>
      <c r="F103" s="153"/>
      <c r="G103" s="590"/>
      <c r="H103" s="577"/>
      <c r="I103" s="152"/>
      <c r="J103" s="153"/>
      <c r="K103" s="153"/>
      <c r="L103" s="153"/>
      <c r="M103" s="590"/>
      <c r="N103" s="577"/>
      <c r="O103" s="152"/>
      <c r="P103" s="153"/>
      <c r="Q103" s="153"/>
      <c r="R103" s="153"/>
      <c r="S103" s="590"/>
      <c r="T103" s="577"/>
      <c r="U103" s="152"/>
      <c r="V103" s="153"/>
      <c r="W103" s="153"/>
      <c r="X103" s="153"/>
      <c r="Y103" s="590"/>
      <c r="Z103" s="577"/>
      <c r="AA103" s="152"/>
      <c r="AB103" s="153"/>
      <c r="AC103" s="153"/>
      <c r="AD103" s="153"/>
      <c r="AE103" s="590"/>
      <c r="AF103" s="577"/>
      <c r="AG103" s="152"/>
      <c r="AH103" s="153"/>
      <c r="AI103" s="153"/>
      <c r="AJ103" s="153"/>
      <c r="AK103" s="590"/>
      <c r="AL103" s="577"/>
      <c r="AM103" s="152"/>
      <c r="AN103" s="153"/>
      <c r="AO103" s="153"/>
      <c r="AP103" s="153"/>
      <c r="AQ103" s="590"/>
      <c r="AR103" s="577"/>
      <c r="AS103" s="152"/>
      <c r="AT103" s="153"/>
      <c r="AU103" s="153"/>
      <c r="AV103" s="153"/>
      <c r="AW103" s="590"/>
      <c r="AX103" s="577"/>
      <c r="AY103" s="152"/>
      <c r="AZ103" s="153"/>
      <c r="BA103" s="153"/>
      <c r="BB103" s="153"/>
      <c r="BC103" s="590"/>
      <c r="BD103" s="577"/>
      <c r="BE103" s="152"/>
      <c r="BF103" s="153"/>
      <c r="BG103" s="153"/>
      <c r="BH103" s="153"/>
      <c r="BI103" s="590"/>
      <c r="BJ103" s="577"/>
      <c r="BK103" s="152"/>
      <c r="BL103" s="153"/>
      <c r="BM103" s="153"/>
      <c r="BN103" s="153"/>
      <c r="BO103" s="590"/>
      <c r="BP103" s="577"/>
      <c r="BQ103" s="152"/>
      <c r="BR103" s="153"/>
      <c r="BS103" s="153"/>
      <c r="BT103" s="153"/>
      <c r="BU103" s="590"/>
      <c r="BV103" s="577"/>
      <c r="BW103" s="152"/>
      <c r="BX103" s="153"/>
      <c r="BY103" s="153"/>
      <c r="BZ103" s="153"/>
      <c r="CA103" s="590"/>
      <c r="CB103" s="577"/>
      <c r="CC103" s="152"/>
      <c r="CD103" s="153"/>
      <c r="CE103" s="153"/>
      <c r="CF103" s="153"/>
      <c r="CG103" s="590"/>
      <c r="CH103" s="577"/>
      <c r="CI103" s="152"/>
      <c r="CJ103" s="153"/>
      <c r="CK103" s="153"/>
      <c r="CL103" s="153"/>
      <c r="CM103" s="590"/>
      <c r="CN103" s="11"/>
      <c r="CO103" s="11"/>
      <c r="CP103" s="11"/>
      <c r="CQ103" s="11"/>
      <c r="CR103" s="11"/>
      <c r="CS103" s="11"/>
      <c r="CT103" s="11"/>
      <c r="CU103" s="11"/>
      <c r="CV103" s="11"/>
      <c r="CW103" s="11"/>
      <c r="CX103" s="11"/>
    </row>
    <row r="104" spans="1:102" s="31" customFormat="1" ht="11.25" hidden="1" customHeight="1" outlineLevel="1" x14ac:dyDescent="0.2">
      <c r="A104" s="84"/>
      <c r="B104" s="609"/>
      <c r="C104" s="146"/>
      <c r="D104" s="148"/>
      <c r="E104" s="148"/>
      <c r="F104" s="147"/>
      <c r="G104" s="590"/>
      <c r="H104" s="106"/>
      <c r="I104" s="146"/>
      <c r="J104" s="148"/>
      <c r="K104" s="148"/>
      <c r="L104" s="147"/>
      <c r="M104" s="590"/>
      <c r="N104" s="106"/>
      <c r="O104" s="146"/>
      <c r="P104" s="148"/>
      <c r="Q104" s="148"/>
      <c r="R104" s="147"/>
      <c r="S104" s="590"/>
      <c r="T104" s="106"/>
      <c r="U104" s="146"/>
      <c r="V104" s="148"/>
      <c r="W104" s="148"/>
      <c r="X104" s="147"/>
      <c r="Y104" s="590"/>
      <c r="Z104" s="106"/>
      <c r="AA104" s="146"/>
      <c r="AB104" s="148"/>
      <c r="AC104" s="148"/>
      <c r="AD104" s="147"/>
      <c r="AE104" s="590"/>
      <c r="AF104" s="106"/>
      <c r="AG104" s="146"/>
      <c r="AH104" s="148"/>
      <c r="AI104" s="148"/>
      <c r="AJ104" s="147"/>
      <c r="AK104" s="590"/>
      <c r="AL104" s="106"/>
      <c r="AM104" s="146"/>
      <c r="AN104" s="148"/>
      <c r="AO104" s="148"/>
      <c r="AP104" s="147"/>
      <c r="AQ104" s="590"/>
      <c r="AR104" s="106"/>
      <c r="AS104" s="146"/>
      <c r="AT104" s="148"/>
      <c r="AU104" s="148"/>
      <c r="AV104" s="147"/>
      <c r="AW104" s="604"/>
      <c r="AX104" s="106"/>
      <c r="AY104" s="146"/>
      <c r="AZ104" s="148"/>
      <c r="BA104" s="148"/>
      <c r="BB104" s="147"/>
      <c r="BC104" s="590"/>
      <c r="BD104" s="106"/>
      <c r="BE104" s="146"/>
      <c r="BF104" s="148"/>
      <c r="BG104" s="148"/>
      <c r="BH104" s="148"/>
      <c r="BI104" s="590"/>
      <c r="BJ104" s="106"/>
      <c r="BK104" s="146"/>
      <c r="BL104" s="148"/>
      <c r="BM104" s="598"/>
      <c r="BN104" s="598"/>
      <c r="BO104" s="590"/>
      <c r="BP104" s="106"/>
      <c r="BQ104" s="146"/>
      <c r="BR104" s="148"/>
      <c r="BS104" s="598"/>
      <c r="BT104" s="598"/>
      <c r="BU104" s="590"/>
      <c r="BV104" s="106"/>
      <c r="BW104" s="597"/>
      <c r="BX104" s="598"/>
      <c r="BY104" s="598"/>
      <c r="BZ104" s="598"/>
      <c r="CA104" s="590"/>
      <c r="CB104" s="106"/>
      <c r="CC104" s="597"/>
      <c r="CD104" s="598"/>
      <c r="CE104" s="598"/>
      <c r="CF104" s="598"/>
      <c r="CG104" s="590"/>
      <c r="CH104" s="106"/>
      <c r="CI104" s="597"/>
      <c r="CJ104" s="598"/>
      <c r="CK104" s="598"/>
      <c r="CL104" s="598"/>
      <c r="CM104" s="590"/>
      <c r="CN104" s="11"/>
      <c r="CO104" s="11"/>
      <c r="CP104" s="11"/>
      <c r="CQ104" s="11"/>
      <c r="CR104" s="11"/>
      <c r="CS104" s="11"/>
      <c r="CT104" s="11"/>
      <c r="CU104" s="11"/>
      <c r="CV104" s="11"/>
      <c r="CW104" s="11"/>
      <c r="CX104" s="11"/>
    </row>
    <row r="105" spans="1:102" s="9" customFormat="1" ht="11.25" hidden="1" customHeight="1" outlineLevel="1" x14ac:dyDescent="0.2">
      <c r="A105" s="12"/>
      <c r="B105" s="606" t="s">
        <v>310</v>
      </c>
      <c r="C105" s="133">
        <v>2.2010000000000001</v>
      </c>
      <c r="D105" s="134">
        <v>2.0529999999999999</v>
      </c>
      <c r="E105" s="134">
        <v>1.7330000000000001</v>
      </c>
      <c r="F105" s="134">
        <v>2.0049999999999999</v>
      </c>
      <c r="G105" s="588">
        <f>+SUM(C105:F105)</f>
        <v>7.992</v>
      </c>
      <c r="H105" s="585"/>
      <c r="I105" s="133">
        <v>1.7250000000000001</v>
      </c>
      <c r="J105" s="134">
        <v>1.7350000000000001</v>
      </c>
      <c r="K105" s="134">
        <v>1.6619999999999999</v>
      </c>
      <c r="L105" s="134">
        <v>1.7370000000000001</v>
      </c>
      <c r="M105" s="588">
        <f>+SUM(I105:L105)</f>
        <v>6.859</v>
      </c>
      <c r="N105" s="585"/>
      <c r="O105" s="133">
        <v>1.923</v>
      </c>
      <c r="P105" s="134">
        <v>2.4249999999999998</v>
      </c>
      <c r="Q105" s="134">
        <v>1.304</v>
      </c>
      <c r="R105" s="134">
        <v>2.2690000000000001</v>
      </c>
      <c r="S105" s="588">
        <f>+SUM(O105:R105)</f>
        <v>7.9210000000000003</v>
      </c>
      <c r="T105" s="585"/>
      <c r="U105" s="133">
        <v>1.83</v>
      </c>
      <c r="V105" s="134">
        <v>1.466</v>
      </c>
      <c r="W105" s="134">
        <v>1.508</v>
      </c>
      <c r="X105" s="134">
        <v>2.677</v>
      </c>
      <c r="Y105" s="588">
        <f>+SUM(U105:X105)</f>
        <v>7.4809999999999999</v>
      </c>
      <c r="Z105" s="585"/>
      <c r="AA105" s="133">
        <v>2.6749999999999998</v>
      </c>
      <c r="AB105" s="134">
        <v>2.1989999999999998</v>
      </c>
      <c r="AC105" s="134">
        <v>1.649</v>
      </c>
      <c r="AD105" s="134">
        <v>3.0249999999999999</v>
      </c>
      <c r="AE105" s="588">
        <f>+SUM(AA105:AD105)</f>
        <v>9.548</v>
      </c>
      <c r="AF105" s="585"/>
      <c r="AG105" s="133">
        <v>2.6589999999999998</v>
      </c>
      <c r="AH105" s="134">
        <v>2.5630000000000002</v>
      </c>
      <c r="AI105" s="134">
        <v>2.2029999999999998</v>
      </c>
      <c r="AJ105" s="134">
        <v>2.9119999999999999</v>
      </c>
      <c r="AK105" s="588">
        <f>+SUM(AG105:AJ105)</f>
        <v>10.337</v>
      </c>
      <c r="AL105" s="585"/>
      <c r="AM105" s="133">
        <v>2.5009999999999999</v>
      </c>
      <c r="AN105" s="134">
        <v>2.6219999999999999</v>
      </c>
      <c r="AO105" s="134">
        <v>2.1949999999999998</v>
      </c>
      <c r="AP105" s="134">
        <v>3.8370000000000002</v>
      </c>
      <c r="AQ105" s="588">
        <f>+SUM(AM105:AP105)</f>
        <v>11.154999999999999</v>
      </c>
      <c r="AR105" s="585"/>
      <c r="AS105" s="133">
        <f>10.043-AT105</f>
        <v>3.4189999999999996</v>
      </c>
      <c r="AT105" s="134">
        <v>6.6239999999999997</v>
      </c>
      <c r="AU105" s="134">
        <v>6.2809999999999997</v>
      </c>
      <c r="AV105" s="134">
        <v>7.7679999999999998</v>
      </c>
      <c r="AW105" s="588">
        <f>+SUM(AS105:AV105)</f>
        <v>24.091999999999999</v>
      </c>
      <c r="AX105" s="585"/>
      <c r="AY105" s="133"/>
      <c r="AZ105" s="134"/>
      <c r="BA105" s="134"/>
      <c r="BB105" s="134"/>
      <c r="BC105" s="588"/>
      <c r="BD105" s="585"/>
      <c r="BE105" s="133"/>
      <c r="BF105" s="134"/>
      <c r="BG105" s="134"/>
      <c r="BH105" s="134"/>
      <c r="BI105" s="588"/>
      <c r="BJ105" s="585"/>
      <c r="BK105" s="133"/>
      <c r="BL105" s="134"/>
      <c r="BM105" s="135"/>
      <c r="BN105" s="135"/>
      <c r="BO105" s="588"/>
      <c r="BP105" s="585"/>
      <c r="BQ105" s="133"/>
      <c r="BR105" s="134"/>
      <c r="BS105" s="135"/>
      <c r="BT105" s="135"/>
      <c r="BU105" s="588"/>
      <c r="BV105" s="585"/>
      <c r="BW105" s="580"/>
      <c r="BX105" s="135"/>
      <c r="BY105" s="135"/>
      <c r="BZ105" s="135"/>
      <c r="CA105" s="588"/>
      <c r="CB105" s="585"/>
      <c r="CC105" s="580"/>
      <c r="CD105" s="135"/>
      <c r="CE105" s="135"/>
      <c r="CF105" s="135"/>
      <c r="CG105" s="588"/>
      <c r="CH105" s="585"/>
      <c r="CI105" s="580"/>
      <c r="CJ105" s="135"/>
      <c r="CK105" s="135"/>
      <c r="CL105" s="135"/>
      <c r="CM105" s="588"/>
      <c r="CN105" s="11"/>
      <c r="CO105" s="11"/>
      <c r="CP105" s="11"/>
      <c r="CQ105" s="11"/>
      <c r="CR105" s="11"/>
      <c r="CS105" s="11"/>
      <c r="CT105" s="11"/>
      <c r="CU105" s="11"/>
      <c r="CV105" s="11"/>
      <c r="CW105" s="11"/>
      <c r="CX105" s="11"/>
    </row>
    <row r="106" spans="1:102" s="31" customFormat="1" ht="11.25" hidden="1" customHeight="1" outlineLevel="1" x14ac:dyDescent="0.2">
      <c r="A106" s="84"/>
      <c r="B106" s="609" t="s">
        <v>261</v>
      </c>
      <c r="C106" s="152"/>
      <c r="D106" s="153"/>
      <c r="E106" s="153"/>
      <c r="F106" s="153"/>
      <c r="G106" s="590"/>
      <c r="H106" s="58"/>
      <c r="I106" s="152">
        <f>I105/C105-1</f>
        <v>-0.21626533393911862</v>
      </c>
      <c r="J106" s="153">
        <f>J105/D105-1</f>
        <v>-0.15489527520701407</v>
      </c>
      <c r="K106" s="153">
        <f>K105/E105-1</f>
        <v>-4.0969417195614644E-2</v>
      </c>
      <c r="L106" s="153">
        <f>L105/F105-1</f>
        <v>-0.13366583541147126</v>
      </c>
      <c r="M106" s="590">
        <f>M105/G105-1</f>
        <v>-0.14176676676676681</v>
      </c>
      <c r="N106" s="58"/>
      <c r="O106" s="152">
        <f>O105/I105-1</f>
        <v>0.11478260869565204</v>
      </c>
      <c r="P106" s="153">
        <f>P105/J105-1</f>
        <v>0.3976945244956771</v>
      </c>
      <c r="Q106" s="153">
        <f>Q105/K105-1</f>
        <v>-0.21540312876052947</v>
      </c>
      <c r="R106" s="153">
        <f>R105/L105-1</f>
        <v>0.30627518710420265</v>
      </c>
      <c r="S106" s="590">
        <f>S105/M105-1</f>
        <v>0.15483306604461289</v>
      </c>
      <c r="T106" s="58"/>
      <c r="U106" s="152">
        <f>U105/O105-1</f>
        <v>-4.8361934477379132E-2</v>
      </c>
      <c r="V106" s="153">
        <f>V105/P105-1</f>
        <v>-0.39546391752577315</v>
      </c>
      <c r="W106" s="153">
        <f>W105/Q105-1</f>
        <v>0.15644171779141103</v>
      </c>
      <c r="X106" s="153">
        <f>X105/R105-1</f>
        <v>0.17981489643014537</v>
      </c>
      <c r="Y106" s="590">
        <f>Y105/S105-1</f>
        <v>-5.5548541850776512E-2</v>
      </c>
      <c r="Z106" s="58"/>
      <c r="AA106" s="152">
        <f>AA105/U105-1</f>
        <v>0.46174863387978116</v>
      </c>
      <c r="AB106" s="153">
        <f>AB105/V105-1</f>
        <v>0.5</v>
      </c>
      <c r="AC106" s="153">
        <f>AC105/W105-1</f>
        <v>9.3501326259946893E-2</v>
      </c>
      <c r="AD106" s="153">
        <f>AD105/X105-1</f>
        <v>0.12999626447515866</v>
      </c>
      <c r="AE106" s="590">
        <f>AE105/Y105-1</f>
        <v>0.27629995989840928</v>
      </c>
      <c r="AF106" s="58"/>
      <c r="AG106" s="152">
        <f>AG105/AA105-1</f>
        <v>-5.981308411214914E-3</v>
      </c>
      <c r="AH106" s="153">
        <f>AH105/AB105-1</f>
        <v>0.16552978626648485</v>
      </c>
      <c r="AI106" s="153">
        <f>AI105/AC105-1</f>
        <v>0.33596118859915092</v>
      </c>
      <c r="AJ106" s="153">
        <f>AJ105/AD105-1</f>
        <v>-3.7355371900826495E-2</v>
      </c>
      <c r="AK106" s="590">
        <f>AK105/AE105-1</f>
        <v>8.2635106828655269E-2</v>
      </c>
      <c r="AL106" s="58"/>
      <c r="AM106" s="152">
        <f>AM105/AG105-1</f>
        <v>-5.9420834900338448E-2</v>
      </c>
      <c r="AN106" s="153">
        <f>AN105/AH105-1</f>
        <v>2.3019898556379204E-2</v>
      </c>
      <c r="AO106" s="153">
        <f>AO105/AI105-1</f>
        <v>-3.6314117113027677E-3</v>
      </c>
      <c r="AP106" s="153">
        <f>AP105/AJ105-1</f>
        <v>0.31765109890109899</v>
      </c>
      <c r="AQ106" s="590">
        <f>AQ105/AK105-1</f>
        <v>7.9133210796169084E-2</v>
      </c>
      <c r="AR106" s="58"/>
      <c r="AS106" s="152">
        <f>AS105/AM105-1</f>
        <v>0.36705317872850851</v>
      </c>
      <c r="AT106" s="153">
        <f>AT105/AN105-1</f>
        <v>1.5263157894736841</v>
      </c>
      <c r="AU106" s="153">
        <f>AU105/AO105-1</f>
        <v>1.8615034168564919</v>
      </c>
      <c r="AV106" s="153">
        <f>AV105/AP105-1</f>
        <v>1.024498305968204</v>
      </c>
      <c r="AW106" s="590">
        <f>AW105/AQ105-1</f>
        <v>1.1597489914836396</v>
      </c>
      <c r="AX106" s="58"/>
      <c r="AY106" s="152"/>
      <c r="AZ106" s="153"/>
      <c r="BA106" s="153"/>
      <c r="BB106" s="153"/>
      <c r="BC106" s="590"/>
      <c r="BD106" s="58"/>
      <c r="BE106" s="152"/>
      <c r="BF106" s="153"/>
      <c r="BG106" s="153"/>
      <c r="BH106" s="153"/>
      <c r="BI106" s="590"/>
      <c r="BJ106" s="58"/>
      <c r="BK106" s="152"/>
      <c r="BL106" s="153"/>
      <c r="BM106" s="153"/>
      <c r="BN106" s="153"/>
      <c r="BO106" s="590"/>
      <c r="BP106" s="58"/>
      <c r="BQ106" s="152"/>
      <c r="BR106" s="153"/>
      <c r="BS106" s="153"/>
      <c r="BT106" s="153"/>
      <c r="BU106" s="590"/>
      <c r="BV106" s="58"/>
      <c r="BW106" s="152"/>
      <c r="BX106" s="153"/>
      <c r="BY106" s="153"/>
      <c r="BZ106" s="153"/>
      <c r="CA106" s="590"/>
      <c r="CB106" s="58"/>
      <c r="CC106" s="152"/>
      <c r="CD106" s="153"/>
      <c r="CE106" s="153"/>
      <c r="CF106" s="153"/>
      <c r="CG106" s="590"/>
      <c r="CH106" s="58"/>
      <c r="CI106" s="152"/>
      <c r="CJ106" s="153"/>
      <c r="CK106" s="153"/>
      <c r="CL106" s="153"/>
      <c r="CM106" s="590"/>
      <c r="CN106" s="11"/>
      <c r="CO106" s="11"/>
      <c r="CP106" s="11"/>
      <c r="CQ106" s="11"/>
      <c r="CR106" s="11"/>
      <c r="CS106" s="11"/>
      <c r="CT106" s="11"/>
      <c r="CU106" s="11"/>
      <c r="CV106" s="11"/>
      <c r="CW106" s="11"/>
      <c r="CX106" s="11"/>
    </row>
    <row r="107" spans="1:102" s="31" customFormat="1" ht="11.25" hidden="1" customHeight="1" outlineLevel="1" x14ac:dyDescent="0.2">
      <c r="A107" s="84"/>
      <c r="B107" s="609" t="s">
        <v>264</v>
      </c>
      <c r="C107" s="146"/>
      <c r="D107" s="148"/>
      <c r="E107" s="148"/>
      <c r="F107" s="147"/>
      <c r="G107" s="590"/>
      <c r="H107" s="106"/>
      <c r="I107" s="146"/>
      <c r="J107" s="148"/>
      <c r="K107" s="148"/>
      <c r="L107" s="147"/>
      <c r="M107" s="590"/>
      <c r="N107" s="106"/>
      <c r="O107" s="146"/>
      <c r="P107" s="148"/>
      <c r="Q107" s="148"/>
      <c r="R107" s="147"/>
      <c r="S107" s="590"/>
      <c r="T107" s="106"/>
      <c r="U107" s="146"/>
      <c r="V107" s="148"/>
      <c r="W107" s="148"/>
      <c r="X107" s="147"/>
      <c r="Y107" s="590"/>
      <c r="Z107" s="106"/>
      <c r="AA107" s="146"/>
      <c r="AB107" s="148"/>
      <c r="AC107" s="148"/>
      <c r="AD107" s="147"/>
      <c r="AE107" s="590"/>
      <c r="AF107" s="106"/>
      <c r="AG107" s="146"/>
      <c r="AH107" s="148"/>
      <c r="AI107" s="148"/>
      <c r="AJ107" s="147"/>
      <c r="AK107" s="590"/>
      <c r="AL107" s="106"/>
      <c r="AM107" s="152"/>
      <c r="AN107" s="153"/>
      <c r="AO107" s="153"/>
      <c r="AP107" s="153"/>
      <c r="AQ107" s="590"/>
      <c r="AR107" s="106"/>
      <c r="AS107" s="152"/>
      <c r="AT107" s="153"/>
      <c r="AU107" s="153"/>
      <c r="AV107" s="153"/>
      <c r="AW107" s="604"/>
      <c r="AX107" s="106"/>
      <c r="AY107" s="146"/>
      <c r="AZ107" s="148"/>
      <c r="BA107" s="148"/>
      <c r="BB107" s="148"/>
      <c r="BC107" s="590"/>
      <c r="BD107" s="106"/>
      <c r="BE107" s="146"/>
      <c r="BF107" s="148"/>
      <c r="BG107" s="148"/>
      <c r="BH107" s="148"/>
      <c r="BI107" s="590"/>
      <c r="BJ107" s="106"/>
      <c r="BK107" s="146"/>
      <c r="BL107" s="148"/>
      <c r="BM107" s="598"/>
      <c r="BN107" s="598"/>
      <c r="BO107" s="590"/>
      <c r="BP107" s="106"/>
      <c r="BQ107" s="146"/>
      <c r="BR107" s="148"/>
      <c r="BS107" s="598"/>
      <c r="BT107" s="598"/>
      <c r="BU107" s="590"/>
      <c r="BV107" s="106"/>
      <c r="BW107" s="597"/>
      <c r="BX107" s="598"/>
      <c r="BY107" s="598"/>
      <c r="BZ107" s="598"/>
      <c r="CA107" s="590"/>
      <c r="CB107" s="106"/>
      <c r="CC107" s="597"/>
      <c r="CD107" s="598"/>
      <c r="CE107" s="598"/>
      <c r="CF107" s="598"/>
      <c r="CG107" s="590"/>
      <c r="CH107" s="106"/>
      <c r="CI107" s="597"/>
      <c r="CJ107" s="598"/>
      <c r="CK107" s="598"/>
      <c r="CL107" s="598"/>
      <c r="CM107" s="590"/>
      <c r="CN107" s="11"/>
      <c r="CO107" s="11"/>
      <c r="CP107" s="11"/>
      <c r="CQ107" s="11"/>
      <c r="CR107" s="11"/>
      <c r="CS107" s="11"/>
      <c r="CT107" s="11"/>
      <c r="CU107" s="11"/>
      <c r="CV107" s="11"/>
      <c r="CW107" s="11"/>
      <c r="CX107" s="11"/>
    </row>
    <row r="108" spans="1:102" s="31" customFormat="1" ht="11.25" hidden="1" customHeight="1" outlineLevel="1" x14ac:dyDescent="0.2">
      <c r="A108" s="84"/>
      <c r="B108" s="609" t="s">
        <v>263</v>
      </c>
      <c r="C108" s="152"/>
      <c r="D108" s="153"/>
      <c r="E108" s="153"/>
      <c r="F108" s="153"/>
      <c r="G108" s="590"/>
      <c r="H108" s="58"/>
      <c r="I108" s="152"/>
      <c r="J108" s="153"/>
      <c r="K108" s="153"/>
      <c r="L108" s="153"/>
      <c r="M108" s="590"/>
      <c r="N108" s="58"/>
      <c r="O108" s="152"/>
      <c r="P108" s="153"/>
      <c r="Q108" s="153"/>
      <c r="R108" s="153"/>
      <c r="S108" s="590"/>
      <c r="T108" s="58"/>
      <c r="U108" s="152"/>
      <c r="V108" s="153"/>
      <c r="W108" s="153"/>
      <c r="X108" s="153"/>
      <c r="Y108" s="590"/>
      <c r="Z108" s="58"/>
      <c r="AA108" s="152"/>
      <c r="AB108" s="153"/>
      <c r="AC108" s="153"/>
      <c r="AD108" s="153"/>
      <c r="AE108" s="590"/>
      <c r="AF108" s="58"/>
      <c r="AG108" s="152"/>
      <c r="AH108" s="153"/>
      <c r="AI108" s="153"/>
      <c r="AJ108" s="153"/>
      <c r="AK108" s="590"/>
      <c r="AL108" s="58"/>
      <c r="AM108" s="146"/>
      <c r="AN108" s="148"/>
      <c r="AO108" s="148"/>
      <c r="AP108" s="148"/>
      <c r="AQ108" s="590"/>
      <c r="AR108" s="58"/>
      <c r="AS108" s="146"/>
      <c r="AT108" s="148"/>
      <c r="AU108" s="148"/>
      <c r="AV108" s="148"/>
      <c r="AW108" s="590"/>
      <c r="AX108" s="58"/>
      <c r="AY108" s="152"/>
      <c r="AZ108" s="153"/>
      <c r="BA108" s="153"/>
      <c r="BB108" s="153"/>
      <c r="BC108" s="590"/>
      <c r="BD108" s="58"/>
      <c r="BE108" s="152"/>
      <c r="BF108" s="153"/>
      <c r="BG108" s="153"/>
      <c r="BH108" s="153"/>
      <c r="BI108" s="590"/>
      <c r="BJ108" s="58"/>
      <c r="BK108" s="152"/>
      <c r="BL108" s="153"/>
      <c r="BM108" s="598"/>
      <c r="BN108" s="598"/>
      <c r="BO108" s="590"/>
      <c r="BP108" s="58"/>
      <c r="BQ108" s="152"/>
      <c r="BR108" s="153"/>
      <c r="BS108" s="598"/>
      <c r="BT108" s="598"/>
      <c r="BU108" s="590"/>
      <c r="BV108" s="58"/>
      <c r="BW108" s="597"/>
      <c r="BX108" s="598"/>
      <c r="BY108" s="598"/>
      <c r="BZ108" s="598"/>
      <c r="CA108" s="590"/>
      <c r="CB108" s="58"/>
      <c r="CC108" s="597"/>
      <c r="CD108" s="598"/>
      <c r="CE108" s="598"/>
      <c r="CF108" s="598"/>
      <c r="CG108" s="590"/>
      <c r="CH108" s="58"/>
      <c r="CI108" s="597"/>
      <c r="CJ108" s="598"/>
      <c r="CK108" s="598"/>
      <c r="CL108" s="598"/>
      <c r="CM108" s="590"/>
      <c r="CN108" s="11"/>
      <c r="CO108" s="11"/>
      <c r="CP108" s="11"/>
      <c r="CQ108" s="11"/>
      <c r="CR108" s="11"/>
      <c r="CS108" s="11"/>
      <c r="CT108" s="11"/>
      <c r="CU108" s="11"/>
      <c r="CV108" s="11"/>
      <c r="CW108" s="11"/>
      <c r="CX108" s="11"/>
    </row>
    <row r="109" spans="1:102" s="31" customFormat="1" ht="11.25" hidden="1" customHeight="1" outlineLevel="1" x14ac:dyDescent="0.2">
      <c r="A109" s="84"/>
      <c r="B109" s="609" t="s">
        <v>262</v>
      </c>
      <c r="C109" s="146"/>
      <c r="D109" s="148"/>
      <c r="E109" s="148"/>
      <c r="F109" s="147"/>
      <c r="G109" s="604"/>
      <c r="H109" s="58"/>
      <c r="I109" s="146"/>
      <c r="J109" s="148"/>
      <c r="K109" s="148"/>
      <c r="L109" s="147"/>
      <c r="M109" s="604"/>
      <c r="N109" s="58"/>
      <c r="O109" s="146"/>
      <c r="P109" s="148"/>
      <c r="Q109" s="148"/>
      <c r="R109" s="147"/>
      <c r="S109" s="604"/>
      <c r="T109" s="58"/>
      <c r="U109" s="146"/>
      <c r="V109" s="148"/>
      <c r="W109" s="148"/>
      <c r="X109" s="147"/>
      <c r="Y109" s="604"/>
      <c r="Z109" s="58"/>
      <c r="AA109" s="146"/>
      <c r="AB109" s="148"/>
      <c r="AC109" s="148"/>
      <c r="AD109" s="147"/>
      <c r="AE109" s="604"/>
      <c r="AF109" s="58"/>
      <c r="AG109" s="146"/>
      <c r="AH109" s="148"/>
      <c r="AI109" s="148"/>
      <c r="AJ109" s="147"/>
      <c r="AK109" s="604"/>
      <c r="AL109" s="58"/>
      <c r="AM109" s="146"/>
      <c r="AN109" s="148"/>
      <c r="AO109" s="148"/>
      <c r="AP109" s="148"/>
      <c r="AQ109" s="604"/>
      <c r="AR109" s="58"/>
      <c r="AS109" s="146"/>
      <c r="AT109" s="148"/>
      <c r="AU109" s="148"/>
      <c r="AV109" s="148"/>
      <c r="AW109" s="604"/>
      <c r="AX109" s="58"/>
      <c r="AY109" s="146"/>
      <c r="AZ109" s="148"/>
      <c r="BA109" s="148"/>
      <c r="BB109" s="148"/>
      <c r="BC109" s="590"/>
      <c r="BD109" s="58"/>
      <c r="BE109" s="146"/>
      <c r="BF109" s="148"/>
      <c r="BG109" s="148"/>
      <c r="BH109" s="148"/>
      <c r="BI109" s="590"/>
      <c r="BJ109" s="58"/>
      <c r="BK109" s="146"/>
      <c r="BL109" s="148"/>
      <c r="BM109" s="598"/>
      <c r="BN109" s="598"/>
      <c r="BO109" s="590"/>
      <c r="BP109" s="58"/>
      <c r="BQ109" s="146"/>
      <c r="BR109" s="148"/>
      <c r="BS109" s="598"/>
      <c r="BT109" s="598"/>
      <c r="BU109" s="590"/>
      <c r="BV109" s="58"/>
      <c r="BW109" s="597"/>
      <c r="BX109" s="598"/>
      <c r="BY109" s="598"/>
      <c r="BZ109" s="598"/>
      <c r="CA109" s="590"/>
      <c r="CB109" s="58"/>
      <c r="CC109" s="597"/>
      <c r="CD109" s="598"/>
      <c r="CE109" s="598"/>
      <c r="CF109" s="598"/>
      <c r="CG109" s="590"/>
      <c r="CH109" s="58"/>
      <c r="CI109" s="597"/>
      <c r="CJ109" s="598"/>
      <c r="CK109" s="598"/>
      <c r="CL109" s="598"/>
      <c r="CM109" s="590"/>
      <c r="CN109" s="11"/>
      <c r="CO109" s="11"/>
      <c r="CP109" s="11"/>
      <c r="CQ109" s="11"/>
      <c r="CR109" s="11"/>
      <c r="CS109" s="11"/>
      <c r="CT109" s="11"/>
      <c r="CU109" s="11"/>
      <c r="CV109" s="11"/>
      <c r="CW109" s="11"/>
      <c r="CX109" s="11"/>
    </row>
    <row r="110" spans="1:102" s="31" customFormat="1" ht="11.25" hidden="1" customHeight="1" outlineLevel="1" x14ac:dyDescent="0.2">
      <c r="A110" s="84"/>
      <c r="B110" s="610" t="s">
        <v>265</v>
      </c>
      <c r="C110" s="152"/>
      <c r="D110" s="153"/>
      <c r="E110" s="153"/>
      <c r="F110" s="153"/>
      <c r="G110" s="590"/>
      <c r="H110" s="577"/>
      <c r="I110" s="152"/>
      <c r="J110" s="153"/>
      <c r="K110" s="153"/>
      <c r="L110" s="153"/>
      <c r="M110" s="590"/>
      <c r="N110" s="577"/>
      <c r="O110" s="152"/>
      <c r="P110" s="153"/>
      <c r="Q110" s="153"/>
      <c r="R110" s="153"/>
      <c r="S110" s="590"/>
      <c r="T110" s="577"/>
      <c r="U110" s="152"/>
      <c r="V110" s="153"/>
      <c r="W110" s="153"/>
      <c r="X110" s="153"/>
      <c r="Y110" s="590"/>
      <c r="Z110" s="577"/>
      <c r="AA110" s="152"/>
      <c r="AB110" s="153"/>
      <c r="AC110" s="153"/>
      <c r="AD110" s="153"/>
      <c r="AE110" s="590"/>
      <c r="AF110" s="577"/>
      <c r="AG110" s="152"/>
      <c r="AH110" s="153"/>
      <c r="AI110" s="153"/>
      <c r="AJ110" s="153"/>
      <c r="AK110" s="590"/>
      <c r="AL110" s="577"/>
      <c r="AM110" s="152"/>
      <c r="AN110" s="153"/>
      <c r="AO110" s="153"/>
      <c r="AP110" s="153"/>
      <c r="AQ110" s="590"/>
      <c r="AR110" s="577"/>
      <c r="AS110" s="152"/>
      <c r="AT110" s="153"/>
      <c r="AU110" s="153"/>
      <c r="AV110" s="153"/>
      <c r="AW110" s="590"/>
      <c r="AX110" s="577"/>
      <c r="AY110" s="152"/>
      <c r="AZ110" s="153"/>
      <c r="BA110" s="153"/>
      <c r="BB110" s="153"/>
      <c r="BC110" s="590"/>
      <c r="BD110" s="577"/>
      <c r="BE110" s="152"/>
      <c r="BF110" s="153"/>
      <c r="BG110" s="153"/>
      <c r="BH110" s="153"/>
      <c r="BI110" s="590"/>
      <c r="BJ110" s="577"/>
      <c r="BK110" s="152"/>
      <c r="BL110" s="153"/>
      <c r="BM110" s="153"/>
      <c r="BN110" s="153"/>
      <c r="BO110" s="590"/>
      <c r="BP110" s="577"/>
      <c r="BQ110" s="152"/>
      <c r="BR110" s="153"/>
      <c r="BS110" s="153"/>
      <c r="BT110" s="153"/>
      <c r="BU110" s="590"/>
      <c r="BV110" s="577"/>
      <c r="BW110" s="152"/>
      <c r="BX110" s="153"/>
      <c r="BY110" s="153"/>
      <c r="BZ110" s="153"/>
      <c r="CA110" s="590"/>
      <c r="CB110" s="577"/>
      <c r="CC110" s="152"/>
      <c r="CD110" s="153"/>
      <c r="CE110" s="153"/>
      <c r="CF110" s="153"/>
      <c r="CG110" s="590"/>
      <c r="CH110" s="577"/>
      <c r="CI110" s="152"/>
      <c r="CJ110" s="153"/>
      <c r="CK110" s="153"/>
      <c r="CL110" s="153"/>
      <c r="CM110" s="590"/>
      <c r="CN110" s="11"/>
      <c r="CO110" s="11"/>
      <c r="CP110" s="11"/>
      <c r="CQ110" s="11"/>
      <c r="CR110" s="11"/>
      <c r="CS110" s="11"/>
      <c r="CT110" s="11"/>
      <c r="CU110" s="11"/>
      <c r="CV110" s="11"/>
      <c r="CW110" s="11"/>
      <c r="CX110" s="11"/>
    </row>
    <row r="111" spans="1:102" s="31" customFormat="1" ht="11.25" hidden="1" customHeight="1" outlineLevel="1" x14ac:dyDescent="0.2">
      <c r="A111" s="84"/>
      <c r="B111" s="610"/>
      <c r="C111" s="152"/>
      <c r="D111" s="153"/>
      <c r="E111" s="153"/>
      <c r="F111" s="153"/>
      <c r="G111" s="590"/>
      <c r="H111" s="577"/>
      <c r="I111" s="152"/>
      <c r="J111" s="153"/>
      <c r="K111" s="153"/>
      <c r="L111" s="153"/>
      <c r="M111" s="590"/>
      <c r="N111" s="577"/>
      <c r="O111" s="152"/>
      <c r="P111" s="153"/>
      <c r="Q111" s="153"/>
      <c r="R111" s="153"/>
      <c r="S111" s="590"/>
      <c r="T111" s="577"/>
      <c r="U111" s="152"/>
      <c r="V111" s="153"/>
      <c r="W111" s="153"/>
      <c r="X111" s="153"/>
      <c r="Y111" s="590"/>
      <c r="Z111" s="577"/>
      <c r="AA111" s="152"/>
      <c r="AB111" s="153"/>
      <c r="AC111" s="153"/>
      <c r="AD111" s="153"/>
      <c r="AE111" s="590"/>
      <c r="AF111" s="577"/>
      <c r="AG111" s="152"/>
      <c r="AH111" s="153"/>
      <c r="AI111" s="153"/>
      <c r="AJ111" s="153"/>
      <c r="AK111" s="590"/>
      <c r="AL111" s="577"/>
      <c r="AM111" s="152"/>
      <c r="AN111" s="153"/>
      <c r="AO111" s="153"/>
      <c r="AP111" s="153"/>
      <c r="AQ111" s="590"/>
      <c r="AR111" s="577"/>
      <c r="AS111" s="152"/>
      <c r="AT111" s="153"/>
      <c r="AU111" s="153"/>
      <c r="AV111" s="153"/>
      <c r="AW111" s="590"/>
      <c r="AX111" s="577"/>
      <c r="AY111" s="152"/>
      <c r="AZ111" s="153"/>
      <c r="BA111" s="153"/>
      <c r="BB111" s="153"/>
      <c r="BC111" s="590"/>
      <c r="BD111" s="577"/>
      <c r="BE111" s="152"/>
      <c r="BF111" s="153"/>
      <c r="BG111" s="153"/>
      <c r="BH111" s="153"/>
      <c r="BI111" s="590"/>
      <c r="BJ111" s="577"/>
      <c r="BK111" s="152"/>
      <c r="BL111" s="153"/>
      <c r="BM111" s="153"/>
      <c r="BN111" s="153"/>
      <c r="BO111" s="590"/>
      <c r="BP111" s="577"/>
      <c r="BQ111" s="152"/>
      <c r="BR111" s="153"/>
      <c r="BS111" s="153"/>
      <c r="BT111" s="153"/>
      <c r="BU111" s="590"/>
      <c r="BV111" s="577"/>
      <c r="BW111" s="152"/>
      <c r="BX111" s="153"/>
      <c r="BY111" s="153"/>
      <c r="BZ111" s="153"/>
      <c r="CA111" s="590"/>
      <c r="CB111" s="577"/>
      <c r="CC111" s="152"/>
      <c r="CD111" s="153"/>
      <c r="CE111" s="153"/>
      <c r="CF111" s="153"/>
      <c r="CG111" s="590"/>
      <c r="CH111" s="577"/>
      <c r="CI111" s="152"/>
      <c r="CJ111" s="153"/>
      <c r="CK111" s="153"/>
      <c r="CL111" s="153"/>
      <c r="CM111" s="590"/>
      <c r="CN111" s="11"/>
      <c r="CO111" s="11"/>
      <c r="CP111" s="11"/>
      <c r="CQ111" s="11"/>
      <c r="CR111" s="11"/>
      <c r="CS111" s="11"/>
      <c r="CT111" s="11"/>
      <c r="CU111" s="11"/>
      <c r="CV111" s="11"/>
      <c r="CW111" s="11"/>
      <c r="CX111" s="11"/>
    </row>
    <row r="112" spans="1:102" s="9" customFormat="1" ht="11.25" hidden="1" customHeight="1" outlineLevel="1" x14ac:dyDescent="0.2">
      <c r="A112" s="12"/>
      <c r="B112" s="611" t="s">
        <v>356</v>
      </c>
      <c r="C112" s="581">
        <f>C91+C98+C105</f>
        <v>100.11399999999999</v>
      </c>
      <c r="D112" s="149">
        <f>D91+D98+D105</f>
        <v>95.362000000000009</v>
      </c>
      <c r="E112" s="149">
        <f>E91+E98+E105</f>
        <v>94.263000000000005</v>
      </c>
      <c r="F112" s="149">
        <f>F91+F98+F105</f>
        <v>109.687</v>
      </c>
      <c r="G112" s="591">
        <f>+SUM(C112:F112)</f>
        <v>399.42600000000004</v>
      </c>
      <c r="H112" s="585"/>
      <c r="I112" s="581">
        <f>I91+I98+I105</f>
        <v>110.414</v>
      </c>
      <c r="J112" s="149">
        <f>J91+J98+J105</f>
        <v>108.92399999999999</v>
      </c>
      <c r="K112" s="149">
        <f>K91+K98+K105</f>
        <v>107.62</v>
      </c>
      <c r="L112" s="149">
        <f>L91+L98+L105</f>
        <v>119.46899999999999</v>
      </c>
      <c r="M112" s="591">
        <f>+SUM(I112:L112)</f>
        <v>446.42699999999996</v>
      </c>
      <c r="N112" s="585"/>
      <c r="O112" s="581">
        <f>O91+O98+O105</f>
        <v>123.274</v>
      </c>
      <c r="P112" s="149">
        <f>P91+P98+P105</f>
        <v>123.589</v>
      </c>
      <c r="Q112" s="149">
        <f>Q91+Q98+Q105</f>
        <v>145.27199999999999</v>
      </c>
      <c r="R112" s="149">
        <f>R91+R98+R105</f>
        <v>158.51400000000001</v>
      </c>
      <c r="S112" s="591">
        <f>+SUM(O112:R112)</f>
        <v>550.649</v>
      </c>
      <c r="T112" s="585"/>
      <c r="U112" s="581">
        <f>U91+U98+U105</f>
        <v>169.18100000000001</v>
      </c>
      <c r="V112" s="149">
        <f>V91+V98+V105</f>
        <v>160.654</v>
      </c>
      <c r="W112" s="149">
        <f>W91+W98+W105</f>
        <v>151.77099999999999</v>
      </c>
      <c r="X112" s="149">
        <f>X91+X98+X105</f>
        <v>161.97799999999998</v>
      </c>
      <c r="Y112" s="591">
        <f>+SUM(U112:X112)</f>
        <v>643.58399999999995</v>
      </c>
      <c r="Z112" s="585"/>
      <c r="AA112" s="581">
        <f>AA91+AA98+AA105</f>
        <v>179.63500000000002</v>
      </c>
      <c r="AB112" s="149">
        <f>AB91+AB98+AB105</f>
        <v>161.578</v>
      </c>
      <c r="AC112" s="149">
        <f>AC91+AC98+AC105</f>
        <v>149.726</v>
      </c>
      <c r="AD112" s="149">
        <f>AD91+AD98+AD105</f>
        <v>183.94300000000001</v>
      </c>
      <c r="AE112" s="591">
        <f>+SUM(AA112:AD112)</f>
        <v>674.88200000000006</v>
      </c>
      <c r="AF112" s="585"/>
      <c r="AG112" s="581">
        <f>AG91+AG98+AG105</f>
        <v>179.60300000000001</v>
      </c>
      <c r="AH112" s="149">
        <f>AH91+AH98+AH105</f>
        <v>172.7</v>
      </c>
      <c r="AI112" s="149">
        <f>AI91+AI98+AI105</f>
        <v>174.643</v>
      </c>
      <c r="AJ112" s="149">
        <f>AJ91+AJ98+AJ105</f>
        <v>207.5</v>
      </c>
      <c r="AK112" s="591">
        <f>+SUM(AG112:AJ112)</f>
        <v>734.44600000000003</v>
      </c>
      <c r="AL112" s="585"/>
      <c r="AM112" s="581">
        <f>AM91+AM98+AM105</f>
        <v>191.09</v>
      </c>
      <c r="AN112" s="149">
        <f>AN91+AN98+AN105</f>
        <v>184.375</v>
      </c>
      <c r="AO112" s="149">
        <f>AO91+AO98+AO105</f>
        <v>175.40799999999999</v>
      </c>
      <c r="AP112" s="149">
        <f>AP91+AP98+AP105</f>
        <v>204.37199999999999</v>
      </c>
      <c r="AQ112" s="591">
        <f>+SUM(AM112:AP112)</f>
        <v>755.245</v>
      </c>
      <c r="AR112" s="585"/>
      <c r="AS112" s="581">
        <f>AS91+AS98+AS105</f>
        <v>199.68300000000002</v>
      </c>
      <c r="AT112" s="149">
        <f>AT91+AT98+AT105</f>
        <v>308.12</v>
      </c>
      <c r="AU112" s="149">
        <f>AU91+AU98+AU105</f>
        <v>333.40199999999999</v>
      </c>
      <c r="AV112" s="149">
        <f>AV91+AV98+AV105</f>
        <v>361.83899999999994</v>
      </c>
      <c r="AW112" s="591">
        <f>+SUM(AS112:AV112)</f>
        <v>1203.0439999999999</v>
      </c>
      <c r="AX112" s="585"/>
      <c r="AY112" s="581"/>
      <c r="AZ112" s="149"/>
      <c r="BA112" s="149"/>
      <c r="BB112" s="149"/>
      <c r="BC112" s="591"/>
      <c r="BD112" s="585"/>
      <c r="BE112" s="581"/>
      <c r="BF112" s="149"/>
      <c r="BG112" s="149"/>
      <c r="BH112" s="149"/>
      <c r="BI112" s="591"/>
      <c r="BJ112" s="585"/>
      <c r="BK112" s="581"/>
      <c r="BL112" s="149"/>
      <c r="BM112" s="149"/>
      <c r="BN112" s="149"/>
      <c r="BO112" s="591"/>
      <c r="BP112" s="585"/>
      <c r="BQ112" s="581"/>
      <c r="BR112" s="149"/>
      <c r="BS112" s="149"/>
      <c r="BT112" s="149"/>
      <c r="BU112" s="591"/>
      <c r="BV112" s="585"/>
      <c r="BW112" s="581"/>
      <c r="BX112" s="149"/>
      <c r="BY112" s="149"/>
      <c r="BZ112" s="149"/>
      <c r="CA112" s="591"/>
      <c r="CB112" s="585"/>
      <c r="CC112" s="581"/>
      <c r="CD112" s="149"/>
      <c r="CE112" s="149"/>
      <c r="CF112" s="149"/>
      <c r="CG112" s="591"/>
      <c r="CH112" s="585"/>
      <c r="CI112" s="581"/>
      <c r="CJ112" s="149"/>
      <c r="CK112" s="149"/>
      <c r="CL112" s="149"/>
      <c r="CM112" s="591"/>
      <c r="CN112" s="11"/>
      <c r="CO112" s="11"/>
      <c r="CP112" s="11"/>
      <c r="CQ112" s="11"/>
      <c r="CR112" s="11"/>
      <c r="CS112" s="11"/>
      <c r="CT112" s="11"/>
      <c r="CU112" s="11"/>
      <c r="CV112" s="11"/>
      <c r="CW112" s="11"/>
      <c r="CX112" s="11"/>
    </row>
    <row r="113" spans="1:102" s="31" customFormat="1" ht="11.25" hidden="1" customHeight="1" outlineLevel="1" x14ac:dyDescent="0.2">
      <c r="A113" s="84"/>
      <c r="B113" s="609" t="s">
        <v>261</v>
      </c>
      <c r="C113" s="152"/>
      <c r="D113" s="153"/>
      <c r="E113" s="153"/>
      <c r="F113" s="153"/>
      <c r="G113" s="590"/>
      <c r="H113" s="58"/>
      <c r="I113" s="152">
        <f>I112/C112-1</f>
        <v>0.10288271370637481</v>
      </c>
      <c r="J113" s="153">
        <f>J112/D112-1</f>
        <v>0.14221597701390465</v>
      </c>
      <c r="K113" s="153">
        <f>K112/E112-1</f>
        <v>0.14169928816184507</v>
      </c>
      <c r="L113" s="153">
        <f>L112/F112-1</f>
        <v>8.9181033303855406E-2</v>
      </c>
      <c r="M113" s="590">
        <f>M112/G112-1</f>
        <v>0.11767135839930276</v>
      </c>
      <c r="N113" s="58"/>
      <c r="O113" s="152">
        <f>O112/I112-1</f>
        <v>0.11647073740648839</v>
      </c>
      <c r="P113" s="153">
        <f>P112/J112-1</f>
        <v>0.13463515845910923</v>
      </c>
      <c r="Q113" s="153">
        <f>Q112/K112-1</f>
        <v>0.34986062070247148</v>
      </c>
      <c r="R113" s="153">
        <f>R112/L112-1</f>
        <v>0.32682118373804103</v>
      </c>
      <c r="S113" s="590">
        <f>S112/M112-1</f>
        <v>0.23345810177251836</v>
      </c>
      <c r="T113" s="58"/>
      <c r="U113" s="152">
        <f>U112/O112-1</f>
        <v>0.37239807258627122</v>
      </c>
      <c r="V113" s="153">
        <f>V112/P112-1</f>
        <v>0.29990533138062458</v>
      </c>
      <c r="W113" s="153">
        <f>W112/Q112-1</f>
        <v>4.4736769645905561E-2</v>
      </c>
      <c r="X113" s="153">
        <f>X112/R112-1</f>
        <v>2.1852959360056268E-2</v>
      </c>
      <c r="Y113" s="590">
        <f>Y112/S112-1</f>
        <v>0.1687735744548704</v>
      </c>
      <c r="Z113" s="58"/>
      <c r="AA113" s="152">
        <f>AA112/U112-1</f>
        <v>6.1791808772852841E-2</v>
      </c>
      <c r="AB113" s="153">
        <f>AB112/V112-1</f>
        <v>5.7514907814308902E-3</v>
      </c>
      <c r="AC113" s="153">
        <f>AC112/W112-1</f>
        <v>-1.3474247385864113E-2</v>
      </c>
      <c r="AD113" s="153">
        <f>AD112/X112-1</f>
        <v>0.13560483522453692</v>
      </c>
      <c r="AE113" s="590">
        <f>AE112/Y112-1</f>
        <v>4.8630792561654923E-2</v>
      </c>
      <c r="AF113" s="58"/>
      <c r="AG113" s="152">
        <f>AG112/AA112-1</f>
        <v>-1.7813900409169303E-4</v>
      </c>
      <c r="AH113" s="153">
        <f>AH112/AB112-1</f>
        <v>6.8833628340491781E-2</v>
      </c>
      <c r="AI113" s="153">
        <f>AI112/AC112-1</f>
        <v>0.16641732230875061</v>
      </c>
      <c r="AJ113" s="153">
        <f>AJ112/AD112-1</f>
        <v>0.12806684679493086</v>
      </c>
      <c r="AK113" s="590">
        <f>AK112/AE112-1</f>
        <v>8.8258391837387817E-2</v>
      </c>
      <c r="AL113" s="58"/>
      <c r="AM113" s="152">
        <f>AM112/AG112-1</f>
        <v>6.395772899116392E-2</v>
      </c>
      <c r="AN113" s="153">
        <f>AN112/AH112-1</f>
        <v>6.7602779386218836E-2</v>
      </c>
      <c r="AO113" s="153">
        <f>AO112/AI112-1</f>
        <v>4.3803645150390924E-3</v>
      </c>
      <c r="AP113" s="153">
        <f>AP112/AJ112-1</f>
        <v>-1.5074698795180752E-2</v>
      </c>
      <c r="AQ113" s="590">
        <f>AQ112/AK112-1</f>
        <v>2.8319304618719343E-2</v>
      </c>
      <c r="AR113" s="58"/>
      <c r="AS113" s="152">
        <f>AS112/AM112-1</f>
        <v>4.4968339525877976E-2</v>
      </c>
      <c r="AT113" s="153">
        <f>AT112/AN112-1</f>
        <v>0.67115932203389828</v>
      </c>
      <c r="AU113" s="153">
        <f>AU112/AO112-1</f>
        <v>0.900722886071331</v>
      </c>
      <c r="AV113" s="153">
        <f>AV112/AP112-1</f>
        <v>0.77049204391991055</v>
      </c>
      <c r="AW113" s="590">
        <f>AW112/AQ112-1</f>
        <v>0.59291885414666745</v>
      </c>
      <c r="AX113" s="58"/>
      <c r="AY113" s="152"/>
      <c r="AZ113" s="153"/>
      <c r="BA113" s="153"/>
      <c r="BB113" s="153"/>
      <c r="BC113" s="590"/>
      <c r="BD113" s="58"/>
      <c r="BE113" s="152"/>
      <c r="BF113" s="153"/>
      <c r="BG113" s="153"/>
      <c r="BH113" s="153"/>
      <c r="BI113" s="590"/>
      <c r="BJ113" s="58"/>
      <c r="BK113" s="152"/>
      <c r="BL113" s="153"/>
      <c r="BM113" s="153"/>
      <c r="BN113" s="153"/>
      <c r="BO113" s="590"/>
      <c r="BP113" s="58"/>
      <c r="BQ113" s="152"/>
      <c r="BR113" s="153"/>
      <c r="BS113" s="153"/>
      <c r="BT113" s="153"/>
      <c r="BU113" s="590"/>
      <c r="BV113" s="58"/>
      <c r="BW113" s="152"/>
      <c r="BX113" s="153"/>
      <c r="BY113" s="153"/>
      <c r="BZ113" s="153"/>
      <c r="CA113" s="590"/>
      <c r="CB113" s="58"/>
      <c r="CC113" s="152"/>
      <c r="CD113" s="153"/>
      <c r="CE113" s="153"/>
      <c r="CF113" s="153"/>
      <c r="CG113" s="590"/>
      <c r="CH113" s="58"/>
      <c r="CI113" s="152"/>
      <c r="CJ113" s="153"/>
      <c r="CK113" s="153"/>
      <c r="CL113" s="153"/>
      <c r="CM113" s="590"/>
      <c r="CN113" s="11"/>
      <c r="CO113" s="11"/>
      <c r="CP113" s="11"/>
      <c r="CQ113" s="11"/>
      <c r="CR113" s="11"/>
      <c r="CS113" s="11"/>
      <c r="CT113" s="11"/>
      <c r="CU113" s="11"/>
      <c r="CV113" s="11"/>
      <c r="CW113" s="11"/>
      <c r="CX113" s="11"/>
    </row>
    <row r="114" spans="1:102" s="31" customFormat="1" ht="11.25" hidden="1" customHeight="1" outlineLevel="1" x14ac:dyDescent="0.2">
      <c r="A114" s="84"/>
      <c r="B114" s="609" t="s">
        <v>264</v>
      </c>
      <c r="C114" s="146"/>
      <c r="D114" s="148"/>
      <c r="E114" s="148"/>
      <c r="F114" s="147"/>
      <c r="G114" s="604"/>
      <c r="H114" s="106"/>
      <c r="I114" s="146">
        <v>0.10299999999999999</v>
      </c>
      <c r="J114" s="148">
        <v>0.14199999999999999</v>
      </c>
      <c r="K114" s="148">
        <v>0.14199999999999999</v>
      </c>
      <c r="L114" s="153">
        <f>((M114*G112)-((I114*C112+J114*D112+K114*E112)))/F112</f>
        <v>9.0200078404915826E-2</v>
      </c>
      <c r="M114" s="604">
        <v>0.11799999999999999</v>
      </c>
      <c r="N114" s="106"/>
      <c r="O114" s="146">
        <v>0.11600000000000001</v>
      </c>
      <c r="P114" s="148">
        <v>0.13500000000000001</v>
      </c>
      <c r="Q114" s="148">
        <v>0.35</v>
      </c>
      <c r="R114" s="153">
        <f>((S114*M112)-((O114*I112+P114*J112+Q114*K112)))/L112</f>
        <v>0.32508623157471805</v>
      </c>
      <c r="S114" s="604">
        <v>0.23300000000000001</v>
      </c>
      <c r="T114" s="106"/>
      <c r="U114" s="146">
        <v>0.372</v>
      </c>
      <c r="V114" s="148">
        <v>0.3</v>
      </c>
      <c r="W114" s="148">
        <v>4.4999999999999998E-2</v>
      </c>
      <c r="X114" s="153">
        <f>((Y114*S112)-((U114*O112+V114*P112+W114*Q112)))/R112</f>
        <v>2.2634044942402634E-2</v>
      </c>
      <c r="Y114" s="604">
        <v>0.16900000000000001</v>
      </c>
      <c r="Z114" s="106"/>
      <c r="AA114" s="146">
        <v>6.2E-2</v>
      </c>
      <c r="AB114" s="148">
        <v>6.0000000000000001E-3</v>
      </c>
      <c r="AC114" s="148">
        <v>-1.2999999999999999E-2</v>
      </c>
      <c r="AD114" s="153">
        <f>((AE114*Y112)-((AA114*U112+AB114*V112+AC114*W112)))/X112</f>
        <v>0.13616350985936362</v>
      </c>
      <c r="AE114" s="604">
        <v>4.9000000000000002E-2</v>
      </c>
      <c r="AF114" s="106"/>
      <c r="AG114" s="146">
        <v>0</v>
      </c>
      <c r="AH114" s="148">
        <v>6.9000000000000006E-2</v>
      </c>
      <c r="AI114" s="148">
        <v>0.16600000000000001</v>
      </c>
      <c r="AJ114" s="153">
        <f>((AK114*AE112)-((AG114*AA112+AH114*AB112+AI114*AC112)))/AD112</f>
        <v>0.12713839613358485</v>
      </c>
      <c r="AK114" s="604">
        <v>8.7999999999999995E-2</v>
      </c>
      <c r="AL114" s="106"/>
      <c r="AM114" s="146">
        <v>6.4000000000000001E-2</v>
      </c>
      <c r="AN114" s="148">
        <v>6.8000000000000005E-2</v>
      </c>
      <c r="AO114" s="148">
        <v>4.0000000000000001E-3</v>
      </c>
      <c r="AP114" s="153">
        <f>((AQ114*AK112)-((AM114*AG112+AN114*AH112+AO114*AI112)))/AJ112</f>
        <v>-1.6251932530120479E-2</v>
      </c>
      <c r="AQ114" s="604">
        <v>2.8000000000000001E-2</v>
      </c>
      <c r="AR114" s="106"/>
      <c r="AS114" s="146">
        <v>4.4999999999999998E-2</v>
      </c>
      <c r="AT114" s="148">
        <v>0.67100000000000004</v>
      </c>
      <c r="AU114" s="148">
        <v>0.90100000000000002</v>
      </c>
      <c r="AV114" s="153">
        <f>((AW114*AQ112)-((AS114*AM112+AT114*AN112+AU114*AO112)))/AP112</f>
        <v>0.77066820308065676</v>
      </c>
      <c r="AW114" s="604">
        <v>0.59299999999999997</v>
      </c>
      <c r="AX114" s="106"/>
      <c r="AY114" s="152"/>
      <c r="AZ114" s="153"/>
      <c r="BA114" s="153"/>
      <c r="BB114" s="153"/>
      <c r="BC114" s="590"/>
      <c r="BD114" s="106"/>
      <c r="BE114" s="152"/>
      <c r="BF114" s="153"/>
      <c r="BG114" s="153"/>
      <c r="BH114" s="153"/>
      <c r="BI114" s="590"/>
      <c r="BJ114" s="106"/>
      <c r="BK114" s="152"/>
      <c r="BL114" s="153"/>
      <c r="BM114" s="598"/>
      <c r="BN114" s="598"/>
      <c r="BO114" s="590"/>
      <c r="BP114" s="106"/>
      <c r="BQ114" s="152"/>
      <c r="BR114" s="153"/>
      <c r="BS114" s="598"/>
      <c r="BT114" s="598"/>
      <c r="BU114" s="590"/>
      <c r="BV114" s="106"/>
      <c r="BW114" s="597"/>
      <c r="BX114" s="598"/>
      <c r="BY114" s="598"/>
      <c r="BZ114" s="598"/>
      <c r="CA114" s="590"/>
      <c r="CB114" s="106"/>
      <c r="CC114" s="597"/>
      <c r="CD114" s="598"/>
      <c r="CE114" s="598"/>
      <c r="CF114" s="598"/>
      <c r="CG114" s="590"/>
      <c r="CH114" s="106"/>
      <c r="CI114" s="597"/>
      <c r="CJ114" s="598"/>
      <c r="CK114" s="598"/>
      <c r="CL114" s="598"/>
      <c r="CM114" s="590"/>
      <c r="CN114" s="11"/>
      <c r="CO114" s="11"/>
      <c r="CP114" s="11"/>
      <c r="CQ114" s="11"/>
      <c r="CR114" s="11"/>
      <c r="CS114" s="11"/>
      <c r="CT114" s="11"/>
      <c r="CU114" s="11"/>
      <c r="CV114" s="11"/>
      <c r="CW114" s="11"/>
      <c r="CX114" s="11"/>
    </row>
    <row r="115" spans="1:102" s="31" customFormat="1" ht="11.25" hidden="1" customHeight="1" outlineLevel="1" x14ac:dyDescent="0.2">
      <c r="A115" s="84"/>
      <c r="B115" s="609" t="s">
        <v>263</v>
      </c>
      <c r="C115" s="152"/>
      <c r="D115" s="153"/>
      <c r="E115" s="153"/>
      <c r="F115" s="153"/>
      <c r="G115" s="590"/>
      <c r="H115" s="58"/>
      <c r="I115" s="152">
        <f>I113-I114</f>
        <v>-1.1728629362518783E-4</v>
      </c>
      <c r="J115" s="153">
        <f>J113-J114</f>
        <v>2.1597701390466129E-4</v>
      </c>
      <c r="K115" s="153">
        <f>K113-K114</f>
        <v>-3.0071183815491564E-4</v>
      </c>
      <c r="L115" s="153">
        <f>L113-L114</f>
        <v>-1.0190451010604201E-3</v>
      </c>
      <c r="M115" s="590">
        <f>M113-M114</f>
        <v>-3.2864160069723258E-4</v>
      </c>
      <c r="N115" s="58"/>
      <c r="O115" s="152">
        <f>O113-O114</f>
        <v>4.7073740648838347E-4</v>
      </c>
      <c r="P115" s="153">
        <f>P113-P114</f>
        <v>-3.6484154089078125E-4</v>
      </c>
      <c r="Q115" s="153">
        <f>Q113-Q114</f>
        <v>-1.3937929752849687E-4</v>
      </c>
      <c r="R115" s="153">
        <f>R113-R114</f>
        <v>1.7349521633229781E-3</v>
      </c>
      <c r="S115" s="590">
        <f>S113-S114</f>
        <v>4.5810177251834339E-4</v>
      </c>
      <c r="T115" s="58"/>
      <c r="U115" s="152">
        <f>U113-U114</f>
        <v>3.9807258627122533E-4</v>
      </c>
      <c r="V115" s="153">
        <f>V113-V114</f>
        <v>-9.4668619375404273E-5</v>
      </c>
      <c r="W115" s="153">
        <f>W113-W114</f>
        <v>-2.6323035409443751E-4</v>
      </c>
      <c r="X115" s="153">
        <f>X113-X114</f>
        <v>-7.8108558234636638E-4</v>
      </c>
      <c r="Y115" s="590">
        <f>Y113-Y114</f>
        <v>-2.2642554512961044E-4</v>
      </c>
      <c r="Z115" s="58"/>
      <c r="AA115" s="152">
        <f>AA113-AA114</f>
        <v>-2.0819122714715865E-4</v>
      </c>
      <c r="AB115" s="153">
        <f>AB113-AB114</f>
        <v>-2.4850921856910992E-4</v>
      </c>
      <c r="AC115" s="153">
        <f>AC113-AC114</f>
        <v>-4.7424738586411379E-4</v>
      </c>
      <c r="AD115" s="153">
        <f>AD113-AD114</f>
        <v>-5.5867463482670021E-4</v>
      </c>
      <c r="AE115" s="590">
        <f>AE113-AE114</f>
        <v>-3.6920743834507885E-4</v>
      </c>
      <c r="AF115" s="58"/>
      <c r="AG115" s="152">
        <f>AG113-AG114</f>
        <v>-1.7813900409169303E-4</v>
      </c>
      <c r="AH115" s="153">
        <f>AH113-AH114</f>
        <v>-1.663716595082243E-4</v>
      </c>
      <c r="AI115" s="153">
        <f>AI113-AI114</f>
        <v>4.1732230875060616E-4</v>
      </c>
      <c r="AJ115" s="153">
        <f>AJ113-AJ114</f>
        <v>9.2845066134600307E-4</v>
      </c>
      <c r="AK115" s="590">
        <f>AK113-AK114</f>
        <v>2.5839183738782245E-4</v>
      </c>
      <c r="AL115" s="58"/>
      <c r="AM115" s="152">
        <f>AM113-AM114</f>
        <v>-4.2271008836081148E-5</v>
      </c>
      <c r="AN115" s="153">
        <f>AN113-AN114</f>
        <v>-3.9722061378116846E-4</v>
      </c>
      <c r="AO115" s="153">
        <f>AO113-AO114</f>
        <v>3.8036451503909233E-4</v>
      </c>
      <c r="AP115" s="153">
        <f>AP113-AP114</f>
        <v>1.1772337349397269E-3</v>
      </c>
      <c r="AQ115" s="590">
        <f>AQ113-AQ114</f>
        <v>3.1930461871934254E-4</v>
      </c>
      <c r="AR115" s="58"/>
      <c r="AS115" s="152">
        <f>AS113-AS114</f>
        <v>-3.166047412202222E-5</v>
      </c>
      <c r="AT115" s="153">
        <f>AT113-AT114</f>
        <v>1.5932203389823485E-4</v>
      </c>
      <c r="AU115" s="153">
        <f>AU113-AU114</f>
        <v>-2.7711392866902607E-4</v>
      </c>
      <c r="AV115" s="153">
        <f>AV113-AV114</f>
        <v>-1.7615916074620319E-4</v>
      </c>
      <c r="AW115" s="590">
        <f>AW113-AW114</f>
        <v>-8.1145853332520446E-5</v>
      </c>
      <c r="AX115" s="58"/>
      <c r="AY115" s="152"/>
      <c r="AZ115" s="153"/>
      <c r="BA115" s="153"/>
      <c r="BB115" s="153"/>
      <c r="BC115" s="590"/>
      <c r="BD115" s="58"/>
      <c r="BE115" s="152"/>
      <c r="BF115" s="153"/>
      <c r="BG115" s="153"/>
      <c r="BH115" s="153"/>
      <c r="BI115" s="590"/>
      <c r="BJ115" s="58"/>
      <c r="BK115" s="152"/>
      <c r="BL115" s="153"/>
      <c r="BM115" s="598"/>
      <c r="BN115" s="598"/>
      <c r="BO115" s="590"/>
      <c r="BP115" s="58"/>
      <c r="BQ115" s="152"/>
      <c r="BR115" s="153"/>
      <c r="BS115" s="598"/>
      <c r="BT115" s="598"/>
      <c r="BU115" s="590"/>
      <c r="BV115" s="58"/>
      <c r="BW115" s="597"/>
      <c r="BX115" s="598"/>
      <c r="BY115" s="598"/>
      <c r="BZ115" s="598"/>
      <c r="CA115" s="590"/>
      <c r="CB115" s="58"/>
      <c r="CC115" s="597"/>
      <c r="CD115" s="598"/>
      <c r="CE115" s="598"/>
      <c r="CF115" s="598"/>
      <c r="CG115" s="590"/>
      <c r="CH115" s="58"/>
      <c r="CI115" s="597"/>
      <c r="CJ115" s="598"/>
      <c r="CK115" s="598"/>
      <c r="CL115" s="598"/>
      <c r="CM115" s="590"/>
      <c r="CN115" s="11"/>
      <c r="CO115" s="11"/>
      <c r="CP115" s="11"/>
      <c r="CQ115" s="11"/>
      <c r="CR115" s="11"/>
      <c r="CS115" s="11"/>
      <c r="CT115" s="11"/>
      <c r="CU115" s="11"/>
      <c r="CV115" s="11"/>
      <c r="CW115" s="11"/>
      <c r="CX115" s="11"/>
    </row>
    <row r="116" spans="1:102" s="31" customFormat="1" ht="11.25" hidden="1" customHeight="1" outlineLevel="1" x14ac:dyDescent="0.2">
      <c r="A116" s="84"/>
      <c r="B116" s="609" t="s">
        <v>262</v>
      </c>
      <c r="C116" s="146"/>
      <c r="D116" s="148"/>
      <c r="E116" s="148"/>
      <c r="F116" s="147"/>
      <c r="G116" s="604"/>
      <c r="H116" s="58"/>
      <c r="I116" s="146">
        <v>0</v>
      </c>
      <c r="J116" s="148">
        <v>0</v>
      </c>
      <c r="K116" s="148">
        <v>0</v>
      </c>
      <c r="L116" s="153">
        <f>((M116*G112)-((I116*C112+J116*D112+K116*E112)))/F112</f>
        <v>0</v>
      </c>
      <c r="M116" s="604">
        <v>0</v>
      </c>
      <c r="N116" s="58"/>
      <c r="O116" s="146">
        <v>0</v>
      </c>
      <c r="P116" s="148">
        <v>9.8000000000000004E-2</v>
      </c>
      <c r="Q116" s="148">
        <v>0</v>
      </c>
      <c r="R116" s="153">
        <f>((S116*M112)-((O116*I112+P116*J112+Q116*K112)))/L112</f>
        <v>0.64679177862039516</v>
      </c>
      <c r="S116" s="604">
        <v>0.19700000000000001</v>
      </c>
      <c r="T116" s="58"/>
      <c r="U116" s="146">
        <f>(37.2%-7.8%)</f>
        <v>0.29400000000000004</v>
      </c>
      <c r="V116" s="148">
        <f>(30-8.3)%</f>
        <v>0.217</v>
      </c>
      <c r="W116" s="148">
        <v>0</v>
      </c>
      <c r="X116" s="153">
        <f>((Y116*S112)-((U116*O112+V116*P112+W116*Q112)))/R112</f>
        <v>1.6608375285463394E-3</v>
      </c>
      <c r="Y116" s="604">
        <v>0.115</v>
      </c>
      <c r="Z116" s="58"/>
      <c r="AA116" s="146">
        <v>0</v>
      </c>
      <c r="AB116" s="148">
        <v>0</v>
      </c>
      <c r="AC116" s="148">
        <v>0</v>
      </c>
      <c r="AD116" s="153">
        <f>((AE116*Y112)-((AA116*U112+AB116*V112+AC116*W112)))/X112</f>
        <v>0</v>
      </c>
      <c r="AE116" s="604">
        <v>0</v>
      </c>
      <c r="AF116" s="58"/>
      <c r="AG116" s="146">
        <v>0</v>
      </c>
      <c r="AH116" s="148">
        <v>2.5000000000000001E-2</v>
      </c>
      <c r="AI116" s="148">
        <v>0.151</v>
      </c>
      <c r="AJ116" s="153">
        <f>((AK116*AE112)-((AG116*AA112+AH116*AB112+AI116*AC112)))/AD112</f>
        <v>-8.9836775522852158E-2</v>
      </c>
      <c r="AK116" s="604">
        <v>1.4999999999999999E-2</v>
      </c>
      <c r="AL116" s="58"/>
      <c r="AM116" s="146">
        <v>2.7E-2</v>
      </c>
      <c r="AN116" s="148">
        <v>8.9999999999999993E-3</v>
      </c>
      <c r="AO116" s="148">
        <v>0</v>
      </c>
      <c r="AP116" s="153">
        <f>((AQ116*AK112)-((AM116*AG112+AN116*AH112+AO116*AI112)))/AJ112</f>
        <v>9.9485783132529943E-4</v>
      </c>
      <c r="AQ116" s="604">
        <v>8.9999999999999993E-3</v>
      </c>
      <c r="AR116" s="58"/>
      <c r="AS116" s="146">
        <v>0</v>
      </c>
      <c r="AT116" s="148">
        <v>0.64</v>
      </c>
      <c r="AU116" s="148">
        <v>0.83199999999999996</v>
      </c>
      <c r="AV116" s="153">
        <f>((AW116*AQ112)-((AS116*AM112+AT116*AN112+AU116*AO112)))/AP112</f>
        <v>0.77059114751531554</v>
      </c>
      <c r="AW116" s="604">
        <v>0.55800000000000005</v>
      </c>
      <c r="AX116" s="58"/>
      <c r="AY116" s="152"/>
      <c r="AZ116" s="153"/>
      <c r="BA116" s="153"/>
      <c r="BB116" s="153"/>
      <c r="BC116" s="590"/>
      <c r="BD116" s="58"/>
      <c r="BE116" s="152"/>
      <c r="BF116" s="153"/>
      <c r="BG116" s="153"/>
      <c r="BH116" s="153"/>
      <c r="BI116" s="590"/>
      <c r="BJ116" s="58"/>
      <c r="BK116" s="152"/>
      <c r="BL116" s="153"/>
      <c r="BM116" s="598"/>
      <c r="BN116" s="598"/>
      <c r="BO116" s="590"/>
      <c r="BP116" s="58"/>
      <c r="BQ116" s="152"/>
      <c r="BR116" s="153"/>
      <c r="BS116" s="598"/>
      <c r="BT116" s="598"/>
      <c r="BU116" s="590"/>
      <c r="BV116" s="58"/>
      <c r="BW116" s="597"/>
      <c r="BX116" s="598"/>
      <c r="BY116" s="598"/>
      <c r="BZ116" s="598"/>
      <c r="CA116" s="590"/>
      <c r="CB116" s="58"/>
      <c r="CC116" s="597"/>
      <c r="CD116" s="598"/>
      <c r="CE116" s="598"/>
      <c r="CF116" s="598"/>
      <c r="CG116" s="590"/>
      <c r="CH116" s="58"/>
      <c r="CI116" s="597"/>
      <c r="CJ116" s="598"/>
      <c r="CK116" s="598"/>
      <c r="CL116" s="598"/>
      <c r="CM116" s="590"/>
      <c r="CN116" s="11"/>
      <c r="CO116" s="11"/>
      <c r="CP116" s="11"/>
      <c r="CQ116" s="11"/>
      <c r="CR116" s="11"/>
      <c r="CS116" s="11"/>
      <c r="CT116" s="11"/>
      <c r="CU116" s="11"/>
      <c r="CV116" s="11"/>
      <c r="CW116" s="11"/>
      <c r="CX116" s="11"/>
    </row>
    <row r="117" spans="1:102" s="31" customFormat="1" ht="11.25" hidden="1" customHeight="1" outlineLevel="1" x14ac:dyDescent="0.2">
      <c r="A117" s="84"/>
      <c r="B117" s="610" t="s">
        <v>265</v>
      </c>
      <c r="C117" s="152"/>
      <c r="D117" s="153"/>
      <c r="E117" s="153"/>
      <c r="F117" s="153"/>
      <c r="G117" s="590"/>
      <c r="H117" s="577"/>
      <c r="I117" s="152">
        <f>+I114-I116</f>
        <v>0.10299999999999999</v>
      </c>
      <c r="J117" s="153">
        <f>+J114-J116</f>
        <v>0.14199999999999999</v>
      </c>
      <c r="K117" s="153">
        <f>+K114-K116</f>
        <v>0.14199999999999999</v>
      </c>
      <c r="L117" s="153">
        <f>+L114-L116</f>
        <v>9.0200078404915826E-2</v>
      </c>
      <c r="M117" s="590">
        <f>+M114-M116</f>
        <v>0.11799999999999999</v>
      </c>
      <c r="N117" s="577"/>
      <c r="O117" s="152">
        <f>+O114-O116</f>
        <v>0.11600000000000001</v>
      </c>
      <c r="P117" s="153">
        <f>+P114-P116</f>
        <v>3.7000000000000005E-2</v>
      </c>
      <c r="Q117" s="153">
        <f>+Q114-Q116</f>
        <v>0.35</v>
      </c>
      <c r="R117" s="153">
        <f>+R114-R116</f>
        <v>-0.32170554704567711</v>
      </c>
      <c r="S117" s="590">
        <f>+S114-S116</f>
        <v>3.6000000000000004E-2</v>
      </c>
      <c r="T117" s="577"/>
      <c r="U117" s="152">
        <f>+U114-U116</f>
        <v>7.7999999999999958E-2</v>
      </c>
      <c r="V117" s="153">
        <f>+V114-V116</f>
        <v>8.299999999999999E-2</v>
      </c>
      <c r="W117" s="153">
        <f>+W114-W116</f>
        <v>4.4999999999999998E-2</v>
      </c>
      <c r="X117" s="153">
        <f>+X114-X116</f>
        <v>2.0973207413856294E-2</v>
      </c>
      <c r="Y117" s="590">
        <f>+Y114-Y116</f>
        <v>5.4000000000000006E-2</v>
      </c>
      <c r="Z117" s="577"/>
      <c r="AA117" s="152">
        <f>+AA114-AA116</f>
        <v>6.2E-2</v>
      </c>
      <c r="AB117" s="153">
        <f>+AB114-AB116</f>
        <v>6.0000000000000001E-3</v>
      </c>
      <c r="AC117" s="153">
        <f>+AC114-AC116</f>
        <v>-1.2999999999999999E-2</v>
      </c>
      <c r="AD117" s="153">
        <f>+AD114-AD116</f>
        <v>0.13616350985936362</v>
      </c>
      <c r="AE117" s="590">
        <f>+AE114-AE116</f>
        <v>4.9000000000000002E-2</v>
      </c>
      <c r="AF117" s="577"/>
      <c r="AG117" s="152">
        <f>+AG114-AG116</f>
        <v>0</v>
      </c>
      <c r="AH117" s="153">
        <f>+AH114-AH116</f>
        <v>4.4000000000000004E-2</v>
      </c>
      <c r="AI117" s="153">
        <f>+AI114-AI116</f>
        <v>1.5000000000000013E-2</v>
      </c>
      <c r="AJ117" s="153">
        <f>+AJ114-AJ116</f>
        <v>0.21697517165643701</v>
      </c>
      <c r="AK117" s="590">
        <f>+AK114-AK116</f>
        <v>7.2999999999999995E-2</v>
      </c>
      <c r="AL117" s="577"/>
      <c r="AM117" s="152">
        <f>+AM114-AM116</f>
        <v>3.7000000000000005E-2</v>
      </c>
      <c r="AN117" s="153">
        <f>+AN114-AN116</f>
        <v>5.9000000000000004E-2</v>
      </c>
      <c r="AO117" s="153">
        <f>+AO114-AO116</f>
        <v>4.0000000000000001E-3</v>
      </c>
      <c r="AP117" s="153">
        <f>+AP114-AP116</f>
        <v>-1.7246790361445778E-2</v>
      </c>
      <c r="AQ117" s="590">
        <f>+AQ114-AQ116</f>
        <v>1.9000000000000003E-2</v>
      </c>
      <c r="AR117" s="577"/>
      <c r="AS117" s="152">
        <f>+AS114-AS116</f>
        <v>4.4999999999999998E-2</v>
      </c>
      <c r="AT117" s="153">
        <f>+AT114-AT116</f>
        <v>3.1000000000000028E-2</v>
      </c>
      <c r="AU117" s="153">
        <f>+AU114-AU116</f>
        <v>6.9000000000000061E-2</v>
      </c>
      <c r="AV117" s="153">
        <f>+AV114-AV116</f>
        <v>7.705556534121083E-5</v>
      </c>
      <c r="AW117" s="590">
        <f>+AW114-AW116</f>
        <v>3.499999999999992E-2</v>
      </c>
      <c r="AX117" s="577"/>
      <c r="AY117" s="152"/>
      <c r="AZ117" s="153"/>
      <c r="BA117" s="153"/>
      <c r="BB117" s="153"/>
      <c r="BC117" s="590"/>
      <c r="BD117" s="577"/>
      <c r="BE117" s="152"/>
      <c r="BF117" s="153"/>
      <c r="BG117" s="153"/>
      <c r="BH117" s="153"/>
      <c r="BI117" s="590"/>
      <c r="BJ117" s="577"/>
      <c r="BK117" s="152"/>
      <c r="BL117" s="153"/>
      <c r="BM117" s="153"/>
      <c r="BN117" s="153"/>
      <c r="BO117" s="590"/>
      <c r="BP117" s="577"/>
      <c r="BQ117" s="152"/>
      <c r="BR117" s="153"/>
      <c r="BS117" s="153"/>
      <c r="BT117" s="153"/>
      <c r="BU117" s="590"/>
      <c r="BV117" s="577"/>
      <c r="BW117" s="152"/>
      <c r="BX117" s="153"/>
      <c r="BY117" s="153"/>
      <c r="BZ117" s="153"/>
      <c r="CA117" s="590"/>
      <c r="CB117" s="577"/>
      <c r="CC117" s="152"/>
      <c r="CD117" s="153"/>
      <c r="CE117" s="153"/>
      <c r="CF117" s="153"/>
      <c r="CG117" s="590"/>
      <c r="CH117" s="577"/>
      <c r="CI117" s="152"/>
      <c r="CJ117" s="153"/>
      <c r="CK117" s="153"/>
      <c r="CL117" s="153"/>
      <c r="CM117" s="590"/>
      <c r="CN117" s="11"/>
      <c r="CO117" s="11"/>
      <c r="CP117" s="11"/>
      <c r="CQ117" s="11"/>
      <c r="CR117" s="11"/>
      <c r="CS117" s="11"/>
      <c r="CT117" s="11"/>
      <c r="CU117" s="11"/>
      <c r="CV117" s="11"/>
      <c r="CW117" s="11"/>
      <c r="CX117" s="11"/>
    </row>
    <row r="118" spans="1:102" s="31" customFormat="1" ht="11.25" hidden="1" customHeight="1" outlineLevel="1" x14ac:dyDescent="0.2">
      <c r="A118" s="84"/>
      <c r="B118" s="609"/>
      <c r="C118" s="146"/>
      <c r="D118" s="148"/>
      <c r="E118" s="148"/>
      <c r="F118" s="147"/>
      <c r="G118" s="590"/>
      <c r="H118" s="106"/>
      <c r="I118" s="146"/>
      <c r="J118" s="148"/>
      <c r="K118" s="148"/>
      <c r="L118" s="147"/>
      <c r="M118" s="590"/>
      <c r="N118" s="106"/>
      <c r="O118" s="146"/>
      <c r="P118" s="148"/>
      <c r="Q118" s="148"/>
      <c r="R118" s="147"/>
      <c r="S118" s="590"/>
      <c r="T118" s="106"/>
      <c r="U118" s="146"/>
      <c r="V118" s="148"/>
      <c r="W118" s="148"/>
      <c r="X118" s="147"/>
      <c r="Y118" s="590"/>
      <c r="Z118" s="106"/>
      <c r="AA118" s="146"/>
      <c r="AB118" s="148"/>
      <c r="AC118" s="148"/>
      <c r="AD118" s="147"/>
      <c r="AE118" s="590"/>
      <c r="AF118" s="106"/>
      <c r="AG118" s="146"/>
      <c r="AH118" s="148"/>
      <c r="AI118" s="148"/>
      <c r="AJ118" s="147"/>
      <c r="AK118" s="590"/>
      <c r="AL118" s="106"/>
      <c r="AM118" s="146"/>
      <c r="AN118" s="148"/>
      <c r="AO118" s="148"/>
      <c r="AP118" s="147"/>
      <c r="AQ118" s="590"/>
      <c r="AR118" s="106"/>
      <c r="AS118" s="146"/>
      <c r="AT118" s="148"/>
      <c r="AU118" s="148"/>
      <c r="AV118" s="147"/>
      <c r="AW118" s="604"/>
      <c r="AX118" s="106"/>
      <c r="AY118" s="146"/>
      <c r="AZ118" s="148"/>
      <c r="BA118" s="148"/>
      <c r="BB118" s="147"/>
      <c r="BC118" s="590"/>
      <c r="BD118" s="106"/>
      <c r="BE118" s="146"/>
      <c r="BF118" s="148"/>
      <c r="BG118" s="148"/>
      <c r="BH118" s="148"/>
      <c r="BI118" s="590"/>
      <c r="BJ118" s="106"/>
      <c r="BK118" s="146"/>
      <c r="BL118" s="148"/>
      <c r="BM118" s="598"/>
      <c r="BN118" s="598"/>
      <c r="BO118" s="590"/>
      <c r="BP118" s="106"/>
      <c r="BQ118" s="146"/>
      <c r="BR118" s="148"/>
      <c r="BS118" s="598"/>
      <c r="BT118" s="598"/>
      <c r="BU118" s="590"/>
      <c r="BV118" s="106"/>
      <c r="BW118" s="597"/>
      <c r="BX118" s="598"/>
      <c r="BY118" s="598"/>
      <c r="BZ118" s="598"/>
      <c r="CA118" s="590"/>
      <c r="CB118" s="106"/>
      <c r="CC118" s="597"/>
      <c r="CD118" s="598"/>
      <c r="CE118" s="598"/>
      <c r="CF118" s="598"/>
      <c r="CG118" s="590"/>
      <c r="CH118" s="106"/>
      <c r="CI118" s="597"/>
      <c r="CJ118" s="598"/>
      <c r="CK118" s="598"/>
      <c r="CL118" s="598"/>
      <c r="CM118" s="590"/>
      <c r="CN118" s="11"/>
      <c r="CO118" s="11"/>
      <c r="CP118" s="11"/>
      <c r="CQ118" s="11"/>
      <c r="CR118" s="11"/>
      <c r="CS118" s="11"/>
      <c r="CT118" s="11"/>
      <c r="CU118" s="11"/>
      <c r="CV118" s="11"/>
      <c r="CW118" s="11"/>
      <c r="CX118" s="11"/>
    </row>
    <row r="119" spans="1:102" s="9" customFormat="1" ht="11.25" hidden="1" customHeight="1" outlineLevel="1" x14ac:dyDescent="0.2">
      <c r="A119" s="12"/>
      <c r="B119" s="608" t="s">
        <v>327</v>
      </c>
      <c r="C119" s="129"/>
      <c r="D119" s="130"/>
      <c r="E119" s="130"/>
      <c r="F119" s="130"/>
      <c r="G119" s="587"/>
      <c r="H119" s="585"/>
      <c r="I119" s="129"/>
      <c r="J119" s="130"/>
      <c r="K119" s="130"/>
      <c r="L119" s="130"/>
      <c r="M119" s="587"/>
      <c r="N119" s="585"/>
      <c r="O119" s="129"/>
      <c r="P119" s="130"/>
      <c r="Q119" s="130"/>
      <c r="R119" s="130"/>
      <c r="S119" s="587"/>
      <c r="T119" s="585"/>
      <c r="U119" s="129"/>
      <c r="V119" s="130"/>
      <c r="W119" s="130"/>
      <c r="X119" s="130"/>
      <c r="Y119" s="587"/>
      <c r="Z119" s="585"/>
      <c r="AA119" s="129"/>
      <c r="AB119" s="130"/>
      <c r="AC119" s="130"/>
      <c r="AD119" s="130"/>
      <c r="AE119" s="587"/>
      <c r="AF119" s="585"/>
      <c r="AG119" s="129"/>
      <c r="AH119" s="130"/>
      <c r="AI119" s="130"/>
      <c r="AJ119" s="130"/>
      <c r="AK119" s="587"/>
      <c r="AL119" s="585"/>
      <c r="AM119" s="129"/>
      <c r="AN119" s="130"/>
      <c r="AO119" s="132"/>
      <c r="AP119" s="130"/>
      <c r="AQ119" s="587"/>
      <c r="AR119" s="585"/>
      <c r="AS119" s="129"/>
      <c r="AT119" s="130"/>
      <c r="AU119" s="132"/>
      <c r="AV119" s="130"/>
      <c r="AW119" s="587"/>
      <c r="AX119" s="585"/>
      <c r="AY119" s="129"/>
      <c r="AZ119" s="130"/>
      <c r="BA119" s="132"/>
      <c r="BB119" s="130"/>
      <c r="BC119" s="587"/>
      <c r="BD119" s="585"/>
      <c r="BE119" s="129"/>
      <c r="BF119" s="132"/>
      <c r="BG119" s="132"/>
      <c r="BH119" s="130"/>
      <c r="BI119" s="587"/>
      <c r="BJ119" s="585"/>
      <c r="BK119" s="129"/>
      <c r="BL119" s="132"/>
      <c r="BM119" s="132"/>
      <c r="BN119" s="132"/>
      <c r="BO119" s="587"/>
      <c r="BP119" s="585"/>
      <c r="BQ119" s="129"/>
      <c r="BR119" s="132"/>
      <c r="BS119" s="132"/>
      <c r="BT119" s="132"/>
      <c r="BU119" s="587"/>
      <c r="BV119" s="585"/>
      <c r="BW119" s="131"/>
      <c r="BX119" s="132"/>
      <c r="BY119" s="132"/>
      <c r="BZ119" s="132"/>
      <c r="CA119" s="587"/>
      <c r="CB119" s="585"/>
      <c r="CC119" s="131"/>
      <c r="CD119" s="132"/>
      <c r="CE119" s="132"/>
      <c r="CF119" s="132"/>
      <c r="CG119" s="587"/>
      <c r="CH119" s="585"/>
      <c r="CI119" s="131"/>
      <c r="CJ119" s="132"/>
      <c r="CK119" s="132"/>
      <c r="CL119" s="132"/>
      <c r="CM119" s="587"/>
      <c r="CN119" s="11"/>
      <c r="CO119" s="11"/>
      <c r="CP119" s="11"/>
      <c r="CQ119" s="11"/>
      <c r="CR119" s="11"/>
      <c r="CS119" s="11"/>
      <c r="CT119" s="11"/>
      <c r="CU119" s="11"/>
      <c r="CV119" s="11"/>
      <c r="CW119" s="11"/>
      <c r="CX119" s="11"/>
    </row>
    <row r="120" spans="1:102" s="9" customFormat="1" ht="11.25" hidden="1" customHeight="1" outlineLevel="1" x14ac:dyDescent="0.2">
      <c r="A120" s="12"/>
      <c r="B120" s="606" t="s">
        <v>308</v>
      </c>
      <c r="C120" s="133">
        <v>61.786000000000001</v>
      </c>
      <c r="D120" s="134">
        <v>63.941000000000003</v>
      </c>
      <c r="E120" s="134">
        <v>54.057000000000002</v>
      </c>
      <c r="F120" s="134">
        <v>61.328000000000003</v>
      </c>
      <c r="G120" s="588">
        <f>+SUM(C120:F120)</f>
        <v>241.11199999999999</v>
      </c>
      <c r="H120" s="585"/>
      <c r="I120" s="133">
        <v>66.322000000000003</v>
      </c>
      <c r="J120" s="134">
        <v>69.796000000000006</v>
      </c>
      <c r="K120" s="134">
        <v>58.481000000000002</v>
      </c>
      <c r="L120" s="134">
        <v>65.194000000000003</v>
      </c>
      <c r="M120" s="588">
        <f>+SUM(I120:L120)</f>
        <v>259.79300000000001</v>
      </c>
      <c r="N120" s="585"/>
      <c r="O120" s="133">
        <v>70.373000000000005</v>
      </c>
      <c r="P120" s="134">
        <v>68.819000000000003</v>
      </c>
      <c r="Q120" s="134">
        <v>54.732999999999997</v>
      </c>
      <c r="R120" s="134">
        <v>60.344999999999999</v>
      </c>
      <c r="S120" s="588">
        <f>+SUM(O120:R120)</f>
        <v>254.27</v>
      </c>
      <c r="T120" s="585"/>
      <c r="U120" s="133">
        <v>80.347999999999999</v>
      </c>
      <c r="V120" s="134">
        <v>82.897000000000006</v>
      </c>
      <c r="W120" s="134">
        <v>66.739000000000004</v>
      </c>
      <c r="X120" s="134">
        <v>73.06</v>
      </c>
      <c r="Y120" s="588">
        <f>+SUM(U120:X120)</f>
        <v>303.04399999999998</v>
      </c>
      <c r="Z120" s="585"/>
      <c r="AA120" s="133">
        <v>90.924999999999997</v>
      </c>
      <c r="AB120" s="134">
        <v>90.265000000000001</v>
      </c>
      <c r="AC120" s="134">
        <v>80.17</v>
      </c>
      <c r="AD120" s="134">
        <v>87.281000000000006</v>
      </c>
      <c r="AE120" s="588">
        <f>+SUM(AA120:AD120)</f>
        <v>348.64100000000002</v>
      </c>
      <c r="AF120" s="585"/>
      <c r="AG120" s="133">
        <v>96.715999999999994</v>
      </c>
      <c r="AH120" s="134">
        <v>95.009</v>
      </c>
      <c r="AI120" s="134">
        <v>80.510000000000005</v>
      </c>
      <c r="AJ120" s="134">
        <v>90.769000000000005</v>
      </c>
      <c r="AK120" s="588">
        <f>+SUM(AG120:AJ120)</f>
        <v>363.00400000000002</v>
      </c>
      <c r="AL120" s="585"/>
      <c r="AM120" s="133">
        <v>96.027000000000001</v>
      </c>
      <c r="AN120" s="134">
        <v>96.790999999999997</v>
      </c>
      <c r="AO120" s="134">
        <v>80.628</v>
      </c>
      <c r="AP120" s="134">
        <v>87.718000000000004</v>
      </c>
      <c r="AQ120" s="588">
        <f>+SUM(AM120:AP120)</f>
        <v>361.16399999999999</v>
      </c>
      <c r="AR120" s="585"/>
      <c r="AS120" s="133">
        <f>188.443-AT120</f>
        <v>93.740000000000009</v>
      </c>
      <c r="AT120" s="134">
        <v>94.703000000000003</v>
      </c>
      <c r="AU120" s="134">
        <v>77.677999999999997</v>
      </c>
      <c r="AV120" s="134">
        <v>86.06</v>
      </c>
      <c r="AW120" s="588">
        <f>+SUM(AS120:AV120)</f>
        <v>352.18099999999998</v>
      </c>
      <c r="AX120" s="585"/>
      <c r="AY120" s="133"/>
      <c r="AZ120" s="134"/>
      <c r="BA120" s="134"/>
      <c r="BB120" s="134"/>
      <c r="BC120" s="588"/>
      <c r="BD120" s="585"/>
      <c r="BE120" s="133"/>
      <c r="BF120" s="134"/>
      <c r="BG120" s="134"/>
      <c r="BH120" s="134"/>
      <c r="BI120" s="588"/>
      <c r="BJ120" s="585"/>
      <c r="BK120" s="133"/>
      <c r="BL120" s="134"/>
      <c r="BM120" s="135"/>
      <c r="BN120" s="135"/>
      <c r="BO120" s="588"/>
      <c r="BP120" s="585"/>
      <c r="BQ120" s="133"/>
      <c r="BR120" s="134"/>
      <c r="BS120" s="135"/>
      <c r="BT120" s="135"/>
      <c r="BU120" s="588"/>
      <c r="BV120" s="585"/>
      <c r="BW120" s="580"/>
      <c r="BX120" s="135"/>
      <c r="BY120" s="135"/>
      <c r="BZ120" s="135"/>
      <c r="CA120" s="588"/>
      <c r="CB120" s="585"/>
      <c r="CC120" s="580"/>
      <c r="CD120" s="135"/>
      <c r="CE120" s="135"/>
      <c r="CF120" s="135"/>
      <c r="CG120" s="588"/>
      <c r="CH120" s="585"/>
      <c r="CI120" s="580"/>
      <c r="CJ120" s="135"/>
      <c r="CK120" s="135"/>
      <c r="CL120" s="135"/>
      <c r="CM120" s="588"/>
      <c r="CN120" s="11"/>
      <c r="CO120" s="11"/>
      <c r="CP120" s="11"/>
      <c r="CQ120" s="11"/>
      <c r="CR120" s="11"/>
      <c r="CS120" s="11"/>
      <c r="CT120" s="11"/>
      <c r="CU120" s="11"/>
      <c r="CV120" s="11"/>
      <c r="CW120" s="11"/>
      <c r="CX120" s="11"/>
    </row>
    <row r="121" spans="1:102" s="31" customFormat="1" ht="11.25" hidden="1" customHeight="1" outlineLevel="1" x14ac:dyDescent="0.2">
      <c r="A121" s="84"/>
      <c r="B121" s="609" t="s">
        <v>261</v>
      </c>
      <c r="C121" s="152"/>
      <c r="D121" s="153"/>
      <c r="E121" s="153"/>
      <c r="F121" s="153"/>
      <c r="G121" s="590"/>
      <c r="H121" s="58"/>
      <c r="I121" s="152">
        <f>I120/C120-1</f>
        <v>7.3414689411840817E-2</v>
      </c>
      <c r="J121" s="153">
        <f>J120/D120-1</f>
        <v>9.1568789978261345E-2</v>
      </c>
      <c r="K121" s="153">
        <f>K120/E120-1</f>
        <v>8.1839539745083956E-2</v>
      </c>
      <c r="L121" s="153">
        <f>L120/F120-1</f>
        <v>6.3038090268719094E-2</v>
      </c>
      <c r="M121" s="590">
        <f>M120/G120-1</f>
        <v>7.7478516208235204E-2</v>
      </c>
      <c r="N121" s="58"/>
      <c r="O121" s="152">
        <f>O120/I120-1</f>
        <v>6.1080787672265657E-2</v>
      </c>
      <c r="P121" s="153">
        <f>P120/J120-1</f>
        <v>-1.3997936844518333E-2</v>
      </c>
      <c r="Q121" s="153">
        <f>Q120/K120-1</f>
        <v>-6.4089191361296871E-2</v>
      </c>
      <c r="R121" s="153">
        <f>R120/L120-1</f>
        <v>-7.4378010246341719E-2</v>
      </c>
      <c r="S121" s="590">
        <f>S120/M120-1</f>
        <v>-2.1259233312675874E-2</v>
      </c>
      <c r="T121" s="58"/>
      <c r="U121" s="152">
        <f>U120/O120-1</f>
        <v>0.14174470322424781</v>
      </c>
      <c r="V121" s="153">
        <f>V120/P120-1</f>
        <v>0.2045655996163851</v>
      </c>
      <c r="W121" s="153">
        <f>W120/Q120-1</f>
        <v>0.21935578170390824</v>
      </c>
      <c r="X121" s="153">
        <f>X120/R120-1</f>
        <v>0.21070511227110789</v>
      </c>
      <c r="Y121" s="590">
        <f>Y120/S120-1</f>
        <v>0.19181971919612995</v>
      </c>
      <c r="Z121" s="58"/>
      <c r="AA121" s="152">
        <f>AA120/U120-1</f>
        <v>0.1316398665803753</v>
      </c>
      <c r="AB121" s="153">
        <f>AB120/V120-1</f>
        <v>8.888138292097425E-2</v>
      </c>
      <c r="AC121" s="153">
        <f>AC120/W120-1</f>
        <v>0.20124664738758447</v>
      </c>
      <c r="AD121" s="153">
        <f>AD120/X120-1</f>
        <v>0.19464823432794964</v>
      </c>
      <c r="AE121" s="590">
        <f>AE120/Y120-1</f>
        <v>0.15046329905888256</v>
      </c>
      <c r="AF121" s="58"/>
      <c r="AG121" s="152">
        <f>AG120/AA120-1</f>
        <v>6.3689854275501778E-2</v>
      </c>
      <c r="AH121" s="153">
        <f>AH120/AB120-1</f>
        <v>5.2556361823519637E-2</v>
      </c>
      <c r="AI121" s="153">
        <f>AI120/AC120-1</f>
        <v>4.2409879007110352E-3</v>
      </c>
      <c r="AJ121" s="153">
        <f>AJ120/AD120-1</f>
        <v>3.9962878518807088E-2</v>
      </c>
      <c r="AK121" s="590">
        <f>AK120/AE120-1</f>
        <v>4.1197105331845618E-2</v>
      </c>
      <c r="AL121" s="58"/>
      <c r="AM121" s="152">
        <f>AM120/AG120-1</f>
        <v>-7.1239505355886745E-3</v>
      </c>
      <c r="AN121" s="153">
        <f>AN120/AH120-1</f>
        <v>1.875611784146769E-2</v>
      </c>
      <c r="AO121" s="153">
        <f>AO120/AI120-1</f>
        <v>1.4656564401938077E-3</v>
      </c>
      <c r="AP121" s="153">
        <f>AP120/AJ120-1</f>
        <v>-3.3612797320671128E-2</v>
      </c>
      <c r="AQ121" s="590">
        <f>AQ120/AK120-1</f>
        <v>-5.0688146687090097E-3</v>
      </c>
      <c r="AR121" s="58"/>
      <c r="AS121" s="152">
        <f>AS120/AM120-1</f>
        <v>-2.381621835525416E-2</v>
      </c>
      <c r="AT121" s="153">
        <f>AT120/AN120-1</f>
        <v>-2.1572253618621473E-2</v>
      </c>
      <c r="AU121" s="153">
        <f>AU120/AO120-1</f>
        <v>-3.6587785880835444E-2</v>
      </c>
      <c r="AV121" s="153">
        <f>AV120/AP120-1</f>
        <v>-1.8901479741900151E-2</v>
      </c>
      <c r="AW121" s="590">
        <f>AW120/AQ120-1</f>
        <v>-2.4872357156305758E-2</v>
      </c>
      <c r="AX121" s="58"/>
      <c r="AY121" s="152"/>
      <c r="AZ121" s="153"/>
      <c r="BA121" s="153"/>
      <c r="BB121" s="153"/>
      <c r="BC121" s="590"/>
      <c r="BD121" s="58"/>
      <c r="BE121" s="152"/>
      <c r="BF121" s="153"/>
      <c r="BG121" s="153"/>
      <c r="BH121" s="153"/>
      <c r="BI121" s="590"/>
      <c r="BJ121" s="58"/>
      <c r="BK121" s="152"/>
      <c r="BL121" s="153"/>
      <c r="BM121" s="153"/>
      <c r="BN121" s="153"/>
      <c r="BO121" s="590"/>
      <c r="BP121" s="58"/>
      <c r="BQ121" s="152"/>
      <c r="BR121" s="153"/>
      <c r="BS121" s="153"/>
      <c r="BT121" s="153"/>
      <c r="BU121" s="590"/>
      <c r="BV121" s="58"/>
      <c r="BW121" s="152"/>
      <c r="BX121" s="153"/>
      <c r="BY121" s="153"/>
      <c r="BZ121" s="153"/>
      <c r="CA121" s="590"/>
      <c r="CB121" s="58"/>
      <c r="CC121" s="152"/>
      <c r="CD121" s="153"/>
      <c r="CE121" s="153"/>
      <c r="CF121" s="153"/>
      <c r="CG121" s="590"/>
      <c r="CH121" s="58"/>
      <c r="CI121" s="152"/>
      <c r="CJ121" s="153"/>
      <c r="CK121" s="153"/>
      <c r="CL121" s="153"/>
      <c r="CM121" s="590"/>
      <c r="CN121" s="11"/>
      <c r="CO121" s="11"/>
      <c r="CP121" s="11"/>
      <c r="CQ121" s="11"/>
      <c r="CR121" s="11"/>
      <c r="CS121" s="11"/>
      <c r="CT121" s="11"/>
      <c r="CU121" s="11"/>
      <c r="CV121" s="11"/>
      <c r="CW121" s="11"/>
      <c r="CX121" s="11"/>
    </row>
    <row r="122" spans="1:102" s="31" customFormat="1" ht="11.25" hidden="1" customHeight="1" outlineLevel="1" x14ac:dyDescent="0.2">
      <c r="A122" s="84"/>
      <c r="B122" s="609" t="s">
        <v>264</v>
      </c>
      <c r="C122" s="146"/>
      <c r="D122" s="148"/>
      <c r="E122" s="148"/>
      <c r="F122" s="147"/>
      <c r="G122" s="590"/>
      <c r="H122" s="106"/>
      <c r="I122" s="146"/>
      <c r="J122" s="148"/>
      <c r="K122" s="148"/>
      <c r="L122" s="147"/>
      <c r="M122" s="590"/>
      <c r="N122" s="106"/>
      <c r="O122" s="146"/>
      <c r="P122" s="148"/>
      <c r="Q122" s="148"/>
      <c r="R122" s="147"/>
      <c r="S122" s="590"/>
      <c r="T122" s="106"/>
      <c r="U122" s="146"/>
      <c r="V122" s="148"/>
      <c r="W122" s="148"/>
      <c r="X122" s="147"/>
      <c r="Y122" s="590"/>
      <c r="Z122" s="106"/>
      <c r="AA122" s="146"/>
      <c r="AB122" s="148"/>
      <c r="AC122" s="148"/>
      <c r="AD122" s="147"/>
      <c r="AE122" s="590"/>
      <c r="AF122" s="106"/>
      <c r="AG122" s="146"/>
      <c r="AH122" s="148"/>
      <c r="AI122" s="148"/>
      <c r="AJ122" s="147"/>
      <c r="AK122" s="590"/>
      <c r="AL122" s="106"/>
      <c r="AM122" s="152"/>
      <c r="AN122" s="153"/>
      <c r="AO122" s="153"/>
      <c r="AP122" s="153"/>
      <c r="AQ122" s="590"/>
      <c r="AR122" s="106"/>
      <c r="AS122" s="152"/>
      <c r="AT122" s="153"/>
      <c r="AU122" s="153"/>
      <c r="AV122" s="153"/>
      <c r="AW122" s="604"/>
      <c r="AX122" s="106"/>
      <c r="AY122" s="146"/>
      <c r="AZ122" s="148"/>
      <c r="BA122" s="148"/>
      <c r="BB122" s="148"/>
      <c r="BC122" s="590"/>
      <c r="BD122" s="106"/>
      <c r="BE122" s="146"/>
      <c r="BF122" s="148"/>
      <c r="BG122" s="148"/>
      <c r="BH122" s="148"/>
      <c r="BI122" s="590"/>
      <c r="BJ122" s="106"/>
      <c r="BK122" s="146"/>
      <c r="BL122" s="148"/>
      <c r="BM122" s="598"/>
      <c r="BN122" s="598"/>
      <c r="BO122" s="590"/>
      <c r="BP122" s="106"/>
      <c r="BQ122" s="146"/>
      <c r="BR122" s="148"/>
      <c r="BS122" s="598"/>
      <c r="BT122" s="598"/>
      <c r="BU122" s="590"/>
      <c r="BV122" s="106"/>
      <c r="BW122" s="597"/>
      <c r="BX122" s="598"/>
      <c r="BY122" s="598"/>
      <c r="BZ122" s="598"/>
      <c r="CA122" s="590"/>
      <c r="CB122" s="106"/>
      <c r="CC122" s="597"/>
      <c r="CD122" s="598"/>
      <c r="CE122" s="598"/>
      <c r="CF122" s="598"/>
      <c r="CG122" s="590"/>
      <c r="CH122" s="106"/>
      <c r="CI122" s="597"/>
      <c r="CJ122" s="598"/>
      <c r="CK122" s="598"/>
      <c r="CL122" s="598"/>
      <c r="CM122" s="590"/>
      <c r="CN122" s="11"/>
      <c r="CO122" s="11"/>
      <c r="CP122" s="11"/>
      <c r="CQ122" s="11"/>
      <c r="CR122" s="11"/>
      <c r="CS122" s="11"/>
      <c r="CT122" s="11"/>
      <c r="CU122" s="11"/>
      <c r="CV122" s="11"/>
      <c r="CW122" s="11"/>
      <c r="CX122" s="11"/>
    </row>
    <row r="123" spans="1:102" s="31" customFormat="1" ht="11.25" hidden="1" customHeight="1" outlineLevel="1" x14ac:dyDescent="0.2">
      <c r="A123" s="84"/>
      <c r="B123" s="609" t="s">
        <v>263</v>
      </c>
      <c r="C123" s="152"/>
      <c r="D123" s="153"/>
      <c r="E123" s="153"/>
      <c r="F123" s="153"/>
      <c r="G123" s="590"/>
      <c r="H123" s="58"/>
      <c r="I123" s="152"/>
      <c r="J123" s="153"/>
      <c r="K123" s="153"/>
      <c r="L123" s="153"/>
      <c r="M123" s="590"/>
      <c r="N123" s="58"/>
      <c r="O123" s="152"/>
      <c r="P123" s="153"/>
      <c r="Q123" s="153"/>
      <c r="R123" s="153"/>
      <c r="S123" s="590"/>
      <c r="T123" s="58"/>
      <c r="U123" s="152"/>
      <c r="V123" s="153"/>
      <c r="W123" s="153"/>
      <c r="X123" s="153"/>
      <c r="Y123" s="590"/>
      <c r="Z123" s="58"/>
      <c r="AA123" s="152"/>
      <c r="AB123" s="153"/>
      <c r="AC123" s="153"/>
      <c r="AD123" s="153"/>
      <c r="AE123" s="590"/>
      <c r="AF123" s="58"/>
      <c r="AG123" s="152"/>
      <c r="AH123" s="153"/>
      <c r="AI123" s="153"/>
      <c r="AJ123" s="153"/>
      <c r="AK123" s="590"/>
      <c r="AL123" s="58"/>
      <c r="AM123" s="146"/>
      <c r="AN123" s="148"/>
      <c r="AO123" s="148"/>
      <c r="AP123" s="148"/>
      <c r="AQ123" s="590"/>
      <c r="AR123" s="58"/>
      <c r="AS123" s="146"/>
      <c r="AT123" s="148"/>
      <c r="AU123" s="148"/>
      <c r="AV123" s="148"/>
      <c r="AW123" s="590"/>
      <c r="AX123" s="58"/>
      <c r="AY123" s="152"/>
      <c r="AZ123" s="153"/>
      <c r="BA123" s="153"/>
      <c r="BB123" s="153"/>
      <c r="BC123" s="590"/>
      <c r="BD123" s="58"/>
      <c r="BE123" s="152"/>
      <c r="BF123" s="153"/>
      <c r="BG123" s="153"/>
      <c r="BH123" s="153"/>
      <c r="BI123" s="590"/>
      <c r="BJ123" s="58"/>
      <c r="BK123" s="152"/>
      <c r="BL123" s="153"/>
      <c r="BM123" s="598"/>
      <c r="BN123" s="598"/>
      <c r="BO123" s="590"/>
      <c r="BP123" s="58"/>
      <c r="BQ123" s="152"/>
      <c r="BR123" s="153"/>
      <c r="BS123" s="598"/>
      <c r="BT123" s="598"/>
      <c r="BU123" s="590"/>
      <c r="BV123" s="58"/>
      <c r="BW123" s="597"/>
      <c r="BX123" s="598"/>
      <c r="BY123" s="598"/>
      <c r="BZ123" s="598"/>
      <c r="CA123" s="590"/>
      <c r="CB123" s="58"/>
      <c r="CC123" s="597"/>
      <c r="CD123" s="598"/>
      <c r="CE123" s="598"/>
      <c r="CF123" s="598"/>
      <c r="CG123" s="590"/>
      <c r="CH123" s="58"/>
      <c r="CI123" s="597"/>
      <c r="CJ123" s="598"/>
      <c r="CK123" s="598"/>
      <c r="CL123" s="598"/>
      <c r="CM123" s="590"/>
      <c r="CN123" s="11"/>
      <c r="CO123" s="11"/>
      <c r="CP123" s="11"/>
      <c r="CQ123" s="11"/>
      <c r="CR123" s="11"/>
      <c r="CS123" s="11"/>
      <c r="CT123" s="11"/>
      <c r="CU123" s="11"/>
      <c r="CV123" s="11"/>
      <c r="CW123" s="11"/>
      <c r="CX123" s="11"/>
    </row>
    <row r="124" spans="1:102" s="31" customFormat="1" ht="11.25" hidden="1" customHeight="1" outlineLevel="1" x14ac:dyDescent="0.2">
      <c r="A124" s="84"/>
      <c r="B124" s="609" t="s">
        <v>262</v>
      </c>
      <c r="C124" s="146"/>
      <c r="D124" s="148"/>
      <c r="E124" s="148"/>
      <c r="F124" s="147"/>
      <c r="G124" s="604"/>
      <c r="H124" s="58"/>
      <c r="I124" s="146"/>
      <c r="J124" s="148"/>
      <c r="K124" s="148"/>
      <c r="L124" s="147"/>
      <c r="M124" s="604"/>
      <c r="N124" s="58"/>
      <c r="O124" s="146"/>
      <c r="P124" s="148"/>
      <c r="Q124" s="148"/>
      <c r="R124" s="147"/>
      <c r="S124" s="604"/>
      <c r="T124" s="58"/>
      <c r="U124" s="146"/>
      <c r="V124" s="148"/>
      <c r="W124" s="148"/>
      <c r="X124" s="147"/>
      <c r="Y124" s="604"/>
      <c r="Z124" s="58"/>
      <c r="AA124" s="146"/>
      <c r="AB124" s="148"/>
      <c r="AC124" s="148"/>
      <c r="AD124" s="147"/>
      <c r="AE124" s="604"/>
      <c r="AF124" s="58"/>
      <c r="AG124" s="146"/>
      <c r="AH124" s="148"/>
      <c r="AI124" s="148"/>
      <c r="AJ124" s="147"/>
      <c r="AK124" s="604"/>
      <c r="AL124" s="58"/>
      <c r="AM124" s="146"/>
      <c r="AN124" s="148"/>
      <c r="AO124" s="148"/>
      <c r="AP124" s="148"/>
      <c r="AQ124" s="604"/>
      <c r="AR124" s="58"/>
      <c r="AS124" s="146"/>
      <c r="AT124" s="148"/>
      <c r="AU124" s="148"/>
      <c r="AV124" s="148"/>
      <c r="AW124" s="604"/>
      <c r="AX124" s="58"/>
      <c r="AY124" s="146"/>
      <c r="AZ124" s="148"/>
      <c r="BA124" s="148"/>
      <c r="BB124" s="148"/>
      <c r="BC124" s="590"/>
      <c r="BD124" s="58"/>
      <c r="BE124" s="146"/>
      <c r="BF124" s="148"/>
      <c r="BG124" s="148"/>
      <c r="BH124" s="148"/>
      <c r="BI124" s="590"/>
      <c r="BJ124" s="58"/>
      <c r="BK124" s="146"/>
      <c r="BL124" s="148"/>
      <c r="BM124" s="598"/>
      <c r="BN124" s="598"/>
      <c r="BO124" s="590"/>
      <c r="BP124" s="58"/>
      <c r="BQ124" s="146"/>
      <c r="BR124" s="148"/>
      <c r="BS124" s="598"/>
      <c r="BT124" s="598"/>
      <c r="BU124" s="590"/>
      <c r="BV124" s="58"/>
      <c r="BW124" s="597"/>
      <c r="BX124" s="598"/>
      <c r="BY124" s="598"/>
      <c r="BZ124" s="598"/>
      <c r="CA124" s="590"/>
      <c r="CB124" s="58"/>
      <c r="CC124" s="597"/>
      <c r="CD124" s="598"/>
      <c r="CE124" s="598"/>
      <c r="CF124" s="598"/>
      <c r="CG124" s="590"/>
      <c r="CH124" s="58"/>
      <c r="CI124" s="597"/>
      <c r="CJ124" s="598"/>
      <c r="CK124" s="598"/>
      <c r="CL124" s="598"/>
      <c r="CM124" s="590"/>
      <c r="CN124" s="11"/>
      <c r="CO124" s="11"/>
      <c r="CP124" s="11"/>
      <c r="CQ124" s="11"/>
      <c r="CR124" s="11"/>
      <c r="CS124" s="11"/>
      <c r="CT124" s="11"/>
      <c r="CU124" s="11"/>
      <c r="CV124" s="11"/>
      <c r="CW124" s="11"/>
      <c r="CX124" s="11"/>
    </row>
    <row r="125" spans="1:102" s="31" customFormat="1" ht="11.25" hidden="1" customHeight="1" outlineLevel="1" x14ac:dyDescent="0.2">
      <c r="A125" s="84"/>
      <c r="B125" s="610" t="s">
        <v>265</v>
      </c>
      <c r="C125" s="152"/>
      <c r="D125" s="153"/>
      <c r="E125" s="153"/>
      <c r="F125" s="153"/>
      <c r="G125" s="590"/>
      <c r="H125" s="577"/>
      <c r="I125" s="152"/>
      <c r="J125" s="153"/>
      <c r="K125" s="153"/>
      <c r="L125" s="153"/>
      <c r="M125" s="590"/>
      <c r="N125" s="577"/>
      <c r="O125" s="152"/>
      <c r="P125" s="153"/>
      <c r="Q125" s="153"/>
      <c r="R125" s="153"/>
      <c r="S125" s="590"/>
      <c r="T125" s="577"/>
      <c r="U125" s="152"/>
      <c r="V125" s="153"/>
      <c r="W125" s="153"/>
      <c r="X125" s="153"/>
      <c r="Y125" s="590"/>
      <c r="Z125" s="577"/>
      <c r="AA125" s="152"/>
      <c r="AB125" s="153"/>
      <c r="AC125" s="153"/>
      <c r="AD125" s="153"/>
      <c r="AE125" s="590"/>
      <c r="AF125" s="577"/>
      <c r="AG125" s="152"/>
      <c r="AH125" s="153"/>
      <c r="AI125" s="153"/>
      <c r="AJ125" s="153"/>
      <c r="AK125" s="590"/>
      <c r="AL125" s="577"/>
      <c r="AM125" s="152"/>
      <c r="AN125" s="153"/>
      <c r="AO125" s="153"/>
      <c r="AP125" s="153"/>
      <c r="AQ125" s="590"/>
      <c r="AR125" s="577"/>
      <c r="AS125" s="152"/>
      <c r="AT125" s="153"/>
      <c r="AU125" s="153"/>
      <c r="AV125" s="153"/>
      <c r="AW125" s="590"/>
      <c r="AX125" s="577"/>
      <c r="AY125" s="152"/>
      <c r="AZ125" s="153"/>
      <c r="BA125" s="153"/>
      <c r="BB125" s="153"/>
      <c r="BC125" s="590"/>
      <c r="BD125" s="577"/>
      <c r="BE125" s="152"/>
      <c r="BF125" s="153"/>
      <c r="BG125" s="153"/>
      <c r="BH125" s="153"/>
      <c r="BI125" s="590"/>
      <c r="BJ125" s="577"/>
      <c r="BK125" s="152"/>
      <c r="BL125" s="153"/>
      <c r="BM125" s="153"/>
      <c r="BN125" s="153"/>
      <c r="BO125" s="590"/>
      <c r="BP125" s="577"/>
      <c r="BQ125" s="152"/>
      <c r="BR125" s="153"/>
      <c r="BS125" s="153"/>
      <c r="BT125" s="153"/>
      <c r="BU125" s="590"/>
      <c r="BV125" s="577"/>
      <c r="BW125" s="152"/>
      <c r="BX125" s="153"/>
      <c r="BY125" s="153"/>
      <c r="BZ125" s="153"/>
      <c r="CA125" s="590"/>
      <c r="CB125" s="577"/>
      <c r="CC125" s="152"/>
      <c r="CD125" s="153"/>
      <c r="CE125" s="153"/>
      <c r="CF125" s="153"/>
      <c r="CG125" s="590"/>
      <c r="CH125" s="577"/>
      <c r="CI125" s="152"/>
      <c r="CJ125" s="153"/>
      <c r="CK125" s="153"/>
      <c r="CL125" s="153"/>
      <c r="CM125" s="590"/>
      <c r="CN125" s="11"/>
      <c r="CO125" s="11"/>
      <c r="CP125" s="11"/>
      <c r="CQ125" s="11"/>
      <c r="CR125" s="11"/>
      <c r="CS125" s="11"/>
      <c r="CT125" s="11"/>
      <c r="CU125" s="11"/>
      <c r="CV125" s="11"/>
      <c r="CW125" s="11"/>
      <c r="CX125" s="11"/>
    </row>
    <row r="126" spans="1:102" s="31" customFormat="1" ht="11.25" hidden="1" customHeight="1" outlineLevel="1" x14ac:dyDescent="0.2">
      <c r="A126" s="84"/>
      <c r="B126" s="609"/>
      <c r="C126" s="146"/>
      <c r="D126" s="148"/>
      <c r="E126" s="148"/>
      <c r="F126" s="147"/>
      <c r="G126" s="590"/>
      <c r="H126" s="106"/>
      <c r="I126" s="146"/>
      <c r="J126" s="148"/>
      <c r="K126" s="148"/>
      <c r="L126" s="147"/>
      <c r="M126" s="590"/>
      <c r="N126" s="106"/>
      <c r="O126" s="146"/>
      <c r="P126" s="148"/>
      <c r="Q126" s="148"/>
      <c r="R126" s="147"/>
      <c r="S126" s="590"/>
      <c r="T126" s="106"/>
      <c r="U126" s="146"/>
      <c r="V126" s="148"/>
      <c r="W126" s="148"/>
      <c r="X126" s="147"/>
      <c r="Y126" s="590"/>
      <c r="Z126" s="106"/>
      <c r="AA126" s="146"/>
      <c r="AB126" s="148"/>
      <c r="AC126" s="148"/>
      <c r="AD126" s="147"/>
      <c r="AE126" s="590"/>
      <c r="AF126" s="106"/>
      <c r="AG126" s="146"/>
      <c r="AH126" s="148"/>
      <c r="AI126" s="148"/>
      <c r="AJ126" s="147"/>
      <c r="AK126" s="590"/>
      <c r="AL126" s="106"/>
      <c r="AM126" s="146"/>
      <c r="AN126" s="148"/>
      <c r="AO126" s="148"/>
      <c r="AP126" s="147"/>
      <c r="AQ126" s="590"/>
      <c r="AR126" s="106"/>
      <c r="AS126" s="146"/>
      <c r="AT126" s="148"/>
      <c r="AU126" s="148"/>
      <c r="AV126" s="147"/>
      <c r="AW126" s="604"/>
      <c r="AX126" s="106"/>
      <c r="AY126" s="146"/>
      <c r="AZ126" s="148"/>
      <c r="BA126" s="148"/>
      <c r="BB126" s="147"/>
      <c r="BC126" s="590"/>
      <c r="BD126" s="106"/>
      <c r="BE126" s="146"/>
      <c r="BF126" s="148"/>
      <c r="BG126" s="148"/>
      <c r="BH126" s="148"/>
      <c r="BI126" s="590"/>
      <c r="BJ126" s="106"/>
      <c r="BK126" s="146"/>
      <c r="BL126" s="148"/>
      <c r="BM126" s="598"/>
      <c r="BN126" s="598"/>
      <c r="BO126" s="590"/>
      <c r="BP126" s="106"/>
      <c r="BQ126" s="146"/>
      <c r="BR126" s="148"/>
      <c r="BS126" s="598"/>
      <c r="BT126" s="598"/>
      <c r="BU126" s="590"/>
      <c r="BV126" s="106"/>
      <c r="BW126" s="597"/>
      <c r="BX126" s="598"/>
      <c r="BY126" s="598"/>
      <c r="BZ126" s="598"/>
      <c r="CA126" s="590"/>
      <c r="CB126" s="106"/>
      <c r="CC126" s="597"/>
      <c r="CD126" s="598"/>
      <c r="CE126" s="598"/>
      <c r="CF126" s="598"/>
      <c r="CG126" s="590"/>
      <c r="CH126" s="106"/>
      <c r="CI126" s="597"/>
      <c r="CJ126" s="598"/>
      <c r="CK126" s="598"/>
      <c r="CL126" s="598"/>
      <c r="CM126" s="590"/>
      <c r="CN126" s="11"/>
      <c r="CO126" s="11"/>
      <c r="CP126" s="11"/>
      <c r="CQ126" s="11"/>
      <c r="CR126" s="11"/>
      <c r="CS126" s="11"/>
      <c r="CT126" s="11"/>
      <c r="CU126" s="11"/>
      <c r="CV126" s="11"/>
      <c r="CW126" s="11"/>
      <c r="CX126" s="11"/>
    </row>
    <row r="127" spans="1:102" s="9" customFormat="1" ht="11.25" hidden="1" customHeight="1" outlineLevel="1" x14ac:dyDescent="0.2">
      <c r="A127" s="12"/>
      <c r="B127" s="606" t="s">
        <v>309</v>
      </c>
      <c r="C127" s="133">
        <v>17.146000000000001</v>
      </c>
      <c r="D127" s="134">
        <v>18.574999999999999</v>
      </c>
      <c r="E127" s="134">
        <v>20.058</v>
      </c>
      <c r="F127" s="134">
        <v>21.472999999999999</v>
      </c>
      <c r="G127" s="588">
        <f>+SUM(C127:F127)</f>
        <v>77.25200000000001</v>
      </c>
      <c r="H127" s="585"/>
      <c r="I127" s="133">
        <v>21.175000000000001</v>
      </c>
      <c r="J127" s="134">
        <v>23.919</v>
      </c>
      <c r="K127" s="134">
        <v>21.28</v>
      </c>
      <c r="L127" s="134">
        <v>26.312000000000001</v>
      </c>
      <c r="M127" s="588">
        <f>+SUM(I127:L127)</f>
        <v>92.685999999999993</v>
      </c>
      <c r="N127" s="585"/>
      <c r="O127" s="133">
        <v>24.792999999999999</v>
      </c>
      <c r="P127" s="134">
        <v>24.393000000000001</v>
      </c>
      <c r="Q127" s="134">
        <v>21.942</v>
      </c>
      <c r="R127" s="134">
        <v>22.108000000000001</v>
      </c>
      <c r="S127" s="588">
        <f>+SUM(O127:R127)</f>
        <v>93.236000000000004</v>
      </c>
      <c r="T127" s="585"/>
      <c r="U127" s="133">
        <v>23.44</v>
      </c>
      <c r="V127" s="134">
        <v>27.984999999999999</v>
      </c>
      <c r="W127" s="134">
        <v>24.143000000000001</v>
      </c>
      <c r="X127" s="134">
        <v>25.015000000000001</v>
      </c>
      <c r="Y127" s="588">
        <f>+SUM(U127:X127)</f>
        <v>100.583</v>
      </c>
      <c r="Z127" s="585"/>
      <c r="AA127" s="133">
        <v>30.376000000000001</v>
      </c>
      <c r="AB127" s="134">
        <v>36.252000000000002</v>
      </c>
      <c r="AC127" s="134">
        <v>32.103000000000002</v>
      </c>
      <c r="AD127" s="134">
        <v>33.045000000000002</v>
      </c>
      <c r="AE127" s="588">
        <f>+SUM(AA127:AD127)</f>
        <v>131.77600000000001</v>
      </c>
      <c r="AF127" s="585"/>
      <c r="AG127" s="133">
        <v>31.056999999999999</v>
      </c>
      <c r="AH127" s="134">
        <v>31.702000000000002</v>
      </c>
      <c r="AI127" s="134">
        <v>28.783000000000001</v>
      </c>
      <c r="AJ127" s="134">
        <v>32.106999999999999</v>
      </c>
      <c r="AK127" s="588">
        <f>+SUM(AG127:AJ127)</f>
        <v>123.649</v>
      </c>
      <c r="AL127" s="585"/>
      <c r="AM127" s="133">
        <v>27.888999999999999</v>
      </c>
      <c r="AN127" s="134">
        <v>30.445</v>
      </c>
      <c r="AO127" s="134">
        <v>27.300999999999998</v>
      </c>
      <c r="AP127" s="134">
        <v>29.183</v>
      </c>
      <c r="AQ127" s="588">
        <f>+SUM(AM127:AP127)</f>
        <v>114.81800000000001</v>
      </c>
      <c r="AR127" s="585"/>
      <c r="AS127" s="133">
        <f>52.692-AT127</f>
        <v>26.254999999999999</v>
      </c>
      <c r="AT127" s="134">
        <v>26.437000000000001</v>
      </c>
      <c r="AU127" s="134">
        <v>23.404</v>
      </c>
      <c r="AV127" s="134">
        <v>24.84</v>
      </c>
      <c r="AW127" s="588">
        <f>+SUM(AS127:AV127)</f>
        <v>100.93600000000001</v>
      </c>
      <c r="AX127" s="585"/>
      <c r="AY127" s="133"/>
      <c r="AZ127" s="134"/>
      <c r="BA127" s="134"/>
      <c r="BB127" s="134"/>
      <c r="BC127" s="588"/>
      <c r="BD127" s="585"/>
      <c r="BE127" s="133"/>
      <c r="BF127" s="134"/>
      <c r="BG127" s="134"/>
      <c r="BH127" s="134"/>
      <c r="BI127" s="588"/>
      <c r="BJ127" s="585"/>
      <c r="BK127" s="133"/>
      <c r="BL127" s="134"/>
      <c r="BM127" s="135"/>
      <c r="BN127" s="135"/>
      <c r="BO127" s="588"/>
      <c r="BP127" s="585"/>
      <c r="BQ127" s="133"/>
      <c r="BR127" s="134"/>
      <c r="BS127" s="135"/>
      <c r="BT127" s="135"/>
      <c r="BU127" s="588"/>
      <c r="BV127" s="585"/>
      <c r="BW127" s="580"/>
      <c r="BX127" s="135"/>
      <c r="BY127" s="135"/>
      <c r="BZ127" s="135"/>
      <c r="CA127" s="588"/>
      <c r="CB127" s="585"/>
      <c r="CC127" s="580"/>
      <c r="CD127" s="135"/>
      <c r="CE127" s="135"/>
      <c r="CF127" s="135"/>
      <c r="CG127" s="588"/>
      <c r="CH127" s="585"/>
      <c r="CI127" s="580"/>
      <c r="CJ127" s="135"/>
      <c r="CK127" s="135"/>
      <c r="CL127" s="135"/>
      <c r="CM127" s="588"/>
      <c r="CN127" s="11"/>
      <c r="CO127" s="11"/>
      <c r="CP127" s="11"/>
      <c r="CQ127" s="11"/>
      <c r="CR127" s="11"/>
      <c r="CS127" s="11"/>
      <c r="CT127" s="11"/>
      <c r="CU127" s="11"/>
      <c r="CV127" s="11"/>
      <c r="CW127" s="11"/>
      <c r="CX127" s="11"/>
    </row>
    <row r="128" spans="1:102" s="31" customFormat="1" ht="11.25" hidden="1" customHeight="1" outlineLevel="1" x14ac:dyDescent="0.2">
      <c r="A128" s="84"/>
      <c r="B128" s="609" t="s">
        <v>261</v>
      </c>
      <c r="C128" s="152"/>
      <c r="D128" s="153"/>
      <c r="E128" s="153"/>
      <c r="F128" s="153"/>
      <c r="G128" s="590"/>
      <c r="H128" s="58"/>
      <c r="I128" s="152">
        <f>I127/C127-1</f>
        <v>0.23498191998133677</v>
      </c>
      <c r="J128" s="153">
        <f>J127/D127-1</f>
        <v>0.28769851951547776</v>
      </c>
      <c r="K128" s="153">
        <f>K127/E127-1</f>
        <v>6.0923322365141086E-2</v>
      </c>
      <c r="L128" s="153">
        <f>L127/F127-1</f>
        <v>0.22535276859311715</v>
      </c>
      <c r="M128" s="590">
        <f>M127/G127-1</f>
        <v>0.19978770776161103</v>
      </c>
      <c r="N128" s="58"/>
      <c r="O128" s="152">
        <f>O127/I127-1</f>
        <v>0.17086186540731996</v>
      </c>
      <c r="P128" s="153">
        <f>P127/J127-1</f>
        <v>1.9816881976671308E-2</v>
      </c>
      <c r="Q128" s="153">
        <f>Q127/K127-1</f>
        <v>3.1109022556391031E-2</v>
      </c>
      <c r="R128" s="153">
        <f>R127/L127-1</f>
        <v>-0.15977500760109453</v>
      </c>
      <c r="S128" s="590">
        <f>S127/M127-1</f>
        <v>5.9340137669121606E-3</v>
      </c>
      <c r="T128" s="58"/>
      <c r="U128" s="152">
        <f>U127/O127-1</f>
        <v>-5.4571854959060917E-2</v>
      </c>
      <c r="V128" s="153">
        <f>V127/P127-1</f>
        <v>0.14725536014430363</v>
      </c>
      <c r="W128" s="153">
        <f>W127/Q127-1</f>
        <v>0.10030990793911232</v>
      </c>
      <c r="X128" s="153">
        <f>X127/R127-1</f>
        <v>0.13149086303600499</v>
      </c>
      <c r="Y128" s="590">
        <f>Y127/S127-1</f>
        <v>7.8800034321506729E-2</v>
      </c>
      <c r="Z128" s="58"/>
      <c r="AA128" s="152">
        <f>AA127/U127-1</f>
        <v>0.29590443686006829</v>
      </c>
      <c r="AB128" s="153">
        <f>AB127/V127-1</f>
        <v>0.2954082544220118</v>
      </c>
      <c r="AC128" s="153">
        <f>AC127/W127-1</f>
        <v>0.32970219111129517</v>
      </c>
      <c r="AD128" s="153">
        <f>AD127/X127-1</f>
        <v>0.32100739556266245</v>
      </c>
      <c r="AE128" s="590">
        <f>AE127/Y127-1</f>
        <v>0.31012198880526554</v>
      </c>
      <c r="AF128" s="58"/>
      <c r="AG128" s="152">
        <f>AG127/AA127-1</f>
        <v>2.2419015011851284E-2</v>
      </c>
      <c r="AH128" s="153">
        <f>AH127/AB127-1</f>
        <v>-0.1255103166721836</v>
      </c>
      <c r="AI128" s="153">
        <f>AI127/AC127-1</f>
        <v>-0.1034171261252842</v>
      </c>
      <c r="AJ128" s="153">
        <f>AJ127/AD127-1</f>
        <v>-2.8385534876683383E-2</v>
      </c>
      <c r="AK128" s="590">
        <f>AK127/AE127-1</f>
        <v>-6.1672838756678061E-2</v>
      </c>
      <c r="AL128" s="58"/>
      <c r="AM128" s="152">
        <f>AM127/AG127-1</f>
        <v>-0.10200598898798985</v>
      </c>
      <c r="AN128" s="153">
        <f>AN127/AH127-1</f>
        <v>-3.9650495236893568E-2</v>
      </c>
      <c r="AO128" s="153">
        <f>AO127/AI127-1</f>
        <v>-5.1488725984087935E-2</v>
      </c>
      <c r="AP128" s="153">
        <f>AP127/AJ127-1</f>
        <v>-9.1070483072227204E-2</v>
      </c>
      <c r="AQ128" s="590">
        <f>AQ127/AK127-1</f>
        <v>-7.1419906347807038E-2</v>
      </c>
      <c r="AR128" s="58"/>
      <c r="AS128" s="152">
        <f>AS127/AM127-1</f>
        <v>-5.8589408010326638E-2</v>
      </c>
      <c r="AT128" s="153">
        <f>AT127/AN127-1</f>
        <v>-0.13164723271473144</v>
      </c>
      <c r="AU128" s="153">
        <f>AU127/AO127-1</f>
        <v>-0.14274202410168124</v>
      </c>
      <c r="AV128" s="153">
        <f>AV127/AP127-1</f>
        <v>-0.14881951821265804</v>
      </c>
      <c r="AW128" s="590">
        <f>AW127/AQ127-1</f>
        <v>-0.12090438781375745</v>
      </c>
      <c r="AX128" s="58"/>
      <c r="AY128" s="152"/>
      <c r="AZ128" s="153"/>
      <c r="BA128" s="153"/>
      <c r="BB128" s="153"/>
      <c r="BC128" s="590"/>
      <c r="BD128" s="58"/>
      <c r="BE128" s="152"/>
      <c r="BF128" s="153"/>
      <c r="BG128" s="153"/>
      <c r="BH128" s="153"/>
      <c r="BI128" s="590"/>
      <c r="BJ128" s="58"/>
      <c r="BK128" s="152"/>
      <c r="BL128" s="153"/>
      <c r="BM128" s="153"/>
      <c r="BN128" s="153"/>
      <c r="BO128" s="590"/>
      <c r="BP128" s="58"/>
      <c r="BQ128" s="152"/>
      <c r="BR128" s="153"/>
      <c r="BS128" s="153"/>
      <c r="BT128" s="153"/>
      <c r="BU128" s="590"/>
      <c r="BV128" s="58"/>
      <c r="BW128" s="152"/>
      <c r="BX128" s="153"/>
      <c r="BY128" s="153"/>
      <c r="BZ128" s="153"/>
      <c r="CA128" s="590"/>
      <c r="CB128" s="58"/>
      <c r="CC128" s="152"/>
      <c r="CD128" s="153"/>
      <c r="CE128" s="153"/>
      <c r="CF128" s="153"/>
      <c r="CG128" s="590"/>
      <c r="CH128" s="58"/>
      <c r="CI128" s="152"/>
      <c r="CJ128" s="153"/>
      <c r="CK128" s="153"/>
      <c r="CL128" s="153"/>
      <c r="CM128" s="590"/>
      <c r="CN128" s="11"/>
      <c r="CO128" s="11"/>
      <c r="CP128" s="11"/>
      <c r="CQ128" s="11"/>
      <c r="CR128" s="11"/>
      <c r="CS128" s="11"/>
      <c r="CT128" s="11"/>
      <c r="CU128" s="11"/>
      <c r="CV128" s="11"/>
      <c r="CW128" s="11"/>
      <c r="CX128" s="11"/>
    </row>
    <row r="129" spans="1:102" s="31" customFormat="1" ht="11.25" hidden="1" customHeight="1" outlineLevel="1" x14ac:dyDescent="0.2">
      <c r="A129" s="84"/>
      <c r="B129" s="609" t="s">
        <v>264</v>
      </c>
      <c r="C129" s="146"/>
      <c r="D129" s="148"/>
      <c r="E129" s="148"/>
      <c r="F129" s="147"/>
      <c r="G129" s="590"/>
      <c r="H129" s="106"/>
      <c r="I129" s="146"/>
      <c r="J129" s="148"/>
      <c r="K129" s="148"/>
      <c r="L129" s="147"/>
      <c r="M129" s="590"/>
      <c r="N129" s="106"/>
      <c r="O129" s="146"/>
      <c r="P129" s="148"/>
      <c r="Q129" s="148"/>
      <c r="R129" s="147"/>
      <c r="S129" s="590"/>
      <c r="T129" s="106"/>
      <c r="U129" s="146"/>
      <c r="V129" s="148"/>
      <c r="W129" s="148"/>
      <c r="X129" s="147"/>
      <c r="Y129" s="590"/>
      <c r="Z129" s="106"/>
      <c r="AA129" s="146"/>
      <c r="AB129" s="148"/>
      <c r="AC129" s="148"/>
      <c r="AD129" s="147"/>
      <c r="AE129" s="590"/>
      <c r="AF129" s="106"/>
      <c r="AG129" s="146"/>
      <c r="AH129" s="148"/>
      <c r="AI129" s="148"/>
      <c r="AJ129" s="147"/>
      <c r="AK129" s="590"/>
      <c r="AL129" s="106"/>
      <c r="AM129" s="152"/>
      <c r="AN129" s="153"/>
      <c r="AO129" s="153"/>
      <c r="AP129" s="153"/>
      <c r="AQ129" s="590"/>
      <c r="AR129" s="106"/>
      <c r="AS129" s="152"/>
      <c r="AT129" s="153"/>
      <c r="AU129" s="153"/>
      <c r="AV129" s="153"/>
      <c r="AW129" s="604"/>
      <c r="AX129" s="106"/>
      <c r="AY129" s="146"/>
      <c r="AZ129" s="148"/>
      <c r="BA129" s="148"/>
      <c r="BB129" s="148"/>
      <c r="BC129" s="590"/>
      <c r="BD129" s="106"/>
      <c r="BE129" s="146"/>
      <c r="BF129" s="148"/>
      <c r="BG129" s="148"/>
      <c r="BH129" s="148"/>
      <c r="BI129" s="590"/>
      <c r="BJ129" s="106"/>
      <c r="BK129" s="146"/>
      <c r="BL129" s="148"/>
      <c r="BM129" s="598"/>
      <c r="BN129" s="598"/>
      <c r="BO129" s="590"/>
      <c r="BP129" s="106"/>
      <c r="BQ129" s="146"/>
      <c r="BR129" s="148"/>
      <c r="BS129" s="598"/>
      <c r="BT129" s="598"/>
      <c r="BU129" s="590"/>
      <c r="BV129" s="106"/>
      <c r="BW129" s="597"/>
      <c r="BX129" s="598"/>
      <c r="BY129" s="598"/>
      <c r="BZ129" s="598"/>
      <c r="CA129" s="590"/>
      <c r="CB129" s="106"/>
      <c r="CC129" s="597"/>
      <c r="CD129" s="598"/>
      <c r="CE129" s="598"/>
      <c r="CF129" s="598"/>
      <c r="CG129" s="590"/>
      <c r="CH129" s="106"/>
      <c r="CI129" s="597"/>
      <c r="CJ129" s="598"/>
      <c r="CK129" s="598"/>
      <c r="CL129" s="598"/>
      <c r="CM129" s="590"/>
      <c r="CN129" s="11"/>
      <c r="CO129" s="11"/>
      <c r="CP129" s="11"/>
      <c r="CQ129" s="11"/>
      <c r="CR129" s="11"/>
      <c r="CS129" s="11"/>
      <c r="CT129" s="11"/>
      <c r="CU129" s="11"/>
      <c r="CV129" s="11"/>
      <c r="CW129" s="11"/>
      <c r="CX129" s="11"/>
    </row>
    <row r="130" spans="1:102" s="31" customFormat="1" ht="11.25" hidden="1" customHeight="1" outlineLevel="1" x14ac:dyDescent="0.2">
      <c r="A130" s="84"/>
      <c r="B130" s="609" t="s">
        <v>263</v>
      </c>
      <c r="C130" s="152"/>
      <c r="D130" s="153"/>
      <c r="E130" s="153"/>
      <c r="F130" s="153"/>
      <c r="G130" s="590"/>
      <c r="H130" s="58"/>
      <c r="I130" s="152"/>
      <c r="J130" s="153"/>
      <c r="K130" s="153"/>
      <c r="L130" s="153"/>
      <c r="M130" s="590"/>
      <c r="N130" s="58"/>
      <c r="O130" s="152"/>
      <c r="P130" s="153"/>
      <c r="Q130" s="153"/>
      <c r="R130" s="153"/>
      <c r="S130" s="590"/>
      <c r="T130" s="58"/>
      <c r="U130" s="152"/>
      <c r="V130" s="153"/>
      <c r="W130" s="153"/>
      <c r="X130" s="153"/>
      <c r="Y130" s="590"/>
      <c r="Z130" s="58"/>
      <c r="AA130" s="152"/>
      <c r="AB130" s="153"/>
      <c r="AC130" s="153"/>
      <c r="AD130" s="153"/>
      <c r="AE130" s="590"/>
      <c r="AF130" s="58"/>
      <c r="AG130" s="152"/>
      <c r="AH130" s="153"/>
      <c r="AI130" s="153"/>
      <c r="AJ130" s="153"/>
      <c r="AK130" s="590"/>
      <c r="AL130" s="58"/>
      <c r="AM130" s="146"/>
      <c r="AN130" s="148"/>
      <c r="AO130" s="148"/>
      <c r="AP130" s="148"/>
      <c r="AQ130" s="590"/>
      <c r="AR130" s="58"/>
      <c r="AS130" s="146"/>
      <c r="AT130" s="148"/>
      <c r="AU130" s="148"/>
      <c r="AV130" s="148"/>
      <c r="AW130" s="590"/>
      <c r="AX130" s="58"/>
      <c r="AY130" s="152"/>
      <c r="AZ130" s="153"/>
      <c r="BA130" s="153"/>
      <c r="BB130" s="153"/>
      <c r="BC130" s="590"/>
      <c r="BD130" s="58"/>
      <c r="BE130" s="152"/>
      <c r="BF130" s="153"/>
      <c r="BG130" s="153"/>
      <c r="BH130" s="153"/>
      <c r="BI130" s="590"/>
      <c r="BJ130" s="58"/>
      <c r="BK130" s="152"/>
      <c r="BL130" s="153"/>
      <c r="BM130" s="598"/>
      <c r="BN130" s="598"/>
      <c r="BO130" s="590"/>
      <c r="BP130" s="58"/>
      <c r="BQ130" s="152"/>
      <c r="BR130" s="153"/>
      <c r="BS130" s="598"/>
      <c r="BT130" s="598"/>
      <c r="BU130" s="590"/>
      <c r="BV130" s="58"/>
      <c r="BW130" s="597"/>
      <c r="BX130" s="598"/>
      <c r="BY130" s="598"/>
      <c r="BZ130" s="598"/>
      <c r="CA130" s="590"/>
      <c r="CB130" s="58"/>
      <c r="CC130" s="597"/>
      <c r="CD130" s="598"/>
      <c r="CE130" s="598"/>
      <c r="CF130" s="598"/>
      <c r="CG130" s="590"/>
      <c r="CH130" s="58"/>
      <c r="CI130" s="597"/>
      <c r="CJ130" s="598"/>
      <c r="CK130" s="598"/>
      <c r="CL130" s="598"/>
      <c r="CM130" s="590"/>
      <c r="CN130" s="11"/>
      <c r="CO130" s="11"/>
      <c r="CP130" s="11"/>
      <c r="CQ130" s="11"/>
      <c r="CR130" s="11"/>
      <c r="CS130" s="11"/>
      <c r="CT130" s="11"/>
      <c r="CU130" s="11"/>
      <c r="CV130" s="11"/>
      <c r="CW130" s="11"/>
      <c r="CX130" s="11"/>
    </row>
    <row r="131" spans="1:102" s="31" customFormat="1" ht="11.25" hidden="1" customHeight="1" outlineLevel="1" x14ac:dyDescent="0.2">
      <c r="A131" s="84"/>
      <c r="B131" s="609" t="s">
        <v>262</v>
      </c>
      <c r="C131" s="146"/>
      <c r="D131" s="148"/>
      <c r="E131" s="148"/>
      <c r="F131" s="147"/>
      <c r="G131" s="604"/>
      <c r="H131" s="58"/>
      <c r="I131" s="146"/>
      <c r="J131" s="148"/>
      <c r="K131" s="148"/>
      <c r="L131" s="147"/>
      <c r="M131" s="604"/>
      <c r="N131" s="58"/>
      <c r="O131" s="146"/>
      <c r="P131" s="148"/>
      <c r="Q131" s="148"/>
      <c r="R131" s="147"/>
      <c r="S131" s="604"/>
      <c r="T131" s="58"/>
      <c r="U131" s="146"/>
      <c r="V131" s="148"/>
      <c r="W131" s="148"/>
      <c r="X131" s="147"/>
      <c r="Y131" s="604"/>
      <c r="Z131" s="58"/>
      <c r="AA131" s="146"/>
      <c r="AB131" s="148"/>
      <c r="AC131" s="148"/>
      <c r="AD131" s="147"/>
      <c r="AE131" s="604"/>
      <c r="AF131" s="58"/>
      <c r="AG131" s="146"/>
      <c r="AH131" s="148"/>
      <c r="AI131" s="148"/>
      <c r="AJ131" s="147"/>
      <c r="AK131" s="604"/>
      <c r="AL131" s="58"/>
      <c r="AM131" s="146"/>
      <c r="AN131" s="148"/>
      <c r="AO131" s="148"/>
      <c r="AP131" s="148"/>
      <c r="AQ131" s="604"/>
      <c r="AR131" s="58"/>
      <c r="AS131" s="146"/>
      <c r="AT131" s="148"/>
      <c r="AU131" s="148"/>
      <c r="AV131" s="148"/>
      <c r="AW131" s="604"/>
      <c r="AX131" s="58"/>
      <c r="AY131" s="146"/>
      <c r="AZ131" s="148"/>
      <c r="BA131" s="148"/>
      <c r="BB131" s="148"/>
      <c r="BC131" s="590"/>
      <c r="BD131" s="58"/>
      <c r="BE131" s="146"/>
      <c r="BF131" s="148"/>
      <c r="BG131" s="148"/>
      <c r="BH131" s="148"/>
      <c r="BI131" s="590"/>
      <c r="BJ131" s="58"/>
      <c r="BK131" s="146"/>
      <c r="BL131" s="148"/>
      <c r="BM131" s="598"/>
      <c r="BN131" s="598"/>
      <c r="BO131" s="590"/>
      <c r="BP131" s="58"/>
      <c r="BQ131" s="146"/>
      <c r="BR131" s="148"/>
      <c r="BS131" s="598"/>
      <c r="BT131" s="598"/>
      <c r="BU131" s="590"/>
      <c r="BV131" s="58"/>
      <c r="BW131" s="597"/>
      <c r="BX131" s="598"/>
      <c r="BY131" s="598"/>
      <c r="BZ131" s="598"/>
      <c r="CA131" s="590"/>
      <c r="CB131" s="58"/>
      <c r="CC131" s="597"/>
      <c r="CD131" s="598"/>
      <c r="CE131" s="598"/>
      <c r="CF131" s="598"/>
      <c r="CG131" s="590"/>
      <c r="CH131" s="58"/>
      <c r="CI131" s="597"/>
      <c r="CJ131" s="598"/>
      <c r="CK131" s="598"/>
      <c r="CL131" s="598"/>
      <c r="CM131" s="590"/>
      <c r="CN131" s="11"/>
      <c r="CO131" s="11"/>
      <c r="CP131" s="11"/>
      <c r="CQ131" s="11"/>
      <c r="CR131" s="11"/>
      <c r="CS131" s="11"/>
      <c r="CT131" s="11"/>
      <c r="CU131" s="11"/>
      <c r="CV131" s="11"/>
      <c r="CW131" s="11"/>
      <c r="CX131" s="11"/>
    </row>
    <row r="132" spans="1:102" s="31" customFormat="1" ht="11.25" hidden="1" customHeight="1" outlineLevel="1" x14ac:dyDescent="0.2">
      <c r="A132" s="84"/>
      <c r="B132" s="610" t="s">
        <v>265</v>
      </c>
      <c r="C132" s="152"/>
      <c r="D132" s="153"/>
      <c r="E132" s="153"/>
      <c r="F132" s="153"/>
      <c r="G132" s="590"/>
      <c r="H132" s="577"/>
      <c r="I132" s="152"/>
      <c r="J132" s="153"/>
      <c r="K132" s="153"/>
      <c r="L132" s="153"/>
      <c r="M132" s="590"/>
      <c r="N132" s="577"/>
      <c r="O132" s="152"/>
      <c r="P132" s="153"/>
      <c r="Q132" s="153"/>
      <c r="R132" s="153"/>
      <c r="S132" s="590"/>
      <c r="T132" s="577"/>
      <c r="U132" s="152"/>
      <c r="V132" s="153"/>
      <c r="W132" s="153"/>
      <c r="X132" s="153"/>
      <c r="Y132" s="590"/>
      <c r="Z132" s="577"/>
      <c r="AA132" s="152"/>
      <c r="AB132" s="153"/>
      <c r="AC132" s="153"/>
      <c r="AD132" s="153"/>
      <c r="AE132" s="590"/>
      <c r="AF132" s="577"/>
      <c r="AG132" s="152"/>
      <c r="AH132" s="153"/>
      <c r="AI132" s="153"/>
      <c r="AJ132" s="153"/>
      <c r="AK132" s="590"/>
      <c r="AL132" s="577"/>
      <c r="AM132" s="152"/>
      <c r="AN132" s="153"/>
      <c r="AO132" s="153"/>
      <c r="AP132" s="153"/>
      <c r="AQ132" s="590"/>
      <c r="AR132" s="577"/>
      <c r="AS132" s="152"/>
      <c r="AT132" s="153"/>
      <c r="AU132" s="153"/>
      <c r="AV132" s="153"/>
      <c r="AW132" s="590"/>
      <c r="AX132" s="577"/>
      <c r="AY132" s="152"/>
      <c r="AZ132" s="153"/>
      <c r="BA132" s="153"/>
      <c r="BB132" s="153"/>
      <c r="BC132" s="590"/>
      <c r="BD132" s="577"/>
      <c r="BE132" s="152"/>
      <c r="BF132" s="153"/>
      <c r="BG132" s="153"/>
      <c r="BH132" s="153"/>
      <c r="BI132" s="590"/>
      <c r="BJ132" s="577"/>
      <c r="BK132" s="152"/>
      <c r="BL132" s="153"/>
      <c r="BM132" s="153"/>
      <c r="BN132" s="153"/>
      <c r="BO132" s="590"/>
      <c r="BP132" s="577"/>
      <c r="BQ132" s="152"/>
      <c r="BR132" s="153"/>
      <c r="BS132" s="153"/>
      <c r="BT132" s="153"/>
      <c r="BU132" s="590"/>
      <c r="BV132" s="577"/>
      <c r="BW132" s="152"/>
      <c r="BX132" s="153"/>
      <c r="BY132" s="153"/>
      <c r="BZ132" s="153"/>
      <c r="CA132" s="590"/>
      <c r="CB132" s="577"/>
      <c r="CC132" s="152"/>
      <c r="CD132" s="153"/>
      <c r="CE132" s="153"/>
      <c r="CF132" s="153"/>
      <c r="CG132" s="590"/>
      <c r="CH132" s="577"/>
      <c r="CI132" s="152"/>
      <c r="CJ132" s="153"/>
      <c r="CK132" s="153"/>
      <c r="CL132" s="153"/>
      <c r="CM132" s="590"/>
      <c r="CN132" s="11"/>
      <c r="CO132" s="11"/>
      <c r="CP132" s="11"/>
      <c r="CQ132" s="11"/>
      <c r="CR132" s="11"/>
      <c r="CS132" s="11"/>
      <c r="CT132" s="11"/>
      <c r="CU132" s="11"/>
      <c r="CV132" s="11"/>
      <c r="CW132" s="11"/>
      <c r="CX132" s="11"/>
    </row>
    <row r="133" spans="1:102" s="31" customFormat="1" ht="11.25" hidden="1" customHeight="1" outlineLevel="1" x14ac:dyDescent="0.2">
      <c r="A133" s="84"/>
      <c r="B133" s="609"/>
      <c r="C133" s="146"/>
      <c r="D133" s="148"/>
      <c r="E133" s="148"/>
      <c r="F133" s="147"/>
      <c r="G133" s="590"/>
      <c r="H133" s="106"/>
      <c r="I133" s="146"/>
      <c r="J133" s="148"/>
      <c r="K133" s="148"/>
      <c r="L133" s="147"/>
      <c r="M133" s="590"/>
      <c r="N133" s="106"/>
      <c r="O133" s="146"/>
      <c r="P133" s="148"/>
      <c r="Q133" s="148"/>
      <c r="R133" s="147"/>
      <c r="S133" s="590"/>
      <c r="T133" s="106"/>
      <c r="U133" s="146"/>
      <c r="V133" s="148"/>
      <c r="W133" s="148"/>
      <c r="X133" s="147"/>
      <c r="Y133" s="590"/>
      <c r="Z133" s="106"/>
      <c r="AA133" s="146"/>
      <c r="AB133" s="148"/>
      <c r="AC133" s="148"/>
      <c r="AD133" s="147"/>
      <c r="AE133" s="590"/>
      <c r="AF133" s="106"/>
      <c r="AG133" s="146"/>
      <c r="AH133" s="148"/>
      <c r="AI133" s="148"/>
      <c r="AJ133" s="147"/>
      <c r="AK133" s="590"/>
      <c r="AL133" s="106"/>
      <c r="AM133" s="146"/>
      <c r="AN133" s="148"/>
      <c r="AO133" s="148"/>
      <c r="AP133" s="147"/>
      <c r="AQ133" s="590"/>
      <c r="AR133" s="106"/>
      <c r="AS133" s="146"/>
      <c r="AT133" s="148"/>
      <c r="AU133" s="148"/>
      <c r="AV133" s="147"/>
      <c r="AW133" s="604"/>
      <c r="AX133" s="106"/>
      <c r="AY133" s="146"/>
      <c r="AZ133" s="148"/>
      <c r="BA133" s="148"/>
      <c r="BB133" s="147"/>
      <c r="BC133" s="590"/>
      <c r="BD133" s="106"/>
      <c r="BE133" s="146"/>
      <c r="BF133" s="148"/>
      <c r="BG133" s="148"/>
      <c r="BH133" s="148"/>
      <c r="BI133" s="590"/>
      <c r="BJ133" s="106"/>
      <c r="BK133" s="146"/>
      <c r="BL133" s="148"/>
      <c r="BM133" s="598"/>
      <c r="BN133" s="598"/>
      <c r="BO133" s="590"/>
      <c r="BP133" s="106"/>
      <c r="BQ133" s="146"/>
      <c r="BR133" s="148"/>
      <c r="BS133" s="598"/>
      <c r="BT133" s="598"/>
      <c r="BU133" s="590"/>
      <c r="BV133" s="106"/>
      <c r="BW133" s="597"/>
      <c r="BX133" s="598"/>
      <c r="BY133" s="598"/>
      <c r="BZ133" s="598"/>
      <c r="CA133" s="590"/>
      <c r="CB133" s="106"/>
      <c r="CC133" s="597"/>
      <c r="CD133" s="598"/>
      <c r="CE133" s="598"/>
      <c r="CF133" s="598"/>
      <c r="CG133" s="590"/>
      <c r="CH133" s="106"/>
      <c r="CI133" s="597"/>
      <c r="CJ133" s="598"/>
      <c r="CK133" s="598"/>
      <c r="CL133" s="598"/>
      <c r="CM133" s="590"/>
      <c r="CN133" s="11"/>
      <c r="CO133" s="11"/>
      <c r="CP133" s="11"/>
      <c r="CQ133" s="11"/>
      <c r="CR133" s="11"/>
      <c r="CS133" s="11"/>
      <c r="CT133" s="11"/>
      <c r="CU133" s="11"/>
      <c r="CV133" s="11"/>
      <c r="CW133" s="11"/>
      <c r="CX133" s="11"/>
    </row>
    <row r="134" spans="1:102" s="9" customFormat="1" ht="11.25" hidden="1" customHeight="1" outlineLevel="1" x14ac:dyDescent="0.2">
      <c r="A134" s="12"/>
      <c r="B134" s="606" t="s">
        <v>310</v>
      </c>
      <c r="C134" s="133">
        <v>3.7330000000000001</v>
      </c>
      <c r="D134" s="134">
        <v>4.1950000000000003</v>
      </c>
      <c r="E134" s="134">
        <v>3.968</v>
      </c>
      <c r="F134" s="134">
        <v>4.0819999999999999</v>
      </c>
      <c r="G134" s="588">
        <f>+SUM(C134:F134)</f>
        <v>15.978000000000002</v>
      </c>
      <c r="H134" s="585"/>
      <c r="I134" s="133">
        <v>3.7650000000000001</v>
      </c>
      <c r="J134" s="134">
        <v>4.8479999999999999</v>
      </c>
      <c r="K134" s="134">
        <v>4.6230000000000002</v>
      </c>
      <c r="L134" s="134">
        <v>5.3010000000000002</v>
      </c>
      <c r="M134" s="588">
        <f>+SUM(I134:L134)</f>
        <v>18.536999999999999</v>
      </c>
      <c r="N134" s="585"/>
      <c r="O134" s="133">
        <v>5.5339999999999998</v>
      </c>
      <c r="P134" s="134">
        <v>5.8230000000000004</v>
      </c>
      <c r="Q134" s="134">
        <v>4.9359999999999999</v>
      </c>
      <c r="R134" s="134">
        <v>5.37</v>
      </c>
      <c r="S134" s="588">
        <f>+SUM(O134:R134)</f>
        <v>21.663</v>
      </c>
      <c r="T134" s="585"/>
      <c r="U134" s="133">
        <v>5.6189999999999998</v>
      </c>
      <c r="V134" s="134">
        <v>6.2480000000000002</v>
      </c>
      <c r="W134" s="134">
        <v>5.3579999999999997</v>
      </c>
      <c r="X134" s="134">
        <v>5.4450000000000003</v>
      </c>
      <c r="Y134" s="588">
        <f>+SUM(U134:X134)</f>
        <v>22.67</v>
      </c>
      <c r="Z134" s="585"/>
      <c r="AA134" s="133">
        <v>6.173</v>
      </c>
      <c r="AB134" s="134">
        <v>6.109</v>
      </c>
      <c r="AC134" s="134">
        <v>5.6029999999999998</v>
      </c>
      <c r="AD134" s="134">
        <v>6.4320000000000004</v>
      </c>
      <c r="AE134" s="588">
        <f>+SUM(AA134:AD134)</f>
        <v>24.317</v>
      </c>
      <c r="AF134" s="585"/>
      <c r="AG134" s="133">
        <v>6.6790000000000003</v>
      </c>
      <c r="AH134" s="134">
        <v>6.859</v>
      </c>
      <c r="AI134" s="134">
        <v>6.0529999999999999</v>
      </c>
      <c r="AJ134" s="134">
        <v>7.0960000000000001</v>
      </c>
      <c r="AK134" s="588">
        <f>+SUM(AG134:AJ134)</f>
        <v>26.687000000000001</v>
      </c>
      <c r="AL134" s="585"/>
      <c r="AM134" s="133">
        <v>6.827</v>
      </c>
      <c r="AN134" s="134">
        <v>6.4329999999999998</v>
      </c>
      <c r="AO134" s="134">
        <v>6.03</v>
      </c>
      <c r="AP134" s="134">
        <v>6.7249999999999996</v>
      </c>
      <c r="AQ134" s="588">
        <f>+SUM(AM134:AP134)</f>
        <v>26.015000000000001</v>
      </c>
      <c r="AR134" s="585"/>
      <c r="AS134" s="133">
        <f>12.736-AT134</f>
        <v>6.2140000000000004</v>
      </c>
      <c r="AT134" s="134">
        <v>6.5220000000000002</v>
      </c>
      <c r="AU134" s="134">
        <v>6.23</v>
      </c>
      <c r="AV134" s="134">
        <v>6.49</v>
      </c>
      <c r="AW134" s="588">
        <f>+SUM(AS134:AV134)</f>
        <v>25.456000000000003</v>
      </c>
      <c r="AX134" s="585"/>
      <c r="AY134" s="133"/>
      <c r="AZ134" s="134"/>
      <c r="BA134" s="134"/>
      <c r="BB134" s="134"/>
      <c r="BC134" s="588"/>
      <c r="BD134" s="585"/>
      <c r="BE134" s="133"/>
      <c r="BF134" s="134"/>
      <c r="BG134" s="134"/>
      <c r="BH134" s="134"/>
      <c r="BI134" s="588"/>
      <c r="BJ134" s="585"/>
      <c r="BK134" s="133"/>
      <c r="BL134" s="134"/>
      <c r="BM134" s="135"/>
      <c r="BN134" s="135"/>
      <c r="BO134" s="588"/>
      <c r="BP134" s="585"/>
      <c r="BQ134" s="133"/>
      <c r="BR134" s="134"/>
      <c r="BS134" s="135"/>
      <c r="BT134" s="135"/>
      <c r="BU134" s="588"/>
      <c r="BV134" s="585"/>
      <c r="BW134" s="580"/>
      <c r="BX134" s="135"/>
      <c r="BY134" s="135"/>
      <c r="BZ134" s="135"/>
      <c r="CA134" s="588"/>
      <c r="CB134" s="585"/>
      <c r="CC134" s="580"/>
      <c r="CD134" s="135"/>
      <c r="CE134" s="135"/>
      <c r="CF134" s="135"/>
      <c r="CG134" s="588"/>
      <c r="CH134" s="585"/>
      <c r="CI134" s="580"/>
      <c r="CJ134" s="135"/>
      <c r="CK134" s="135"/>
      <c r="CL134" s="135"/>
      <c r="CM134" s="588"/>
      <c r="CN134" s="11"/>
      <c r="CO134" s="11"/>
      <c r="CP134" s="11"/>
      <c r="CQ134" s="11"/>
      <c r="CR134" s="11"/>
      <c r="CS134" s="11"/>
      <c r="CT134" s="11"/>
      <c r="CU134" s="11"/>
      <c r="CV134" s="11"/>
      <c r="CW134" s="11"/>
      <c r="CX134" s="11"/>
    </row>
    <row r="135" spans="1:102" s="31" customFormat="1" ht="11.25" hidden="1" customHeight="1" outlineLevel="1" x14ac:dyDescent="0.2">
      <c r="A135" s="84"/>
      <c r="B135" s="609" t="s">
        <v>261</v>
      </c>
      <c r="C135" s="152"/>
      <c r="D135" s="153"/>
      <c r="E135" s="153"/>
      <c r="F135" s="153"/>
      <c r="G135" s="590"/>
      <c r="H135" s="58"/>
      <c r="I135" s="152">
        <f>I134/C134-1</f>
        <v>8.5721939458880403E-3</v>
      </c>
      <c r="J135" s="153">
        <f>J134/D134-1</f>
        <v>0.15566150178784266</v>
      </c>
      <c r="K135" s="153">
        <f>K134/E134-1</f>
        <v>0.165070564516129</v>
      </c>
      <c r="L135" s="153">
        <f>L134/F134-1</f>
        <v>0.2986281234688879</v>
      </c>
      <c r="M135" s="590">
        <f>M134/G134-1</f>
        <v>0.16015771686068336</v>
      </c>
      <c r="N135" s="58"/>
      <c r="O135" s="152">
        <f>O134/I134-1</f>
        <v>0.46985391766268259</v>
      </c>
      <c r="P135" s="153">
        <f>P134/J134-1</f>
        <v>0.20111386138613874</v>
      </c>
      <c r="Q135" s="153">
        <f>Q134/K134-1</f>
        <v>6.7704953493402442E-2</v>
      </c>
      <c r="R135" s="153">
        <f>R134/L134-1</f>
        <v>1.3016411997736288E-2</v>
      </c>
      <c r="S135" s="590">
        <f>S134/M134-1</f>
        <v>0.16863570156983343</v>
      </c>
      <c r="T135" s="58"/>
      <c r="U135" s="152">
        <f>U134/O134-1</f>
        <v>1.5359595229490486E-2</v>
      </c>
      <c r="V135" s="153">
        <f>V134/P134-1</f>
        <v>7.2986433110080684E-2</v>
      </c>
      <c r="W135" s="153">
        <f>W134/Q134-1</f>
        <v>8.54943273905997E-2</v>
      </c>
      <c r="X135" s="153">
        <f>X134/R134-1</f>
        <v>1.3966480446927498E-2</v>
      </c>
      <c r="Y135" s="590">
        <f>Y134/S134-1</f>
        <v>4.6484789733647336E-2</v>
      </c>
      <c r="Z135" s="58"/>
      <c r="AA135" s="152">
        <f>AA134/U134-1</f>
        <v>9.8594055881829457E-2</v>
      </c>
      <c r="AB135" s="153">
        <f>AB134/V134-1</f>
        <v>-2.224711907810506E-2</v>
      </c>
      <c r="AC135" s="153">
        <f>AC134/W134-1</f>
        <v>4.5726017170585997E-2</v>
      </c>
      <c r="AD135" s="153">
        <f>AD134/X134-1</f>
        <v>0.18126721763085407</v>
      </c>
      <c r="AE135" s="590">
        <f>AE134/Y134-1</f>
        <v>7.2651080723422856E-2</v>
      </c>
      <c r="AF135" s="58"/>
      <c r="AG135" s="152">
        <f>AG134/AA134-1</f>
        <v>8.1969868783411615E-2</v>
      </c>
      <c r="AH135" s="153">
        <f>AH134/AB134-1</f>
        <v>0.12276968407267974</v>
      </c>
      <c r="AI135" s="153">
        <f>AI134/AC134-1</f>
        <v>8.0314117437087384E-2</v>
      </c>
      <c r="AJ135" s="153">
        <f>AJ134/AD134-1</f>
        <v>0.1032338308457712</v>
      </c>
      <c r="AK135" s="590">
        <f>AK134/AE134-1</f>
        <v>9.7462680429329263E-2</v>
      </c>
      <c r="AL135" s="58"/>
      <c r="AM135" s="152">
        <f>AM134/AG134-1</f>
        <v>2.2159005839197388E-2</v>
      </c>
      <c r="AN135" s="153">
        <f>AN134/AH134-1</f>
        <v>-6.2108179034844779E-2</v>
      </c>
      <c r="AO135" s="153">
        <f>AO134/AI134-1</f>
        <v>-3.7997687097306443E-3</v>
      </c>
      <c r="AP135" s="153">
        <f>AP134/AJ134-1</f>
        <v>-5.2282976324690034E-2</v>
      </c>
      <c r="AQ135" s="590">
        <f>AQ134/AK134-1</f>
        <v>-2.518079964027431E-2</v>
      </c>
      <c r="AR135" s="58"/>
      <c r="AS135" s="152">
        <f>AS134/AM134-1</f>
        <v>-8.9790537571407536E-2</v>
      </c>
      <c r="AT135" s="153">
        <f>AT134/AN134-1</f>
        <v>1.3834913726099796E-2</v>
      </c>
      <c r="AU135" s="153">
        <f>AU134/AO134-1</f>
        <v>3.3167495854063089E-2</v>
      </c>
      <c r="AV135" s="153">
        <f>AV134/AP134-1</f>
        <v>-3.4944237918215548E-2</v>
      </c>
      <c r="AW135" s="590">
        <f>AW134/AQ134-1</f>
        <v>-2.148760330578503E-2</v>
      </c>
      <c r="AX135" s="58"/>
      <c r="AY135" s="152"/>
      <c r="AZ135" s="153"/>
      <c r="BA135" s="153"/>
      <c r="BB135" s="153"/>
      <c r="BC135" s="590"/>
      <c r="BD135" s="58"/>
      <c r="BE135" s="152"/>
      <c r="BF135" s="153"/>
      <c r="BG135" s="153"/>
      <c r="BH135" s="153"/>
      <c r="BI135" s="590"/>
      <c r="BJ135" s="58"/>
      <c r="BK135" s="152"/>
      <c r="BL135" s="153"/>
      <c r="BM135" s="153"/>
      <c r="BN135" s="153"/>
      <c r="BO135" s="590"/>
      <c r="BP135" s="58"/>
      <c r="BQ135" s="152"/>
      <c r="BR135" s="153"/>
      <c r="BS135" s="153"/>
      <c r="BT135" s="153"/>
      <c r="BU135" s="590"/>
      <c r="BV135" s="58"/>
      <c r="BW135" s="152"/>
      <c r="BX135" s="153"/>
      <c r="BY135" s="153"/>
      <c r="BZ135" s="153"/>
      <c r="CA135" s="590"/>
      <c r="CB135" s="58"/>
      <c r="CC135" s="152"/>
      <c r="CD135" s="153"/>
      <c r="CE135" s="153"/>
      <c r="CF135" s="153"/>
      <c r="CG135" s="590"/>
      <c r="CH135" s="58"/>
      <c r="CI135" s="152"/>
      <c r="CJ135" s="153"/>
      <c r="CK135" s="153"/>
      <c r="CL135" s="153"/>
      <c r="CM135" s="590"/>
      <c r="CN135" s="11"/>
      <c r="CO135" s="11"/>
      <c r="CP135" s="11"/>
      <c r="CQ135" s="11"/>
      <c r="CR135" s="11"/>
      <c r="CS135" s="11"/>
      <c r="CT135" s="11"/>
      <c r="CU135" s="11"/>
      <c r="CV135" s="11"/>
      <c r="CW135" s="11"/>
      <c r="CX135" s="11"/>
    </row>
    <row r="136" spans="1:102" s="31" customFormat="1" ht="11.25" hidden="1" customHeight="1" outlineLevel="1" x14ac:dyDescent="0.2">
      <c r="A136" s="84"/>
      <c r="B136" s="609" t="s">
        <v>264</v>
      </c>
      <c r="C136" s="146"/>
      <c r="D136" s="148"/>
      <c r="E136" s="148"/>
      <c r="F136" s="147"/>
      <c r="G136" s="590"/>
      <c r="H136" s="106"/>
      <c r="I136" s="146"/>
      <c r="J136" s="148"/>
      <c r="K136" s="148"/>
      <c r="L136" s="147"/>
      <c r="M136" s="590"/>
      <c r="N136" s="106"/>
      <c r="O136" s="146"/>
      <c r="P136" s="148"/>
      <c r="Q136" s="148"/>
      <c r="R136" s="147"/>
      <c r="S136" s="590"/>
      <c r="T136" s="106"/>
      <c r="U136" s="146"/>
      <c r="V136" s="148"/>
      <c r="W136" s="148"/>
      <c r="X136" s="147"/>
      <c r="Y136" s="590"/>
      <c r="Z136" s="106"/>
      <c r="AA136" s="146"/>
      <c r="AB136" s="148"/>
      <c r="AC136" s="148"/>
      <c r="AD136" s="147"/>
      <c r="AE136" s="590"/>
      <c r="AF136" s="106"/>
      <c r="AG136" s="146"/>
      <c r="AH136" s="148"/>
      <c r="AI136" s="148"/>
      <c r="AJ136" s="147"/>
      <c r="AK136" s="590"/>
      <c r="AL136" s="106"/>
      <c r="AM136" s="152"/>
      <c r="AN136" s="153"/>
      <c r="AO136" s="153"/>
      <c r="AP136" s="153"/>
      <c r="AQ136" s="590"/>
      <c r="AR136" s="106"/>
      <c r="AS136" s="152"/>
      <c r="AT136" s="153"/>
      <c r="AU136" s="153"/>
      <c r="AV136" s="153"/>
      <c r="AW136" s="604"/>
      <c r="AX136" s="106"/>
      <c r="AY136" s="146"/>
      <c r="AZ136" s="148"/>
      <c r="BA136" s="148"/>
      <c r="BB136" s="148"/>
      <c r="BC136" s="590"/>
      <c r="BD136" s="106"/>
      <c r="BE136" s="146"/>
      <c r="BF136" s="148"/>
      <c r="BG136" s="148"/>
      <c r="BH136" s="148"/>
      <c r="BI136" s="590"/>
      <c r="BJ136" s="106"/>
      <c r="BK136" s="146"/>
      <c r="BL136" s="148"/>
      <c r="BM136" s="598"/>
      <c r="BN136" s="598"/>
      <c r="BO136" s="590"/>
      <c r="BP136" s="106"/>
      <c r="BQ136" s="146"/>
      <c r="BR136" s="148"/>
      <c r="BS136" s="598"/>
      <c r="BT136" s="598"/>
      <c r="BU136" s="590"/>
      <c r="BV136" s="106"/>
      <c r="BW136" s="597"/>
      <c r="BX136" s="598"/>
      <c r="BY136" s="598"/>
      <c r="BZ136" s="598"/>
      <c r="CA136" s="590"/>
      <c r="CB136" s="106"/>
      <c r="CC136" s="597"/>
      <c r="CD136" s="598"/>
      <c r="CE136" s="598"/>
      <c r="CF136" s="598"/>
      <c r="CG136" s="590"/>
      <c r="CH136" s="106"/>
      <c r="CI136" s="597"/>
      <c r="CJ136" s="598"/>
      <c r="CK136" s="598"/>
      <c r="CL136" s="598"/>
      <c r="CM136" s="590"/>
      <c r="CN136" s="11"/>
      <c r="CO136" s="11"/>
      <c r="CP136" s="11"/>
      <c r="CQ136" s="11"/>
      <c r="CR136" s="11"/>
      <c r="CS136" s="11"/>
      <c r="CT136" s="11"/>
      <c r="CU136" s="11"/>
      <c r="CV136" s="11"/>
      <c r="CW136" s="11"/>
      <c r="CX136" s="11"/>
    </row>
    <row r="137" spans="1:102" s="31" customFormat="1" ht="11.25" hidden="1" customHeight="1" outlineLevel="1" x14ac:dyDescent="0.2">
      <c r="A137" s="84"/>
      <c r="B137" s="609" t="s">
        <v>263</v>
      </c>
      <c r="C137" s="152"/>
      <c r="D137" s="153"/>
      <c r="E137" s="153"/>
      <c r="F137" s="153"/>
      <c r="G137" s="590"/>
      <c r="H137" s="58"/>
      <c r="I137" s="152"/>
      <c r="J137" s="153"/>
      <c r="K137" s="153"/>
      <c r="L137" s="153"/>
      <c r="M137" s="590"/>
      <c r="N137" s="58"/>
      <c r="O137" s="152"/>
      <c r="P137" s="153"/>
      <c r="Q137" s="153"/>
      <c r="R137" s="153"/>
      <c r="S137" s="590"/>
      <c r="T137" s="58"/>
      <c r="U137" s="152"/>
      <c r="V137" s="153"/>
      <c r="W137" s="153"/>
      <c r="X137" s="153"/>
      <c r="Y137" s="590"/>
      <c r="Z137" s="58"/>
      <c r="AA137" s="152"/>
      <c r="AB137" s="153"/>
      <c r="AC137" s="153"/>
      <c r="AD137" s="153"/>
      <c r="AE137" s="590"/>
      <c r="AF137" s="58"/>
      <c r="AG137" s="152"/>
      <c r="AH137" s="153"/>
      <c r="AI137" s="153"/>
      <c r="AJ137" s="153"/>
      <c r="AK137" s="590"/>
      <c r="AL137" s="58"/>
      <c r="AM137" s="146"/>
      <c r="AN137" s="148"/>
      <c r="AO137" s="148"/>
      <c r="AP137" s="148"/>
      <c r="AQ137" s="590"/>
      <c r="AR137" s="58"/>
      <c r="AS137" s="146"/>
      <c r="AT137" s="148"/>
      <c r="AU137" s="148"/>
      <c r="AV137" s="148"/>
      <c r="AW137" s="590"/>
      <c r="AX137" s="58"/>
      <c r="AY137" s="152"/>
      <c r="AZ137" s="153"/>
      <c r="BA137" s="153"/>
      <c r="BB137" s="153"/>
      <c r="BC137" s="590"/>
      <c r="BD137" s="58"/>
      <c r="BE137" s="152"/>
      <c r="BF137" s="153"/>
      <c r="BG137" s="153"/>
      <c r="BH137" s="153"/>
      <c r="BI137" s="590"/>
      <c r="BJ137" s="58"/>
      <c r="BK137" s="152"/>
      <c r="BL137" s="153"/>
      <c r="BM137" s="598"/>
      <c r="BN137" s="598"/>
      <c r="BO137" s="590"/>
      <c r="BP137" s="58"/>
      <c r="BQ137" s="152"/>
      <c r="BR137" s="153"/>
      <c r="BS137" s="598"/>
      <c r="BT137" s="598"/>
      <c r="BU137" s="590"/>
      <c r="BV137" s="58"/>
      <c r="BW137" s="597"/>
      <c r="BX137" s="598"/>
      <c r="BY137" s="598"/>
      <c r="BZ137" s="598"/>
      <c r="CA137" s="590"/>
      <c r="CB137" s="58"/>
      <c r="CC137" s="597"/>
      <c r="CD137" s="598"/>
      <c r="CE137" s="598"/>
      <c r="CF137" s="598"/>
      <c r="CG137" s="590"/>
      <c r="CH137" s="58"/>
      <c r="CI137" s="597"/>
      <c r="CJ137" s="598"/>
      <c r="CK137" s="598"/>
      <c r="CL137" s="598"/>
      <c r="CM137" s="590"/>
      <c r="CN137" s="11"/>
      <c r="CO137" s="11"/>
      <c r="CP137" s="11"/>
      <c r="CQ137" s="11"/>
      <c r="CR137" s="11"/>
      <c r="CS137" s="11"/>
      <c r="CT137" s="11"/>
      <c r="CU137" s="11"/>
      <c r="CV137" s="11"/>
      <c r="CW137" s="11"/>
      <c r="CX137" s="11"/>
    </row>
    <row r="138" spans="1:102" s="31" customFormat="1" ht="11.25" hidden="1" customHeight="1" outlineLevel="1" x14ac:dyDescent="0.2">
      <c r="A138" s="84"/>
      <c r="B138" s="609" t="s">
        <v>262</v>
      </c>
      <c r="C138" s="146"/>
      <c r="D138" s="148"/>
      <c r="E138" s="148"/>
      <c r="F138" s="147"/>
      <c r="G138" s="604"/>
      <c r="H138" s="58"/>
      <c r="I138" s="146"/>
      <c r="J138" s="148"/>
      <c r="K138" s="148"/>
      <c r="L138" s="147"/>
      <c r="M138" s="604"/>
      <c r="N138" s="58"/>
      <c r="O138" s="146"/>
      <c r="P138" s="148"/>
      <c r="Q138" s="148"/>
      <c r="R138" s="147"/>
      <c r="S138" s="604"/>
      <c r="T138" s="58"/>
      <c r="U138" s="146"/>
      <c r="V138" s="148"/>
      <c r="W138" s="148"/>
      <c r="X138" s="147"/>
      <c r="Y138" s="604"/>
      <c r="Z138" s="58"/>
      <c r="AA138" s="146"/>
      <c r="AB138" s="148"/>
      <c r="AC138" s="148"/>
      <c r="AD138" s="147"/>
      <c r="AE138" s="604"/>
      <c r="AF138" s="58"/>
      <c r="AG138" s="146"/>
      <c r="AH138" s="148"/>
      <c r="AI138" s="148"/>
      <c r="AJ138" s="147"/>
      <c r="AK138" s="604"/>
      <c r="AL138" s="58"/>
      <c r="AM138" s="146"/>
      <c r="AN138" s="148"/>
      <c r="AO138" s="148"/>
      <c r="AP138" s="148"/>
      <c r="AQ138" s="604"/>
      <c r="AR138" s="58"/>
      <c r="AS138" s="146"/>
      <c r="AT138" s="148"/>
      <c r="AU138" s="148"/>
      <c r="AV138" s="148"/>
      <c r="AW138" s="604"/>
      <c r="AX138" s="58"/>
      <c r="AY138" s="146"/>
      <c r="AZ138" s="148"/>
      <c r="BA138" s="148"/>
      <c r="BB138" s="148"/>
      <c r="BC138" s="590"/>
      <c r="BD138" s="58"/>
      <c r="BE138" s="146"/>
      <c r="BF138" s="148"/>
      <c r="BG138" s="148"/>
      <c r="BH138" s="148"/>
      <c r="BI138" s="590"/>
      <c r="BJ138" s="58"/>
      <c r="BK138" s="146"/>
      <c r="BL138" s="148"/>
      <c r="BM138" s="598"/>
      <c r="BN138" s="598"/>
      <c r="BO138" s="590"/>
      <c r="BP138" s="58"/>
      <c r="BQ138" s="146"/>
      <c r="BR138" s="148"/>
      <c r="BS138" s="598"/>
      <c r="BT138" s="598"/>
      <c r="BU138" s="590"/>
      <c r="BV138" s="58"/>
      <c r="BW138" s="597"/>
      <c r="BX138" s="598"/>
      <c r="BY138" s="598"/>
      <c r="BZ138" s="598"/>
      <c r="CA138" s="590"/>
      <c r="CB138" s="58"/>
      <c r="CC138" s="597"/>
      <c r="CD138" s="598"/>
      <c r="CE138" s="598"/>
      <c r="CF138" s="598"/>
      <c r="CG138" s="590"/>
      <c r="CH138" s="58"/>
      <c r="CI138" s="597"/>
      <c r="CJ138" s="598"/>
      <c r="CK138" s="598"/>
      <c r="CL138" s="598"/>
      <c r="CM138" s="590"/>
      <c r="CN138" s="11"/>
      <c r="CO138" s="11"/>
      <c r="CP138" s="11"/>
      <c r="CQ138" s="11"/>
      <c r="CR138" s="11"/>
      <c r="CS138" s="11"/>
      <c r="CT138" s="11"/>
      <c r="CU138" s="11"/>
      <c r="CV138" s="11"/>
      <c r="CW138" s="11"/>
      <c r="CX138" s="11"/>
    </row>
    <row r="139" spans="1:102" s="31" customFormat="1" ht="11.25" hidden="1" customHeight="1" outlineLevel="1" x14ac:dyDescent="0.2">
      <c r="A139" s="84"/>
      <c r="B139" s="610" t="s">
        <v>265</v>
      </c>
      <c r="C139" s="152"/>
      <c r="D139" s="153"/>
      <c r="E139" s="153"/>
      <c r="F139" s="153"/>
      <c r="G139" s="590"/>
      <c r="H139" s="577"/>
      <c r="I139" s="152"/>
      <c r="J139" s="153"/>
      <c r="K139" s="153"/>
      <c r="L139" s="153"/>
      <c r="M139" s="590"/>
      <c r="N139" s="577"/>
      <c r="O139" s="152"/>
      <c r="P139" s="153"/>
      <c r="Q139" s="153"/>
      <c r="R139" s="153"/>
      <c r="S139" s="590"/>
      <c r="T139" s="577"/>
      <c r="U139" s="152"/>
      <c r="V139" s="153"/>
      <c r="W139" s="153"/>
      <c r="X139" s="153"/>
      <c r="Y139" s="590"/>
      <c r="Z139" s="577"/>
      <c r="AA139" s="152"/>
      <c r="AB139" s="153"/>
      <c r="AC139" s="153"/>
      <c r="AD139" s="153"/>
      <c r="AE139" s="590"/>
      <c r="AF139" s="577"/>
      <c r="AG139" s="152"/>
      <c r="AH139" s="153"/>
      <c r="AI139" s="153"/>
      <c r="AJ139" s="153"/>
      <c r="AK139" s="590"/>
      <c r="AL139" s="577"/>
      <c r="AM139" s="152"/>
      <c r="AN139" s="153"/>
      <c r="AO139" s="153"/>
      <c r="AP139" s="153"/>
      <c r="AQ139" s="590"/>
      <c r="AR139" s="577"/>
      <c r="AS139" s="152"/>
      <c r="AT139" s="153"/>
      <c r="AU139" s="153"/>
      <c r="AV139" s="153"/>
      <c r="AW139" s="590"/>
      <c r="AX139" s="577"/>
      <c r="AY139" s="152"/>
      <c r="AZ139" s="153"/>
      <c r="BA139" s="153"/>
      <c r="BB139" s="153"/>
      <c r="BC139" s="590"/>
      <c r="BD139" s="577"/>
      <c r="BE139" s="152"/>
      <c r="BF139" s="153"/>
      <c r="BG139" s="153"/>
      <c r="BH139" s="153"/>
      <c r="BI139" s="590"/>
      <c r="BJ139" s="577"/>
      <c r="BK139" s="152"/>
      <c r="BL139" s="153"/>
      <c r="BM139" s="153"/>
      <c r="BN139" s="153"/>
      <c r="BO139" s="590"/>
      <c r="BP139" s="577"/>
      <c r="BQ139" s="152"/>
      <c r="BR139" s="153"/>
      <c r="BS139" s="153"/>
      <c r="BT139" s="153"/>
      <c r="BU139" s="590"/>
      <c r="BV139" s="577"/>
      <c r="BW139" s="152"/>
      <c r="BX139" s="153"/>
      <c r="BY139" s="153"/>
      <c r="BZ139" s="153"/>
      <c r="CA139" s="590"/>
      <c r="CB139" s="577"/>
      <c r="CC139" s="152"/>
      <c r="CD139" s="153"/>
      <c r="CE139" s="153"/>
      <c r="CF139" s="153"/>
      <c r="CG139" s="590"/>
      <c r="CH139" s="577"/>
      <c r="CI139" s="152"/>
      <c r="CJ139" s="153"/>
      <c r="CK139" s="153"/>
      <c r="CL139" s="153"/>
      <c r="CM139" s="590"/>
      <c r="CN139" s="11"/>
      <c r="CO139" s="11"/>
      <c r="CP139" s="11"/>
      <c r="CQ139" s="11"/>
      <c r="CR139" s="11"/>
      <c r="CS139" s="11"/>
      <c r="CT139" s="11"/>
      <c r="CU139" s="11"/>
      <c r="CV139" s="11"/>
      <c r="CW139" s="11"/>
      <c r="CX139" s="11"/>
    </row>
    <row r="140" spans="1:102" s="31" customFormat="1" ht="11.25" hidden="1" customHeight="1" outlineLevel="1" x14ac:dyDescent="0.2">
      <c r="A140" s="84"/>
      <c r="B140" s="610"/>
      <c r="C140" s="152"/>
      <c r="D140" s="153"/>
      <c r="E140" s="153"/>
      <c r="F140" s="153"/>
      <c r="G140" s="590"/>
      <c r="H140" s="577"/>
      <c r="I140" s="152"/>
      <c r="J140" s="153"/>
      <c r="K140" s="153"/>
      <c r="L140" s="153"/>
      <c r="M140" s="590"/>
      <c r="N140" s="577"/>
      <c r="O140" s="152"/>
      <c r="P140" s="153"/>
      <c r="Q140" s="153"/>
      <c r="R140" s="153"/>
      <c r="S140" s="590"/>
      <c r="T140" s="577"/>
      <c r="U140" s="152"/>
      <c r="V140" s="153"/>
      <c r="W140" s="153"/>
      <c r="X140" s="153"/>
      <c r="Y140" s="590"/>
      <c r="Z140" s="577"/>
      <c r="AA140" s="152"/>
      <c r="AB140" s="153"/>
      <c r="AC140" s="153"/>
      <c r="AD140" s="153"/>
      <c r="AE140" s="590"/>
      <c r="AF140" s="577"/>
      <c r="AG140" s="152"/>
      <c r="AH140" s="153"/>
      <c r="AI140" s="153"/>
      <c r="AJ140" s="153"/>
      <c r="AK140" s="590"/>
      <c r="AL140" s="577"/>
      <c r="AM140" s="152"/>
      <c r="AN140" s="153"/>
      <c r="AO140" s="153"/>
      <c r="AP140" s="153"/>
      <c r="AQ140" s="590"/>
      <c r="AR140" s="577"/>
      <c r="AS140" s="152"/>
      <c r="AT140" s="153"/>
      <c r="AU140" s="153"/>
      <c r="AV140" s="153"/>
      <c r="AW140" s="590"/>
      <c r="AX140" s="577"/>
      <c r="AY140" s="152"/>
      <c r="AZ140" s="153"/>
      <c r="BA140" s="153"/>
      <c r="BB140" s="153"/>
      <c r="BC140" s="590"/>
      <c r="BD140" s="577"/>
      <c r="BE140" s="152"/>
      <c r="BF140" s="153"/>
      <c r="BG140" s="153"/>
      <c r="BH140" s="153"/>
      <c r="BI140" s="590"/>
      <c r="BJ140" s="577"/>
      <c r="BK140" s="152"/>
      <c r="BL140" s="153"/>
      <c r="BM140" s="153"/>
      <c r="BN140" s="153"/>
      <c r="BO140" s="590"/>
      <c r="BP140" s="577"/>
      <c r="BQ140" s="152"/>
      <c r="BR140" s="153"/>
      <c r="BS140" s="153"/>
      <c r="BT140" s="153"/>
      <c r="BU140" s="590"/>
      <c r="BV140" s="577"/>
      <c r="BW140" s="152"/>
      <c r="BX140" s="153"/>
      <c r="BY140" s="153"/>
      <c r="BZ140" s="153"/>
      <c r="CA140" s="590"/>
      <c r="CB140" s="577"/>
      <c r="CC140" s="152"/>
      <c r="CD140" s="153"/>
      <c r="CE140" s="153"/>
      <c r="CF140" s="153"/>
      <c r="CG140" s="590"/>
      <c r="CH140" s="577"/>
      <c r="CI140" s="152"/>
      <c r="CJ140" s="153"/>
      <c r="CK140" s="153"/>
      <c r="CL140" s="153"/>
      <c r="CM140" s="590"/>
      <c r="CN140" s="11"/>
      <c r="CO140" s="11"/>
      <c r="CP140" s="11"/>
      <c r="CQ140" s="11"/>
      <c r="CR140" s="11"/>
      <c r="CS140" s="11"/>
      <c r="CT140" s="11"/>
      <c r="CU140" s="11"/>
      <c r="CV140" s="11"/>
      <c r="CW140" s="11"/>
      <c r="CX140" s="11"/>
    </row>
    <row r="141" spans="1:102" s="9" customFormat="1" ht="11.25" hidden="1" customHeight="1" outlineLevel="1" x14ac:dyDescent="0.2">
      <c r="A141" s="12"/>
      <c r="B141" s="608" t="s">
        <v>357</v>
      </c>
      <c r="C141" s="131">
        <f>C120+C127+C134</f>
        <v>82.665000000000006</v>
      </c>
      <c r="D141" s="132">
        <f>D120+D127+D134</f>
        <v>86.711000000000013</v>
      </c>
      <c r="E141" s="132">
        <f>E120+E127+E134</f>
        <v>78.083000000000013</v>
      </c>
      <c r="F141" s="132">
        <f>F120+F127+F134</f>
        <v>86.882999999999996</v>
      </c>
      <c r="G141" s="587">
        <f>+SUM(C141:F141)</f>
        <v>334.34200000000004</v>
      </c>
      <c r="H141" s="585"/>
      <c r="I141" s="131">
        <f>I120+I127+I134</f>
        <v>91.262</v>
      </c>
      <c r="J141" s="132">
        <f>J120+J127+J134</f>
        <v>98.563000000000002</v>
      </c>
      <c r="K141" s="132">
        <f>K120+K127+K134</f>
        <v>84.384</v>
      </c>
      <c r="L141" s="132">
        <f>L120+L127+L134</f>
        <v>96.807000000000002</v>
      </c>
      <c r="M141" s="587">
        <f>+SUM(I141:L141)</f>
        <v>371.01600000000002</v>
      </c>
      <c r="N141" s="585"/>
      <c r="O141" s="131">
        <f>O120+O127+O134</f>
        <v>100.7</v>
      </c>
      <c r="P141" s="132">
        <f>P120+P127+P134</f>
        <v>99.034999999999997</v>
      </c>
      <c r="Q141" s="132">
        <f>Q120+Q127+Q134</f>
        <v>81.61099999999999</v>
      </c>
      <c r="R141" s="132">
        <f>R120+R127+R134</f>
        <v>87.823000000000008</v>
      </c>
      <c r="S141" s="587">
        <f>+SUM(O141:R141)</f>
        <v>369.16899999999998</v>
      </c>
      <c r="T141" s="585"/>
      <c r="U141" s="131">
        <f>U120+U127+U134</f>
        <v>109.407</v>
      </c>
      <c r="V141" s="132">
        <f>V120+V127+V134</f>
        <v>117.13000000000001</v>
      </c>
      <c r="W141" s="132">
        <f>W120+W127+W134</f>
        <v>96.240000000000009</v>
      </c>
      <c r="X141" s="132">
        <f>X120+X127+X134</f>
        <v>103.52000000000001</v>
      </c>
      <c r="Y141" s="587">
        <f>+SUM(U141:X141)</f>
        <v>426.29700000000003</v>
      </c>
      <c r="Z141" s="585"/>
      <c r="AA141" s="131">
        <f>AA120+AA127+AA134</f>
        <v>127.474</v>
      </c>
      <c r="AB141" s="132">
        <f>AB120+AB127+AB134</f>
        <v>132.626</v>
      </c>
      <c r="AC141" s="132">
        <f>AC120+AC127+AC134</f>
        <v>117.87599999999999</v>
      </c>
      <c r="AD141" s="132">
        <f>AD120+AD127+AD134</f>
        <v>126.75800000000001</v>
      </c>
      <c r="AE141" s="587">
        <f>+SUM(AA141:AD141)</f>
        <v>504.73400000000004</v>
      </c>
      <c r="AF141" s="585"/>
      <c r="AG141" s="131">
        <f>AG120+AG127+AG134</f>
        <v>134.452</v>
      </c>
      <c r="AH141" s="132">
        <f>AH120+AH127+AH134</f>
        <v>133.57</v>
      </c>
      <c r="AI141" s="132">
        <f>AI120+AI127+AI134</f>
        <v>115.346</v>
      </c>
      <c r="AJ141" s="132">
        <f>AJ120+AJ127+AJ134</f>
        <v>129.97200000000001</v>
      </c>
      <c r="AK141" s="587">
        <f>+SUM(AG141:AJ141)</f>
        <v>513.34</v>
      </c>
      <c r="AL141" s="585"/>
      <c r="AM141" s="131">
        <f>AM120+AM127+AM134</f>
        <v>130.74299999999999</v>
      </c>
      <c r="AN141" s="132">
        <f>AN120+AN127+AN134</f>
        <v>133.66899999999998</v>
      </c>
      <c r="AO141" s="132">
        <f>AO120+AO127+AO134</f>
        <v>113.959</v>
      </c>
      <c r="AP141" s="132">
        <f>AP120+AP127+AP134</f>
        <v>123.626</v>
      </c>
      <c r="AQ141" s="587">
        <f>+SUM(AM141:AP141)</f>
        <v>501.99699999999996</v>
      </c>
      <c r="AR141" s="585"/>
      <c r="AS141" s="131">
        <f>AS120+AS127+AS134</f>
        <v>126.209</v>
      </c>
      <c r="AT141" s="132">
        <f>AT120+AT127+AT134</f>
        <v>127.66200000000001</v>
      </c>
      <c r="AU141" s="132">
        <f>AU120+AU127+AU134</f>
        <v>107.312</v>
      </c>
      <c r="AV141" s="132">
        <f>AV120+AV127+AV134</f>
        <v>117.39</v>
      </c>
      <c r="AW141" s="587">
        <f>+SUM(AS141:AV141)</f>
        <v>478.57299999999998</v>
      </c>
      <c r="AX141" s="585"/>
      <c r="AY141" s="131"/>
      <c r="AZ141" s="132"/>
      <c r="BA141" s="132"/>
      <c r="BB141" s="132"/>
      <c r="BC141" s="587"/>
      <c r="BD141" s="585"/>
      <c r="BE141" s="131"/>
      <c r="BF141" s="132"/>
      <c r="BG141" s="132"/>
      <c r="BH141" s="132"/>
      <c r="BI141" s="587"/>
      <c r="BJ141" s="585"/>
      <c r="BK141" s="131"/>
      <c r="BL141" s="132"/>
      <c r="BM141" s="132"/>
      <c r="BN141" s="132"/>
      <c r="BO141" s="587"/>
      <c r="BP141" s="585"/>
      <c r="BQ141" s="131"/>
      <c r="BR141" s="132"/>
      <c r="BS141" s="132"/>
      <c r="BT141" s="132"/>
      <c r="BU141" s="587"/>
      <c r="BV141" s="585"/>
      <c r="BW141" s="131"/>
      <c r="BX141" s="132"/>
      <c r="BY141" s="132"/>
      <c r="BZ141" s="132"/>
      <c r="CA141" s="587"/>
      <c r="CB141" s="585"/>
      <c r="CC141" s="131"/>
      <c r="CD141" s="132"/>
      <c r="CE141" s="132"/>
      <c r="CF141" s="132"/>
      <c r="CG141" s="587"/>
      <c r="CH141" s="585"/>
      <c r="CI141" s="131"/>
      <c r="CJ141" s="132"/>
      <c r="CK141" s="132"/>
      <c r="CL141" s="132"/>
      <c r="CM141" s="587"/>
      <c r="CN141" s="11"/>
      <c r="CO141" s="11"/>
      <c r="CP141" s="11"/>
      <c r="CQ141" s="11"/>
      <c r="CR141" s="11"/>
      <c r="CS141" s="11"/>
      <c r="CT141" s="11"/>
      <c r="CU141" s="11"/>
      <c r="CV141" s="11"/>
      <c r="CW141" s="11"/>
      <c r="CX141" s="11"/>
    </row>
    <row r="142" spans="1:102" s="31" customFormat="1" ht="11.25" hidden="1" customHeight="1" outlineLevel="1" x14ac:dyDescent="0.2">
      <c r="A142" s="84"/>
      <c r="B142" s="609" t="s">
        <v>261</v>
      </c>
      <c r="C142" s="152"/>
      <c r="D142" s="153"/>
      <c r="E142" s="153"/>
      <c r="F142" s="153"/>
      <c r="G142" s="590"/>
      <c r="H142" s="58"/>
      <c r="I142" s="152">
        <f>I141/C141-1</f>
        <v>0.10399806447710636</v>
      </c>
      <c r="J142" s="153">
        <f>J141/D141-1</f>
        <v>0.13668392706807664</v>
      </c>
      <c r="K142" s="153">
        <f>K141/E141-1</f>
        <v>8.0696182267586902E-2</v>
      </c>
      <c r="L142" s="153">
        <f>L141/F141-1</f>
        <v>0.11422257518732093</v>
      </c>
      <c r="M142" s="590">
        <f>M141/G141-1</f>
        <v>0.10969007782450291</v>
      </c>
      <c r="N142" s="58"/>
      <c r="O142" s="152">
        <f>O141/I141-1</f>
        <v>0.10341653700335307</v>
      </c>
      <c r="P142" s="153">
        <f>P141/J141-1</f>
        <v>4.7888152755088953E-3</v>
      </c>
      <c r="Q142" s="153">
        <f>Q141/K141-1</f>
        <v>-3.2861679939325095E-2</v>
      </c>
      <c r="R142" s="153">
        <f>R141/L141-1</f>
        <v>-9.2803206379703851E-2</v>
      </c>
      <c r="S142" s="590">
        <f>S141/M141-1</f>
        <v>-4.9782219634734171E-3</v>
      </c>
      <c r="T142" s="58"/>
      <c r="U142" s="152">
        <f>U141/O141-1</f>
        <v>8.6464746772591861E-2</v>
      </c>
      <c r="V142" s="153">
        <f>V141/P141-1</f>
        <v>0.18271318220831034</v>
      </c>
      <c r="W142" s="153">
        <f>W141/Q141-1</f>
        <v>0.17925279680435269</v>
      </c>
      <c r="X142" s="153">
        <f>X141/R141-1</f>
        <v>0.17873450007401259</v>
      </c>
      <c r="Y142" s="590">
        <f>Y141/S141-1</f>
        <v>0.1547475546429955</v>
      </c>
      <c r="Z142" s="58"/>
      <c r="AA142" s="152">
        <f>AA141/U141-1</f>
        <v>0.16513568601643414</v>
      </c>
      <c r="AB142" s="153">
        <f>AB141/V141-1</f>
        <v>0.13229744728079895</v>
      </c>
      <c r="AC142" s="153">
        <f>AC141/W141-1</f>
        <v>0.22481296758104707</v>
      </c>
      <c r="AD142" s="153">
        <f>AD141/X141-1</f>
        <v>0.22447836166924273</v>
      </c>
      <c r="AE142" s="590">
        <f>AE141/Y141-1</f>
        <v>0.18399613415060401</v>
      </c>
      <c r="AF142" s="58"/>
      <c r="AG142" s="152">
        <f>AG141/AA141-1</f>
        <v>5.4740574548535426E-2</v>
      </c>
      <c r="AH142" s="153">
        <f>AH141/AB141-1</f>
        <v>7.1177597152896066E-3</v>
      </c>
      <c r="AI142" s="153">
        <f>AI141/AC141-1</f>
        <v>-2.14632325494587E-2</v>
      </c>
      <c r="AJ142" s="153">
        <f>AJ141/AD141-1</f>
        <v>2.5355401631455221E-2</v>
      </c>
      <c r="AK142" s="590">
        <f>AK141/AE141-1</f>
        <v>1.7050565248229788E-2</v>
      </c>
      <c r="AL142" s="58"/>
      <c r="AM142" s="152">
        <f>AM141/AG141-1</f>
        <v>-2.758605301520245E-2</v>
      </c>
      <c r="AN142" s="153">
        <f>AN141/AH141-1</f>
        <v>7.4118439769410571E-4</v>
      </c>
      <c r="AO142" s="153">
        <f>AO141/AI141-1</f>
        <v>-1.2024690929897885E-2</v>
      </c>
      <c r="AP142" s="153">
        <f>AP141/AJ141-1</f>
        <v>-4.882590096328443E-2</v>
      </c>
      <c r="AQ142" s="590">
        <f>AQ141/AK141-1</f>
        <v>-2.2096466279658888E-2</v>
      </c>
      <c r="AR142" s="58"/>
      <c r="AS142" s="152">
        <f>AS141/AM141-1</f>
        <v>-3.4678720849299682E-2</v>
      </c>
      <c r="AT142" s="153">
        <f>AT141/AN141-1</f>
        <v>-4.4939365148239152E-2</v>
      </c>
      <c r="AU142" s="153">
        <f>AU141/AO141-1</f>
        <v>-5.8327995156152723E-2</v>
      </c>
      <c r="AV142" s="153">
        <f>AV141/AP141-1</f>
        <v>-5.0442463559445483E-2</v>
      </c>
      <c r="AW142" s="590">
        <f>AW141/AQ141-1</f>
        <v>-4.6661633436056338E-2</v>
      </c>
      <c r="AX142" s="58"/>
      <c r="AY142" s="152"/>
      <c r="AZ142" s="153"/>
      <c r="BA142" s="153"/>
      <c r="BB142" s="153"/>
      <c r="BC142" s="590"/>
      <c r="BD142" s="58"/>
      <c r="BE142" s="152"/>
      <c r="BF142" s="153"/>
      <c r="BG142" s="153"/>
      <c r="BH142" s="153"/>
      <c r="BI142" s="590"/>
      <c r="BJ142" s="58"/>
      <c r="BK142" s="152"/>
      <c r="BL142" s="153"/>
      <c r="BM142" s="153"/>
      <c r="BN142" s="153"/>
      <c r="BO142" s="590"/>
      <c r="BP142" s="58"/>
      <c r="BQ142" s="152"/>
      <c r="BR142" s="153"/>
      <c r="BS142" s="153"/>
      <c r="BT142" s="153"/>
      <c r="BU142" s="590"/>
      <c r="BV142" s="58"/>
      <c r="BW142" s="152"/>
      <c r="BX142" s="153"/>
      <c r="BY142" s="153"/>
      <c r="BZ142" s="153"/>
      <c r="CA142" s="590"/>
      <c r="CB142" s="58"/>
      <c r="CC142" s="152"/>
      <c r="CD142" s="153"/>
      <c r="CE142" s="153"/>
      <c r="CF142" s="153"/>
      <c r="CG142" s="590"/>
      <c r="CH142" s="58"/>
      <c r="CI142" s="152"/>
      <c r="CJ142" s="153"/>
      <c r="CK142" s="153"/>
      <c r="CL142" s="153"/>
      <c r="CM142" s="590"/>
      <c r="CN142" s="11"/>
      <c r="CO142" s="11"/>
      <c r="CP142" s="11"/>
      <c r="CQ142" s="11"/>
      <c r="CR142" s="11"/>
      <c r="CS142" s="11"/>
      <c r="CT142" s="11"/>
      <c r="CU142" s="11"/>
      <c r="CV142" s="11"/>
      <c r="CW142" s="11"/>
      <c r="CX142" s="11"/>
    </row>
    <row r="143" spans="1:102" s="31" customFormat="1" ht="11.25" hidden="1" customHeight="1" outlineLevel="1" x14ac:dyDescent="0.2">
      <c r="A143" s="84"/>
      <c r="B143" s="609" t="s">
        <v>264</v>
      </c>
      <c r="C143" s="146"/>
      <c r="D143" s="148"/>
      <c r="E143" s="148"/>
      <c r="F143" s="147"/>
      <c r="G143" s="604"/>
      <c r="H143" s="106"/>
      <c r="I143" s="146">
        <v>0.104</v>
      </c>
      <c r="J143" s="148">
        <v>0.13700000000000001</v>
      </c>
      <c r="K143" s="148">
        <v>8.1000000000000003E-2</v>
      </c>
      <c r="L143" s="153">
        <f>((M143*G141)-((I143*C141+J143*D141+K143*E141)))/F141</f>
        <v>0.11482487943556278</v>
      </c>
      <c r="M143" s="604">
        <v>0.11</v>
      </c>
      <c r="N143" s="106"/>
      <c r="O143" s="601">
        <v>0.10299999999999999</v>
      </c>
      <c r="P143" s="602">
        <v>5.0000000000000001E-3</v>
      </c>
      <c r="Q143" s="602">
        <v>-3.2861679939325095E-2</v>
      </c>
      <c r="R143" s="153">
        <f>((S143*M141)-((O143*I141+P143*J141+Q143*K141)))/L141</f>
        <v>1.8434441724255565E-2</v>
      </c>
      <c r="S143" s="604">
        <f>(-0.5+2.9)%</f>
        <v>2.4E-2</v>
      </c>
      <c r="T143" s="106"/>
      <c r="U143" s="601">
        <f>(8.6+3.4)%</f>
        <v>0.12</v>
      </c>
      <c r="V143" s="602">
        <f>+(18.3+1.1)%</f>
        <v>0.19400000000000003</v>
      </c>
      <c r="W143" s="602">
        <f>(16.5+2.1)%</f>
        <v>0.18600000000000003</v>
      </c>
      <c r="X143" s="153">
        <f>((Y143*S141)-((U143*O141+V143*P141+W143*Q141)))/R141</f>
        <v>0.13495628707741708</v>
      </c>
      <c r="Y143" s="604">
        <f>(15.5+0.3)%</f>
        <v>0.158</v>
      </c>
      <c r="Z143" s="106"/>
      <c r="AA143" s="601">
        <f>(16.5+1.2)%</f>
        <v>0.17699999999999999</v>
      </c>
      <c r="AB143" s="602">
        <f>+(13.2+0.8)%</f>
        <v>0.14000000000000001</v>
      </c>
      <c r="AC143" s="602">
        <f>+(22.5+0.9)%</f>
        <v>0.23399999999999999</v>
      </c>
      <c r="AD143" s="153">
        <f>((AE143*Y141)-((AA143*U141+AB143*V141+AC143*W141)))/X141</f>
        <v>0.21117114567233372</v>
      </c>
      <c r="AE143" s="604">
        <f>(18.4+0.4)%</f>
        <v>0.18799999999999997</v>
      </c>
      <c r="AF143" s="106"/>
      <c r="AG143" s="601">
        <f>(5.5-2.3)%</f>
        <v>3.2000000000000001E-2</v>
      </c>
      <c r="AH143" s="602">
        <f>(0.7-1.1)%</f>
        <v>-4.000000000000001E-3</v>
      </c>
      <c r="AI143" s="602">
        <f>(-2.1+0.2)%</f>
        <v>-1.9000000000000003E-2</v>
      </c>
      <c r="AJ143" s="153">
        <f>((AK143*AE141)-((AG143*AA141+AH143*AB141+AI143*AC141)))/AD141</f>
        <v>3.3473658467315676E-2</v>
      </c>
      <c r="AK143" s="604">
        <f>(1.7-0.6)%</f>
        <v>1.1000000000000001E-2</v>
      </c>
      <c r="AL143" s="106"/>
      <c r="AM143" s="601">
        <f>(-2.8+1.6)%</f>
        <v>-1.1999999999999997E-2</v>
      </c>
      <c r="AN143" s="602">
        <v>1E-3</v>
      </c>
      <c r="AO143" s="148">
        <f>+(-1.2-2.5)%</f>
        <v>-3.7000000000000005E-2</v>
      </c>
      <c r="AP143" s="153">
        <f>((AQ143*AK141)-((AM143*AG141+AN143*AH141+AO143*AI141)))/AJ141</f>
        <v>-1.897165543347798E-2</v>
      </c>
      <c r="AQ143" s="604">
        <f>(-2.2+0.6)%</f>
        <v>-1.6E-2</v>
      </c>
      <c r="AR143" s="106"/>
      <c r="AS143" s="601">
        <f>(-3.5+0.4)%</f>
        <v>-3.1E-2</v>
      </c>
      <c r="AT143" s="602">
        <f>(-4.5+0.8)%</f>
        <v>-3.7000000000000005E-2</v>
      </c>
      <c r="AU143" s="602">
        <f>(-5.8+0.3)%</f>
        <v>-5.5E-2</v>
      </c>
      <c r="AV143" s="153">
        <f>((AW143*AQ141)-((AS143*AM141+AT143*AN141+AU143*AO141)))/AP141</f>
        <v>-5.923781405206021E-2</v>
      </c>
      <c r="AW143" s="604">
        <f>(-4.7+0.2)%</f>
        <v>-4.4999999999999998E-2</v>
      </c>
      <c r="AX143" s="106"/>
      <c r="AY143" s="152"/>
      <c r="AZ143" s="153"/>
      <c r="BA143" s="153"/>
      <c r="BB143" s="153"/>
      <c r="BC143" s="590"/>
      <c r="BD143" s="106"/>
      <c r="BE143" s="152"/>
      <c r="BF143" s="153"/>
      <c r="BG143" s="153"/>
      <c r="BH143" s="153"/>
      <c r="BI143" s="590"/>
      <c r="BJ143" s="106"/>
      <c r="BK143" s="152"/>
      <c r="BL143" s="153"/>
      <c r="BM143" s="598"/>
      <c r="BN143" s="598"/>
      <c r="BO143" s="590"/>
      <c r="BP143" s="106"/>
      <c r="BQ143" s="152"/>
      <c r="BR143" s="153"/>
      <c r="BS143" s="598"/>
      <c r="BT143" s="598"/>
      <c r="BU143" s="590"/>
      <c r="BV143" s="106"/>
      <c r="BW143" s="597"/>
      <c r="BX143" s="598"/>
      <c r="BY143" s="598"/>
      <c r="BZ143" s="598"/>
      <c r="CA143" s="590"/>
      <c r="CB143" s="106"/>
      <c r="CC143" s="597"/>
      <c r="CD143" s="598"/>
      <c r="CE143" s="598"/>
      <c r="CF143" s="598"/>
      <c r="CG143" s="590"/>
      <c r="CH143" s="106"/>
      <c r="CI143" s="597"/>
      <c r="CJ143" s="598"/>
      <c r="CK143" s="598"/>
      <c r="CL143" s="598"/>
      <c r="CM143" s="590"/>
      <c r="CN143" s="11"/>
      <c r="CO143" s="11"/>
      <c r="CP143" s="11"/>
      <c r="CQ143" s="11"/>
      <c r="CR143" s="11"/>
      <c r="CS143" s="11"/>
      <c r="CT143" s="11"/>
      <c r="CU143" s="11"/>
      <c r="CV143" s="11"/>
      <c r="CW143" s="11"/>
      <c r="CX143" s="11"/>
    </row>
    <row r="144" spans="1:102" s="31" customFormat="1" ht="11.25" hidden="1" customHeight="1" outlineLevel="1" x14ac:dyDescent="0.2">
      <c r="A144" s="84"/>
      <c r="B144" s="609" t="s">
        <v>263</v>
      </c>
      <c r="C144" s="152"/>
      <c r="D144" s="153"/>
      <c r="E144" s="153"/>
      <c r="F144" s="153"/>
      <c r="G144" s="590"/>
      <c r="H144" s="58"/>
      <c r="I144" s="152">
        <f>I142-I143</f>
        <v>-1.9355228936396296E-6</v>
      </c>
      <c r="J144" s="153">
        <f>J142-J143</f>
        <v>-3.1607293192337238E-4</v>
      </c>
      <c r="K144" s="153">
        <f>K142-K143</f>
        <v>-3.0381773241310028E-4</v>
      </c>
      <c r="L144" s="153">
        <f>L142-L143</f>
        <v>-6.0230424824185558E-4</v>
      </c>
      <c r="M144" s="590">
        <f>M142-M143</f>
        <v>-3.0992217549709322E-4</v>
      </c>
      <c r="N144" s="58"/>
      <c r="O144" s="152">
        <f>O142-O143</f>
        <v>4.1653700335307631E-4</v>
      </c>
      <c r="P144" s="153">
        <f>P142-P143</f>
        <v>-2.1118472449110481E-4</v>
      </c>
      <c r="Q144" s="153">
        <f>Q142-Q143</f>
        <v>0</v>
      </c>
      <c r="R144" s="153">
        <f>R142-R143</f>
        <v>-0.11123764810395942</v>
      </c>
      <c r="S144" s="590">
        <f>S142-S143</f>
        <v>-2.8978221963473418E-2</v>
      </c>
      <c r="T144" s="58"/>
      <c r="U144" s="152">
        <f>U142-U143</f>
        <v>-3.3535253227408135E-2</v>
      </c>
      <c r="V144" s="153">
        <f>V142-V143</f>
        <v>-1.1286817791689691E-2</v>
      </c>
      <c r="W144" s="153">
        <f>W142-W143</f>
        <v>-6.7472031956473388E-3</v>
      </c>
      <c r="X144" s="153">
        <f>X142-X143</f>
        <v>4.3778212996595511E-2</v>
      </c>
      <c r="Y144" s="590">
        <f>Y142-Y143</f>
        <v>-3.252445357004502E-3</v>
      </c>
      <c r="Z144" s="58"/>
      <c r="AA144" s="152">
        <f>AA142-AA143</f>
        <v>-1.1864313983565855E-2</v>
      </c>
      <c r="AB144" s="153">
        <f>AB142-AB143</f>
        <v>-7.7025527192010612E-3</v>
      </c>
      <c r="AC144" s="153">
        <f>AC142-AC143</f>
        <v>-9.1870324189529118E-3</v>
      </c>
      <c r="AD144" s="153">
        <f>AD142-AD143</f>
        <v>1.3307215996909011E-2</v>
      </c>
      <c r="AE144" s="590">
        <f>AE142-AE143</f>
        <v>-4.0038658493959656E-3</v>
      </c>
      <c r="AF144" s="58"/>
      <c r="AG144" s="152">
        <f>AG142-AG143</f>
        <v>2.2740574548535425E-2</v>
      </c>
      <c r="AH144" s="153">
        <f>AH142-AH143</f>
        <v>1.1117759715289607E-2</v>
      </c>
      <c r="AI144" s="153">
        <f>AI142-AI143</f>
        <v>-2.4632325494586965E-3</v>
      </c>
      <c r="AJ144" s="153">
        <f>AJ142-AJ143</f>
        <v>-8.1182568358604545E-3</v>
      </c>
      <c r="AK144" s="590">
        <f>AK142-AK143</f>
        <v>6.0505652482297865E-3</v>
      </c>
      <c r="AL144" s="58"/>
      <c r="AM144" s="152">
        <f>AM142-AM143</f>
        <v>-1.5586053015202453E-2</v>
      </c>
      <c r="AN144" s="153">
        <f>AN142-AN143</f>
        <v>-2.5881560230589431E-4</v>
      </c>
      <c r="AO144" s="153">
        <f>AO142-AO143</f>
        <v>2.497530907010212E-2</v>
      </c>
      <c r="AP144" s="153">
        <f>AP142-AP143</f>
        <v>-2.985424552980645E-2</v>
      </c>
      <c r="AQ144" s="590">
        <f>AQ142-AQ143</f>
        <v>-6.0964662796588881E-3</v>
      </c>
      <c r="AR144" s="58"/>
      <c r="AS144" s="152">
        <f>AS142-AS143</f>
        <v>-3.6787208492996826E-3</v>
      </c>
      <c r="AT144" s="153">
        <f>AT142-AT143</f>
        <v>-7.939365148239147E-3</v>
      </c>
      <c r="AU144" s="153">
        <f>AU142-AU143</f>
        <v>-3.327995156152723E-3</v>
      </c>
      <c r="AV144" s="153">
        <f>AV142-AV143</f>
        <v>8.7953504926147272E-3</v>
      </c>
      <c r="AW144" s="590">
        <f>AW142-AW143</f>
        <v>-1.6616334360563395E-3</v>
      </c>
      <c r="AX144" s="58"/>
      <c r="AY144" s="152"/>
      <c r="AZ144" s="153"/>
      <c r="BA144" s="153"/>
      <c r="BB144" s="153"/>
      <c r="BC144" s="590"/>
      <c r="BD144" s="58"/>
      <c r="BE144" s="152"/>
      <c r="BF144" s="153"/>
      <c r="BG144" s="153"/>
      <c r="BH144" s="153"/>
      <c r="BI144" s="590"/>
      <c r="BJ144" s="58"/>
      <c r="BK144" s="152"/>
      <c r="BL144" s="153"/>
      <c r="BM144" s="598"/>
      <c r="BN144" s="598"/>
      <c r="BO144" s="590"/>
      <c r="BP144" s="58"/>
      <c r="BQ144" s="152"/>
      <c r="BR144" s="153"/>
      <c r="BS144" s="598"/>
      <c r="BT144" s="598"/>
      <c r="BU144" s="590"/>
      <c r="BV144" s="58"/>
      <c r="BW144" s="597"/>
      <c r="BX144" s="598"/>
      <c r="BY144" s="598"/>
      <c r="BZ144" s="598"/>
      <c r="CA144" s="590"/>
      <c r="CB144" s="58"/>
      <c r="CC144" s="597"/>
      <c r="CD144" s="598"/>
      <c r="CE144" s="598"/>
      <c r="CF144" s="598"/>
      <c r="CG144" s="590"/>
      <c r="CH144" s="58"/>
      <c r="CI144" s="597"/>
      <c r="CJ144" s="598"/>
      <c r="CK144" s="598"/>
      <c r="CL144" s="598"/>
      <c r="CM144" s="590"/>
      <c r="CN144" s="11"/>
      <c r="CO144" s="11"/>
      <c r="CP144" s="11"/>
      <c r="CQ144" s="11"/>
      <c r="CR144" s="11"/>
      <c r="CS144" s="11"/>
      <c r="CT144" s="11"/>
      <c r="CU144" s="11"/>
      <c r="CV144" s="11"/>
      <c r="CW144" s="11"/>
      <c r="CX144" s="11"/>
    </row>
    <row r="145" spans="1:102" s="31" customFormat="1" ht="11.25" hidden="1" customHeight="1" outlineLevel="1" x14ac:dyDescent="0.2">
      <c r="A145" s="84"/>
      <c r="B145" s="609" t="s">
        <v>262</v>
      </c>
      <c r="C145" s="146"/>
      <c r="D145" s="148"/>
      <c r="E145" s="148"/>
      <c r="F145" s="147"/>
      <c r="G145" s="604"/>
      <c r="H145" s="58"/>
      <c r="I145" s="146">
        <v>0</v>
      </c>
      <c r="J145" s="148">
        <v>0</v>
      </c>
      <c r="K145" s="148">
        <v>0</v>
      </c>
      <c r="L145" s="153">
        <f>((M145*G141)-((I145*C141+J145*D141+K145*E141)))/F141</f>
        <v>0</v>
      </c>
      <c r="M145" s="604">
        <v>0</v>
      </c>
      <c r="N145" s="58"/>
      <c r="O145" s="601">
        <v>0</v>
      </c>
      <c r="P145" s="602">
        <v>2.1999999999999999E-2</v>
      </c>
      <c r="Q145" s="602">
        <v>0</v>
      </c>
      <c r="R145" s="153">
        <f>((S145*M141)-((O145*I141+P145*J141+Q145*K141)))/L141</f>
        <v>3.8921462290950039E-2</v>
      </c>
      <c r="S145" s="604">
        <v>1.6E-2</v>
      </c>
      <c r="T145" s="58"/>
      <c r="U145" s="601">
        <v>0.126</v>
      </c>
      <c r="V145" s="602">
        <v>0.14099999999999999</v>
      </c>
      <c r="W145" s="602">
        <v>0.14599999999999999</v>
      </c>
      <c r="X145" s="153">
        <f>((Y145*S141)-((U145*O141+V145*P141+W145*Q141)))/R141</f>
        <v>0.12412813272149664</v>
      </c>
      <c r="Y145" s="604">
        <v>0.13400000000000001</v>
      </c>
      <c r="Z145" s="58"/>
      <c r="AA145" s="601">
        <v>0.1</v>
      </c>
      <c r="AB145" s="602">
        <v>0.16</v>
      </c>
      <c r="AC145" s="602">
        <v>0.17799999999999999</v>
      </c>
      <c r="AD145" s="153">
        <f>((AE145*Y141)-((AA145*U141+AB145*V141+AC145*W141)))/X141</f>
        <v>0.17785182573415767</v>
      </c>
      <c r="AE145" s="604">
        <v>0.153</v>
      </c>
      <c r="AF145" s="58"/>
      <c r="AG145" s="601">
        <v>8.7999999999999995E-2</v>
      </c>
      <c r="AH145" s="602">
        <v>0</v>
      </c>
      <c r="AI145" s="602">
        <v>0</v>
      </c>
      <c r="AJ145" s="153">
        <f>((AK145*AE141)-((AG145*AA141+AH145*AB141+AI145*AC141)))/AD141</f>
        <v>3.0859590716168007E-3</v>
      </c>
      <c r="AK145" s="604">
        <v>2.3E-2</v>
      </c>
      <c r="AL145" s="58"/>
      <c r="AM145" s="601">
        <v>1.7999999999999999E-2</v>
      </c>
      <c r="AN145" s="602">
        <v>1.0999999999999999E-2</v>
      </c>
      <c r="AO145" s="602">
        <v>0</v>
      </c>
      <c r="AP145" s="153">
        <f>((AQ145*AK141)-((AM145*AG141+AN145*AH141+AO145*AI141)))/AJ141</f>
        <v>3.3268965623365038E-2</v>
      </c>
      <c r="AQ145" s="604">
        <v>1.6E-2</v>
      </c>
      <c r="AR145" s="58"/>
      <c r="AS145" s="601">
        <v>0</v>
      </c>
      <c r="AT145" s="602">
        <v>0</v>
      </c>
      <c r="AU145" s="602">
        <v>0</v>
      </c>
      <c r="AV145" s="153">
        <f>((AW145*AQ141)-((AS145*AM141+AT145*AN141+AU145*AO141)))/AP141</f>
        <v>0</v>
      </c>
      <c r="AW145" s="604">
        <v>0</v>
      </c>
      <c r="AX145" s="58"/>
      <c r="AY145" s="152"/>
      <c r="AZ145" s="153"/>
      <c r="BA145" s="153"/>
      <c r="BB145" s="153"/>
      <c r="BC145" s="590"/>
      <c r="BD145" s="58"/>
      <c r="BE145" s="152"/>
      <c r="BF145" s="153"/>
      <c r="BG145" s="153"/>
      <c r="BH145" s="153"/>
      <c r="BI145" s="590"/>
      <c r="BJ145" s="58"/>
      <c r="BK145" s="152"/>
      <c r="BL145" s="153"/>
      <c r="BM145" s="598"/>
      <c r="BN145" s="598"/>
      <c r="BO145" s="590"/>
      <c r="BP145" s="58"/>
      <c r="BQ145" s="152"/>
      <c r="BR145" s="153"/>
      <c r="BS145" s="598"/>
      <c r="BT145" s="598"/>
      <c r="BU145" s="590"/>
      <c r="BV145" s="58"/>
      <c r="BW145" s="597"/>
      <c r="BX145" s="598"/>
      <c r="BY145" s="598"/>
      <c r="BZ145" s="598"/>
      <c r="CA145" s="590"/>
      <c r="CB145" s="58"/>
      <c r="CC145" s="597"/>
      <c r="CD145" s="598"/>
      <c r="CE145" s="598"/>
      <c r="CF145" s="598"/>
      <c r="CG145" s="590"/>
      <c r="CH145" s="58"/>
      <c r="CI145" s="597"/>
      <c r="CJ145" s="598"/>
      <c r="CK145" s="598"/>
      <c r="CL145" s="598"/>
      <c r="CM145" s="590"/>
      <c r="CN145" s="11"/>
      <c r="CO145" s="11"/>
      <c r="CP145" s="11"/>
      <c r="CQ145" s="11"/>
      <c r="CR145" s="11"/>
      <c r="CS145" s="11"/>
      <c r="CT145" s="11"/>
      <c r="CU145" s="11"/>
      <c r="CV145" s="11"/>
      <c r="CW145" s="11"/>
      <c r="CX145" s="11"/>
    </row>
    <row r="146" spans="1:102" s="31" customFormat="1" ht="11.25" hidden="1" customHeight="1" outlineLevel="1" x14ac:dyDescent="0.2">
      <c r="A146" s="84"/>
      <c r="B146" s="610" t="s">
        <v>265</v>
      </c>
      <c r="C146" s="152"/>
      <c r="D146" s="153"/>
      <c r="E146" s="153"/>
      <c r="F146" s="153"/>
      <c r="G146" s="590"/>
      <c r="H146" s="577"/>
      <c r="I146" s="152">
        <f>+I143-I145</f>
        <v>0.104</v>
      </c>
      <c r="J146" s="153">
        <f>+J143-J145</f>
        <v>0.13700000000000001</v>
      </c>
      <c r="K146" s="153">
        <f>+K143-K145</f>
        <v>8.1000000000000003E-2</v>
      </c>
      <c r="L146" s="153">
        <f>+L143-L145</f>
        <v>0.11482487943556278</v>
      </c>
      <c r="M146" s="590">
        <f>+M143-M145</f>
        <v>0.11</v>
      </c>
      <c r="N146" s="577"/>
      <c r="O146" s="152">
        <f>+O143-O145</f>
        <v>0.10299999999999999</v>
      </c>
      <c r="P146" s="153">
        <f>+P143-P145</f>
        <v>-1.6999999999999998E-2</v>
      </c>
      <c r="Q146" s="153">
        <f>+Q143-Q145</f>
        <v>-3.2861679939325095E-2</v>
      </c>
      <c r="R146" s="153">
        <f>+R143-R145</f>
        <v>-2.0487020566694474E-2</v>
      </c>
      <c r="S146" s="590">
        <f>+S143-S145</f>
        <v>8.0000000000000002E-3</v>
      </c>
      <c r="T146" s="577"/>
      <c r="U146" s="152">
        <f>+U143-U145</f>
        <v>-6.0000000000000053E-3</v>
      </c>
      <c r="V146" s="153">
        <f>+V143-V145</f>
        <v>5.3000000000000047E-2</v>
      </c>
      <c r="W146" s="153">
        <f>+W143-W145</f>
        <v>4.0000000000000036E-2</v>
      </c>
      <c r="X146" s="153">
        <f>+X143-X145</f>
        <v>1.0828154355920439E-2</v>
      </c>
      <c r="Y146" s="590">
        <f>+Y143-Y145</f>
        <v>2.3999999999999994E-2</v>
      </c>
      <c r="Z146" s="577"/>
      <c r="AA146" s="152">
        <f>+AA143-AA145</f>
        <v>7.6999999999999985E-2</v>
      </c>
      <c r="AB146" s="153">
        <f>+AB143-AB145</f>
        <v>-1.999999999999999E-2</v>
      </c>
      <c r="AC146" s="153">
        <f>+AC143-AC145</f>
        <v>5.5999999999999994E-2</v>
      </c>
      <c r="AD146" s="153">
        <f>+AD143-AD145</f>
        <v>3.3319319938176051E-2</v>
      </c>
      <c r="AE146" s="590">
        <f>+AE143-AE145</f>
        <v>3.4999999999999976E-2</v>
      </c>
      <c r="AF146" s="577"/>
      <c r="AG146" s="152">
        <f>+AG143-AG145</f>
        <v>-5.5999999999999994E-2</v>
      </c>
      <c r="AH146" s="153">
        <f>+AH143-AH145</f>
        <v>-4.000000000000001E-3</v>
      </c>
      <c r="AI146" s="153">
        <f>+AI143-AI145</f>
        <v>-1.9000000000000003E-2</v>
      </c>
      <c r="AJ146" s="153">
        <f>+AJ143-AJ145</f>
        <v>3.0387699395698874E-2</v>
      </c>
      <c r="AK146" s="590">
        <f>+AK143-AK145</f>
        <v>-1.1999999999999999E-2</v>
      </c>
      <c r="AL146" s="577"/>
      <c r="AM146" s="152">
        <f>+AM143-AM145</f>
        <v>-2.9999999999999995E-2</v>
      </c>
      <c r="AN146" s="153">
        <f>+AN143-AN145</f>
        <v>-9.9999999999999985E-3</v>
      </c>
      <c r="AO146" s="153">
        <f>+AO143-AO145</f>
        <v>-3.7000000000000005E-2</v>
      </c>
      <c r="AP146" s="153">
        <f>+AP143-AP145</f>
        <v>-5.2240621056843017E-2</v>
      </c>
      <c r="AQ146" s="590">
        <f>+AQ143-AQ145</f>
        <v>-3.2000000000000001E-2</v>
      </c>
      <c r="AR146" s="577"/>
      <c r="AS146" s="152">
        <f>+AS143-AS145</f>
        <v>-3.1E-2</v>
      </c>
      <c r="AT146" s="153">
        <f>+AT143-AT145</f>
        <v>-3.7000000000000005E-2</v>
      </c>
      <c r="AU146" s="153">
        <f>+AU143-AU145</f>
        <v>-5.5E-2</v>
      </c>
      <c r="AV146" s="153">
        <f>+AV143-AV145</f>
        <v>-5.923781405206021E-2</v>
      </c>
      <c r="AW146" s="590">
        <f>+AW143-AW145</f>
        <v>-4.4999999999999998E-2</v>
      </c>
      <c r="AX146" s="577"/>
      <c r="AY146" s="152"/>
      <c r="AZ146" s="153"/>
      <c r="BA146" s="153"/>
      <c r="BB146" s="153"/>
      <c r="BC146" s="590"/>
      <c r="BD146" s="577"/>
      <c r="BE146" s="152"/>
      <c r="BF146" s="153"/>
      <c r="BG146" s="153"/>
      <c r="BH146" s="153"/>
      <c r="BI146" s="590"/>
      <c r="BJ146" s="577"/>
      <c r="BK146" s="152"/>
      <c r="BL146" s="153"/>
      <c r="BM146" s="153"/>
      <c r="BN146" s="153"/>
      <c r="BO146" s="590"/>
      <c r="BP146" s="577"/>
      <c r="BQ146" s="152"/>
      <c r="BR146" s="153"/>
      <c r="BS146" s="153"/>
      <c r="BT146" s="153"/>
      <c r="BU146" s="590"/>
      <c r="BV146" s="577"/>
      <c r="BW146" s="152"/>
      <c r="BX146" s="153"/>
      <c r="BY146" s="153"/>
      <c r="BZ146" s="153"/>
      <c r="CA146" s="590"/>
      <c r="CB146" s="577"/>
      <c r="CC146" s="152"/>
      <c r="CD146" s="153"/>
      <c r="CE146" s="153"/>
      <c r="CF146" s="153"/>
      <c r="CG146" s="590"/>
      <c r="CH146" s="577"/>
      <c r="CI146" s="152"/>
      <c r="CJ146" s="153"/>
      <c r="CK146" s="153"/>
      <c r="CL146" s="153"/>
      <c r="CM146" s="590"/>
      <c r="CN146" s="11"/>
      <c r="CO146" s="11"/>
      <c r="CP146" s="11"/>
      <c r="CQ146" s="11"/>
      <c r="CR146" s="11"/>
      <c r="CS146" s="11"/>
      <c r="CT146" s="11"/>
      <c r="CU146" s="11"/>
      <c r="CV146" s="11"/>
      <c r="CW146" s="11"/>
      <c r="CX146" s="11"/>
    </row>
    <row r="147" spans="1:102" s="31" customFormat="1" ht="11.25" hidden="1" customHeight="1" outlineLevel="1" x14ac:dyDescent="0.2">
      <c r="A147" s="84"/>
      <c r="B147" s="609"/>
      <c r="C147" s="146"/>
      <c r="D147" s="148"/>
      <c r="E147" s="148"/>
      <c r="F147" s="147"/>
      <c r="G147" s="590"/>
      <c r="H147" s="106"/>
      <c r="I147" s="146"/>
      <c r="J147" s="148"/>
      <c r="K147" s="148"/>
      <c r="L147" s="147"/>
      <c r="M147" s="590"/>
      <c r="N147" s="106"/>
      <c r="O147" s="146"/>
      <c r="P147" s="148"/>
      <c r="Q147" s="148"/>
      <c r="R147" s="147"/>
      <c r="S147" s="590"/>
      <c r="T147" s="106"/>
      <c r="U147" s="146"/>
      <c r="V147" s="148"/>
      <c r="W147" s="148"/>
      <c r="X147" s="147"/>
      <c r="Y147" s="590"/>
      <c r="Z147" s="106"/>
      <c r="AA147" s="146"/>
      <c r="AB147" s="148"/>
      <c r="AC147" s="148"/>
      <c r="AD147" s="147"/>
      <c r="AE147" s="590"/>
      <c r="AF147" s="106"/>
      <c r="AG147" s="146"/>
      <c r="AH147" s="148"/>
      <c r="AI147" s="148"/>
      <c r="AJ147" s="147"/>
      <c r="AK147" s="590"/>
      <c r="AL147" s="106"/>
      <c r="AM147" s="146"/>
      <c r="AN147" s="148"/>
      <c r="AO147" s="148"/>
      <c r="AP147" s="147"/>
      <c r="AQ147" s="590"/>
      <c r="AR147" s="106"/>
      <c r="AS147" s="146"/>
      <c r="AT147" s="148"/>
      <c r="AU147" s="148"/>
      <c r="AV147" s="147"/>
      <c r="AW147" s="604"/>
      <c r="AX147" s="106"/>
      <c r="AY147" s="146"/>
      <c r="AZ147" s="148"/>
      <c r="BA147" s="148"/>
      <c r="BB147" s="147"/>
      <c r="BC147" s="590"/>
      <c r="BD147" s="106"/>
      <c r="BE147" s="146"/>
      <c r="BF147" s="148"/>
      <c r="BG147" s="148"/>
      <c r="BH147" s="148"/>
      <c r="BI147" s="590"/>
      <c r="BJ147" s="106"/>
      <c r="BK147" s="146"/>
      <c r="BL147" s="148"/>
      <c r="BM147" s="598"/>
      <c r="BN147" s="598"/>
      <c r="BO147" s="590"/>
      <c r="BP147" s="106"/>
      <c r="BQ147" s="146"/>
      <c r="BR147" s="148"/>
      <c r="BS147" s="598"/>
      <c r="BT147" s="598"/>
      <c r="BU147" s="590"/>
      <c r="BV147" s="106"/>
      <c r="BW147" s="597"/>
      <c r="BX147" s="598"/>
      <c r="BY147" s="598"/>
      <c r="BZ147" s="598"/>
      <c r="CA147" s="590"/>
      <c r="CB147" s="106"/>
      <c r="CC147" s="597"/>
      <c r="CD147" s="598"/>
      <c r="CE147" s="598"/>
      <c r="CF147" s="598"/>
      <c r="CG147" s="590"/>
      <c r="CH147" s="106"/>
      <c r="CI147" s="597"/>
      <c r="CJ147" s="598"/>
      <c r="CK147" s="598"/>
      <c r="CL147" s="598"/>
      <c r="CM147" s="590"/>
      <c r="CN147" s="11"/>
      <c r="CO147" s="11"/>
      <c r="CP147" s="11"/>
      <c r="CQ147" s="11"/>
      <c r="CR147" s="11"/>
      <c r="CS147" s="11"/>
      <c r="CT147" s="11"/>
      <c r="CU147" s="11"/>
      <c r="CV147" s="11"/>
      <c r="CW147" s="11"/>
      <c r="CX147" s="11"/>
    </row>
    <row r="148" spans="1:102" s="9" customFormat="1" ht="11.25" customHeight="1" collapsed="1" x14ac:dyDescent="0.2">
      <c r="A148" s="12"/>
      <c r="B148" s="567" t="s">
        <v>258</v>
      </c>
      <c r="C148" s="618"/>
      <c r="D148" s="619"/>
      <c r="E148" s="619"/>
      <c r="F148" s="619"/>
      <c r="G148" s="617"/>
      <c r="H148" s="585"/>
      <c r="I148" s="618"/>
      <c r="J148" s="619"/>
      <c r="K148" s="619"/>
      <c r="L148" s="619"/>
      <c r="M148" s="617"/>
      <c r="N148" s="585"/>
      <c r="O148" s="618"/>
      <c r="P148" s="619"/>
      <c r="Q148" s="619"/>
      <c r="R148" s="619"/>
      <c r="S148" s="617"/>
      <c r="T148" s="585"/>
      <c r="U148" s="618"/>
      <c r="V148" s="619"/>
      <c r="W148" s="619"/>
      <c r="X148" s="619"/>
      <c r="Y148" s="617"/>
      <c r="Z148" s="585"/>
      <c r="AA148" s="618"/>
      <c r="AB148" s="619"/>
      <c r="AC148" s="619"/>
      <c r="AD148" s="619"/>
      <c r="AE148" s="617"/>
      <c r="AF148" s="585"/>
      <c r="AG148" s="618"/>
      <c r="AH148" s="619"/>
      <c r="AI148" s="619"/>
      <c r="AJ148" s="619"/>
      <c r="AK148" s="617"/>
      <c r="AL148" s="585"/>
      <c r="AM148" s="618"/>
      <c r="AN148" s="619"/>
      <c r="AO148" s="619"/>
      <c r="AP148" s="619"/>
      <c r="AQ148" s="617"/>
      <c r="AR148" s="585"/>
      <c r="AS148" s="618"/>
      <c r="AT148" s="619"/>
      <c r="AU148" s="619"/>
      <c r="AV148" s="619"/>
      <c r="AW148" s="617"/>
      <c r="AX148" s="585"/>
      <c r="AY148" s="618"/>
      <c r="AZ148" s="619"/>
      <c r="BA148" s="619"/>
      <c r="BB148" s="619"/>
      <c r="BC148" s="617"/>
      <c r="BD148" s="585"/>
      <c r="BE148" s="618"/>
      <c r="BF148" s="619"/>
      <c r="BG148" s="619"/>
      <c r="BH148" s="619"/>
      <c r="BI148" s="617"/>
      <c r="BJ148" s="585"/>
      <c r="BK148" s="618"/>
      <c r="BL148" s="619"/>
      <c r="BM148" s="619"/>
      <c r="BN148" s="619"/>
      <c r="BO148" s="617"/>
      <c r="BP148" s="585"/>
      <c r="BQ148" s="618"/>
      <c r="BR148" s="619"/>
      <c r="BS148" s="619"/>
      <c r="BT148" s="619"/>
      <c r="BU148" s="617"/>
      <c r="BV148" s="585"/>
      <c r="BW148" s="618"/>
      <c r="BX148" s="619"/>
      <c r="BY148" s="619"/>
      <c r="BZ148" s="619"/>
      <c r="CA148" s="617"/>
      <c r="CB148" s="585"/>
      <c r="CC148" s="618"/>
      <c r="CD148" s="619"/>
      <c r="CE148" s="619"/>
      <c r="CF148" s="619"/>
      <c r="CG148" s="617"/>
      <c r="CH148" s="585"/>
      <c r="CI148" s="618"/>
      <c r="CJ148" s="619"/>
      <c r="CK148" s="619"/>
      <c r="CL148" s="619"/>
      <c r="CM148" s="617"/>
      <c r="CN148" s="11"/>
      <c r="CO148" s="11"/>
      <c r="CP148" s="11"/>
      <c r="CQ148" s="11"/>
      <c r="CR148" s="11"/>
      <c r="CS148" s="11"/>
      <c r="CT148" s="11"/>
      <c r="CU148" s="11"/>
      <c r="CV148" s="11"/>
      <c r="CW148" s="11"/>
      <c r="CX148" s="11"/>
    </row>
    <row r="149" spans="1:102" s="31" customFormat="1" ht="11.25" customHeight="1" x14ac:dyDescent="0.2">
      <c r="A149" s="84"/>
      <c r="B149" s="607" t="s">
        <v>305</v>
      </c>
      <c r="C149" s="582">
        <f>C28</f>
        <v>472.70899999999995</v>
      </c>
      <c r="D149" s="8">
        <f>D28</f>
        <v>512.20000000000005</v>
      </c>
      <c r="E149" s="8">
        <f>E28</f>
        <v>537.14800000000002</v>
      </c>
      <c r="F149" s="8">
        <f>F28</f>
        <v>542.57300000000009</v>
      </c>
      <c r="G149" s="592">
        <f>G28</f>
        <v>2064.63</v>
      </c>
      <c r="H149" s="106"/>
      <c r="I149" s="582">
        <f>I28</f>
        <v>499.72699999999998</v>
      </c>
      <c r="J149" s="8">
        <f>J28</f>
        <v>534.505</v>
      </c>
      <c r="K149" s="8">
        <f>K28</f>
        <v>584.94200000000001</v>
      </c>
      <c r="L149" s="8">
        <f>L28</f>
        <v>562.11199999999997</v>
      </c>
      <c r="M149" s="592">
        <f>M28</f>
        <v>2181.2859999999996</v>
      </c>
      <c r="N149" s="106"/>
      <c r="O149" s="582">
        <f>O28</f>
        <v>519.88499999999999</v>
      </c>
      <c r="P149" s="8">
        <f>P28</f>
        <v>536.83699999999999</v>
      </c>
      <c r="Q149" s="8">
        <f>Q28</f>
        <v>584.14</v>
      </c>
      <c r="R149" s="8">
        <f>R28</f>
        <v>533.54700000000003</v>
      </c>
      <c r="S149" s="592">
        <f>S28</f>
        <v>2174.4089999999997</v>
      </c>
      <c r="T149" s="106"/>
      <c r="U149" s="582">
        <f>U28</f>
        <v>510.99099999999999</v>
      </c>
      <c r="V149" s="8">
        <f>V28</f>
        <v>537.16699999999992</v>
      </c>
      <c r="W149" s="8">
        <f>W28</f>
        <v>572.07299999999998</v>
      </c>
      <c r="X149" s="8">
        <f>X28</f>
        <v>547.26400000000001</v>
      </c>
      <c r="Y149" s="592">
        <f>Y28</f>
        <v>2167.4949999999999</v>
      </c>
      <c r="Z149" s="106"/>
      <c r="AA149" s="582">
        <f>AA28</f>
        <v>542.678</v>
      </c>
      <c r="AB149" s="8">
        <f>AB28</f>
        <v>563.21</v>
      </c>
      <c r="AC149" s="8">
        <f>AC28</f>
        <v>557.048</v>
      </c>
      <c r="AD149" s="8">
        <f>AD28</f>
        <v>573.12</v>
      </c>
      <c r="AE149" s="592">
        <f>AE28</f>
        <v>2236.056</v>
      </c>
      <c r="AF149" s="106"/>
      <c r="AG149" s="582">
        <f>AG28</f>
        <v>533.36699999999996</v>
      </c>
      <c r="AH149" s="8">
        <f>AH28</f>
        <v>550.60500000000002</v>
      </c>
      <c r="AI149" s="8">
        <f>AI28</f>
        <v>605.04100000000005</v>
      </c>
      <c r="AJ149" s="8">
        <f>AJ28</f>
        <v>598.86199999999997</v>
      </c>
      <c r="AK149" s="592">
        <f>AK28</f>
        <v>2287.875</v>
      </c>
      <c r="AL149" s="106"/>
      <c r="AM149" s="582">
        <f>AM28</f>
        <v>567.39200000000005</v>
      </c>
      <c r="AN149" s="8">
        <f>AN28</f>
        <v>549.149</v>
      </c>
      <c r="AO149" s="8">
        <f>AO28</f>
        <v>626.49399999999991</v>
      </c>
      <c r="AP149" s="8">
        <f>AP28</f>
        <v>636.93500000000006</v>
      </c>
      <c r="AQ149" s="592">
        <f>AQ28</f>
        <v>2379.9699999999998</v>
      </c>
      <c r="AR149" s="106"/>
      <c r="AS149" s="582">
        <f>AS28</f>
        <v>554.23299999999995</v>
      </c>
      <c r="AT149" s="8">
        <f>AT28</f>
        <v>563.05200000000002</v>
      </c>
      <c r="AU149" s="8">
        <f>AU28</f>
        <v>641.96500000000003</v>
      </c>
      <c r="AV149" s="8">
        <f>AV28</f>
        <v>622.84799999999996</v>
      </c>
      <c r="AW149" s="592">
        <f>AW28</f>
        <v>2382.0980000000004</v>
      </c>
      <c r="AX149" s="106"/>
      <c r="AY149" s="582">
        <f>AY28</f>
        <v>542.87400000000002</v>
      </c>
      <c r="AZ149" s="8">
        <f>AZ28</f>
        <v>592.63599999999997</v>
      </c>
      <c r="BA149" s="8">
        <f>BA28</f>
        <v>610.65500000000009</v>
      </c>
      <c r="BB149" s="8">
        <f>BB28</f>
        <v>668.83799999999997</v>
      </c>
      <c r="BC149" s="592">
        <f>SUM(AY149:BB149)</f>
        <v>2415.0029999999997</v>
      </c>
      <c r="BD149" s="106"/>
      <c r="BE149" s="582">
        <f>BE28</f>
        <v>575.11699999999996</v>
      </c>
      <c r="BF149" s="8">
        <f>BF28</f>
        <v>601.322</v>
      </c>
      <c r="BG149" s="8">
        <f>BG28</f>
        <v>637.65099999999995</v>
      </c>
      <c r="BH149" s="8">
        <f>BH28</f>
        <v>662.14400000000001</v>
      </c>
      <c r="BI149" s="592">
        <f>SUM(BE149:BH149)</f>
        <v>2476.2339999999995</v>
      </c>
      <c r="BJ149" s="106"/>
      <c r="BK149" s="582">
        <f>BK28</f>
        <v>555.01499999999999</v>
      </c>
      <c r="BL149" s="8">
        <f>BL28</f>
        <v>601.553</v>
      </c>
      <c r="BM149" s="8">
        <f>BM28</f>
        <v>626.34299999999996</v>
      </c>
      <c r="BN149" s="8">
        <f>BN28</f>
        <v>607.30800000000011</v>
      </c>
      <c r="BO149" s="592">
        <f>SUM(BK149:BN149)</f>
        <v>2390.2190000000001</v>
      </c>
      <c r="BP149" s="106"/>
      <c r="BQ149" s="582">
        <f>BQ28</f>
        <v>518.80700000000002</v>
      </c>
      <c r="BR149" s="8">
        <f>BR28</f>
        <v>553.63</v>
      </c>
      <c r="BS149" s="8">
        <f>BS28</f>
        <v>577.87699999999995</v>
      </c>
      <c r="BT149" s="8">
        <f>BT28</f>
        <v>595.60879059782121</v>
      </c>
      <c r="BU149" s="592">
        <f>SUM(BQ149:BT149)</f>
        <v>2245.9227905978209</v>
      </c>
      <c r="BV149" s="106"/>
      <c r="BW149" s="582">
        <f>BW28</f>
        <v>494.59767000000005</v>
      </c>
      <c r="BX149" s="8">
        <f>BX28</f>
        <v>551.39305999999999</v>
      </c>
      <c r="BY149" s="8">
        <f>BY28</f>
        <v>583.38862000000006</v>
      </c>
      <c r="BZ149" s="8">
        <f>BZ28</f>
        <v>600.25112177573135</v>
      </c>
      <c r="CA149" s="592">
        <f>SUM(BW149:BZ149)</f>
        <v>2229.6304717757316</v>
      </c>
      <c r="CB149" s="106"/>
      <c r="CC149" s="582">
        <f>CC28</f>
        <v>498.92289840000001</v>
      </c>
      <c r="CD149" s="8">
        <f>CD28</f>
        <v>555.83678150000003</v>
      </c>
      <c r="CE149" s="8">
        <f>CE28</f>
        <v>592.03343240000004</v>
      </c>
      <c r="CF149" s="8">
        <f>CF28</f>
        <v>609.05575666887808</v>
      </c>
      <c r="CG149" s="592">
        <f>SUM(CC149:CF149)</f>
        <v>2255.8488689688784</v>
      </c>
      <c r="CH149" s="106"/>
      <c r="CI149" s="582">
        <f>CI28</f>
        <v>505.9909383480001</v>
      </c>
      <c r="CJ149" s="8">
        <f>CJ28</f>
        <v>563.96739001499998</v>
      </c>
      <c r="CK149" s="8">
        <f>CK28</f>
        <v>600.82091144800006</v>
      </c>
      <c r="CL149" s="8">
        <f>CL28</f>
        <v>618.00448038446405</v>
      </c>
      <c r="CM149" s="592">
        <f>SUM(CI149:CL149)</f>
        <v>2288.783720195464</v>
      </c>
      <c r="CN149" s="11"/>
      <c r="CO149" s="11"/>
      <c r="CP149" s="11"/>
      <c r="CQ149" s="11"/>
      <c r="CR149" s="11"/>
      <c r="CS149" s="11"/>
      <c r="CT149" s="11"/>
      <c r="CU149" s="11"/>
      <c r="CV149" s="11"/>
      <c r="CW149" s="11"/>
      <c r="CX149" s="11"/>
    </row>
    <row r="150" spans="1:102" s="31" customFormat="1" ht="11.25" customHeight="1" x14ac:dyDescent="0.2">
      <c r="A150" s="84"/>
      <c r="B150" s="607" t="s">
        <v>311</v>
      </c>
      <c r="C150" s="582">
        <f>C78</f>
        <v>0</v>
      </c>
      <c r="D150" s="8">
        <f>D78</f>
        <v>0</v>
      </c>
      <c r="E150" s="8">
        <f>E78</f>
        <v>0</v>
      </c>
      <c r="F150" s="8">
        <f>F78</f>
        <v>0</v>
      </c>
      <c r="G150" s="592">
        <f>G78</f>
        <v>0</v>
      </c>
      <c r="H150" s="106"/>
      <c r="I150" s="582">
        <f>I78</f>
        <v>0</v>
      </c>
      <c r="J150" s="8">
        <f>J78</f>
        <v>0</v>
      </c>
      <c r="K150" s="8">
        <f>K78</f>
        <v>0</v>
      </c>
      <c r="L150" s="8">
        <f>L78</f>
        <v>0</v>
      </c>
      <c r="M150" s="592">
        <f>M78</f>
        <v>0</v>
      </c>
      <c r="N150" s="106"/>
      <c r="O150" s="582">
        <f>O78</f>
        <v>0</v>
      </c>
      <c r="P150" s="8">
        <f>P78</f>
        <v>0</v>
      </c>
      <c r="Q150" s="8">
        <f>Q78</f>
        <v>0</v>
      </c>
      <c r="R150" s="8">
        <f>R78</f>
        <v>0</v>
      </c>
      <c r="S150" s="592">
        <f>S78</f>
        <v>0</v>
      </c>
      <c r="T150" s="106"/>
      <c r="U150" s="582">
        <f>U78</f>
        <v>0</v>
      </c>
      <c r="V150" s="8">
        <f>V78</f>
        <v>0</v>
      </c>
      <c r="W150" s="8">
        <f>W78</f>
        <v>0</v>
      </c>
      <c r="X150" s="8">
        <f>X78</f>
        <v>0</v>
      </c>
      <c r="Y150" s="592">
        <f>Y78</f>
        <v>0</v>
      </c>
      <c r="Z150" s="106"/>
      <c r="AA150" s="582">
        <f>AA78</f>
        <v>0</v>
      </c>
      <c r="AB150" s="8">
        <f>AB78</f>
        <v>0</v>
      </c>
      <c r="AC150" s="8">
        <f>AC78</f>
        <v>0</v>
      </c>
      <c r="AD150" s="8">
        <f>AD78</f>
        <v>0</v>
      </c>
      <c r="AE150" s="592">
        <f>AE78</f>
        <v>0</v>
      </c>
      <c r="AF150" s="106"/>
      <c r="AG150" s="582">
        <f>AG78</f>
        <v>0</v>
      </c>
      <c r="AH150" s="8">
        <f>AH78</f>
        <v>0</v>
      </c>
      <c r="AI150" s="8">
        <f>AI78</f>
        <v>0</v>
      </c>
      <c r="AJ150" s="8">
        <f>AJ78</f>
        <v>0</v>
      </c>
      <c r="AK150" s="592">
        <f>AK78</f>
        <v>0</v>
      </c>
      <c r="AL150" s="106"/>
      <c r="AM150" s="582">
        <f>AM78</f>
        <v>0</v>
      </c>
      <c r="AN150" s="8">
        <f>AN78</f>
        <v>0</v>
      </c>
      <c r="AO150" s="8">
        <f>AO78</f>
        <v>0</v>
      </c>
      <c r="AP150" s="8">
        <f>AP78</f>
        <v>0</v>
      </c>
      <c r="AQ150" s="592">
        <f>AQ78</f>
        <v>0</v>
      </c>
      <c r="AR150" s="106"/>
      <c r="AS150" s="582">
        <f>AS78</f>
        <v>0</v>
      </c>
      <c r="AT150" s="8">
        <f>AT78</f>
        <v>0</v>
      </c>
      <c r="AU150" s="8">
        <f>AU78</f>
        <v>0</v>
      </c>
      <c r="AV150" s="8">
        <f>AV78</f>
        <v>0</v>
      </c>
      <c r="AW150" s="592">
        <f>AW78</f>
        <v>0</v>
      </c>
      <c r="AX150" s="106"/>
      <c r="AY150" s="582">
        <f>AY78</f>
        <v>386.29999999999995</v>
      </c>
      <c r="AZ150" s="8">
        <f>AZ78</f>
        <v>376.47399999999999</v>
      </c>
      <c r="BA150" s="8">
        <f>BA78</f>
        <v>337.81499999999994</v>
      </c>
      <c r="BB150" s="8">
        <f>BB78</f>
        <v>355.98099999999999</v>
      </c>
      <c r="BC150" s="592">
        <f>SUM(AY150:BB150)</f>
        <v>1456.57</v>
      </c>
      <c r="BD150" s="106"/>
      <c r="BE150" s="582">
        <f>BE78</f>
        <v>557.29700000000003</v>
      </c>
      <c r="BF150" s="8">
        <f>BF78</f>
        <v>774.45299999999997</v>
      </c>
      <c r="BG150" s="8">
        <f>BG78</f>
        <v>749.71300000000008</v>
      </c>
      <c r="BH150" s="8">
        <f>BH78</f>
        <v>780.78600000000006</v>
      </c>
      <c r="BI150" s="592">
        <f>SUM(BE150:BH150)</f>
        <v>2862.2490000000003</v>
      </c>
      <c r="BJ150" s="106"/>
      <c r="BK150" s="582">
        <f>BK78</f>
        <v>762.63099999999997</v>
      </c>
      <c r="BL150" s="8">
        <f>BL78</f>
        <v>807.14599999999996</v>
      </c>
      <c r="BM150" s="8">
        <f>BM78</f>
        <v>762.577</v>
      </c>
      <c r="BN150" s="8">
        <f>BN78</f>
        <v>827.47199999999998</v>
      </c>
      <c r="BO150" s="592">
        <f>SUM(BK150:BN150)</f>
        <v>3159.826</v>
      </c>
      <c r="BP150" s="106"/>
      <c r="BQ150" s="582">
        <f>BQ78</f>
        <v>776.13600000000008</v>
      </c>
      <c r="BR150" s="8">
        <f>BR78</f>
        <v>823.58299999999997</v>
      </c>
      <c r="BS150" s="8">
        <f>BS78</f>
        <v>794.86699999999996</v>
      </c>
      <c r="BT150" s="8">
        <f>BT78</f>
        <v>840.82798380833663</v>
      </c>
      <c r="BU150" s="592">
        <f>SUM(BQ150:BT150)</f>
        <v>3235.413983808337</v>
      </c>
      <c r="BV150" s="106"/>
      <c r="BW150" s="582">
        <f>BW78</f>
        <v>807.18144000000007</v>
      </c>
      <c r="BX150" s="8">
        <f>BX78</f>
        <v>872.62380000000007</v>
      </c>
      <c r="BY150" s="8">
        <f>BY78</f>
        <v>826.66168000000005</v>
      </c>
      <c r="BZ150" s="8">
        <f>BZ78</f>
        <v>890.89271664186424</v>
      </c>
      <c r="CA150" s="592">
        <f>SUM(BW150:BZ150)</f>
        <v>3397.3596366418647</v>
      </c>
      <c r="CB150" s="106"/>
      <c r="CC150" s="582">
        <f>CC78</f>
        <v>835.24759240000003</v>
      </c>
      <c r="CD150" s="8">
        <f>CD78</f>
        <v>902.98662300000001</v>
      </c>
      <c r="CE150" s="8">
        <f>CE78</f>
        <v>855.63331879999987</v>
      </c>
      <c r="CF150" s="8">
        <f>CF78</f>
        <v>922.10587299395411</v>
      </c>
      <c r="CG150" s="592">
        <f>SUM(CC150:CF150)</f>
        <v>3515.9734071939538</v>
      </c>
      <c r="CH150" s="106"/>
      <c r="CI150" s="582">
        <f>CI78</f>
        <v>864.29420815399999</v>
      </c>
      <c r="CJ150" s="8">
        <f>CJ78</f>
        <v>934.41035470500003</v>
      </c>
      <c r="CK150" s="8">
        <f>CK78</f>
        <v>885.6205041579999</v>
      </c>
      <c r="CL150" s="8">
        <f>CL78</f>
        <v>954.41276626915214</v>
      </c>
      <c r="CM150" s="592">
        <f>SUM(CI150:CL150)</f>
        <v>3638.7378332861522</v>
      </c>
      <c r="CN150" s="11"/>
      <c r="CO150" s="11"/>
      <c r="CP150" s="11"/>
      <c r="CQ150" s="11"/>
      <c r="CR150" s="11"/>
      <c r="CS150" s="11"/>
      <c r="CT150" s="11"/>
      <c r="CU150" s="11"/>
      <c r="CV150" s="11"/>
      <c r="CW150" s="11"/>
      <c r="CX150" s="11"/>
    </row>
    <row r="151" spans="1:102" s="31" customFormat="1" ht="11.25" customHeight="1" x14ac:dyDescent="0.2">
      <c r="A151" s="84"/>
      <c r="B151" s="607" t="s">
        <v>306</v>
      </c>
      <c r="C151" s="582">
        <f>C86</f>
        <v>0</v>
      </c>
      <c r="D151" s="8">
        <f>D86</f>
        <v>0</v>
      </c>
      <c r="E151" s="8">
        <f>E86</f>
        <v>0</v>
      </c>
      <c r="F151" s="8">
        <f>F86</f>
        <v>0</v>
      </c>
      <c r="G151" s="592">
        <f>G86</f>
        <v>0</v>
      </c>
      <c r="H151" s="106"/>
      <c r="I151" s="582">
        <f>I86</f>
        <v>0</v>
      </c>
      <c r="J151" s="8">
        <f>J86</f>
        <v>0</v>
      </c>
      <c r="K151" s="8">
        <f>K86</f>
        <v>0</v>
      </c>
      <c r="L151" s="8">
        <f>L86</f>
        <v>0</v>
      </c>
      <c r="M151" s="592">
        <f>M86</f>
        <v>0</v>
      </c>
      <c r="N151" s="106"/>
      <c r="O151" s="582">
        <f>O86</f>
        <v>0</v>
      </c>
      <c r="P151" s="8">
        <f>P86</f>
        <v>0</v>
      </c>
      <c r="Q151" s="8">
        <f>Q86</f>
        <v>0</v>
      </c>
      <c r="R151" s="8">
        <f>R86</f>
        <v>0</v>
      </c>
      <c r="S151" s="592">
        <f>S86</f>
        <v>0</v>
      </c>
      <c r="T151" s="106"/>
      <c r="U151" s="582">
        <f>U86</f>
        <v>0</v>
      </c>
      <c r="V151" s="8">
        <f>V86</f>
        <v>0</v>
      </c>
      <c r="W151" s="8">
        <f>W86</f>
        <v>0</v>
      </c>
      <c r="X151" s="8">
        <f>X86</f>
        <v>0</v>
      </c>
      <c r="Y151" s="592">
        <f>Y86</f>
        <v>0</v>
      </c>
      <c r="Z151" s="106"/>
      <c r="AA151" s="582">
        <f>AA86</f>
        <v>0</v>
      </c>
      <c r="AB151" s="8">
        <f>AB86</f>
        <v>0</v>
      </c>
      <c r="AC151" s="8">
        <f>AC86</f>
        <v>0</v>
      </c>
      <c r="AD151" s="8">
        <f>AD86</f>
        <v>0</v>
      </c>
      <c r="AE151" s="592">
        <f>AE86</f>
        <v>0</v>
      </c>
      <c r="AF151" s="106"/>
      <c r="AG151" s="582">
        <f>AG86</f>
        <v>0</v>
      </c>
      <c r="AH151" s="8">
        <f>AH86</f>
        <v>0</v>
      </c>
      <c r="AI151" s="8">
        <f>AI86</f>
        <v>0</v>
      </c>
      <c r="AJ151" s="8">
        <f>AJ86</f>
        <v>0</v>
      </c>
      <c r="AK151" s="592">
        <f>AK86</f>
        <v>0</v>
      </c>
      <c r="AL151" s="106"/>
      <c r="AM151" s="582">
        <f>AM86</f>
        <v>0</v>
      </c>
      <c r="AN151" s="8">
        <f>AN86</f>
        <v>0</v>
      </c>
      <c r="AO151" s="8">
        <f>AO86</f>
        <v>0</v>
      </c>
      <c r="AP151" s="8">
        <f>AP86</f>
        <v>0</v>
      </c>
      <c r="AQ151" s="592">
        <f>AQ86</f>
        <v>0</v>
      </c>
      <c r="AR151" s="106"/>
      <c r="AS151" s="582">
        <f>AS86</f>
        <v>0</v>
      </c>
      <c r="AT151" s="8">
        <f>AT86</f>
        <v>0</v>
      </c>
      <c r="AU151" s="8">
        <f>AU86</f>
        <v>0</v>
      </c>
      <c r="AV151" s="8">
        <f>AV86</f>
        <v>0</v>
      </c>
      <c r="AW151" s="592">
        <f>AW86</f>
        <v>0</v>
      </c>
      <c r="AX151" s="106"/>
      <c r="AY151" s="582">
        <f>AY86</f>
        <v>9.782</v>
      </c>
      <c r="AZ151" s="8">
        <f>AZ86</f>
        <v>9.11</v>
      </c>
      <c r="BA151" s="8">
        <f>BA86</f>
        <v>10.157999999999999</v>
      </c>
      <c r="BB151" s="8">
        <f>BB86</f>
        <v>10.242000000000001</v>
      </c>
      <c r="BC151" s="592">
        <f>SUM(AY151:BB151)</f>
        <v>39.292000000000002</v>
      </c>
      <c r="BD151" s="106"/>
      <c r="BE151" s="582">
        <f>BE86</f>
        <v>10.456</v>
      </c>
      <c r="BF151" s="8">
        <f>BF86</f>
        <v>13.435</v>
      </c>
      <c r="BG151" s="8">
        <f>BG86</f>
        <v>13.489000000000001</v>
      </c>
      <c r="BH151" s="8">
        <f>BH86</f>
        <v>10.84</v>
      </c>
      <c r="BI151" s="592">
        <f>SUM(BE151:BH151)</f>
        <v>48.22</v>
      </c>
      <c r="BJ151" s="106"/>
      <c r="BK151" s="582">
        <f>BK86</f>
        <v>14.79</v>
      </c>
      <c r="BL151" s="8">
        <f>BL86</f>
        <v>9.5419999999999998</v>
      </c>
      <c r="BM151" s="8">
        <f>BM86</f>
        <v>8.4979999999999993</v>
      </c>
      <c r="BN151" s="8">
        <f>BN86</f>
        <v>10.252000000000001</v>
      </c>
      <c r="BO151" s="592">
        <f>SUM(BK151:BN151)</f>
        <v>43.082000000000001</v>
      </c>
      <c r="BP151" s="106"/>
      <c r="BQ151" s="582">
        <f>BQ86</f>
        <v>9.1720000000000006</v>
      </c>
      <c r="BR151" s="8">
        <f>BR86</f>
        <v>8.5239999999999991</v>
      </c>
      <c r="BS151" s="8">
        <f>BS86</f>
        <v>2.4780000000000002</v>
      </c>
      <c r="BT151" s="8">
        <f>BT86</f>
        <v>5.1260000000000003</v>
      </c>
      <c r="BU151" s="592">
        <f>SUM(BQ151:BT151)</f>
        <v>25.3</v>
      </c>
      <c r="BV151" s="106"/>
      <c r="BW151" s="582">
        <f>BW86</f>
        <v>8.9885599999999997</v>
      </c>
      <c r="BX151" s="8">
        <f>BX86</f>
        <v>8.3535199999999996</v>
      </c>
      <c r="BY151" s="8">
        <f>BY86</f>
        <v>2.4284400000000002</v>
      </c>
      <c r="BZ151" s="8">
        <f>BZ86</f>
        <v>5.0234800000000002</v>
      </c>
      <c r="CA151" s="592">
        <f>SUM(BW151:BZ151)</f>
        <v>24.793999999999997</v>
      </c>
      <c r="CB151" s="106"/>
      <c r="CC151" s="582">
        <f>CC86</f>
        <v>9.168331199999999</v>
      </c>
      <c r="CD151" s="8">
        <f>CD86</f>
        <v>8.5205903999999997</v>
      </c>
      <c r="CE151" s="8">
        <f>CE86</f>
        <v>2.4770088000000001</v>
      </c>
      <c r="CF151" s="8">
        <f>CF86</f>
        <v>5.1239496000000004</v>
      </c>
      <c r="CG151" s="592">
        <f>SUM(CC151:CF151)</f>
        <v>25.28988</v>
      </c>
      <c r="CH151" s="106"/>
      <c r="CI151" s="582">
        <f>CI86</f>
        <v>9.3516978239999986</v>
      </c>
      <c r="CJ151" s="8">
        <f>CJ86</f>
        <v>8.6910022080000005</v>
      </c>
      <c r="CK151" s="8">
        <f>CK86</f>
        <v>2.5265489759999999</v>
      </c>
      <c r="CL151" s="8">
        <f>CL86</f>
        <v>5.2264285920000004</v>
      </c>
      <c r="CM151" s="592">
        <f>SUM(CI151:CL151)</f>
        <v>25.795677600000001</v>
      </c>
      <c r="CN151" s="11"/>
      <c r="CO151" s="11"/>
      <c r="CP151" s="11"/>
      <c r="CQ151" s="11"/>
      <c r="CR151" s="11"/>
      <c r="CS151" s="11"/>
      <c r="CT151" s="11"/>
      <c r="CU151" s="11"/>
      <c r="CV151" s="11"/>
      <c r="CW151" s="11"/>
      <c r="CX151" s="11"/>
    </row>
    <row r="152" spans="1:102" s="31" customFormat="1" ht="11.25" hidden="1" customHeight="1" outlineLevel="1" x14ac:dyDescent="0.2">
      <c r="A152" s="84"/>
      <c r="B152" s="609" t="s">
        <v>328</v>
      </c>
      <c r="C152" s="151">
        <f>C112</f>
        <v>100.11399999999999</v>
      </c>
      <c r="D152" s="150">
        <f>D112</f>
        <v>95.362000000000009</v>
      </c>
      <c r="E152" s="150">
        <f>E112</f>
        <v>94.263000000000005</v>
      </c>
      <c r="F152" s="150">
        <f>F112</f>
        <v>109.687</v>
      </c>
      <c r="G152" s="593">
        <f>G112</f>
        <v>399.42600000000004</v>
      </c>
      <c r="H152" s="106"/>
      <c r="I152" s="151">
        <f>I112</f>
        <v>110.414</v>
      </c>
      <c r="J152" s="150">
        <f>J112</f>
        <v>108.92399999999999</v>
      </c>
      <c r="K152" s="150">
        <f>K112</f>
        <v>107.62</v>
      </c>
      <c r="L152" s="150">
        <f>L112</f>
        <v>119.46899999999999</v>
      </c>
      <c r="M152" s="593">
        <f>M112</f>
        <v>446.42699999999996</v>
      </c>
      <c r="N152" s="106"/>
      <c r="O152" s="151">
        <f>O112</f>
        <v>123.274</v>
      </c>
      <c r="P152" s="150">
        <f>P112</f>
        <v>123.589</v>
      </c>
      <c r="Q152" s="150">
        <f>Q112</f>
        <v>145.27199999999999</v>
      </c>
      <c r="R152" s="150">
        <f>R112</f>
        <v>158.51400000000001</v>
      </c>
      <c r="S152" s="593">
        <f>S112</f>
        <v>550.649</v>
      </c>
      <c r="T152" s="106"/>
      <c r="U152" s="151">
        <f>U112</f>
        <v>169.18100000000001</v>
      </c>
      <c r="V152" s="150">
        <f>V112</f>
        <v>160.654</v>
      </c>
      <c r="W152" s="150">
        <f>W112</f>
        <v>151.77099999999999</v>
      </c>
      <c r="X152" s="150">
        <f>X112</f>
        <v>161.97799999999998</v>
      </c>
      <c r="Y152" s="593">
        <f>Y112</f>
        <v>643.58399999999995</v>
      </c>
      <c r="Z152" s="106"/>
      <c r="AA152" s="151">
        <f>AA112</f>
        <v>179.63500000000002</v>
      </c>
      <c r="AB152" s="150">
        <f>AB112</f>
        <v>161.578</v>
      </c>
      <c r="AC152" s="150">
        <f>AC112</f>
        <v>149.726</v>
      </c>
      <c r="AD152" s="150">
        <f>AD112</f>
        <v>183.94300000000001</v>
      </c>
      <c r="AE152" s="593">
        <f>AE112</f>
        <v>674.88200000000006</v>
      </c>
      <c r="AF152" s="106"/>
      <c r="AG152" s="151">
        <f>AG112</f>
        <v>179.60300000000001</v>
      </c>
      <c r="AH152" s="150">
        <f>AH112</f>
        <v>172.7</v>
      </c>
      <c r="AI152" s="150">
        <f>AI112</f>
        <v>174.643</v>
      </c>
      <c r="AJ152" s="150">
        <f>AJ112</f>
        <v>207.5</v>
      </c>
      <c r="AK152" s="593">
        <f>AK112</f>
        <v>734.44600000000003</v>
      </c>
      <c r="AL152" s="106"/>
      <c r="AM152" s="151">
        <f>AM112</f>
        <v>191.09</v>
      </c>
      <c r="AN152" s="150">
        <f>AN112</f>
        <v>184.375</v>
      </c>
      <c r="AO152" s="150">
        <f>AO112</f>
        <v>175.40799999999999</v>
      </c>
      <c r="AP152" s="150">
        <f>AP112</f>
        <v>204.37199999999999</v>
      </c>
      <c r="AQ152" s="593">
        <f>AQ112</f>
        <v>755.245</v>
      </c>
      <c r="AR152" s="106"/>
      <c r="AS152" s="151">
        <f>AS112</f>
        <v>199.68300000000002</v>
      </c>
      <c r="AT152" s="150">
        <f>AT112</f>
        <v>308.12</v>
      </c>
      <c r="AU152" s="150">
        <f>AU112</f>
        <v>333.40199999999999</v>
      </c>
      <c r="AV152" s="150">
        <f>AV112</f>
        <v>361.83899999999994</v>
      </c>
      <c r="AW152" s="593">
        <f>AW112</f>
        <v>1203.0439999999999</v>
      </c>
      <c r="AX152" s="106"/>
      <c r="AY152" s="151"/>
      <c r="AZ152" s="150"/>
      <c r="BA152" s="150"/>
      <c r="BB152" s="150"/>
      <c r="BC152" s="593"/>
      <c r="BD152" s="106"/>
      <c r="BE152" s="151">
        <f>BE112</f>
        <v>0</v>
      </c>
      <c r="BF152" s="150">
        <f>BF112</f>
        <v>0</v>
      </c>
      <c r="BG152" s="150">
        <f>BG112</f>
        <v>0</v>
      </c>
      <c r="BH152" s="150">
        <f>BH112</f>
        <v>0</v>
      </c>
      <c r="BI152" s="593">
        <f>SUM(BE152:BH152)</f>
        <v>0</v>
      </c>
      <c r="BJ152" s="106"/>
      <c r="BK152" s="151">
        <f>BK112</f>
        <v>0</v>
      </c>
      <c r="BL152" s="150">
        <f>BL112</f>
        <v>0</v>
      </c>
      <c r="BM152" s="150">
        <f>BM112</f>
        <v>0</v>
      </c>
      <c r="BN152" s="150">
        <f>BN112</f>
        <v>0</v>
      </c>
      <c r="BO152" s="593">
        <f>SUM(BK152:BN152)</f>
        <v>0</v>
      </c>
      <c r="BP152" s="106"/>
      <c r="BQ152" s="151">
        <f>BQ112</f>
        <v>0</v>
      </c>
      <c r="BR152" s="150">
        <f>BR112</f>
        <v>0</v>
      </c>
      <c r="BS152" s="150">
        <f>BS112</f>
        <v>0</v>
      </c>
      <c r="BT152" s="150">
        <f>BT112</f>
        <v>0</v>
      </c>
      <c r="BU152" s="593">
        <f>SUM(BQ152:BT152)</f>
        <v>0</v>
      </c>
      <c r="BV152" s="106"/>
      <c r="BW152" s="151">
        <f>BW112</f>
        <v>0</v>
      </c>
      <c r="BX152" s="150">
        <f>BX112</f>
        <v>0</v>
      </c>
      <c r="BY152" s="150">
        <f>BY112</f>
        <v>0</v>
      </c>
      <c r="BZ152" s="150">
        <f>BZ112</f>
        <v>0</v>
      </c>
      <c r="CA152" s="593">
        <f>SUM(BW152:BZ152)</f>
        <v>0</v>
      </c>
      <c r="CB152" s="106"/>
      <c r="CC152" s="151">
        <f>CC112</f>
        <v>0</v>
      </c>
      <c r="CD152" s="150">
        <f>CD112</f>
        <v>0</v>
      </c>
      <c r="CE152" s="150">
        <f>CE112</f>
        <v>0</v>
      </c>
      <c r="CF152" s="150">
        <f>CF112</f>
        <v>0</v>
      </c>
      <c r="CG152" s="593">
        <f>SUM(CC152:CF152)</f>
        <v>0</v>
      </c>
      <c r="CH152" s="106"/>
      <c r="CI152" s="151">
        <f>CI112</f>
        <v>0</v>
      </c>
      <c r="CJ152" s="150">
        <f>CJ112</f>
        <v>0</v>
      </c>
      <c r="CK152" s="150">
        <f>CK112</f>
        <v>0</v>
      </c>
      <c r="CL152" s="150">
        <f>CL112</f>
        <v>0</v>
      </c>
      <c r="CM152" s="593">
        <f>SUM(CI152:CL152)</f>
        <v>0</v>
      </c>
      <c r="CN152" s="11"/>
      <c r="CO152" s="11"/>
      <c r="CP152" s="11"/>
      <c r="CQ152" s="11"/>
      <c r="CR152" s="11"/>
      <c r="CS152" s="11"/>
      <c r="CT152" s="11"/>
      <c r="CU152" s="11"/>
      <c r="CV152" s="11"/>
      <c r="CW152" s="11"/>
      <c r="CX152" s="11"/>
    </row>
    <row r="153" spans="1:102" s="31" customFormat="1" ht="11.25" hidden="1" customHeight="1" outlineLevel="1" x14ac:dyDescent="0.2">
      <c r="A153" s="84"/>
      <c r="B153" s="609" t="s">
        <v>329</v>
      </c>
      <c r="C153" s="151">
        <f>C141</f>
        <v>82.665000000000006</v>
      </c>
      <c r="D153" s="150">
        <f>D141</f>
        <v>86.711000000000013</v>
      </c>
      <c r="E153" s="150">
        <f>E141</f>
        <v>78.083000000000013</v>
      </c>
      <c r="F153" s="150">
        <f>F141</f>
        <v>86.882999999999996</v>
      </c>
      <c r="G153" s="593">
        <f>G141</f>
        <v>334.34200000000004</v>
      </c>
      <c r="H153" s="106"/>
      <c r="I153" s="151">
        <f>I141</f>
        <v>91.262</v>
      </c>
      <c r="J153" s="150">
        <f>J141</f>
        <v>98.563000000000002</v>
      </c>
      <c r="K153" s="150">
        <f>K141</f>
        <v>84.384</v>
      </c>
      <c r="L153" s="150">
        <f>L141</f>
        <v>96.807000000000002</v>
      </c>
      <c r="M153" s="593">
        <f>M141</f>
        <v>371.01600000000002</v>
      </c>
      <c r="N153" s="106"/>
      <c r="O153" s="151">
        <f>O141</f>
        <v>100.7</v>
      </c>
      <c r="P153" s="150">
        <f>P141</f>
        <v>99.034999999999997</v>
      </c>
      <c r="Q153" s="150">
        <f>Q141</f>
        <v>81.61099999999999</v>
      </c>
      <c r="R153" s="150">
        <f>R141</f>
        <v>87.823000000000008</v>
      </c>
      <c r="S153" s="593">
        <f>S141</f>
        <v>369.16899999999998</v>
      </c>
      <c r="T153" s="106"/>
      <c r="U153" s="151">
        <f>U141</f>
        <v>109.407</v>
      </c>
      <c r="V153" s="150">
        <f>V141</f>
        <v>117.13000000000001</v>
      </c>
      <c r="W153" s="150">
        <f>W141</f>
        <v>96.240000000000009</v>
      </c>
      <c r="X153" s="150">
        <f>X141</f>
        <v>103.52000000000001</v>
      </c>
      <c r="Y153" s="593">
        <f>Y141</f>
        <v>426.29700000000003</v>
      </c>
      <c r="Z153" s="106"/>
      <c r="AA153" s="151">
        <f>AA141</f>
        <v>127.474</v>
      </c>
      <c r="AB153" s="150">
        <f>AB141</f>
        <v>132.626</v>
      </c>
      <c r="AC153" s="150">
        <f>AC141</f>
        <v>117.87599999999999</v>
      </c>
      <c r="AD153" s="150">
        <f>AD141</f>
        <v>126.75800000000001</v>
      </c>
      <c r="AE153" s="593">
        <f>AE141</f>
        <v>504.73400000000004</v>
      </c>
      <c r="AF153" s="106"/>
      <c r="AG153" s="151">
        <f>AG141</f>
        <v>134.452</v>
      </c>
      <c r="AH153" s="150">
        <f>AH141</f>
        <v>133.57</v>
      </c>
      <c r="AI153" s="150">
        <f>AI141</f>
        <v>115.346</v>
      </c>
      <c r="AJ153" s="150">
        <f>AJ141</f>
        <v>129.97200000000001</v>
      </c>
      <c r="AK153" s="593">
        <f>AK141</f>
        <v>513.34</v>
      </c>
      <c r="AL153" s="106"/>
      <c r="AM153" s="151">
        <f>AM141</f>
        <v>130.74299999999999</v>
      </c>
      <c r="AN153" s="150">
        <f>AN141</f>
        <v>133.66899999999998</v>
      </c>
      <c r="AO153" s="150">
        <f>AO141</f>
        <v>113.959</v>
      </c>
      <c r="AP153" s="150">
        <f>AP141</f>
        <v>123.626</v>
      </c>
      <c r="AQ153" s="593">
        <f>AQ141</f>
        <v>501.99699999999996</v>
      </c>
      <c r="AR153" s="106"/>
      <c r="AS153" s="151">
        <f>AS141</f>
        <v>126.209</v>
      </c>
      <c r="AT153" s="150">
        <f>AT141</f>
        <v>127.66200000000001</v>
      </c>
      <c r="AU153" s="150">
        <f>AU141</f>
        <v>107.312</v>
      </c>
      <c r="AV153" s="150">
        <f>AV141</f>
        <v>117.39</v>
      </c>
      <c r="AW153" s="593">
        <f>AW141</f>
        <v>478.57299999999998</v>
      </c>
      <c r="AX153" s="106"/>
      <c r="AY153" s="151"/>
      <c r="AZ153" s="150"/>
      <c r="BA153" s="150"/>
      <c r="BB153" s="150"/>
      <c r="BC153" s="593"/>
      <c r="BD153" s="106"/>
      <c r="BE153" s="151">
        <f>BE141</f>
        <v>0</v>
      </c>
      <c r="BF153" s="150">
        <f>BF141</f>
        <v>0</v>
      </c>
      <c r="BG153" s="150">
        <f>BG141</f>
        <v>0</v>
      </c>
      <c r="BH153" s="150">
        <f>BH141</f>
        <v>0</v>
      </c>
      <c r="BI153" s="593">
        <f>SUM(BE153:BH153)</f>
        <v>0</v>
      </c>
      <c r="BJ153" s="106"/>
      <c r="BK153" s="151">
        <f>BK141</f>
        <v>0</v>
      </c>
      <c r="BL153" s="150">
        <f>BL141</f>
        <v>0</v>
      </c>
      <c r="BM153" s="150">
        <f>BM141</f>
        <v>0</v>
      </c>
      <c r="BN153" s="150">
        <f>BN141</f>
        <v>0</v>
      </c>
      <c r="BO153" s="593">
        <f>SUM(BK153:BN153)</f>
        <v>0</v>
      </c>
      <c r="BP153" s="106"/>
      <c r="BQ153" s="151">
        <f>BQ141</f>
        <v>0</v>
      </c>
      <c r="BR153" s="150">
        <f>BR141</f>
        <v>0</v>
      </c>
      <c r="BS153" s="150">
        <f>BS141</f>
        <v>0</v>
      </c>
      <c r="BT153" s="150">
        <f>BT141</f>
        <v>0</v>
      </c>
      <c r="BU153" s="593">
        <f>SUM(BQ153:BT153)</f>
        <v>0</v>
      </c>
      <c r="BV153" s="106"/>
      <c r="BW153" s="151">
        <f>BW141</f>
        <v>0</v>
      </c>
      <c r="BX153" s="150">
        <f>BX141</f>
        <v>0</v>
      </c>
      <c r="BY153" s="150">
        <f>BY141</f>
        <v>0</v>
      </c>
      <c r="BZ153" s="150">
        <f>BZ141</f>
        <v>0</v>
      </c>
      <c r="CA153" s="593">
        <f>SUM(BW153:BZ153)</f>
        <v>0</v>
      </c>
      <c r="CB153" s="106"/>
      <c r="CC153" s="151">
        <f>CC141</f>
        <v>0</v>
      </c>
      <c r="CD153" s="150">
        <f>CD141</f>
        <v>0</v>
      </c>
      <c r="CE153" s="150">
        <f>CE141</f>
        <v>0</v>
      </c>
      <c r="CF153" s="150">
        <f>CF141</f>
        <v>0</v>
      </c>
      <c r="CG153" s="593">
        <f>SUM(CC153:CF153)</f>
        <v>0</v>
      </c>
      <c r="CH153" s="106"/>
      <c r="CI153" s="151">
        <f>CI141</f>
        <v>0</v>
      </c>
      <c r="CJ153" s="150">
        <f>CJ141</f>
        <v>0</v>
      </c>
      <c r="CK153" s="150">
        <f>CK141</f>
        <v>0</v>
      </c>
      <c r="CL153" s="150">
        <f>CL141</f>
        <v>0</v>
      </c>
      <c r="CM153" s="593">
        <f>SUM(CI153:CL153)</f>
        <v>0</v>
      </c>
      <c r="CN153" s="11"/>
      <c r="CO153" s="11"/>
      <c r="CP153" s="11"/>
      <c r="CQ153" s="11"/>
      <c r="CR153" s="11"/>
      <c r="CS153" s="11"/>
      <c r="CT153" s="11"/>
      <c r="CU153" s="11"/>
      <c r="CV153" s="11"/>
      <c r="CW153" s="11"/>
      <c r="CX153" s="11"/>
    </row>
    <row r="154" spans="1:102" s="10" customFormat="1" ht="11.25" customHeight="1" collapsed="1" x14ac:dyDescent="0.2">
      <c r="A154" s="7"/>
      <c r="B154" s="612" t="s">
        <v>313</v>
      </c>
      <c r="C154" s="578">
        <f>SUM(C149:C153)</f>
        <v>655.48799999999994</v>
      </c>
      <c r="D154" s="136">
        <f>SUM(D149:D153)</f>
        <v>694.27300000000002</v>
      </c>
      <c r="E154" s="136">
        <f>SUM(E149:E153)</f>
        <v>709.49400000000003</v>
      </c>
      <c r="F154" s="136">
        <f>SUM(F149:F153)</f>
        <v>739.14300000000014</v>
      </c>
      <c r="G154" s="594">
        <f>SUM(G149:G153)</f>
        <v>2798.3980000000001</v>
      </c>
      <c r="H154" s="137"/>
      <c r="I154" s="578">
        <f>SUM(I149:I153)</f>
        <v>701.40300000000002</v>
      </c>
      <c r="J154" s="136">
        <f>SUM(J149:J153)</f>
        <v>741.99199999999996</v>
      </c>
      <c r="K154" s="136">
        <f>SUM(K149:K153)</f>
        <v>776.94600000000003</v>
      </c>
      <c r="L154" s="136">
        <f>SUM(L149:L153)</f>
        <v>778.38799999999992</v>
      </c>
      <c r="M154" s="594">
        <f>SUM(M149:M153)</f>
        <v>2998.7289999999998</v>
      </c>
      <c r="N154" s="137"/>
      <c r="O154" s="578">
        <f>SUM(O149:O153)</f>
        <v>743.85900000000004</v>
      </c>
      <c r="P154" s="136">
        <f>SUM(P149:P153)</f>
        <v>759.4609999999999</v>
      </c>
      <c r="Q154" s="136">
        <f>SUM(Q149:Q153)</f>
        <v>811.02300000000002</v>
      </c>
      <c r="R154" s="136">
        <f>SUM(R149:R153)</f>
        <v>779.88400000000001</v>
      </c>
      <c r="S154" s="594">
        <f>SUM(S149:S153)</f>
        <v>3094.2269999999994</v>
      </c>
      <c r="T154" s="137"/>
      <c r="U154" s="578">
        <f>SUM(U149:U153)</f>
        <v>789.57900000000006</v>
      </c>
      <c r="V154" s="136">
        <f>SUM(V149:V153)</f>
        <v>814.95099999999991</v>
      </c>
      <c r="W154" s="136">
        <f>SUM(W149:W153)</f>
        <v>820.08399999999995</v>
      </c>
      <c r="X154" s="136">
        <f>SUM(X149:X153)</f>
        <v>812.76199999999994</v>
      </c>
      <c r="Y154" s="594">
        <f>SUM(Y149:Y153)</f>
        <v>3237.3759999999997</v>
      </c>
      <c r="Z154" s="137"/>
      <c r="AA154" s="578">
        <f>SUM(AA149:AA153)</f>
        <v>849.78700000000003</v>
      </c>
      <c r="AB154" s="136">
        <f>SUM(AB149:AB153)</f>
        <v>857.41399999999999</v>
      </c>
      <c r="AC154" s="136">
        <f>SUM(AC149:AC153)</f>
        <v>824.65</v>
      </c>
      <c r="AD154" s="136">
        <f>SUM(AD149:AD153)</f>
        <v>883.82100000000003</v>
      </c>
      <c r="AE154" s="594">
        <f>SUM(AE149:AE153)</f>
        <v>3415.672</v>
      </c>
      <c r="AF154" s="137"/>
      <c r="AG154" s="578">
        <f>SUM(AG149:AG153)</f>
        <v>847.42200000000003</v>
      </c>
      <c r="AH154" s="136">
        <f>SUM(AH149:AH153)</f>
        <v>856.875</v>
      </c>
      <c r="AI154" s="136">
        <f>SUM(AI149:AI153)</f>
        <v>895.03000000000009</v>
      </c>
      <c r="AJ154" s="136">
        <f>SUM(AJ149:AJ153)</f>
        <v>936.33399999999995</v>
      </c>
      <c r="AK154" s="594">
        <f>SUM(AK149:AK153)</f>
        <v>3535.6610000000001</v>
      </c>
      <c r="AL154" s="137"/>
      <c r="AM154" s="578">
        <f>SUM(AM149:AM153)</f>
        <v>889.22500000000014</v>
      </c>
      <c r="AN154" s="136">
        <f>SUM(AN149:AN153)</f>
        <v>867.19299999999998</v>
      </c>
      <c r="AO154" s="136">
        <f>SUM(AO149:AO153)</f>
        <v>915.86099999999988</v>
      </c>
      <c r="AP154" s="136">
        <f>SUM(AP149:AP153)</f>
        <v>964.93299999999999</v>
      </c>
      <c r="AQ154" s="594">
        <f>SUM(AQ149:AQ153)</f>
        <v>3637.2119999999995</v>
      </c>
      <c r="AR154" s="137"/>
      <c r="AS154" s="578">
        <f>SUM(AS149:AS153)</f>
        <v>880.125</v>
      </c>
      <c r="AT154" s="136">
        <f>SUM(AT149:AT153)</f>
        <v>998.83400000000006</v>
      </c>
      <c r="AU154" s="136">
        <f>SUM(AU149:AU153)</f>
        <v>1082.6789999999999</v>
      </c>
      <c r="AV154" s="136">
        <f>SUM(AV149:AV153)</f>
        <v>1102.077</v>
      </c>
      <c r="AW154" s="594">
        <f>SUM(AW149:AW153)</f>
        <v>4063.7150000000001</v>
      </c>
      <c r="AX154" s="137"/>
      <c r="AY154" s="578">
        <f>SUM(AY149:AY153)</f>
        <v>938.95600000000002</v>
      </c>
      <c r="AZ154" s="136">
        <f>SUM(AZ149:AZ153)</f>
        <v>978.21999999999991</v>
      </c>
      <c r="BA154" s="136">
        <f>SUM(BA149:BA153)</f>
        <v>958.62800000000004</v>
      </c>
      <c r="BB154" s="136">
        <f>SUM(BB149:BB153)</f>
        <v>1035.0609999999999</v>
      </c>
      <c r="BC154" s="594">
        <f>SUM(BC149:BC153)</f>
        <v>3910.8649999999993</v>
      </c>
      <c r="BD154" s="137"/>
      <c r="BE154" s="578">
        <f>SUM(BE149:BE153)</f>
        <v>1142.8699999999999</v>
      </c>
      <c r="BF154" s="136">
        <f>SUM(BF149:BF153)</f>
        <v>1389.21</v>
      </c>
      <c r="BG154" s="136">
        <f>SUM(BG149:BG153)</f>
        <v>1400.8530000000001</v>
      </c>
      <c r="BH154" s="136">
        <f>SUM(BH149:BH153)</f>
        <v>1453.77</v>
      </c>
      <c r="BI154" s="594">
        <f>SUM(BI149:BI153)</f>
        <v>5386.7030000000004</v>
      </c>
      <c r="BJ154" s="137"/>
      <c r="BK154" s="578">
        <f>SUM(BK149:BK153)</f>
        <v>1332.4359999999999</v>
      </c>
      <c r="BL154" s="136">
        <f>SUM(BL149:BL153)</f>
        <v>1418.241</v>
      </c>
      <c r="BM154" s="136">
        <f>SUM(BM149:BM153)</f>
        <v>1397.4180000000001</v>
      </c>
      <c r="BN154" s="136">
        <f>SUM(BN149:BN153)</f>
        <v>1445.0320000000002</v>
      </c>
      <c r="BO154" s="594">
        <f>SUM(BO149:BO153)</f>
        <v>5593.1270000000004</v>
      </c>
      <c r="BP154" s="137"/>
      <c r="BQ154" s="578">
        <f>SUM(BQ149:BQ153)</f>
        <v>1304.1150000000002</v>
      </c>
      <c r="BR154" s="136">
        <f>SUM(BR149:BR153)</f>
        <v>1385.7369999999999</v>
      </c>
      <c r="BS154" s="136">
        <f>SUM(BS149:BS153)</f>
        <v>1375.222</v>
      </c>
      <c r="BT154" s="136">
        <f>SUM(BT149:BT153)</f>
        <v>1441.5627744061578</v>
      </c>
      <c r="BU154" s="594">
        <f>SUM(BU149:BU153)</f>
        <v>5506.6367744061581</v>
      </c>
      <c r="BV154" s="137"/>
      <c r="BW154" s="578">
        <f>SUM(BW149:BW153)</f>
        <v>1310.7676700000002</v>
      </c>
      <c r="BX154" s="136">
        <f>SUM(BX149:BX153)</f>
        <v>1432.3703800000001</v>
      </c>
      <c r="BY154" s="136">
        <f>SUM(BY149:BY153)</f>
        <v>1412.47874</v>
      </c>
      <c r="BZ154" s="136">
        <f>SUM(BZ149:BZ153)</f>
        <v>1496.1673184175957</v>
      </c>
      <c r="CA154" s="594">
        <f>SUM(CA149:CA153)</f>
        <v>5651.7841084175961</v>
      </c>
      <c r="CB154" s="137"/>
      <c r="CC154" s="578">
        <f>SUM(CC149:CC153)</f>
        <v>1343.3388220000002</v>
      </c>
      <c r="CD154" s="136">
        <f>SUM(CD149:CD153)</f>
        <v>1467.3439948999999</v>
      </c>
      <c r="CE154" s="136">
        <f>SUM(CE149:CE153)</f>
        <v>1450.1437599999999</v>
      </c>
      <c r="CF154" s="136">
        <f>SUM(CF149:CF153)</f>
        <v>1536.2855792628322</v>
      </c>
      <c r="CG154" s="594">
        <f>SUM(CG149:CG153)</f>
        <v>5797.1121561628324</v>
      </c>
      <c r="CH154" s="137"/>
      <c r="CI154" s="578">
        <f>SUM(CI149:CI153)</f>
        <v>1379.6368443260001</v>
      </c>
      <c r="CJ154" s="136">
        <f>SUM(CJ149:CJ153)</f>
        <v>1507.0687469280001</v>
      </c>
      <c r="CK154" s="136">
        <f>SUM(CK149:CK153)</f>
        <v>1488.9679645819999</v>
      </c>
      <c r="CL154" s="136">
        <f>SUM(CL149:CL153)</f>
        <v>1577.6436752456161</v>
      </c>
      <c r="CM154" s="594">
        <f>SUM(CM149:CM153)</f>
        <v>5953.3172310816162</v>
      </c>
      <c r="CN154" s="20"/>
      <c r="CO154" s="20"/>
      <c r="CP154" s="20"/>
      <c r="CQ154" s="20"/>
      <c r="CR154" s="20"/>
      <c r="CS154" s="20"/>
      <c r="CT154" s="20"/>
      <c r="CU154" s="20"/>
      <c r="CV154" s="20"/>
      <c r="CW154" s="20"/>
      <c r="CX154" s="20"/>
    </row>
    <row r="155" spans="1:102" s="31" customFormat="1" ht="11.25" customHeight="1" x14ac:dyDescent="0.2">
      <c r="A155" s="84"/>
      <c r="B155" s="607" t="s">
        <v>261</v>
      </c>
      <c r="C155" s="121"/>
      <c r="D155" s="85"/>
      <c r="E155" s="85"/>
      <c r="F155" s="85"/>
      <c r="G155" s="589"/>
      <c r="H155" s="58"/>
      <c r="I155" s="121">
        <f>I154/C154-1</f>
        <v>7.0047048916227483E-2</v>
      </c>
      <c r="J155" s="85">
        <f>J154/D154-1</f>
        <v>6.8732328637293838E-2</v>
      </c>
      <c r="K155" s="85">
        <f>K154/E154-1</f>
        <v>9.5070571421322692E-2</v>
      </c>
      <c r="L155" s="85">
        <f>L154/F154-1</f>
        <v>5.309527385093249E-2</v>
      </c>
      <c r="M155" s="589">
        <f>M154/G154-1</f>
        <v>7.1587744130748865E-2</v>
      </c>
      <c r="N155" s="58"/>
      <c r="O155" s="121">
        <f>O154/I154-1</f>
        <v>6.0530108938798399E-2</v>
      </c>
      <c r="P155" s="85">
        <f>P154/J154-1</f>
        <v>2.3543380521622748E-2</v>
      </c>
      <c r="Q155" s="85">
        <f>Q154/K154-1</f>
        <v>4.3860191055749009E-2</v>
      </c>
      <c r="R155" s="85">
        <f>R154/L154-1</f>
        <v>1.921920687369294E-3</v>
      </c>
      <c r="S155" s="589">
        <f>S154/M154-1</f>
        <v>3.1846158822621096E-2</v>
      </c>
      <c r="T155" s="58"/>
      <c r="U155" s="121">
        <f>U154/O154-1</f>
        <v>6.1463261182562956E-2</v>
      </c>
      <c r="V155" s="85">
        <f>V154/P154-1</f>
        <v>7.3064976345065702E-2</v>
      </c>
      <c r="W155" s="85">
        <f>W154/Q154-1</f>
        <v>1.1172309539926539E-2</v>
      </c>
      <c r="X155" s="85">
        <f>X154/R154-1</f>
        <v>4.2157551635884305E-2</v>
      </c>
      <c r="Y155" s="589">
        <f>Y154/S154-1</f>
        <v>4.6263250886247276E-2</v>
      </c>
      <c r="Z155" s="58"/>
      <c r="AA155" s="121">
        <f>AA154/U154-1</f>
        <v>7.6253294477183431E-2</v>
      </c>
      <c r="AB155" s="85">
        <f>AB154/V154-1</f>
        <v>5.2104973182436787E-2</v>
      </c>
      <c r="AC155" s="85">
        <f>AC154/W154-1</f>
        <v>5.5677223308832069E-3</v>
      </c>
      <c r="AD155" s="85">
        <f>AD154/X154-1</f>
        <v>8.7429038267045067E-2</v>
      </c>
      <c r="AE155" s="589">
        <f>AE154/Y154-1</f>
        <v>5.5074232959038572E-2</v>
      </c>
      <c r="AF155" s="58"/>
      <c r="AG155" s="121">
        <f>AG154/AA154-1</f>
        <v>-2.783050340850135E-3</v>
      </c>
      <c r="AH155" s="85">
        <f>AH154/AB154-1</f>
        <v>-6.2863447529426519E-4</v>
      </c>
      <c r="AI155" s="85">
        <f>AI154/AC154-1</f>
        <v>8.5345298005214509E-2</v>
      </c>
      <c r="AJ155" s="85">
        <f>AJ154/AD154-1</f>
        <v>5.9415877196853151E-2</v>
      </c>
      <c r="AK155" s="589">
        <f>AK154/AE154-1</f>
        <v>3.5128958518265252E-2</v>
      </c>
      <c r="AL155" s="58"/>
      <c r="AM155" s="121">
        <f>AM154/AG154-1</f>
        <v>4.932961381696499E-2</v>
      </c>
      <c r="AN155" s="85">
        <f>AN154/AH154-1</f>
        <v>1.2041429613420807E-2</v>
      </c>
      <c r="AO155" s="85">
        <f>AO154/AI154-1</f>
        <v>2.3274080198428804E-2</v>
      </c>
      <c r="AP155" s="85">
        <f>AP154/AJ154-1</f>
        <v>3.0543588078613126E-2</v>
      </c>
      <c r="AQ155" s="589">
        <f>AQ154/AK154-1</f>
        <v>2.8721927809255421E-2</v>
      </c>
      <c r="AR155" s="58"/>
      <c r="AS155" s="121">
        <f>AS154/AM154-1</f>
        <v>-1.0233630408501893E-2</v>
      </c>
      <c r="AT155" s="85">
        <f>AT154/AN154-1</f>
        <v>0.15180127145860278</v>
      </c>
      <c r="AU155" s="85">
        <f>AU154/AO154-1</f>
        <v>0.18214336018238586</v>
      </c>
      <c r="AV155" s="85">
        <f>AV154/AP154-1</f>
        <v>0.14212800266961545</v>
      </c>
      <c r="AW155" s="589">
        <f>AW154/AQ154-1</f>
        <v>0.11726096801616204</v>
      </c>
      <c r="AX155" s="58"/>
      <c r="AY155" s="121">
        <f>AY154/AS154-1</f>
        <v>6.6843914216730527E-2</v>
      </c>
      <c r="AZ155" s="85">
        <f>AZ154/AT154-1</f>
        <v>-2.0638063982603816E-2</v>
      </c>
      <c r="BA155" s="85">
        <f>BA154/AU154-1</f>
        <v>-0.11457782038812969</v>
      </c>
      <c r="BB155" s="85">
        <f>BB154/AV154-1</f>
        <v>-6.0808818258615394E-2</v>
      </c>
      <c r="BC155" s="589">
        <f>BC154/AW154-1</f>
        <v>-3.7613366094817358E-2</v>
      </c>
      <c r="BD155" s="58"/>
      <c r="BE155" s="121">
        <f>BE154/AY154-1</f>
        <v>0.21717098564788961</v>
      </c>
      <c r="BF155" s="85">
        <f>BF154/AZ154-1</f>
        <v>0.42014066365439273</v>
      </c>
      <c r="BG155" s="85">
        <f>BG154/BA154-1</f>
        <v>0.46131033101474195</v>
      </c>
      <c r="BH155" s="85">
        <f>BH154/BB154-1</f>
        <v>0.40452591683002259</v>
      </c>
      <c r="BI155" s="589">
        <f>BI154/BC154-1</f>
        <v>0.37736868953543556</v>
      </c>
      <c r="BJ155" s="58"/>
      <c r="BK155" s="121">
        <f>BK154/BE154-1</f>
        <v>0.16586838398068027</v>
      </c>
      <c r="BL155" s="85">
        <f>BL154/BF154-1</f>
        <v>2.0897488500658534E-2</v>
      </c>
      <c r="BM155" s="85">
        <f>BM154/BG154-1</f>
        <v>-2.4520774128333755E-3</v>
      </c>
      <c r="BN155" s="85">
        <f>BN154/BH154-1</f>
        <v>-6.0105793901372717E-3</v>
      </c>
      <c r="BO155" s="589">
        <f>BO154/BI154-1</f>
        <v>3.8321028651477462E-2</v>
      </c>
      <c r="BP155" s="58"/>
      <c r="BQ155" s="121">
        <f>BQ154/BK154-1</f>
        <v>-2.1255054651780458E-2</v>
      </c>
      <c r="BR155" s="85">
        <f>BR154/BL154-1</f>
        <v>-2.2918530771568579E-2</v>
      </c>
      <c r="BS155" s="85">
        <f>BS154/BM154-1</f>
        <v>-1.5883579573184314E-2</v>
      </c>
      <c r="BT155" s="85">
        <f>BT154/BN154-1</f>
        <v>-2.4007949954342189E-3</v>
      </c>
      <c r="BU155" s="589">
        <f>BU154/BO154-1</f>
        <v>-1.5463662025525626E-2</v>
      </c>
      <c r="BV155" s="58"/>
      <c r="BW155" s="121">
        <f>BW154/BQ154-1</f>
        <v>5.1012909137613249E-3</v>
      </c>
      <c r="BX155" s="85">
        <f>BX154/BR154-1</f>
        <v>3.3652403017311538E-2</v>
      </c>
      <c r="BY155" s="85">
        <f>BY154/BS154-1</f>
        <v>2.7091436873464714E-2</v>
      </c>
      <c r="BZ155" s="85">
        <f>BZ154/BT154-1</f>
        <v>3.7878713976872591E-2</v>
      </c>
      <c r="CA155" s="589">
        <f>CA154/BU154-1</f>
        <v>2.6358617783917904E-2</v>
      </c>
      <c r="CB155" s="58"/>
      <c r="CC155" s="121">
        <f>CC154/BW154-1</f>
        <v>2.4848913156364283E-2</v>
      </c>
      <c r="CD155" s="85">
        <f>CD154/BX154-1</f>
        <v>2.4416600195265037E-2</v>
      </c>
      <c r="CE155" s="85">
        <f>CE154/BY154-1</f>
        <v>2.6665902242181572E-2</v>
      </c>
      <c r="CF155" s="85">
        <f>CF154/BZ154-1</f>
        <v>2.6814020297988517E-2</v>
      </c>
      <c r="CG155" s="589">
        <f>CG154/CA154-1</f>
        <v>2.5713658723939714E-2</v>
      </c>
      <c r="CH155" s="58"/>
      <c r="CI155" s="121">
        <f>CI154/CC154-1</f>
        <v>2.7020749889412388E-2</v>
      </c>
      <c r="CJ155" s="85">
        <f>CJ154/CD154-1</f>
        <v>2.7072555696598943E-2</v>
      </c>
      <c r="CK155" s="85">
        <f>CK154/CE154-1</f>
        <v>2.677265913415372E-2</v>
      </c>
      <c r="CL155" s="85">
        <f>CL154/CF154-1</f>
        <v>2.6920838508833089E-2</v>
      </c>
      <c r="CM155" s="589">
        <f>CM154/CG154-1</f>
        <v>2.6945325657141916E-2</v>
      </c>
      <c r="CN155" s="11"/>
      <c r="CO155" s="11"/>
      <c r="CP155" s="11"/>
      <c r="CQ155" s="11"/>
      <c r="CR155" s="11"/>
      <c r="CS155" s="11"/>
      <c r="CT155" s="11"/>
      <c r="CU155" s="11"/>
      <c r="CV155" s="11"/>
      <c r="CW155" s="11"/>
      <c r="CX155" s="11"/>
    </row>
    <row r="156" spans="1:102" s="31" customFormat="1" ht="11.25" customHeight="1" x14ac:dyDescent="0.2">
      <c r="A156" s="84"/>
      <c r="B156" s="607" t="s">
        <v>264</v>
      </c>
      <c r="C156" s="228"/>
      <c r="D156" s="239"/>
      <c r="E156" s="239"/>
      <c r="F156" s="229"/>
      <c r="G156" s="605"/>
      <c r="H156" s="106"/>
      <c r="I156" s="121">
        <f>I155-I157</f>
        <v>6.9934785991505682E-2</v>
      </c>
      <c r="J156" s="85">
        <f>J155-J157</f>
        <v>6.9066203064212378E-2</v>
      </c>
      <c r="K156" s="85">
        <f>K155-K157</f>
        <v>9.5087727309885614E-2</v>
      </c>
      <c r="L156" s="85">
        <f>L155-L157</f>
        <v>5.4255435010545937E-2</v>
      </c>
      <c r="M156" s="605">
        <f>(7.2-1)%</f>
        <v>6.2E-2</v>
      </c>
      <c r="N156" s="106"/>
      <c r="O156" s="121">
        <f>O155-O157</f>
        <v>6.02892773484002E-2</v>
      </c>
      <c r="P156" s="85">
        <f>P155-P157</f>
        <v>2.3281949131526966E-2</v>
      </c>
      <c r="Q156" s="85">
        <f>Q155-Q157</f>
        <v>4.3860191055749009E-2</v>
      </c>
      <c r="R156" s="85">
        <f>R155-R157</f>
        <v>3.0839249834272886E-2</v>
      </c>
      <c r="S156" s="605">
        <f>(3.2+1.1)%</f>
        <v>4.300000000000001E-2</v>
      </c>
      <c r="T156" s="106"/>
      <c r="U156" s="121">
        <f>U155-U157</f>
        <v>7.0624217761699609E-2</v>
      </c>
      <c r="V156" s="85">
        <f>V155-V157</f>
        <v>7.3337323443863539E-2</v>
      </c>
      <c r="W156" s="85">
        <f>W155-W157</f>
        <v>3.0372554169240375E-2</v>
      </c>
      <c r="X156" s="85">
        <f>X155-X157</f>
        <v>3.0417459519620826E-2</v>
      </c>
      <c r="Y156" s="605">
        <f>(4.6-0.4)%</f>
        <v>4.1999999999999996E-2</v>
      </c>
      <c r="Z156" s="106"/>
      <c r="AA156" s="583">
        <f>(7.6-0.5)%</f>
        <v>7.0999999999999994E-2</v>
      </c>
      <c r="AB156" s="599">
        <f>(5.2-0.2)%</f>
        <v>0.05</v>
      </c>
      <c r="AC156" s="599">
        <f>(0.6-0.2)%</f>
        <v>4.0000000000000001E-3</v>
      </c>
      <c r="AD156" s="85">
        <f>((AE156*Y154)-((AA156*U154+AB156*V154+AC156*W154)))/X154</f>
        <v>7.9996580794869807E-2</v>
      </c>
      <c r="AE156" s="605">
        <f>(5.5-0.4)%</f>
        <v>5.0999999999999997E-2</v>
      </c>
      <c r="AF156" s="106"/>
      <c r="AG156" s="583">
        <f>(-0.3+0.8)%</f>
        <v>5.0000000000000001E-3</v>
      </c>
      <c r="AH156" s="599">
        <f>(-0.1-0.4)%</f>
        <v>-5.0000000000000001E-3</v>
      </c>
      <c r="AI156" s="599">
        <f>(8.5-0.1)%</f>
        <v>8.4000000000000005E-2</v>
      </c>
      <c r="AJ156" s="85">
        <f>((AK156*AE154)-((AG156*AA154+AH156*AB154+AI156*AC154)))/AD154</f>
        <v>4.9200812155402514E-2</v>
      </c>
      <c r="AK156" s="605">
        <f>(3.5-0.2)%</f>
        <v>3.3000000000000002E-2</v>
      </c>
      <c r="AL156" s="106"/>
      <c r="AM156" s="583">
        <f>(4.9+0.6)%</f>
        <v>5.5E-2</v>
      </c>
      <c r="AN156" s="599">
        <v>1.2E-2</v>
      </c>
      <c r="AO156" s="599">
        <f>(2.3-0.3)%</f>
        <v>1.9999999999999997E-2</v>
      </c>
      <c r="AP156" s="85">
        <f>((AQ156*AK154)-((AM156*AG154+AN156*AH154+AO156*AI154)))/AJ154</f>
        <v>3.7181370109384049E-2</v>
      </c>
      <c r="AQ156" s="605">
        <f>(2.9+0.2)%</f>
        <v>3.1E-2</v>
      </c>
      <c r="AR156" s="106"/>
      <c r="AS156" s="583">
        <f>(-1+0.1)%</f>
        <v>-9.0000000000000011E-3</v>
      </c>
      <c r="AT156" s="599">
        <f>(15.2+0.4)%</f>
        <v>0.156</v>
      </c>
      <c r="AU156" s="599">
        <f>(18.2+0.5)%</f>
        <v>0.187</v>
      </c>
      <c r="AV156" s="85">
        <f>((AW156*AQ154)-((AS156*AM154+AT156*AN154+AU156*AO154)))/AP154</f>
        <v>0.14670195961792162</v>
      </c>
      <c r="AW156" s="605">
        <f>(11.7+0.4)%</f>
        <v>0.121</v>
      </c>
      <c r="AX156" s="106"/>
      <c r="AY156" s="583">
        <f>+(AY83+AY33)/2</f>
        <v>3.6272186066149154E-2</v>
      </c>
      <c r="AZ156" s="599">
        <f>+(AZ83+AZ33)/2</f>
        <v>6.937616863096116E-2</v>
      </c>
      <c r="BA156" s="599">
        <f>+(BA83+BA33)/2</f>
        <v>1.9462368664958388E-2</v>
      </c>
      <c r="BB156" s="139">
        <v>6.7000000000000004E-2</v>
      </c>
      <c r="BC156" s="605">
        <v>8.6999999999999994E-2</v>
      </c>
      <c r="BD156" s="106"/>
      <c r="BE156" s="121">
        <f>((BE30*AY28)+(BE80*AY78))/AY154</f>
        <v>0.24019073737214527</v>
      </c>
      <c r="BF156" s="85">
        <f>((BF30*AZ28)+(BF80*AZ78))/AZ154</f>
        <v>0.43602404469342271</v>
      </c>
      <c r="BG156" s="85">
        <f>((BG30*BA28)+(BG80*BA78))/BA154</f>
        <v>0.47585836215925265</v>
      </c>
      <c r="BH156" s="85">
        <f>((BH30*BB28)+(BH80*BB78))/BB154</f>
        <v>0.41474577053912781</v>
      </c>
      <c r="BI156" s="589">
        <f>SUMPRODUCT(BE156:BH156,AY154:BB154)/BC154</f>
        <v>0.39313918966775901</v>
      </c>
      <c r="BJ156" s="106"/>
      <c r="BK156" s="600">
        <v>0.23300000000000001</v>
      </c>
      <c r="BL156" s="139">
        <v>4.1000000000000002E-2</v>
      </c>
      <c r="BM156" s="139">
        <v>1.4E-2</v>
      </c>
      <c r="BN156" s="85">
        <f>((BN30*BH28)+(BN80*BH78))/BH154</f>
        <v>8.4656383059217959E-3</v>
      </c>
      <c r="BO156" s="589">
        <f>SUMPRODUCT(BK156:BN156,BE154:BH154)/BI154</f>
        <v>6.5933717340644141E-2</v>
      </c>
      <c r="BP156" s="106"/>
      <c r="BQ156" s="600">
        <v>-1.0999999999999999E-2</v>
      </c>
      <c r="BR156" s="1372">
        <v>-2.8000000000000001E-2</v>
      </c>
      <c r="BS156" s="139">
        <v>-2.7E-2</v>
      </c>
      <c r="BT156" s="85">
        <f>((BT30*BN28)+(BT80*BN78))/BN154</f>
        <v>-9.4548425225185057E-3</v>
      </c>
      <c r="BU156" s="589">
        <f>SUMPRODUCT(BQ156:BT156,BK154:BN154)/BO154</f>
        <v>-1.8908989550925619E-2</v>
      </c>
      <c r="BV156" s="106"/>
      <c r="BW156" s="121">
        <f>((BW30*BQ28)+(BW80*BQ78))/BQ154</f>
        <v>5.2419533553406169E-3</v>
      </c>
      <c r="BX156" s="85">
        <f>((BX30*BR28)+(BX80*BR78))/BR154</f>
        <v>3.3775427804843328E-2</v>
      </c>
      <c r="BY156" s="85">
        <f>((BY30*BS28)+(BY80*BS78))/BS154</f>
        <v>2.7127474691358944E-2</v>
      </c>
      <c r="BZ156" s="85">
        <f>((BZ30*BT28)+(BZ80*BT78))/BT154</f>
        <v>3.7949831240595096E-2</v>
      </c>
      <c r="CA156" s="589">
        <f>SUMPRODUCT(BW156:BZ156,BQ154:BT154)/BU154</f>
        <v>2.6450506902581276E-2</v>
      </c>
      <c r="CB156" s="106"/>
      <c r="CC156" s="121">
        <f>((CC30*BW28)+(CC80*BW78))/BW154</f>
        <v>2.4711763603385131E-2</v>
      </c>
      <c r="CD156" s="85">
        <f>((CD30*BX28)+(CD80*BX78))/BX154</f>
        <v>2.4299961089672854E-2</v>
      </c>
      <c r="CE156" s="85">
        <f>((CE30*BY28)+(CE80*BY78))/BY154</f>
        <v>2.6631516733483598E-2</v>
      </c>
      <c r="CF156" s="85">
        <f>((CF30*BZ28)+(CF80*BZ78))/BZ154</f>
        <v>2.6746868984921447E-2</v>
      </c>
      <c r="CG156" s="589">
        <f>SUMPRODUCT(CC156:CF156,BW154:BZ154)/CA154</f>
        <v>2.5625920057619989E-2</v>
      </c>
      <c r="CH156" s="106"/>
      <c r="CI156" s="121">
        <f>((CI30*CC28)+(CI80*CC78))/CC154</f>
        <v>2.6884249238201402E-2</v>
      </c>
      <c r="CJ156" s="85">
        <f>((CJ30*CD28)+(CJ80*CD78))/CD154</f>
        <v>2.6956419460929189E-2</v>
      </c>
      <c r="CK156" s="85">
        <f>((CK30*CE28)+(CK80*CE78))/CE154</f>
        <v>2.6738496882543584E-2</v>
      </c>
      <c r="CL156" s="85">
        <f>((CL30*CF28)+(CL80*CF78))/CF154</f>
        <v>2.6854132817272176E-2</v>
      </c>
      <c r="CM156" s="589">
        <f>SUMPRODUCT(CI156:CL156,CC154:CF154)/CG154</f>
        <v>2.685807573228716E-2</v>
      </c>
      <c r="CN156" s="11"/>
      <c r="CO156" s="11"/>
      <c r="CP156" s="11"/>
      <c r="CQ156" s="11"/>
      <c r="CR156" s="11"/>
      <c r="CS156" s="11"/>
      <c r="CT156" s="11"/>
      <c r="CU156" s="11"/>
      <c r="CV156" s="11"/>
      <c r="CW156" s="11"/>
      <c r="CX156" s="11"/>
    </row>
    <row r="157" spans="1:102" s="31" customFormat="1" ht="11.25" customHeight="1" x14ac:dyDescent="0.2">
      <c r="A157" s="84"/>
      <c r="B157" s="607" t="s">
        <v>263</v>
      </c>
      <c r="C157" s="121"/>
      <c r="D157" s="85"/>
      <c r="E157" s="85"/>
      <c r="F157" s="85"/>
      <c r="G157" s="589"/>
      <c r="H157" s="58"/>
      <c r="I157" s="121">
        <f>((I31*C28)+(I81*C78))/C154</f>
        <v>1.1226292472180685E-4</v>
      </c>
      <c r="J157" s="85">
        <f>((J31*D28)+(J81*D78))/D154</f>
        <v>-3.3387442691854344E-4</v>
      </c>
      <c r="K157" s="85">
        <f>((K31*E28)+(K81*E78))/E154</f>
        <v>-1.7155888562917964E-5</v>
      </c>
      <c r="L157" s="85">
        <f>((L31*F28)+(L81*F78))/F154</f>
        <v>-1.1601611596134479E-3</v>
      </c>
      <c r="M157" s="589">
        <f>M155-M156</f>
        <v>9.5877441307488653E-3</v>
      </c>
      <c r="N157" s="58"/>
      <c r="O157" s="121">
        <f>((O31*I28)+(O81*I78))/I154</f>
        <v>2.4083159039819973E-4</v>
      </c>
      <c r="P157" s="85">
        <f>((P31*J28)+(P81*J78))/J154</f>
        <v>2.6143139009578289E-4</v>
      </c>
      <c r="Q157" s="85">
        <f>((Q31*K28)+(Q81*K78))/K154</f>
        <v>0</v>
      </c>
      <c r="R157" s="85">
        <f>((R31*L28)+(R81*L78))/L154</f>
        <v>-2.8917329146903592E-2</v>
      </c>
      <c r="S157" s="589">
        <f>S155-S156</f>
        <v>-1.1153841177378915E-2</v>
      </c>
      <c r="T157" s="58"/>
      <c r="U157" s="121">
        <f>((U31*O28)+(U81*O78))/O154</f>
        <v>-9.160956579136648E-3</v>
      </c>
      <c r="V157" s="85">
        <f>((V31*P28)+(V81*P78))/P154</f>
        <v>-2.723470987978302E-4</v>
      </c>
      <c r="W157" s="85">
        <f>((W31*Q28)+(W81*Q78))/Q154</f>
        <v>-1.9200244629313835E-2</v>
      </c>
      <c r="X157" s="85">
        <f>((X31*R28)+(X81*R78))/R154</f>
        <v>1.1740092116263477E-2</v>
      </c>
      <c r="Y157" s="589">
        <f>Y155-Y156</f>
        <v>4.2632508862472801E-3</v>
      </c>
      <c r="Z157" s="58"/>
      <c r="AA157" s="121">
        <f>AA155-AA156</f>
        <v>5.2532944771834372E-3</v>
      </c>
      <c r="AB157" s="85">
        <f>AB155-AB156</f>
        <v>2.104973182436784E-3</v>
      </c>
      <c r="AC157" s="85">
        <f>AC155-AC156</f>
        <v>1.5677223308832068E-3</v>
      </c>
      <c r="AD157" s="85">
        <f>AD155-AD156</f>
        <v>7.4324574721752606E-3</v>
      </c>
      <c r="AE157" s="589">
        <f>AE155-AE156</f>
        <v>4.0742329590385748E-3</v>
      </c>
      <c r="AF157" s="58"/>
      <c r="AG157" s="121">
        <f>AG155-AG156</f>
        <v>-7.7830503408501351E-3</v>
      </c>
      <c r="AH157" s="85">
        <f>AH155-AH156</f>
        <v>4.3713655247057349E-3</v>
      </c>
      <c r="AI157" s="85">
        <f>AI155-AI156</f>
        <v>1.3452980052145042E-3</v>
      </c>
      <c r="AJ157" s="85">
        <f>AJ155-AJ156</f>
        <v>1.0215065041450637E-2</v>
      </c>
      <c r="AK157" s="589">
        <f>AK155-AK156</f>
        <v>2.1289585182652504E-3</v>
      </c>
      <c r="AL157" s="58"/>
      <c r="AM157" s="121">
        <f>AM155-AM156</f>
        <v>-5.6703861830350102E-3</v>
      </c>
      <c r="AN157" s="85">
        <f>AN155-AN156</f>
        <v>4.1429613420806283E-5</v>
      </c>
      <c r="AO157" s="85">
        <f>AO155-AO156</f>
        <v>3.2740801984288068E-3</v>
      </c>
      <c r="AP157" s="85">
        <f>AP155-AP156</f>
        <v>-6.6377820307709223E-3</v>
      </c>
      <c r="AQ157" s="589">
        <f>AQ155-AQ156</f>
        <v>-2.2780721907445789E-3</v>
      </c>
      <c r="AR157" s="58"/>
      <c r="AS157" s="121">
        <f>AS155-AS156</f>
        <v>-1.2336304085018915E-3</v>
      </c>
      <c r="AT157" s="85">
        <f>AT155-AT156</f>
        <v>-4.1987285413972175E-3</v>
      </c>
      <c r="AU157" s="85">
        <f>AU155-AU156</f>
        <v>-4.856639817614139E-3</v>
      </c>
      <c r="AV157" s="85">
        <f>AV155-AV156</f>
        <v>-4.5739569483061737E-3</v>
      </c>
      <c r="AW157" s="589">
        <f>AW155-AW156</f>
        <v>-3.7390319838379593E-3</v>
      </c>
      <c r="AX157" s="58"/>
      <c r="AY157" s="121">
        <f>AY155-AY156</f>
        <v>3.0571728150581373E-2</v>
      </c>
      <c r="AZ157" s="85">
        <f>AZ155-AZ156</f>
        <v>-9.0014232613564976E-2</v>
      </c>
      <c r="BA157" s="85">
        <f>BA155-BA156</f>
        <v>-0.13404018905308807</v>
      </c>
      <c r="BB157" s="85">
        <f>BB155-BB156</f>
        <v>-0.1278088182586154</v>
      </c>
      <c r="BC157" s="589">
        <f>BC155-BC156</f>
        <v>-0.12461336609481735</v>
      </c>
      <c r="BD157" s="58"/>
      <c r="BE157" s="121">
        <f>BE155-BE156</f>
        <v>-2.301975172425566E-2</v>
      </c>
      <c r="BF157" s="85">
        <f>BF155-BF156</f>
        <v>-1.5883381039029976E-2</v>
      </c>
      <c r="BG157" s="85">
        <f>BG155-BG156</f>
        <v>-1.4548031144510698E-2</v>
      </c>
      <c r="BH157" s="85">
        <f>BH155-BH156</f>
        <v>-1.021985370910522E-2</v>
      </c>
      <c r="BI157" s="589">
        <f>BI155-BI156</f>
        <v>-1.5770500132323451E-2</v>
      </c>
      <c r="BJ157" s="58"/>
      <c r="BK157" s="121">
        <f>BK155-BK156</f>
        <v>-6.7131616019319745E-2</v>
      </c>
      <c r="BL157" s="85">
        <f>BL155-BL156</f>
        <v>-2.0102511499341467E-2</v>
      </c>
      <c r="BM157" s="85">
        <f>BM155-BM156</f>
        <v>-1.6452077412833374E-2</v>
      </c>
      <c r="BN157" s="85">
        <f>BN155-BN156</f>
        <v>-1.4476217696059068E-2</v>
      </c>
      <c r="BO157" s="589">
        <f>BO155-BO156</f>
        <v>-2.7612688689166678E-2</v>
      </c>
      <c r="BP157" s="58"/>
      <c r="BQ157" s="121">
        <f>BQ155-BQ156</f>
        <v>-1.0255054651780459E-2</v>
      </c>
      <c r="BR157" s="85">
        <f>BR155-BR156</f>
        <v>5.0814692284314213E-3</v>
      </c>
      <c r="BS157" s="85">
        <f>BS155-BS156</f>
        <v>1.1116420426815685E-2</v>
      </c>
      <c r="BT157" s="85">
        <f>BT155-BT156</f>
        <v>7.0540475270842867E-3</v>
      </c>
      <c r="BU157" s="589">
        <f>BU155-BU156</f>
        <v>3.4453275253999924E-3</v>
      </c>
      <c r="BV157" s="58"/>
      <c r="BW157" s="121">
        <f>BW155-BW156</f>
        <v>-1.4066244157929196E-4</v>
      </c>
      <c r="BX157" s="85">
        <f>BX155-BX156</f>
        <v>-1.2302478753178914E-4</v>
      </c>
      <c r="BY157" s="85">
        <f>BY155-BY156</f>
        <v>-3.6037817894230689E-5</v>
      </c>
      <c r="BZ157" s="85">
        <f>BZ155-BZ156</f>
        <v>-7.1117263722504653E-5</v>
      </c>
      <c r="CA157" s="589">
        <f>CA155-CA156</f>
        <v>-9.1889118663372044E-5</v>
      </c>
      <c r="CB157" s="58"/>
      <c r="CC157" s="121">
        <f>CC155-CC156</f>
        <v>1.3714955297915166E-4</v>
      </c>
      <c r="CD157" s="85">
        <f>CD155-CD156</f>
        <v>1.1663910559218255E-4</v>
      </c>
      <c r="CE157" s="85">
        <f>CE155-CE156</f>
        <v>3.4385508697973993E-5</v>
      </c>
      <c r="CF157" s="85">
        <f>CF155-CF156</f>
        <v>6.7151313067070201E-5</v>
      </c>
      <c r="CG157" s="589">
        <f>CG155-CG156</f>
        <v>8.7738666319725489E-5</v>
      </c>
      <c r="CH157" s="58"/>
      <c r="CI157" s="121">
        <f>CI155-CI156</f>
        <v>1.3650065121098565E-4</v>
      </c>
      <c r="CJ157" s="85">
        <f>CJ155-CJ156</f>
        <v>1.1613623566975387E-4</v>
      </c>
      <c r="CK157" s="85">
        <f>CK155-CK156</f>
        <v>3.4162251610136279E-5</v>
      </c>
      <c r="CL157" s="85">
        <f>CL155-CL156</f>
        <v>6.6705691560912939E-5</v>
      </c>
      <c r="CM157" s="589">
        <f>CM155-CM156</f>
        <v>8.7249924854756328E-5</v>
      </c>
      <c r="CN157" s="11"/>
      <c r="CO157" s="11"/>
      <c r="CP157" s="11"/>
      <c r="CQ157" s="11"/>
      <c r="CR157" s="11"/>
      <c r="CS157" s="11"/>
      <c r="CT157" s="11"/>
      <c r="CU157" s="11"/>
      <c r="CV157" s="11"/>
      <c r="CW157" s="11"/>
      <c r="CX157" s="11"/>
    </row>
    <row r="158" spans="1:102" s="31" customFormat="1" ht="11.25" customHeight="1" x14ac:dyDescent="0.2">
      <c r="A158" s="84"/>
      <c r="B158" s="607" t="s">
        <v>262</v>
      </c>
      <c r="C158" s="228"/>
      <c r="D158" s="239"/>
      <c r="E158" s="239"/>
      <c r="F158" s="229"/>
      <c r="G158" s="605"/>
      <c r="H158" s="58"/>
      <c r="I158" s="121">
        <f>((I32*C28)+(I82*C78))/C154</f>
        <v>0</v>
      </c>
      <c r="J158" s="85">
        <f>((J32*D28)+(J82*D78))/D154</f>
        <v>0</v>
      </c>
      <c r="K158" s="85">
        <f>((K32*E28)+(K82*E78))/E154</f>
        <v>0</v>
      </c>
      <c r="L158" s="85">
        <f>((L32*F28)+(L82*F78))/F154</f>
        <v>0</v>
      </c>
      <c r="M158" s="605">
        <v>6.0000000000000001E-3</v>
      </c>
      <c r="N158" s="58"/>
      <c r="O158" s="121">
        <f>((O32*I28)+(O82*I78))/I154</f>
        <v>0</v>
      </c>
      <c r="P158" s="85">
        <f>((P32*J28)+(P82*J78))/J154</f>
        <v>0</v>
      </c>
      <c r="Q158" s="85">
        <f>((Q32*K28)+(Q82*K78))/K154</f>
        <v>8.2816077307818047E-3</v>
      </c>
      <c r="R158" s="85">
        <f>((R32*L28)+(R82*L78))/L154</f>
        <v>1.6954541950800879E-2</v>
      </c>
      <c r="S158" s="605">
        <v>3.7999999999999999E-2</v>
      </c>
      <c r="T158" s="58"/>
      <c r="U158" s="121">
        <f>((U32*O28)+(U82*O78))/O154</f>
        <v>5.5912209168673095E-3</v>
      </c>
      <c r="V158" s="85">
        <f>((V32*P28)+(V82*P78))/P154</f>
        <v>0</v>
      </c>
      <c r="W158" s="85">
        <f>((W32*Q28)+(W82*Q78))/Q154</f>
        <v>5.7620067495003221E-3</v>
      </c>
      <c r="X158" s="85">
        <f>((X32*R28)+(X82*R78))/R154</f>
        <v>8.1918118591995694E-3</v>
      </c>
      <c r="Y158" s="605">
        <v>4.1000000000000002E-2</v>
      </c>
      <c r="Z158" s="58"/>
      <c r="AA158" s="583">
        <v>1.6E-2</v>
      </c>
      <c r="AB158" s="599">
        <v>2.3E-2</v>
      </c>
      <c r="AC158" s="599">
        <v>2.1000000000000001E-2</v>
      </c>
      <c r="AD158" s="85">
        <f>((AE158*Y154)-((AA158*U154+AB158*V154+AC158*W154)))/X154</f>
        <v>2.3851994802906628E-2</v>
      </c>
      <c r="AE158" s="605">
        <v>2.1000000000000001E-2</v>
      </c>
      <c r="AF158" s="58"/>
      <c r="AG158" s="583">
        <v>1.2999999999999999E-2</v>
      </c>
      <c r="AH158" s="599">
        <v>5.0000000000000001E-3</v>
      </c>
      <c r="AI158" s="599">
        <v>6.0000000000000001E-3</v>
      </c>
      <c r="AJ158" s="85">
        <f>((AK158*AE154)-((AG158*AA154+AH158*AB154+AI158*AC154)))/AD154</f>
        <v>2.396763598058884E-4</v>
      </c>
      <c r="AK158" s="605">
        <v>6.0000000000000001E-3</v>
      </c>
      <c r="AL158" s="58"/>
      <c r="AM158" s="583">
        <v>8.0000000000000002E-3</v>
      </c>
      <c r="AN158" s="599">
        <v>5.0000000000000001E-3</v>
      </c>
      <c r="AO158" s="599">
        <v>4.0000000000000001E-3</v>
      </c>
      <c r="AP158" s="85">
        <f>((AQ158*AK154)-((AM158*AG154+AN158*AH154+AO158*AI154)))/AJ154</f>
        <v>7.0168283967045938E-3</v>
      </c>
      <c r="AQ158" s="605">
        <v>6.0000000000000001E-3</v>
      </c>
      <c r="AR158" s="58"/>
      <c r="AS158" s="583">
        <v>2E-3</v>
      </c>
      <c r="AT158" s="599">
        <v>0.13700000000000001</v>
      </c>
      <c r="AU158" s="599">
        <v>0.16</v>
      </c>
      <c r="AV158" s="85">
        <f>((AW158*AQ154)-((AS158*AM154+AT158*AN154+AU158*AO154)))/AP154</f>
        <v>0.14911222333571342</v>
      </c>
      <c r="AW158" s="605">
        <v>0.113</v>
      </c>
      <c r="AX158" s="58"/>
      <c r="AY158" s="583">
        <v>0</v>
      </c>
      <c r="AZ158" s="599">
        <v>0</v>
      </c>
      <c r="BA158" s="599">
        <v>0</v>
      </c>
      <c r="BB158" s="85">
        <v>0</v>
      </c>
      <c r="BC158" s="605">
        <v>4.3999999999999997E-2</v>
      </c>
      <c r="BD158" s="58"/>
      <c r="BE158" s="121">
        <f>((BE32*AY28)+(BE82*AY78))/AY154</f>
        <v>0.21786600969587497</v>
      </c>
      <c r="BF158" s="85">
        <f>((BF32*AZ28)+(BF82*AZ78))/AZ154</f>
        <v>0.40520959600089973</v>
      </c>
      <c r="BG158" s="85">
        <f>((BG32*BA28)+(BG82*BA78))/BA154</f>
        <v>0.40730635084725253</v>
      </c>
      <c r="BH158" s="85">
        <f>((BH32*BB28)+(BH82*BB78))/BB154</f>
        <v>0.38998578441270609</v>
      </c>
      <c r="BI158" s="589">
        <f>SUMPRODUCT(BE158:BH158,AY154:BB154)/BC154</f>
        <v>0.35671522195217686</v>
      </c>
      <c r="BJ158" s="58"/>
      <c r="BK158" s="600">
        <v>0.17499999999999999</v>
      </c>
      <c r="BL158" s="85">
        <f>((BL32*BF28)+(BL82*BF78))/BF154</f>
        <v>0</v>
      </c>
      <c r="BM158" s="85">
        <f>((BM32*BG28)+(BM82*BG78))/BG154</f>
        <v>0</v>
      </c>
      <c r="BN158" s="85">
        <f>((BN32*BH28)+(BN82*BH78))/BH154</f>
        <v>0</v>
      </c>
      <c r="BO158" s="589">
        <f>SUMPRODUCT(BK158:BN158,BE154:BH154)/BI154</f>
        <v>3.7128880133172358E-2</v>
      </c>
      <c r="BP158" s="58"/>
      <c r="BQ158" s="600">
        <v>0</v>
      </c>
      <c r="BR158" s="85">
        <f>((BR32*BL28)+(BR82*BL78))/BL154</f>
        <v>-5.5247415636693617E-3</v>
      </c>
      <c r="BS158" s="85">
        <f>((BS32*BM28)+(BS82*BM78))/BM154</f>
        <v>0</v>
      </c>
      <c r="BT158" s="85">
        <f>((BT32*BN28)+(BT82*BN78))/BN154</f>
        <v>0</v>
      </c>
      <c r="BU158" s="589">
        <f>SUMPRODUCT(BQ158:BT158,BK154:BN154)/BO154</f>
        <v>-1.4009006053322228E-3</v>
      </c>
      <c r="BV158" s="58"/>
      <c r="BW158" s="121">
        <f>((BW32*BQ28)+(BW82*BQ78))/BQ154</f>
        <v>0</v>
      </c>
      <c r="BX158" s="85">
        <f>((BX32*BR28)+(BX82*BR78))/BR154</f>
        <v>0</v>
      </c>
      <c r="BY158" s="85">
        <f>((BY32*BS28)+(BY82*BS78))/BS154</f>
        <v>0</v>
      </c>
      <c r="BZ158" s="85">
        <f>((BZ32*BT28)+(BZ82*BT78))/BT154</f>
        <v>0</v>
      </c>
      <c r="CA158" s="589">
        <f>SUMPRODUCT(BW158:BZ158,BQ154:BT154)/BU154</f>
        <v>0</v>
      </c>
      <c r="CB158" s="58"/>
      <c r="CC158" s="121">
        <f>((CC32*BW28)+(CC82*BW78))/BW154</f>
        <v>0</v>
      </c>
      <c r="CD158" s="85">
        <f>((CD32*BX28)+(CD82*BX78))/BX154</f>
        <v>0</v>
      </c>
      <c r="CE158" s="85">
        <f>((CE32*BY28)+(CE82*BY78))/BY154</f>
        <v>0</v>
      </c>
      <c r="CF158" s="85">
        <f>((CF32*BZ28)+(CF82*BZ78))/BZ154</f>
        <v>0</v>
      </c>
      <c r="CG158" s="589">
        <f>SUMPRODUCT(CC158:CF158,BW154:BZ154)/CA154</f>
        <v>0</v>
      </c>
      <c r="CH158" s="58"/>
      <c r="CI158" s="121">
        <f>((CI32*CC28)+(CI82*CC78))/CC154</f>
        <v>0</v>
      </c>
      <c r="CJ158" s="85">
        <f>((CJ32*CD28)+(CJ82*CD78))/CD154</f>
        <v>0</v>
      </c>
      <c r="CK158" s="85">
        <f>((CK32*CE28)+(CK82*CE78))/CE154</f>
        <v>0</v>
      </c>
      <c r="CL158" s="85">
        <f>((CL32*CF28)+(CL82*CF78))/CF154</f>
        <v>0</v>
      </c>
      <c r="CM158" s="589">
        <f>SUMPRODUCT(CI158:CL158,CC154:CF154)/CG154</f>
        <v>0</v>
      </c>
      <c r="CN158" s="11"/>
      <c r="CO158" s="11"/>
      <c r="CP158" s="11"/>
      <c r="CQ158" s="11"/>
      <c r="CR158" s="11"/>
      <c r="CS158" s="11"/>
      <c r="CT158" s="11"/>
      <c r="CU158" s="11"/>
      <c r="CV158" s="11"/>
      <c r="CW158" s="11"/>
      <c r="CX158" s="11"/>
    </row>
    <row r="159" spans="1:102" s="31" customFormat="1" ht="11.25" customHeight="1" x14ac:dyDescent="0.2">
      <c r="B159" s="613" t="s">
        <v>265</v>
      </c>
      <c r="C159" s="629"/>
      <c r="D159" s="630"/>
      <c r="E159" s="630"/>
      <c r="F159" s="630"/>
      <c r="G159" s="631"/>
      <c r="H159" s="622"/>
      <c r="I159" s="629">
        <f>+I156-I158</f>
        <v>6.9934785991505682E-2</v>
      </c>
      <c r="J159" s="630">
        <f>+J156-J158</f>
        <v>6.9066203064212378E-2</v>
      </c>
      <c r="K159" s="630">
        <f>+K156-K158</f>
        <v>9.5087727309885614E-2</v>
      </c>
      <c r="L159" s="630">
        <f>+L156-L158</f>
        <v>5.4255435010545937E-2</v>
      </c>
      <c r="M159" s="631">
        <f>+M156-M158</f>
        <v>5.6000000000000001E-2</v>
      </c>
      <c r="N159" s="622"/>
      <c r="O159" s="629">
        <f>+O156-O158</f>
        <v>6.02892773484002E-2</v>
      </c>
      <c r="P159" s="630">
        <f>+P156-P158</f>
        <v>2.3281949131526966E-2</v>
      </c>
      <c r="Q159" s="630">
        <f>+Q156-Q158</f>
        <v>3.5578583324967203E-2</v>
      </c>
      <c r="R159" s="630">
        <f>+R156-R158</f>
        <v>1.3884707883472007E-2</v>
      </c>
      <c r="S159" s="631">
        <f>+S156-S158</f>
        <v>5.0000000000000114E-3</v>
      </c>
      <c r="T159" s="622"/>
      <c r="U159" s="629">
        <f>+U156-U158</f>
        <v>6.5032996844832297E-2</v>
      </c>
      <c r="V159" s="630">
        <f>+V156-V158</f>
        <v>7.3337323443863539E-2</v>
      </c>
      <c r="W159" s="630">
        <f>+W156-W158</f>
        <v>2.4610547419740052E-2</v>
      </c>
      <c r="X159" s="630">
        <f>+X156-X158</f>
        <v>2.2225647660421257E-2</v>
      </c>
      <c r="Y159" s="631">
        <f>+Y156-Y158</f>
        <v>9.9999999999999395E-4</v>
      </c>
      <c r="Z159" s="622"/>
      <c r="AA159" s="629">
        <f>+AA156-AA158</f>
        <v>5.4999999999999993E-2</v>
      </c>
      <c r="AB159" s="630">
        <f>+AB156-AB158</f>
        <v>2.7000000000000003E-2</v>
      </c>
      <c r="AC159" s="630">
        <f>+AC156-AC158</f>
        <v>-1.7000000000000001E-2</v>
      </c>
      <c r="AD159" s="630">
        <f>+AD156-AD158</f>
        <v>5.6144585991963175E-2</v>
      </c>
      <c r="AE159" s="631">
        <f>+AE156-AE158</f>
        <v>2.9999999999999995E-2</v>
      </c>
      <c r="AF159" s="622"/>
      <c r="AG159" s="629">
        <f>+AG156-AG158</f>
        <v>-8.0000000000000002E-3</v>
      </c>
      <c r="AH159" s="630">
        <f>+AH156-AH158</f>
        <v>-0.01</v>
      </c>
      <c r="AI159" s="630">
        <f>+AI156-AI158</f>
        <v>7.8E-2</v>
      </c>
      <c r="AJ159" s="630">
        <f>+AJ156-AJ158</f>
        <v>4.8961135795596626E-2</v>
      </c>
      <c r="AK159" s="631">
        <f>+AK156-AK158</f>
        <v>2.7000000000000003E-2</v>
      </c>
      <c r="AL159" s="622"/>
      <c r="AM159" s="629">
        <f>+AM156-AM158</f>
        <v>4.7E-2</v>
      </c>
      <c r="AN159" s="630">
        <f>+AN156-AN158</f>
        <v>7.0000000000000001E-3</v>
      </c>
      <c r="AO159" s="630">
        <f>+AO156-AO158</f>
        <v>1.5999999999999997E-2</v>
      </c>
      <c r="AP159" s="630">
        <f>+AP156-AP158</f>
        <v>3.0164541712679453E-2</v>
      </c>
      <c r="AQ159" s="631">
        <f>+AQ156-AQ158</f>
        <v>2.5000000000000001E-2</v>
      </c>
      <c r="AR159" s="622"/>
      <c r="AS159" s="629">
        <f>+AS156-AS158</f>
        <v>-1.1000000000000001E-2</v>
      </c>
      <c r="AT159" s="630">
        <f>+AT156-AT158</f>
        <v>1.8999999999999989E-2</v>
      </c>
      <c r="AU159" s="630">
        <f>+AU156-AU158</f>
        <v>2.6999999999999996E-2</v>
      </c>
      <c r="AV159" s="630">
        <f>+AV156-AV158</f>
        <v>-2.410263717791794E-3</v>
      </c>
      <c r="AW159" s="631">
        <f>+AW156-AW158</f>
        <v>7.9999999999999932E-3</v>
      </c>
      <c r="AX159" s="622"/>
      <c r="AY159" s="629">
        <f>+AY156-AY158</f>
        <v>3.6272186066149154E-2</v>
      </c>
      <c r="AZ159" s="630">
        <f>+AZ156-AZ158</f>
        <v>6.937616863096116E-2</v>
      </c>
      <c r="BA159" s="630">
        <f>+BA156-BA158</f>
        <v>1.9462368664958388E-2</v>
      </c>
      <c r="BB159" s="1226">
        <f>+BB156-BB158</f>
        <v>6.7000000000000004E-2</v>
      </c>
      <c r="BC159" s="631">
        <f>+BC156-BC158</f>
        <v>4.2999999999999997E-2</v>
      </c>
      <c r="BD159" s="622"/>
      <c r="BE159" s="629">
        <f>+BE156-BE158</f>
        <v>2.2324727676270306E-2</v>
      </c>
      <c r="BF159" s="630">
        <f>+BF156-BF158</f>
        <v>3.0814448692522978E-2</v>
      </c>
      <c r="BG159" s="630">
        <f>+BG156-BG158</f>
        <v>6.8552011312000116E-2</v>
      </c>
      <c r="BH159" s="630">
        <f>+BH156-BH158</f>
        <v>2.4759986126421718E-2</v>
      </c>
      <c r="BI159" s="631">
        <f>+BI156-BI158</f>
        <v>3.6423967715582151E-2</v>
      </c>
      <c r="BJ159" s="622"/>
      <c r="BK159" s="629">
        <f>+BK156-BK158</f>
        <v>5.8000000000000024E-2</v>
      </c>
      <c r="BL159" s="630">
        <f>+BL156-BL158</f>
        <v>4.1000000000000002E-2</v>
      </c>
      <c r="BM159" s="630">
        <f>+BM156-BM158</f>
        <v>1.4E-2</v>
      </c>
      <c r="BN159" s="630">
        <f>+BN156-BN158</f>
        <v>8.4656383059217959E-3</v>
      </c>
      <c r="BO159" s="631">
        <f>+BO156-BO158</f>
        <v>2.8804837207471783E-2</v>
      </c>
      <c r="BP159" s="622"/>
      <c r="BQ159" s="629">
        <f>+BQ156-BQ158</f>
        <v>-1.0999999999999999E-2</v>
      </c>
      <c r="BR159" s="630">
        <f>+BR156-BR158</f>
        <v>-2.247525843633064E-2</v>
      </c>
      <c r="BS159" s="630">
        <f>+BS156-BS158</f>
        <v>-2.7E-2</v>
      </c>
      <c r="BT159" s="630">
        <f>+BT156-BT158</f>
        <v>-9.4548425225185057E-3</v>
      </c>
      <c r="BU159" s="631">
        <f>+BU156-BU158</f>
        <v>-1.7508088945593397E-2</v>
      </c>
      <c r="BV159" s="622"/>
      <c r="BW159" s="629">
        <f>+BW156-BW158</f>
        <v>5.2419533553406169E-3</v>
      </c>
      <c r="BX159" s="630">
        <f>+BX156-BX158</f>
        <v>3.3775427804843328E-2</v>
      </c>
      <c r="BY159" s="630">
        <f>+BY156-BY158</f>
        <v>2.7127474691358944E-2</v>
      </c>
      <c r="BZ159" s="630">
        <f>+BZ156-BZ158</f>
        <v>3.7949831240595096E-2</v>
      </c>
      <c r="CA159" s="631">
        <f>+CA156-CA158</f>
        <v>2.6450506902581276E-2</v>
      </c>
      <c r="CB159" s="622"/>
      <c r="CC159" s="629">
        <f>+CC156-CC158</f>
        <v>2.4711763603385131E-2</v>
      </c>
      <c r="CD159" s="630">
        <f>+CD156-CD158</f>
        <v>2.4299961089672854E-2</v>
      </c>
      <c r="CE159" s="630">
        <f>+CE156-CE158</f>
        <v>2.6631516733483598E-2</v>
      </c>
      <c r="CF159" s="630">
        <f>+CF156-CF158</f>
        <v>2.6746868984921447E-2</v>
      </c>
      <c r="CG159" s="631">
        <f>+CG156-CG158</f>
        <v>2.5625920057619989E-2</v>
      </c>
      <c r="CH159" s="622"/>
      <c r="CI159" s="629">
        <f>+CI156-CI158</f>
        <v>2.6884249238201402E-2</v>
      </c>
      <c r="CJ159" s="630">
        <f>+CJ156-CJ158</f>
        <v>2.6956419460929189E-2</v>
      </c>
      <c r="CK159" s="630">
        <f>+CK156-CK158</f>
        <v>2.6738496882543584E-2</v>
      </c>
      <c r="CL159" s="630">
        <f>+CL156-CL158</f>
        <v>2.6854132817272176E-2</v>
      </c>
      <c r="CM159" s="631">
        <f>+CM156-CM158</f>
        <v>2.685807573228716E-2</v>
      </c>
      <c r="CN159" s="11"/>
      <c r="CO159" s="11"/>
      <c r="CP159" s="11"/>
      <c r="CQ159" s="11"/>
      <c r="CR159" s="11"/>
      <c r="CS159" s="11"/>
      <c r="CT159" s="11"/>
      <c r="CU159" s="11"/>
      <c r="CV159" s="11"/>
      <c r="CW159" s="11"/>
      <c r="CX159" s="11"/>
    </row>
    <row r="160" spans="1:102" s="9" customFormat="1" ht="11.25" hidden="1" customHeight="1" outlineLevel="1" x14ac:dyDescent="0.2">
      <c r="A160" s="12"/>
      <c r="B160" s="14"/>
      <c r="C160" s="641">
        <f>C154-'P&amp;L'!C8</f>
        <v>0</v>
      </c>
      <c r="D160" s="641">
        <f>D154-'P&amp;L'!D8</f>
        <v>0</v>
      </c>
      <c r="E160" s="641">
        <f>E154-'P&amp;L'!E8</f>
        <v>0</v>
      </c>
      <c r="F160" s="641">
        <f>F154-'P&amp;L'!F8</f>
        <v>0</v>
      </c>
      <c r="G160" s="641">
        <f>G154-'P&amp;L'!G8</f>
        <v>0</v>
      </c>
      <c r="H160" s="642"/>
      <c r="I160" s="641">
        <f>I154-'P&amp;L'!I8</f>
        <v>0</v>
      </c>
      <c r="J160" s="641">
        <f>J154-'P&amp;L'!J8</f>
        <v>0</v>
      </c>
      <c r="K160" s="641">
        <f>K154-'P&amp;L'!K8</f>
        <v>0</v>
      </c>
      <c r="L160" s="641">
        <f>L154-'P&amp;L'!L8</f>
        <v>0</v>
      </c>
      <c r="M160" s="641">
        <f>M154-'P&amp;L'!M8</f>
        <v>0</v>
      </c>
      <c r="N160" s="642"/>
      <c r="O160" s="643">
        <f>O154-'P&amp;L'!O8</f>
        <v>0</v>
      </c>
      <c r="P160" s="641">
        <f>P154-'P&amp;L'!P8</f>
        <v>0</v>
      </c>
      <c r="Q160" s="641">
        <f>Q154-'P&amp;L'!Q8</f>
        <v>0</v>
      </c>
      <c r="R160" s="641">
        <f>R154-'P&amp;L'!R8</f>
        <v>0</v>
      </c>
      <c r="S160" s="641">
        <f>S154-'P&amp;L'!S8</f>
        <v>0</v>
      </c>
      <c r="T160" s="642"/>
      <c r="U160" s="643">
        <f>U154-'P&amp;L'!U8</f>
        <v>0</v>
      </c>
      <c r="V160" s="641">
        <f>V154-'P&amp;L'!V8</f>
        <v>0</v>
      </c>
      <c r="W160" s="641">
        <f>W154-'P&amp;L'!W8</f>
        <v>0</v>
      </c>
      <c r="X160" s="641">
        <f>X154-'P&amp;L'!X8</f>
        <v>0</v>
      </c>
      <c r="Y160" s="641">
        <f>Y154-'P&amp;L'!Y8</f>
        <v>0</v>
      </c>
      <c r="Z160" s="642"/>
      <c r="AA160" s="643">
        <f>AA154-'P&amp;L'!AA8</f>
        <v>0</v>
      </c>
      <c r="AB160" s="641">
        <f>AB154-'P&amp;L'!AB8</f>
        <v>0</v>
      </c>
      <c r="AC160" s="641">
        <f>AC154-'P&amp;L'!AC8</f>
        <v>0</v>
      </c>
      <c r="AD160" s="641">
        <f>AD154-'P&amp;L'!AD8</f>
        <v>2.0000000000663931E-3</v>
      </c>
      <c r="AE160" s="641">
        <f>AE154-'P&amp;L'!AE8</f>
        <v>1.9999999999527063E-3</v>
      </c>
      <c r="AF160" s="642"/>
      <c r="AG160" s="643">
        <f>AG154-'P&amp;L'!AG8</f>
        <v>0</v>
      </c>
      <c r="AH160" s="641">
        <f>AH154-'P&amp;L'!AH8</f>
        <v>0</v>
      </c>
      <c r="AI160" s="641">
        <f>AI154-'P&amp;L'!AI8</f>
        <v>0</v>
      </c>
      <c r="AJ160" s="641">
        <f>AJ154-'P&amp;L'!AJ8</f>
        <v>0</v>
      </c>
      <c r="AK160" s="641">
        <f>AK154-'P&amp;L'!AK8</f>
        <v>0</v>
      </c>
      <c r="AL160" s="642"/>
      <c r="AM160" s="641">
        <f>AM154-'P&amp;L'!AM8</f>
        <v>0</v>
      </c>
      <c r="AN160" s="641">
        <f>AN154-'P&amp;L'!AN8</f>
        <v>0</v>
      </c>
      <c r="AO160" s="641">
        <f>AO154-'P&amp;L'!AO8</f>
        <v>0</v>
      </c>
      <c r="AP160" s="641">
        <f>AP154-'P&amp;L'!AP8</f>
        <v>0</v>
      </c>
      <c r="AQ160" s="641">
        <f>AQ154-'P&amp;L'!AQ8</f>
        <v>0</v>
      </c>
      <c r="AR160" s="642"/>
      <c r="AS160" s="641">
        <f>AS154-'P&amp;L'!AS8</f>
        <v>0</v>
      </c>
      <c r="AT160" s="641">
        <f>AT154-'P&amp;L'!AT8</f>
        <v>0</v>
      </c>
      <c r="AU160" s="641">
        <f>AU154-'P&amp;L'!AU8</f>
        <v>0</v>
      </c>
      <c r="AV160" s="641">
        <f>AV154-'P&amp;L'!AV8</f>
        <v>0</v>
      </c>
      <c r="AW160" s="641">
        <f>AW154-'P&amp;L'!AW8</f>
        <v>0</v>
      </c>
      <c r="AX160" s="642"/>
      <c r="AY160" s="641">
        <f>AY154-'P&amp;L'!AY8</f>
        <v>0</v>
      </c>
      <c r="AZ160" s="641">
        <f>AZ154-'P&amp;L'!AZ8</f>
        <v>0</v>
      </c>
      <c r="BA160" s="641">
        <f>BA154-'P&amp;L'!BA8</f>
        <v>0</v>
      </c>
      <c r="BB160" s="641">
        <f>BB154-'P&amp;L'!BB8</f>
        <v>0</v>
      </c>
      <c r="BC160" s="641">
        <f>BC154-'P&amp;L'!BC8</f>
        <v>0</v>
      </c>
      <c r="BD160" s="642"/>
      <c r="BE160" s="641">
        <f>BE154-'P&amp;L'!BE8</f>
        <v>0</v>
      </c>
      <c r="BF160" s="641">
        <f>BF154-'P&amp;L'!BF8</f>
        <v>0</v>
      </c>
      <c r="BG160" s="641">
        <f>BG154-'P&amp;L'!BG8</f>
        <v>0</v>
      </c>
      <c r="BH160" s="641">
        <f>BH154-'P&amp;L'!BH8</f>
        <v>0</v>
      </c>
      <c r="BI160" s="641">
        <f>BI154-'P&amp;L'!BI8</f>
        <v>0</v>
      </c>
      <c r="BJ160" s="642"/>
      <c r="BK160" s="641">
        <f>BK154-'P&amp;L'!BK8</f>
        <v>0</v>
      </c>
      <c r="BL160" s="641">
        <f>BL154-'P&amp;L'!BL8</f>
        <v>0</v>
      </c>
      <c r="BM160" s="641">
        <f>BM154-'P&amp;L'!BM8</f>
        <v>0</v>
      </c>
      <c r="BN160" s="641">
        <f>BN154-'P&amp;L'!BN8</f>
        <v>0</v>
      </c>
      <c r="BO160" s="641">
        <f>BO154-'P&amp;L'!BO8</f>
        <v>0</v>
      </c>
      <c r="BP160" s="579"/>
      <c r="BQ160" s="641">
        <f>BQ154-'P&amp;L'!BQ8</f>
        <v>0</v>
      </c>
      <c r="BR160" s="641">
        <f>BR154-'P&amp;L'!BR8</f>
        <v>0</v>
      </c>
      <c r="BS160" s="14"/>
      <c r="BT160" s="14"/>
      <c r="BU160" s="14"/>
      <c r="BV160" s="579"/>
      <c r="BW160" s="14"/>
      <c r="BX160" s="14"/>
      <c r="BY160" s="14"/>
      <c r="BZ160" s="14"/>
      <c r="CA160" s="14"/>
      <c r="CB160" s="579"/>
      <c r="CC160" s="14"/>
      <c r="CD160" s="14"/>
      <c r="CE160" s="14"/>
      <c r="CF160" s="14"/>
      <c r="CG160" s="14"/>
      <c r="CH160" s="579"/>
      <c r="CI160" s="14"/>
      <c r="CJ160" s="14"/>
      <c r="CK160" s="14"/>
      <c r="CL160" s="14"/>
      <c r="CM160" s="14"/>
      <c r="CN160" s="11"/>
      <c r="CO160" s="11"/>
      <c r="CP160" s="11"/>
      <c r="CQ160" s="11"/>
      <c r="CR160" s="11"/>
      <c r="CS160" s="11"/>
      <c r="CT160" s="11"/>
      <c r="CU160" s="11"/>
      <c r="CV160" s="11"/>
      <c r="CW160" s="11"/>
      <c r="CX160" s="11"/>
    </row>
    <row r="161" spans="1:102" s="9" customFormat="1" ht="11.25" customHeight="1" collapsed="1" x14ac:dyDescent="0.2">
      <c r="A161" s="12"/>
      <c r="B161" s="14"/>
      <c r="C161" s="641"/>
      <c r="D161" s="641"/>
      <c r="E161" s="641"/>
      <c r="F161" s="641"/>
      <c r="G161" s="641"/>
      <c r="H161" s="642"/>
      <c r="I161" s="641"/>
      <c r="J161" s="641"/>
      <c r="K161" s="641"/>
      <c r="L161" s="641"/>
      <c r="M161" s="641"/>
      <c r="N161" s="642"/>
      <c r="O161" s="643"/>
      <c r="P161" s="641"/>
      <c r="Q161" s="641"/>
      <c r="R161" s="641"/>
      <c r="S161" s="641"/>
      <c r="T161" s="642"/>
      <c r="U161" s="643"/>
      <c r="V161" s="641"/>
      <c r="W161" s="641"/>
      <c r="X161" s="641"/>
      <c r="Y161" s="641"/>
      <c r="Z161" s="642"/>
      <c r="AA161" s="643"/>
      <c r="AB161" s="641"/>
      <c r="AC161" s="641"/>
      <c r="AD161" s="641"/>
      <c r="AE161" s="641"/>
      <c r="AF161" s="642"/>
      <c r="AG161" s="643"/>
      <c r="AH161" s="641"/>
      <c r="AI161" s="641"/>
      <c r="AJ161" s="641"/>
      <c r="AK161" s="641"/>
      <c r="AL161" s="642"/>
      <c r="AM161" s="641"/>
      <c r="AN161" s="641"/>
      <c r="AO161" s="641"/>
      <c r="AP161" s="641"/>
      <c r="AQ161" s="641"/>
      <c r="AR161" s="642"/>
      <c r="AS161" s="641"/>
      <c r="AT161" s="641"/>
      <c r="AU161" s="641"/>
      <c r="AV161" s="641"/>
      <c r="AW161" s="641"/>
      <c r="AX161" s="642"/>
      <c r="AY161" s="641"/>
      <c r="AZ161" s="641"/>
      <c r="BA161" s="641"/>
      <c r="BB161" s="641"/>
      <c r="BC161" s="641"/>
      <c r="BD161" s="642"/>
      <c r="BE161" s="641"/>
      <c r="BF161" s="641"/>
      <c r="BG161" s="641"/>
      <c r="BH161" s="641"/>
      <c r="BI161" s="641"/>
      <c r="BJ161" s="642"/>
      <c r="BK161" s="641"/>
      <c r="BL161" s="641"/>
      <c r="BM161" s="641"/>
      <c r="BN161" s="641"/>
      <c r="BO161" s="641"/>
      <c r="BP161" s="579"/>
      <c r="BQ161" s="14"/>
      <c r="BR161" s="14"/>
      <c r="BS161" s="14"/>
      <c r="BT161" s="14"/>
      <c r="BU161" s="14"/>
      <c r="BV161" s="579"/>
      <c r="BW161" s="14"/>
      <c r="BX161" s="14"/>
      <c r="BY161" s="14"/>
      <c r="BZ161" s="14"/>
      <c r="CA161" s="14"/>
      <c r="CB161" s="579"/>
      <c r="CC161" s="14"/>
      <c r="CD161" s="14"/>
      <c r="CE161" s="14"/>
      <c r="CF161" s="14"/>
      <c r="CG161" s="14"/>
      <c r="CH161" s="579"/>
      <c r="CI161" s="14"/>
      <c r="CJ161" s="14"/>
      <c r="CK161" s="14"/>
      <c r="CL161" s="14"/>
      <c r="CM161" s="14"/>
      <c r="CN161" s="11"/>
      <c r="CO161" s="11"/>
      <c r="CP161" s="11"/>
      <c r="CQ161" s="11"/>
      <c r="CR161" s="11"/>
      <c r="CS161" s="11"/>
      <c r="CT161" s="11"/>
      <c r="CU161" s="11"/>
      <c r="CV161" s="11"/>
      <c r="CW161" s="11"/>
      <c r="CX161" s="11"/>
    </row>
    <row r="162" spans="1:102" s="9" customFormat="1" ht="11.25" customHeight="1" x14ac:dyDescent="0.2">
      <c r="A162" s="12"/>
      <c r="B162" s="1220" t="s">
        <v>548</v>
      </c>
      <c r="C162" s="1221"/>
      <c r="D162" s="1221"/>
      <c r="E162" s="1221"/>
      <c r="F162" s="1221"/>
      <c r="G162" s="1221"/>
      <c r="H162" s="1220"/>
      <c r="I162" s="1221"/>
      <c r="J162" s="1221"/>
      <c r="K162" s="1221"/>
      <c r="L162" s="1221"/>
      <c r="M162" s="1221"/>
      <c r="N162" s="1220"/>
      <c r="O162" s="1221"/>
      <c r="P162" s="1221"/>
      <c r="Q162" s="1221"/>
      <c r="R162" s="1221"/>
      <c r="S162" s="1221"/>
      <c r="T162" s="1220"/>
      <c r="U162" s="1221"/>
      <c r="V162" s="1221"/>
      <c r="W162" s="1221"/>
      <c r="X162" s="1221"/>
      <c r="Y162" s="1221"/>
      <c r="Z162" s="1220"/>
      <c r="AA162" s="1221"/>
      <c r="AB162" s="1221"/>
      <c r="AC162" s="1221"/>
      <c r="AD162" s="1221"/>
      <c r="AE162" s="1221"/>
      <c r="AF162" s="1220"/>
      <c r="AG162" s="1221"/>
      <c r="AH162" s="1221"/>
      <c r="AI162" s="1221"/>
      <c r="AJ162" s="1221"/>
      <c r="AK162" s="1221"/>
      <c r="AL162" s="1220"/>
      <c r="AM162" s="1221"/>
      <c r="AN162" s="1221"/>
      <c r="AO162" s="1221"/>
      <c r="AP162" s="1221"/>
      <c r="AQ162" s="1221"/>
      <c r="AR162" s="1220"/>
      <c r="AS162" s="1221"/>
      <c r="AT162" s="1221"/>
      <c r="AU162" s="1221"/>
      <c r="AV162" s="1221"/>
      <c r="AW162" s="1221"/>
      <c r="AX162" s="1220"/>
      <c r="AY162" s="1221"/>
      <c r="AZ162" s="1221"/>
      <c r="BA162" s="1221"/>
      <c r="BB162" s="1221"/>
      <c r="BC162" s="1221"/>
      <c r="BD162" s="1220"/>
      <c r="BE162" s="1221"/>
      <c r="BF162" s="1221"/>
      <c r="BG162" s="1221"/>
      <c r="BH162" s="1221"/>
      <c r="BI162" s="1221"/>
      <c r="BJ162" s="1220"/>
      <c r="BK162" s="1221"/>
      <c r="BL162" s="1221"/>
      <c r="BM162" s="1221"/>
      <c r="BN162" s="1221"/>
      <c r="BO162" s="1221"/>
      <c r="BP162" s="1220"/>
      <c r="BQ162" s="1221"/>
      <c r="BR162" s="1221"/>
      <c r="BS162" s="1221"/>
      <c r="BT162" s="1221"/>
      <c r="BU162" s="1221"/>
      <c r="BV162" s="1220"/>
      <c r="BW162" s="1221"/>
      <c r="BX162" s="1221"/>
      <c r="BY162" s="1221"/>
      <c r="BZ162" s="1221"/>
      <c r="CA162" s="1221"/>
      <c r="CB162" s="1220"/>
      <c r="CC162" s="1221"/>
      <c r="CD162" s="1221"/>
      <c r="CE162" s="1221"/>
      <c r="CF162" s="1221"/>
      <c r="CG162" s="1222"/>
      <c r="CH162" s="1220"/>
      <c r="CI162" s="1221"/>
      <c r="CJ162" s="1221"/>
      <c r="CK162" s="1221"/>
      <c r="CL162" s="1221"/>
      <c r="CM162" s="1222"/>
      <c r="CN162" s="11"/>
      <c r="CO162" s="11"/>
      <c r="CP162" s="11"/>
      <c r="CQ162" s="11"/>
      <c r="CR162" s="11"/>
      <c r="CS162" s="11"/>
      <c r="CT162" s="11"/>
      <c r="CU162" s="11"/>
      <c r="CV162" s="11"/>
      <c r="CW162" s="11"/>
      <c r="CX162" s="11"/>
    </row>
    <row r="163" spans="1:102" s="24" customFormat="1" ht="11.25" customHeight="1" x14ac:dyDescent="0.2">
      <c r="B163" s="1033" t="s">
        <v>458</v>
      </c>
      <c r="C163" s="1034"/>
      <c r="D163" s="1034"/>
      <c r="E163" s="1034"/>
      <c r="F163" s="1034"/>
      <c r="G163" s="1034"/>
      <c r="H163" s="1033"/>
      <c r="I163" s="1034"/>
      <c r="J163" s="1034"/>
      <c r="K163" s="1034"/>
      <c r="L163" s="1034"/>
      <c r="M163" s="1034"/>
      <c r="N163" s="1033"/>
      <c r="O163" s="1034"/>
      <c r="P163" s="1034"/>
      <c r="Q163" s="1034"/>
      <c r="R163" s="1034"/>
      <c r="S163" s="1034"/>
      <c r="T163" s="1033"/>
      <c r="U163" s="1034"/>
      <c r="V163" s="1034"/>
      <c r="W163" s="1034"/>
      <c r="X163" s="1034"/>
      <c r="Y163" s="1034"/>
      <c r="Z163" s="1033"/>
      <c r="AA163" s="1034"/>
      <c r="AB163" s="1034"/>
      <c r="AC163" s="1034"/>
      <c r="AD163" s="1034"/>
      <c r="AE163" s="1034"/>
      <c r="AF163" s="1033"/>
      <c r="AG163" s="1034"/>
      <c r="AH163" s="1034"/>
      <c r="AI163" s="1034"/>
      <c r="AJ163" s="1034"/>
      <c r="AK163" s="1034"/>
      <c r="AL163" s="1033"/>
      <c r="AM163" s="1034"/>
      <c r="AN163" s="1034"/>
      <c r="AO163" s="1034"/>
      <c r="AP163" s="1034"/>
      <c r="AQ163" s="1034"/>
      <c r="AR163" s="1033"/>
      <c r="AS163" s="1034"/>
      <c r="AT163" s="1034"/>
      <c r="AU163" s="1034"/>
      <c r="AV163" s="1034"/>
      <c r="AW163" s="1034"/>
      <c r="AX163" s="1033"/>
      <c r="AY163" s="1034"/>
      <c r="AZ163" s="1034"/>
      <c r="BA163" s="1034"/>
      <c r="BB163" s="1034"/>
      <c r="BC163" s="1034"/>
      <c r="BD163" s="1033"/>
      <c r="BE163" s="1034"/>
      <c r="BF163" s="1034"/>
      <c r="BG163" s="1034"/>
      <c r="BH163" s="1034"/>
      <c r="BI163" s="1034"/>
      <c r="BJ163" s="1033"/>
      <c r="BK163" s="1034"/>
      <c r="BL163" s="1034"/>
      <c r="BM163" s="1034"/>
      <c r="BN163" s="1034"/>
      <c r="BO163" s="1034"/>
      <c r="BP163" s="1033"/>
      <c r="BQ163" s="1034"/>
      <c r="BR163" s="1034"/>
      <c r="BS163" s="1034"/>
      <c r="BT163" s="1034"/>
      <c r="BU163" s="1034"/>
      <c r="BV163" s="1033"/>
      <c r="BW163" s="1034"/>
      <c r="BX163" s="1034"/>
      <c r="BY163" s="1034"/>
      <c r="BZ163" s="1034"/>
      <c r="CA163" s="1034"/>
      <c r="CB163" s="1033"/>
      <c r="CC163" s="1034"/>
      <c r="CD163" s="1034"/>
      <c r="CE163" s="1034"/>
      <c r="CF163" s="1034"/>
      <c r="CG163" s="1034"/>
      <c r="CH163" s="1033"/>
      <c r="CI163" s="1034"/>
      <c r="CJ163" s="1034"/>
      <c r="CK163" s="1034"/>
      <c r="CL163" s="1034"/>
      <c r="CM163" s="1034"/>
      <c r="CN163" s="1"/>
    </row>
    <row r="164" spans="1:102" s="9" customFormat="1" ht="11.25" customHeight="1" x14ac:dyDescent="0.2">
      <c r="A164" s="12"/>
      <c r="B164" s="645" t="s">
        <v>307</v>
      </c>
      <c r="C164" s="1005">
        <f>+C149/C$154</f>
        <v>0.72115584114430775</v>
      </c>
      <c r="D164" s="1006">
        <f>+D149/D$154</f>
        <v>0.73775013575351489</v>
      </c>
      <c r="E164" s="1006">
        <f>+E149/E$154</f>
        <v>0.75708603596365864</v>
      </c>
      <c r="F164" s="1006">
        <f>+F149/F$154</f>
        <v>0.73405687397431885</v>
      </c>
      <c r="G164" s="1007">
        <f>+G149/G$154</f>
        <v>0.73778997840907545</v>
      </c>
      <c r="H164" s="136"/>
      <c r="I164" s="1005">
        <f>+I149/I$154</f>
        <v>0.71246772540180181</v>
      </c>
      <c r="J164" s="1006">
        <f>+J149/J$154</f>
        <v>0.72036490959471267</v>
      </c>
      <c r="K164" s="1006">
        <f>+K149/K$154</f>
        <v>0.7528734300710731</v>
      </c>
      <c r="L164" s="1006">
        <f>+L149/L$154</f>
        <v>0.72214885121558914</v>
      </c>
      <c r="M164" s="1007">
        <f>+M149/M$154</f>
        <v>0.72740350995371694</v>
      </c>
      <c r="N164" s="136"/>
      <c r="O164" s="1005">
        <f>+O149/O$154</f>
        <v>0.69890261460841363</v>
      </c>
      <c r="P164" s="1006">
        <f>+P149/P$154</f>
        <v>0.70686579034341468</v>
      </c>
      <c r="Q164" s="1006">
        <f>+Q149/Q$154</f>
        <v>0.72025084368754022</v>
      </c>
      <c r="R164" s="1006">
        <f>+R149/R$154</f>
        <v>0.68413635874053069</v>
      </c>
      <c r="S164" s="1007">
        <f>+S149/S$154</f>
        <v>0.70273092439565688</v>
      </c>
      <c r="T164" s="136"/>
      <c r="U164" s="1005">
        <f>+U149/U$154</f>
        <v>0.64716893433082689</v>
      </c>
      <c r="V164" s="1006">
        <f>+V149/V$154</f>
        <v>0.65914024278760319</v>
      </c>
      <c r="W164" s="1006">
        <f>+W149/W$154</f>
        <v>0.69757854073485159</v>
      </c>
      <c r="X164" s="1006">
        <f>+X149/X$154</f>
        <v>0.67333856651762758</v>
      </c>
      <c r="Y164" s="1007">
        <f>+Y149/Y$154</f>
        <v>0.6695221685710897</v>
      </c>
      <c r="Z164" s="136"/>
      <c r="AA164" s="1005">
        <f>+AA149/AA$154</f>
        <v>0.63860473271537455</v>
      </c>
      <c r="AB164" s="1006">
        <f>+AB149/AB$154</f>
        <v>0.65687054328480765</v>
      </c>
      <c r="AC164" s="1006">
        <f>+AC149/AC$154</f>
        <v>0.67549627114533439</v>
      </c>
      <c r="AD164" s="1006">
        <f>+AD149/AD$154</f>
        <v>0.64845709708187516</v>
      </c>
      <c r="AE164" s="1007">
        <f>+AE149/AE$154</f>
        <v>0.65464599645399213</v>
      </c>
      <c r="AF164" s="136"/>
      <c r="AG164" s="1005">
        <f>+AG149/AG$154</f>
        <v>0.62939951995581889</v>
      </c>
      <c r="AH164" s="1006">
        <f>+AH149/AH$154</f>
        <v>0.64257330415754921</v>
      </c>
      <c r="AI164" s="1006">
        <f>+AI149/AI$154</f>
        <v>0.67600080444230914</v>
      </c>
      <c r="AJ164" s="1006">
        <f>+AJ149/AJ$154</f>
        <v>0.63958160229148997</v>
      </c>
      <c r="AK164" s="1007">
        <f>+AK149/AK$154</f>
        <v>0.64708550961192257</v>
      </c>
      <c r="AL164" s="136"/>
      <c r="AM164" s="1005">
        <f>+AM149/AM$154</f>
        <v>0.63807472799347742</v>
      </c>
      <c r="AN164" s="1006">
        <f>+AN149/AN$154</f>
        <v>0.63324888461968676</v>
      </c>
      <c r="AO164" s="1006">
        <f>+AO149/AO$154</f>
        <v>0.68404921707551691</v>
      </c>
      <c r="AP164" s="1006">
        <f>+AP149/AP$154</f>
        <v>0.66008209896438408</v>
      </c>
      <c r="AQ164" s="1007">
        <f>+AQ149/AQ$154</f>
        <v>0.65433909268967549</v>
      </c>
      <c r="AR164" s="136"/>
      <c r="AS164" s="1005">
        <f>+AS149/AS$154</f>
        <v>0.62972077829853712</v>
      </c>
      <c r="AT164" s="1006">
        <f>+AT149/AT$154</f>
        <v>0.56370928502634066</v>
      </c>
      <c r="AU164" s="1006">
        <f>+AU149/AU$154</f>
        <v>0.59294121341598027</v>
      </c>
      <c r="AV164" s="1006">
        <f>+AV149/AV$154</f>
        <v>0.56515833285696004</v>
      </c>
      <c r="AW164" s="1007">
        <f>+AW149/AW$154</f>
        <v>0.58618726953046663</v>
      </c>
      <c r="AX164" s="136"/>
      <c r="AY164" s="1005">
        <f>+AY149/AY$154</f>
        <v>0.5781676670685314</v>
      </c>
      <c r="AZ164" s="1006">
        <f>+AZ149/AZ$154</f>
        <v>0.60583099916174277</v>
      </c>
      <c r="BA164" s="1006">
        <f>+BA149/BA$154</f>
        <v>0.63700935086394317</v>
      </c>
      <c r="BB164" s="1006">
        <f>+BB149/BB$154</f>
        <v>0.64618220568642815</v>
      </c>
      <c r="BC164" s="1007">
        <f>+BC149/BC$154</f>
        <v>0.61751121554950128</v>
      </c>
      <c r="BD164" s="136"/>
      <c r="BE164" s="1005">
        <f>+BE149/BE$154</f>
        <v>0.50322171375572022</v>
      </c>
      <c r="BF164" s="1006">
        <f>+BF149/BF$154</f>
        <v>0.43285176467200781</v>
      </c>
      <c r="BG164" s="1006">
        <f>+BG149/BG$154</f>
        <v>0.45518766066104005</v>
      </c>
      <c r="BH164" s="1006">
        <f>+BH149/BH$154</f>
        <v>0.45546682074881173</v>
      </c>
      <c r="BI164" s="1007">
        <f>+BI149/BI$154</f>
        <v>0.45969380528312015</v>
      </c>
      <c r="BJ164" s="136"/>
      <c r="BK164" s="1005">
        <f>+BK149/BK$154</f>
        <v>0.41654158248501244</v>
      </c>
      <c r="BL164" s="1006">
        <f>+BL149/BL$154</f>
        <v>0.42415428689482254</v>
      </c>
      <c r="BM164" s="1006">
        <f>+BM149/BM$154</f>
        <v>0.44821449272873248</v>
      </c>
      <c r="BN164" s="1006">
        <f>+BN149/BN$154</f>
        <v>0.42027304585642394</v>
      </c>
      <c r="BO164" s="1007">
        <f>+BO149/BO$154</f>
        <v>0.42734931640207702</v>
      </c>
      <c r="BP164" s="136"/>
      <c r="BQ164" s="1005">
        <f>+BQ149/BQ$154</f>
        <v>0.39782304474682056</v>
      </c>
      <c r="BR164" s="1006">
        <f>+BR149/BR$154</f>
        <v>0.39952025528653712</v>
      </c>
      <c r="BS164" s="1006">
        <f>+BS149/BS$154</f>
        <v>0.4202063375949483</v>
      </c>
      <c r="BT164" s="1006">
        <f>+BT149/BT$154</f>
        <v>0.41316882009746558</v>
      </c>
      <c r="BU164" s="1007">
        <f>+BU149/BU$154</f>
        <v>0.4078574423205939</v>
      </c>
      <c r="BV164" s="136"/>
      <c r="BW164" s="1005">
        <f>+BW149/BW$154</f>
        <v>0.37733435247147956</v>
      </c>
      <c r="BX164" s="1006">
        <f>+BX149/BX$154</f>
        <v>0.38495145368755807</v>
      </c>
      <c r="BY164" s="1006">
        <f>+BY149/BY$154</f>
        <v>0.41302470860552565</v>
      </c>
      <c r="BZ164" s="1006">
        <f>+BZ149/BZ$154</f>
        <v>0.40119250994640099</v>
      </c>
      <c r="CA164" s="1007">
        <f>+CA149/CA$154</f>
        <v>0.39450029035167627</v>
      </c>
      <c r="CB164" s="136"/>
      <c r="CC164" s="1005">
        <f>+CC149/CC$154</f>
        <v>0.37140510661129389</v>
      </c>
      <c r="CD164" s="1006">
        <f>+CD149/CD$154</f>
        <v>0.37880468617577334</v>
      </c>
      <c r="CE164" s="1006">
        <f>+CE149/CE$154</f>
        <v>0.40825844218369084</v>
      </c>
      <c r="CF164" s="1006">
        <f>+CF149/CF$154</f>
        <v>0.39644696590924583</v>
      </c>
      <c r="CG164" s="1007">
        <f>+CG149/CG$154</f>
        <v>0.38913321119218225</v>
      </c>
      <c r="CH164" s="136"/>
      <c r="CI164" s="1005">
        <f>+CI149/CI$154</f>
        <v>0.36675661456054692</v>
      </c>
      <c r="CJ164" s="1006">
        <f>+CJ149/CJ$154</f>
        <v>0.37421477365554007</v>
      </c>
      <c r="CK164" s="1006">
        <f>+CK149/CK$154</f>
        <v>0.40351500216236647</v>
      </c>
      <c r="CL164" s="1006">
        <f>+CL149/CL$154</f>
        <v>0.39172627512879277</v>
      </c>
      <c r="CM164" s="1007">
        <f>+CM149/CM$154</f>
        <v>0.38445519218192764</v>
      </c>
      <c r="CN164" s="11"/>
      <c r="CO164" s="11"/>
      <c r="CP164" s="11"/>
      <c r="CQ164" s="11"/>
      <c r="CR164" s="11"/>
      <c r="CS164" s="11"/>
      <c r="CT164" s="11"/>
      <c r="CU164" s="11"/>
      <c r="CV164" s="11"/>
      <c r="CW164" s="11"/>
      <c r="CX164" s="11"/>
    </row>
    <row r="165" spans="1:102" s="9" customFormat="1" ht="11.25" customHeight="1" x14ac:dyDescent="0.2">
      <c r="A165" s="12"/>
      <c r="B165" s="658" t="s">
        <v>459</v>
      </c>
      <c r="C165" s="1013">
        <f>+C7/C$154</f>
        <v>0.4262732498535442</v>
      </c>
      <c r="D165" s="243">
        <f>+D7/D$154</f>
        <v>0.4175475641426355</v>
      </c>
      <c r="E165" s="243">
        <f>+E7/E$154</f>
        <v>0.39913374884072306</v>
      </c>
      <c r="F165" s="243">
        <f>+F7/F$154</f>
        <v>0.40848658513981728</v>
      </c>
      <c r="G165" s="1014">
        <f>+G7/G$154</f>
        <v>0.41252959729102151</v>
      </c>
      <c r="H165" s="136"/>
      <c r="I165" s="1013">
        <f>+I7/I$154</f>
        <v>0.42116586327688926</v>
      </c>
      <c r="J165" s="243">
        <f>+J7/J$154</f>
        <v>0.41796946597806989</v>
      </c>
      <c r="K165" s="243">
        <f>+K7/K$154</f>
        <v>0.37922584066331505</v>
      </c>
      <c r="L165" s="243">
        <f>+L7/L$154</f>
        <v>0.40855331788259841</v>
      </c>
      <c r="M165" s="1014">
        <f>+M7/M$154</f>
        <v>0.40623477479959008</v>
      </c>
      <c r="N165" s="136"/>
      <c r="O165" s="1013">
        <f>+O7/O$154</f>
        <v>0.42023152237184735</v>
      </c>
      <c r="P165" s="243">
        <f>+P7/P$154</f>
        <v>0.40776155720965268</v>
      </c>
      <c r="Q165" s="243">
        <f>+Q7/Q$154</f>
        <v>0.35474826237973522</v>
      </c>
      <c r="R165" s="243">
        <f>+R7/R$154</f>
        <v>0.39392012145395977</v>
      </c>
      <c r="S165" s="1014">
        <f>+S7/S$154</f>
        <v>0.39337546986694905</v>
      </c>
      <c r="T165" s="136"/>
      <c r="U165" s="1013">
        <f>+U7/U$154</f>
        <v>0.38700117404338258</v>
      </c>
      <c r="V165" s="243">
        <f>+V7/V$154</f>
        <v>0.37244570532461463</v>
      </c>
      <c r="W165" s="243">
        <f>+W7/W$154</f>
        <v>0.3573743665283069</v>
      </c>
      <c r="X165" s="243">
        <f>+X7/X$154</f>
        <v>0.38464642785957021</v>
      </c>
      <c r="Y165" s="1014">
        <f>+Y7/Y$154</f>
        <v>0.3752409358690495</v>
      </c>
      <c r="Z165" s="136"/>
      <c r="AA165" s="1013">
        <f>+AA7/AA$154</f>
        <v>0.38361612968896913</v>
      </c>
      <c r="AB165" s="243">
        <f>+AB7/AB$154</f>
        <v>0.35573013736654635</v>
      </c>
      <c r="AC165" s="243">
        <f>+AC7/AC$154</f>
        <v>0.36583762808464199</v>
      </c>
      <c r="AD165" s="243">
        <f>+AD7/AD$154</f>
        <v>0.36267072178642507</v>
      </c>
      <c r="AE165" s="1014">
        <f>+AE7/AE$154</f>
        <v>0.36690408212498155</v>
      </c>
      <c r="AF165" s="136"/>
      <c r="AG165" s="1013">
        <f>+AG7/AG$154</f>
        <v>0.36448074277042608</v>
      </c>
      <c r="AH165" s="243">
        <f>+AH7/AH$154</f>
        <v>0.36438920495988331</v>
      </c>
      <c r="AI165" s="243">
        <f>+AI7/AI$154</f>
        <v>0.34787213836407715</v>
      </c>
      <c r="AJ165" s="243">
        <f>+AJ7/AJ$154</f>
        <v>0.3535640060064037</v>
      </c>
      <c r="AK165" s="1014">
        <f>+AK7/AK$154</f>
        <v>0.35736316349333258</v>
      </c>
      <c r="AL165" s="136"/>
      <c r="AM165" s="1013">
        <f>+AM7/AM$154</f>
        <v>0.34879361241530543</v>
      </c>
      <c r="AN165" s="243">
        <f>+AN7/AN$154</f>
        <v>0.36367567542634688</v>
      </c>
      <c r="AO165" s="243">
        <f>+AO7/AO$154</f>
        <v>0.33705988135754228</v>
      </c>
      <c r="AP165" s="243">
        <f>+AP7/AP$154</f>
        <v>0.35130729283794832</v>
      </c>
      <c r="AQ165" s="1014">
        <f>+AQ7/AQ$154</f>
        <v>0.35005410737674902</v>
      </c>
      <c r="AR165" s="136"/>
      <c r="AS165" s="1013">
        <f>+AS7/AS$154</f>
        <v>0.37268342564976564</v>
      </c>
      <c r="AT165" s="243">
        <f>+AT7/AT$154</f>
        <v>0.32839991430007387</v>
      </c>
      <c r="AU165" s="243">
        <f>+AU7/AU$154</f>
        <v>0.29687562056713029</v>
      </c>
      <c r="AV165" s="243">
        <f>+AV7/AV$154</f>
        <v>0.31389095317296345</v>
      </c>
      <c r="AW165" s="1014">
        <f>+AW7/AW$154</f>
        <v>0.32565718806560007</v>
      </c>
      <c r="AX165" s="136"/>
      <c r="AY165" s="1013">
        <f>+AY7/AY$154</f>
        <v>0.34643795875419087</v>
      </c>
      <c r="AZ165" s="243">
        <f>+AZ7/AZ$154</f>
        <v>0.3338328801292143</v>
      </c>
      <c r="BA165" s="243">
        <f>+BA7/BA$154</f>
        <v>0.33660815248459258</v>
      </c>
      <c r="BB165" s="243">
        <f>+BB7/BB$154</f>
        <v>0.33319099067591185</v>
      </c>
      <c r="BC165" s="1014">
        <f>+BC7/BC$154</f>
        <v>0.33736961004790511</v>
      </c>
      <c r="BD165" s="136"/>
      <c r="BE165" s="1013">
        <f>+BE7/BE$154</f>
        <v>0.31329197546527604</v>
      </c>
      <c r="BF165" s="243">
        <f>+BF7/BF$154</f>
        <v>0.23929859416502902</v>
      </c>
      <c r="BG165" s="243">
        <f>+BG7/BG$154</f>
        <v>0.23830837354097822</v>
      </c>
      <c r="BH165" s="243">
        <f>+BH7/BH$154</f>
        <v>0.24389208746913196</v>
      </c>
      <c r="BI165" s="1014">
        <f>+BI7/BI$154</f>
        <v>0.25597958528621306</v>
      </c>
      <c r="BJ165" s="136"/>
      <c r="BK165" s="1013">
        <f>+BK7/BK$154</f>
        <v>0.24987916868052198</v>
      </c>
      <c r="BL165" s="243">
        <f>+BL7/BL$154</f>
        <v>0.22861911339469104</v>
      </c>
      <c r="BM165" s="243">
        <f>+BM7/BM$154</f>
        <v>0.23270131055990401</v>
      </c>
      <c r="BN165" s="243">
        <f>+BN7/BN$154</f>
        <v>0.23487230732606612</v>
      </c>
      <c r="BO165" s="1014">
        <f>+BO7/BO$154</f>
        <v>0.23631932548644077</v>
      </c>
      <c r="BP165" s="136"/>
      <c r="BQ165" s="1013">
        <f>+BQ7/BQ$154</f>
        <v>0.24551362418191641</v>
      </c>
      <c r="BR165" s="243">
        <f>+BR7/BR$154</f>
        <v>0.22458590627225802</v>
      </c>
      <c r="BS165" s="243">
        <f>+BS7/BS$154</f>
        <v>0.21981614604769267</v>
      </c>
      <c r="BT165" s="243">
        <f>+BT7/BT$154</f>
        <v>0.21981009729550233</v>
      </c>
      <c r="BU165" s="1014">
        <f>+BU7/BU$154</f>
        <v>0.2271006977457041</v>
      </c>
      <c r="BV165" s="136"/>
      <c r="BW165" s="1013">
        <f>+BW7/BW$154</f>
        <v>0.21984078993953216</v>
      </c>
      <c r="BX165" s="243">
        <f>+BX7/BX$154</f>
        <v>0.2064104048283936</v>
      </c>
      <c r="BY165" s="243">
        <f>+BY7/BY$154</f>
        <v>0.21401808851296408</v>
      </c>
      <c r="BZ165" s="243">
        <f>+BZ7/BZ$154</f>
        <v>0.21390572451166429</v>
      </c>
      <c r="CA165" s="1014">
        <f>+CA7/CA$154</f>
        <v>0.21341068255604187</v>
      </c>
      <c r="CB165" s="136"/>
      <c r="CC165" s="1013">
        <f>+CC7/CC$154</f>
        <v>0.2166555430644734</v>
      </c>
      <c r="CD165" s="243">
        <f>+CD7/CD$154</f>
        <v>0.20350559414689298</v>
      </c>
      <c r="CE165" s="243">
        <f>+CE7/CE$154</f>
        <v>0.21054392565879124</v>
      </c>
      <c r="CF165" s="243">
        <f>+CF7/CF$154</f>
        <v>0.21040303062290014</v>
      </c>
      <c r="CG165" s="1014">
        <f>+CG7/CG$154</f>
        <v>0.21014128801770585</v>
      </c>
      <c r="CH165" s="136"/>
      <c r="CI165" s="1013">
        <f>+CI7/CI$154</f>
        <v>0.21306492446104958</v>
      </c>
      <c r="CJ165" s="243">
        <f>+CJ7/CJ$154</f>
        <v>0.20012281405860033</v>
      </c>
      <c r="CK165" s="243">
        <f>+CK7/CK$154</f>
        <v>0.20710462342725403</v>
      </c>
      <c r="CL165" s="243">
        <f>+CL7/CL$154</f>
        <v>0.20693616582725646</v>
      </c>
      <c r="CM165" s="1014">
        <f>+CM7/CM$154</f>
        <v>0.20667380784081069</v>
      </c>
      <c r="CN165" s="11"/>
      <c r="CO165" s="11"/>
      <c r="CP165" s="11"/>
      <c r="CQ165" s="11"/>
      <c r="CR165" s="11"/>
      <c r="CS165" s="11"/>
      <c r="CT165" s="11"/>
      <c r="CU165" s="11"/>
      <c r="CV165" s="11"/>
      <c r="CW165" s="11"/>
      <c r="CX165" s="11"/>
    </row>
    <row r="166" spans="1:102" s="9" customFormat="1" ht="11.25" customHeight="1" x14ac:dyDescent="0.2">
      <c r="A166" s="12"/>
      <c r="B166" s="658" t="s">
        <v>460</v>
      </c>
      <c r="C166" s="1013">
        <f>+C14/C$154</f>
        <v>0.22425734719781293</v>
      </c>
      <c r="D166" s="243">
        <f>+D14/D$154</f>
        <v>0.24954448754308464</v>
      </c>
      <c r="E166" s="243">
        <f>+E14/E$154</f>
        <v>0.28931181940932549</v>
      </c>
      <c r="F166" s="243">
        <f>+F14/F$154</f>
        <v>0.25546883350041866</v>
      </c>
      <c r="G166" s="1014">
        <f>+G14/G$154</f>
        <v>0.25526855007758009</v>
      </c>
      <c r="H166" s="136"/>
      <c r="I166" s="1013">
        <f>+I14/I$154</f>
        <v>0.21775355965115634</v>
      </c>
      <c r="J166" s="243">
        <f>+J14/J$154</f>
        <v>0.22775043396694306</v>
      </c>
      <c r="K166" s="243">
        <f>+K14/K$154</f>
        <v>0.29804387949741679</v>
      </c>
      <c r="L166" s="243">
        <f>+L14/L$154</f>
        <v>0.24543929248652346</v>
      </c>
      <c r="M166" s="1014">
        <f>+M14/M$154</f>
        <v>0.24821616091350704</v>
      </c>
      <c r="N166" s="136"/>
      <c r="O166" s="1013">
        <f>+O14/O$154</f>
        <v>0.2021418037558193</v>
      </c>
      <c r="P166" s="243">
        <f>+P14/P$154</f>
        <v>0.22468829867498136</v>
      </c>
      <c r="Q166" s="243">
        <f>+Q14/Q$154</f>
        <v>0.29497067284158401</v>
      </c>
      <c r="R166" s="243">
        <f>+R14/R$154</f>
        <v>0.21946084289458431</v>
      </c>
      <c r="S166" s="1014">
        <f>+S14/S$154</f>
        <v>0.23637212137312491</v>
      </c>
      <c r="T166" s="136"/>
      <c r="U166" s="1013">
        <f>+U14/U$154</f>
        <v>0.18704524816389492</v>
      </c>
      <c r="V166" s="243">
        <f>+V14/V$154</f>
        <v>0.2148092339294019</v>
      </c>
      <c r="W166" s="243">
        <f>+W14/W$154</f>
        <v>0.26368396408172823</v>
      </c>
      <c r="X166" s="243">
        <f>+X14/X$154</f>
        <v>0.20975267052347429</v>
      </c>
      <c r="Y166" s="1014">
        <f>+Y14/Y$154</f>
        <v>0.21914908864463076</v>
      </c>
      <c r="Z166" s="136"/>
      <c r="AA166" s="1013">
        <f>+AA14/AA$154</f>
        <v>0.18189381574441593</v>
      </c>
      <c r="AB166" s="243">
        <f>+AB14/AB$154</f>
        <v>0.23324205109783608</v>
      </c>
      <c r="AC166" s="243">
        <f>+AC14/AC$154</f>
        <v>0.23108834050809435</v>
      </c>
      <c r="AD166" s="243">
        <f>+AD14/AD$154</f>
        <v>0.21455249422677217</v>
      </c>
      <c r="AE166" s="1014">
        <f>+AE14/AE$154</f>
        <v>0.21511111137134947</v>
      </c>
      <c r="AF166" s="136"/>
      <c r="AG166" s="1013">
        <f>+AG14/AG$154</f>
        <v>0.19001984843442815</v>
      </c>
      <c r="AH166" s="243">
        <f>+AH14/AH$154</f>
        <v>0.20412895696571848</v>
      </c>
      <c r="AI166" s="243">
        <f>+AI14/AI$154</f>
        <v>0.25850753606024379</v>
      </c>
      <c r="AJ166" s="243">
        <f>+AJ14/AJ$154</f>
        <v>0.21500981487375231</v>
      </c>
      <c r="AK166" s="1014">
        <f>+AK14/AK$154</f>
        <v>0.21739442780289175</v>
      </c>
      <c r="AL166" s="136"/>
      <c r="AM166" s="1013">
        <f>+AM14/AM$154</f>
        <v>0.21584975681070592</v>
      </c>
      <c r="AN166" s="243">
        <f>+AN14/AN$154</f>
        <v>0.19524027523284898</v>
      </c>
      <c r="AO166" s="243">
        <f>+AO14/AO$154</f>
        <v>0.27737069271428744</v>
      </c>
      <c r="AP166" s="243">
        <f>+AP14/AP$154</f>
        <v>0.23690556753681344</v>
      </c>
      <c r="AQ166" s="1014">
        <f>+AQ14/AQ$154</f>
        <v>0.23201314633296058</v>
      </c>
      <c r="AR166" s="136"/>
      <c r="AS166" s="1013">
        <f>+AS14/AS$154</f>
        <v>0.18386592813520808</v>
      </c>
      <c r="AT166" s="243">
        <f>+AT14/AT$154</f>
        <v>0.16975693658806168</v>
      </c>
      <c r="AU166" s="243">
        <f>+AU14/AU$154</f>
        <v>0.23644866114517787</v>
      </c>
      <c r="AV166" s="243">
        <f>+AV14/AV$154</f>
        <v>0.18850769955275357</v>
      </c>
      <c r="AW166" s="1014">
        <f>+AW14/AW$154</f>
        <v>0.19566628073080913</v>
      </c>
      <c r="AX166" s="136"/>
      <c r="AY166" s="1013">
        <f>+AY14/AY$154</f>
        <v>0.15845577428548302</v>
      </c>
      <c r="AZ166" s="243">
        <f>+AZ14/AZ$154</f>
        <v>0.20032508024779702</v>
      </c>
      <c r="BA166" s="243">
        <f>+BA14/BA$154</f>
        <v>0.23026450301889784</v>
      </c>
      <c r="BB166" s="243">
        <f>+BB14/BB$154</f>
        <v>0.24429381456745064</v>
      </c>
      <c r="BC166" s="1014">
        <f>+BC14/BC$154</f>
        <v>0.20924833764397394</v>
      </c>
      <c r="BD166" s="136"/>
      <c r="BE166" s="1013">
        <f>+BE14/BE$154</f>
        <v>0.12570983576434766</v>
      </c>
      <c r="BF166" s="243">
        <f>+BF14/BF$154</f>
        <v>0.14163949294923014</v>
      </c>
      <c r="BG166" s="243">
        <f>+BG14/BG$154</f>
        <v>0.16585180600676871</v>
      </c>
      <c r="BH166" s="243">
        <f>+BH14/BH$154</f>
        <v>0.16111351864462742</v>
      </c>
      <c r="BI166" s="1014">
        <f>+BI14/BI$154</f>
        <v>0.14981204644102336</v>
      </c>
      <c r="BJ166" s="136"/>
      <c r="BK166" s="1013">
        <f>+BK14/BK$154</f>
        <v>0.1132377089781423</v>
      </c>
      <c r="BL166" s="243">
        <f>+BL14/BL$154</f>
        <v>0.14458896619121858</v>
      </c>
      <c r="BM166" s="243">
        <f>+BM14/BM$154</f>
        <v>0.16489768988234013</v>
      </c>
      <c r="BN166" s="243">
        <f>+BN14/BN$154</f>
        <v>0.1345942511999734</v>
      </c>
      <c r="BO166" s="1014">
        <f>+BO14/BO$154</f>
        <v>0.1396120631625207</v>
      </c>
      <c r="BP166" s="136"/>
      <c r="BQ166" s="1013">
        <f>+BQ14/BQ$154</f>
        <v>9.8045801175509817E-2</v>
      </c>
      <c r="BR166" s="243">
        <f>+BR14/BR$154</f>
        <v>0.12232696391883888</v>
      </c>
      <c r="BS166" s="243">
        <f>+BS14/BS$154</f>
        <v>0.15052115222124138</v>
      </c>
      <c r="BT166" s="243">
        <f>+BT14/BT$154</f>
        <v>0.14224646230677812</v>
      </c>
      <c r="BU166" s="1014">
        <f>+BU14/BU$154</f>
        <v>0.12883239514720418</v>
      </c>
      <c r="BV166" s="136"/>
      <c r="BW166" s="1013">
        <f>+BW14/BW$154</f>
        <v>0.10242558851028113</v>
      </c>
      <c r="BX166" s="243">
        <f>+BX14/BX$154</f>
        <v>0.12662849814026453</v>
      </c>
      <c r="BY166" s="243">
        <f>+BY14/BY$154</f>
        <v>0.14948189591865998</v>
      </c>
      <c r="BZ166" s="243">
        <f>+BZ14/BZ$154</f>
        <v>0.13705499533922211</v>
      </c>
      <c r="CA166" s="1014">
        <f>+CA14/CA$154</f>
        <v>0.12948694621269261</v>
      </c>
      <c r="CB166" s="136"/>
      <c r="CC166" s="1013">
        <f>+CC14/CC$154</f>
        <v>9.9942135075137412E-2</v>
      </c>
      <c r="CD166" s="243">
        <f>+CD14/CD$154</f>
        <v>0.12361035355745677</v>
      </c>
      <c r="CE166" s="243">
        <f>+CE14/CE$154</f>
        <v>0.14851134483383913</v>
      </c>
      <c r="CF166" s="243">
        <f>+CF14/CF$154</f>
        <v>0.13614548738381732</v>
      </c>
      <c r="CG166" s="1014">
        <f>+CG14/CG$154</f>
        <v>0.12767671023280416</v>
      </c>
      <c r="CH166" s="136"/>
      <c r="CI166" s="1013">
        <f>+CI14/CI$154</f>
        <v>9.925892713230669E-2</v>
      </c>
      <c r="CJ166" s="243">
        <f>+CJ14/CJ$154</f>
        <v>0.12275915652628067</v>
      </c>
      <c r="CK166" s="243">
        <f>+CK14/CK$154</f>
        <v>0.14753175435958307</v>
      </c>
      <c r="CL166" s="243">
        <f>+CL14/CL$154</f>
        <v>0.13522794739771871</v>
      </c>
      <c r="CM166" s="1014">
        <f>+CM14/CM$154</f>
        <v>0.12681322090260841</v>
      </c>
      <c r="CN166" s="11"/>
      <c r="CO166" s="11"/>
      <c r="CP166" s="11"/>
      <c r="CQ166" s="11"/>
      <c r="CR166" s="11"/>
      <c r="CS166" s="11"/>
      <c r="CT166" s="11"/>
      <c r="CU166" s="11"/>
      <c r="CV166" s="11"/>
      <c r="CW166" s="11"/>
      <c r="CX166" s="11"/>
    </row>
    <row r="167" spans="1:102" s="9" customFormat="1" ht="11.25" customHeight="1" x14ac:dyDescent="0.2">
      <c r="A167" s="12"/>
      <c r="B167" s="658" t="s">
        <v>37</v>
      </c>
      <c r="C167" s="1013">
        <f>+C21/C$154</f>
        <v>7.0625244092950595E-2</v>
      </c>
      <c r="D167" s="243">
        <f>+D21/D$154</f>
        <v>7.0658084067794655E-2</v>
      </c>
      <c r="E167" s="243">
        <f>+E21/E$154</f>
        <v>6.8640467713609987E-2</v>
      </c>
      <c r="F167" s="243">
        <f>+F21/F$154</f>
        <v>7.0101455334082838E-2</v>
      </c>
      <c r="G167" s="1014">
        <f>+G21/G$154</f>
        <v>6.9991831040473865E-2</v>
      </c>
      <c r="H167" s="136"/>
      <c r="I167" s="1013">
        <f>+I21/I$154</f>
        <v>7.3548302473756169E-2</v>
      </c>
      <c r="J167" s="243">
        <f>+J21/J$154</f>
        <v>7.4645009649699737E-2</v>
      </c>
      <c r="K167" s="243">
        <f>+K21/K$154</f>
        <v>7.5603709910341266E-2</v>
      </c>
      <c r="L167" s="243">
        <f>+L21/L$154</f>
        <v>6.815624084646732E-2</v>
      </c>
      <c r="M167" s="1014">
        <f>+M21/M$154</f>
        <v>7.2952574240619947E-2</v>
      </c>
      <c r="N167" s="136"/>
      <c r="O167" s="1013">
        <f>+O21/O$154</f>
        <v>7.6529288480747013E-2</v>
      </c>
      <c r="P167" s="243">
        <f>+P21/P$154</f>
        <v>7.4415934458780642E-2</v>
      </c>
      <c r="Q167" s="243">
        <f>+Q21/Q$154</f>
        <v>7.0531908466221052E-2</v>
      </c>
      <c r="R167" s="243">
        <f>+R21/R$154</f>
        <v>7.0755394391986498E-2</v>
      </c>
      <c r="S167" s="1014">
        <f>+S21/S$154</f>
        <v>7.2983333155582975E-2</v>
      </c>
      <c r="T167" s="136"/>
      <c r="U167" s="1013">
        <f>+U21/U$154</f>
        <v>7.312251212354938E-2</v>
      </c>
      <c r="V167" s="243">
        <f>+V21/V$154</f>
        <v>7.1885303533586686E-2</v>
      </c>
      <c r="W167" s="243">
        <f>+W21/W$154</f>
        <v>7.6520210124816482E-2</v>
      </c>
      <c r="X167" s="243">
        <f>+X21/X$154</f>
        <v>7.893946813458308E-2</v>
      </c>
      <c r="Y167" s="1014">
        <f>+Y21/Y$154</f>
        <v>7.5132144057409464E-2</v>
      </c>
      <c r="Z167" s="136"/>
      <c r="AA167" s="1013">
        <f>+AA21/AA$154</f>
        <v>7.3094787281989482E-2</v>
      </c>
      <c r="AB167" s="243">
        <f>+AB21/AB$154</f>
        <v>6.7898354820425139E-2</v>
      </c>
      <c r="AC167" s="243">
        <f>+AC21/AC$154</f>
        <v>7.8570302552598087E-2</v>
      </c>
      <c r="AD167" s="243">
        <f>+AD21/AD$154</f>
        <v>7.1233881068677923E-2</v>
      </c>
      <c r="AE167" s="1014">
        <f>+AE21/AE$154</f>
        <v>7.2630802957661042E-2</v>
      </c>
      <c r="AF167" s="136"/>
      <c r="AG167" s="1013">
        <f>+AG21/AG$154</f>
        <v>7.4898928750964683E-2</v>
      </c>
      <c r="AH167" s="243">
        <f>+AH21/AH$154</f>
        <v>7.4055142231947493E-2</v>
      </c>
      <c r="AI167" s="243">
        <f>+AI21/AI$154</f>
        <v>6.9621130017988225E-2</v>
      </c>
      <c r="AJ167" s="243">
        <f>+AJ21/AJ$154</f>
        <v>7.1007781411333987E-2</v>
      </c>
      <c r="AK167" s="1014">
        <f>+AK21/AK$154</f>
        <v>7.232791831569825E-2</v>
      </c>
      <c r="AL167" s="136"/>
      <c r="AM167" s="1013">
        <f>+AM21/AM$154</f>
        <v>7.3431358767466037E-2</v>
      </c>
      <c r="AN167" s="243">
        <f>+AN21/AN$154</f>
        <v>7.4332933960490913E-2</v>
      </c>
      <c r="AO167" s="243">
        <f>+AO21/AO$154</f>
        <v>6.9618643003687253E-2</v>
      </c>
      <c r="AP167" s="243">
        <f>+AP21/AP$154</f>
        <v>7.1869238589622284E-2</v>
      </c>
      <c r="AQ167" s="1014">
        <f>+AQ21/AQ$154</f>
        <v>7.2271838979965988E-2</v>
      </c>
      <c r="AR167" s="136"/>
      <c r="AS167" s="1013">
        <f>+AS21/AS$154</f>
        <v>7.3171424513563427E-2</v>
      </c>
      <c r="AT167" s="243">
        <f>+AT21/AT$154</f>
        <v>6.5552434138205148E-2</v>
      </c>
      <c r="AU167" s="243">
        <f>+AU21/AU$154</f>
        <v>5.9616931703672112E-2</v>
      </c>
      <c r="AV167" s="243">
        <f>+AV21/AV$154</f>
        <v>6.2759680131243098E-2</v>
      </c>
      <c r="AW167" s="1014">
        <f>+AW21/AW$154</f>
        <v>6.4863800734057384E-2</v>
      </c>
      <c r="AX167" s="136"/>
      <c r="AY167" s="1013">
        <f>+AY21/AY$154</f>
        <v>7.3273934028857582E-2</v>
      </c>
      <c r="AZ167" s="243">
        <f>+AZ21/AZ$154</f>
        <v>7.1673038784731455E-2</v>
      </c>
      <c r="BA167" s="243">
        <f>+BA21/BA$154</f>
        <v>7.0136695360452639E-2</v>
      </c>
      <c r="BB167" s="243">
        <f>+BB21/BB$154</f>
        <v>6.8697400443065673E-2</v>
      </c>
      <c r="BC167" s="1014">
        <f>+BC21/BC$154</f>
        <v>7.0893267857622302E-2</v>
      </c>
      <c r="BD167" s="136"/>
      <c r="BE167" s="1013">
        <f>+BE21/BE$154</f>
        <v>6.4219902526096578E-2</v>
      </c>
      <c r="BF167" s="243">
        <f>+BF21/BF$154</f>
        <v>5.1913677557748644E-2</v>
      </c>
      <c r="BG167" s="243">
        <f>+BG21/BG$154</f>
        <v>5.1027481113293111E-2</v>
      </c>
      <c r="BH167" s="243">
        <f>+BH21/BH$154</f>
        <v>5.0461214635052307E-2</v>
      </c>
      <c r="BI167" s="1014">
        <f>+BI21/BI$154</f>
        <v>5.3902173555883809E-2</v>
      </c>
      <c r="BJ167" s="136"/>
      <c r="BK167" s="1013">
        <f>+BK21/BK$154</f>
        <v>5.3424704826348139E-2</v>
      </c>
      <c r="BL167" s="243">
        <f>+BL21/BL$154</f>
        <v>5.0946207308912944E-2</v>
      </c>
      <c r="BM167" s="243">
        <f>+BM21/BM$154</f>
        <v>5.0615492286488359E-2</v>
      </c>
      <c r="BN167" s="243">
        <f>+BN21/BN$154</f>
        <v>5.0806487330384377E-2</v>
      </c>
      <c r="BO167" s="1014">
        <f>+BO21/BO$154</f>
        <v>5.1417927753115558E-2</v>
      </c>
      <c r="BP167" s="136"/>
      <c r="BQ167" s="1013">
        <f>+BQ21/BQ$154</f>
        <v>5.4263619389394335E-2</v>
      </c>
      <c r="BR167" s="243">
        <f>+BR21/BR$154</f>
        <v>5.2607385095440197E-2</v>
      </c>
      <c r="BS167" s="243">
        <f>+BS21/BS$154</f>
        <v>4.9869039326014275E-2</v>
      </c>
      <c r="BT167" s="243">
        <f>+BT21/BT$154</f>
        <v>5.1112260495185198E-2</v>
      </c>
      <c r="BU167" s="1014">
        <f>+BU21/BU$154</f>
        <v>5.1924349427685708E-2</v>
      </c>
      <c r="BV167" s="136"/>
      <c r="BW167" s="1013">
        <f>+BW21/BW$154</f>
        <v>5.5067974021666251E-2</v>
      </c>
      <c r="BX167" s="243">
        <f>+BX21/BX$154</f>
        <v>5.1912550718899955E-2</v>
      </c>
      <c r="BY167" s="243">
        <f>+BY21/BY$154</f>
        <v>4.9524724173901552E-2</v>
      </c>
      <c r="BZ167" s="243">
        <f>+BZ21/BZ$154</f>
        <v>5.0231790095514602E-2</v>
      </c>
      <c r="CA167" s="1014">
        <f>+CA21/CA$154</f>
        <v>5.1602661582941807E-2</v>
      </c>
      <c r="CB167" s="136"/>
      <c r="CC167" s="1013">
        <f>+CC21/CC$154</f>
        <v>5.480742847168308E-2</v>
      </c>
      <c r="CD167" s="243">
        <f>+CD21/CD$154</f>
        <v>5.1688738471423593E-2</v>
      </c>
      <c r="CE167" s="243">
        <f>+CE21/CE$154</f>
        <v>4.920317169106049E-2</v>
      </c>
      <c r="CF167" s="243">
        <f>+CF21/CF$154</f>
        <v>4.989844790252837E-2</v>
      </c>
      <c r="CG167" s="1014">
        <f>+CG21/CG$154</f>
        <v>5.1315212941672177E-2</v>
      </c>
      <c r="CH167" s="136"/>
      <c r="CI167" s="1013">
        <f>+CI21/CI$154</f>
        <v>5.4432762967190615E-2</v>
      </c>
      <c r="CJ167" s="243">
        <f>+CJ21/CJ$154</f>
        <v>5.13328030706591E-2</v>
      </c>
      <c r="CK167" s="243">
        <f>+CK21/CK$154</f>
        <v>4.8878624375529318E-2</v>
      </c>
      <c r="CL167" s="243">
        <f>+CL21/CL$154</f>
        <v>4.9562161903817625E-2</v>
      </c>
      <c r="CM167" s="1014">
        <f>+CM21/CM$154</f>
        <v>5.0968163438508574E-2</v>
      </c>
      <c r="CN167" s="11"/>
      <c r="CO167" s="11"/>
      <c r="CP167" s="11"/>
      <c r="CQ167" s="11"/>
      <c r="CR167" s="11"/>
      <c r="CS167" s="11"/>
      <c r="CT167" s="11"/>
      <c r="CU167" s="11"/>
      <c r="CV167" s="11"/>
      <c r="CW167" s="11"/>
      <c r="CX167" s="11"/>
    </row>
    <row r="168" spans="1:102" s="9" customFormat="1" ht="11.25" customHeight="1" x14ac:dyDescent="0.2">
      <c r="A168" s="12"/>
      <c r="B168" s="620" t="s">
        <v>311</v>
      </c>
      <c r="C168" s="1008">
        <f>+C152/C$154</f>
        <v>0.15273201034954109</v>
      </c>
      <c r="D168" s="379">
        <f>+D152/D$154</f>
        <v>0.13735519024936876</v>
      </c>
      <c r="E168" s="379">
        <f>+E152/E$154</f>
        <v>0.13285947449872726</v>
      </c>
      <c r="F168" s="379">
        <f>+F152/F$154</f>
        <v>0.14839753606541628</v>
      </c>
      <c r="G168" s="1009">
        <f>+G152/G$154</f>
        <v>0.14273380698528229</v>
      </c>
      <c r="H168" s="136"/>
      <c r="I168" s="1008">
        <f>+I152/I$154</f>
        <v>0.15741877351536848</v>
      </c>
      <c r="J168" s="379">
        <f>+J152/J$154</f>
        <v>0.14679942640891006</v>
      </c>
      <c r="K168" s="379">
        <f>+K152/K$154</f>
        <v>0.13851670515067971</v>
      </c>
      <c r="L168" s="379">
        <f>+L152/L$154</f>
        <v>0.15348258195141756</v>
      </c>
      <c r="M168" s="1009">
        <f>+M152/M$154</f>
        <v>0.148872072134561</v>
      </c>
      <c r="N168" s="136"/>
      <c r="O168" s="1008">
        <f>+O152/O$154</f>
        <v>0.16572226725763886</v>
      </c>
      <c r="P168" s="379">
        <f>+P152/P$154</f>
        <v>0.16273251687710102</v>
      </c>
      <c r="Q168" s="379">
        <f>+Q152/Q$154</f>
        <v>0.17912192379254346</v>
      </c>
      <c r="R168" s="379">
        <f>+R152/R$154</f>
        <v>0.20325330433756816</v>
      </c>
      <c r="S168" s="1009">
        <f>+S152/S$154</f>
        <v>0.17796011734110009</v>
      </c>
      <c r="T168" s="136"/>
      <c r="U168" s="1008">
        <f>+U152/U$154</f>
        <v>0.21426735006883416</v>
      </c>
      <c r="V168" s="379">
        <f>+V152/V$154</f>
        <v>0.19713332458025085</v>
      </c>
      <c r="W168" s="379">
        <f>+W152/W$154</f>
        <v>0.18506762721867515</v>
      </c>
      <c r="X168" s="379">
        <f>+X152/X$154</f>
        <v>0.19929327404578462</v>
      </c>
      <c r="Y168" s="1009">
        <f>+Y152/Y$154</f>
        <v>0.19879803890558279</v>
      </c>
      <c r="Z168" s="136"/>
      <c r="AA168" s="1008">
        <f>+AA152/AA$154</f>
        <v>0.21138826553006815</v>
      </c>
      <c r="AB168" s="379">
        <f>+AB152/AB$154</f>
        <v>0.18844805426550068</v>
      </c>
      <c r="AC168" s="379">
        <f>+AC152/AC$154</f>
        <v>0.18156308737039956</v>
      </c>
      <c r="AD168" s="379">
        <f>+AD152/AD$154</f>
        <v>0.2081224591857401</v>
      </c>
      <c r="AE168" s="1009">
        <f>+AE152/AE$154</f>
        <v>0.19758396005237039</v>
      </c>
      <c r="AF168" s="136"/>
      <c r="AG168" s="1008">
        <f>+AG152/AG$154</f>
        <v>0.21194044997651701</v>
      </c>
      <c r="AH168" s="379">
        <f>+AH152/AH$154</f>
        <v>0.20154631655725747</v>
      </c>
      <c r="AI168" s="379">
        <f>+AI152/AI$154</f>
        <v>0.19512530306246717</v>
      </c>
      <c r="AJ168" s="379">
        <f>+AJ152/AJ$154</f>
        <v>0.22160895577860037</v>
      </c>
      <c r="AK168" s="1009">
        <f>+AK152/AK$154</f>
        <v>0.20772523157621731</v>
      </c>
      <c r="AL168" s="136"/>
      <c r="AM168" s="1008">
        <f>+AM152/AM$154</f>
        <v>0.21489499283083582</v>
      </c>
      <c r="AN168" s="379">
        <f>+AN152/AN$154</f>
        <v>0.21261126415918949</v>
      </c>
      <c r="AO168" s="379">
        <f>+AO152/AO$154</f>
        <v>0.19152251269570383</v>
      </c>
      <c r="AP168" s="379">
        <f>+AP152/AP$154</f>
        <v>0.21179916118528436</v>
      </c>
      <c r="AQ168" s="1009">
        <f>+AQ152/AQ$154</f>
        <v>0.20764393167074124</v>
      </c>
      <c r="AR168" s="136"/>
      <c r="AS168" s="1008">
        <f>+AS152/AS$154</f>
        <v>0.22688027268853858</v>
      </c>
      <c r="AT168" s="379">
        <f>+AT152/AT$154</f>
        <v>0.30847968731540976</v>
      </c>
      <c r="AU168" s="379">
        <f>+AU152/AU$154</f>
        <v>0.30794168908790143</v>
      </c>
      <c r="AV168" s="379">
        <f>+AV152/AV$154</f>
        <v>0.32832460889756337</v>
      </c>
      <c r="AW168" s="1009">
        <f>+AW152/AW$154</f>
        <v>0.29604536735474801</v>
      </c>
      <c r="AX168" s="136"/>
      <c r="AY168" s="1008">
        <f>+AY150/AY$154</f>
        <v>0.41141437937453934</v>
      </c>
      <c r="AZ168" s="379">
        <f>+AZ150/AZ$154</f>
        <v>0.38485616732432382</v>
      </c>
      <c r="BA168" s="379">
        <f>+BA150/BA$154</f>
        <v>0.35239425512294648</v>
      </c>
      <c r="BB168" s="379">
        <f>+BB150/BB$154</f>
        <v>0.34392272532729956</v>
      </c>
      <c r="BC168" s="1009">
        <f>+BC150/BC$154</f>
        <v>0.3724419022390188</v>
      </c>
      <c r="BD168" s="136"/>
      <c r="BE168" s="1008">
        <f>+BE150/BE$154</f>
        <v>0.48762938916937193</v>
      </c>
      <c r="BF168" s="379">
        <f>+BF150/BF$154</f>
        <v>0.55747727125488589</v>
      </c>
      <c r="BG168" s="379">
        <f>+BG150/BG$154</f>
        <v>0.53518320623220283</v>
      </c>
      <c r="BH168" s="379">
        <f>+BH150/BH$154</f>
        <v>0.53707670401782959</v>
      </c>
      <c r="BI168" s="1009">
        <f>+BI150/BI$154</f>
        <v>0.53135452242308512</v>
      </c>
      <c r="BJ168" s="136"/>
      <c r="BK168" s="1008">
        <f>+BK150/BK$154</f>
        <v>0.57235844723498919</v>
      </c>
      <c r="BL168" s="379">
        <f>+BL150/BL$154</f>
        <v>0.56911766053865309</v>
      </c>
      <c r="BM168" s="379">
        <f>+BM150/BM$154</f>
        <v>0.54570429177239732</v>
      </c>
      <c r="BN168" s="379">
        <f>+BN150/BN$154</f>
        <v>0.57263230156840805</v>
      </c>
      <c r="BO168" s="1009">
        <f>+BO150/BO$154</f>
        <v>0.56494801566279462</v>
      </c>
      <c r="BP168" s="136"/>
      <c r="BQ168" s="1008">
        <f>+BQ150/BQ$154</f>
        <v>0.59514383317422159</v>
      </c>
      <c r="BR168" s="379">
        <f>+BR150/BR$154</f>
        <v>0.59432850533687132</v>
      </c>
      <c r="BS168" s="379">
        <f>+BS150/BS$154</f>
        <v>0.5779917715103452</v>
      </c>
      <c r="BT168" s="379">
        <f>+BT150/BT$154</f>
        <v>0.58327531671640875</v>
      </c>
      <c r="BU168" s="1009">
        <f>+BU150/BU$154</f>
        <v>0.58754810174623284</v>
      </c>
      <c r="BV168" s="136"/>
      <c r="BW168" s="1008">
        <f>+BW150/BW$154</f>
        <v>0.61580816987956377</v>
      </c>
      <c r="BX168" s="379">
        <f>+BX150/BX$154</f>
        <v>0.60921659103283055</v>
      </c>
      <c r="BY168" s="379">
        <f>+BY150/BY$154</f>
        <v>0.58525601595957477</v>
      </c>
      <c r="BZ168" s="379">
        <f>+BZ150/BZ$154</f>
        <v>0.59544992440023803</v>
      </c>
      <c r="CA168" s="1009">
        <f>+CA150/CA$154</f>
        <v>0.60111277633233373</v>
      </c>
      <c r="CB168" s="136"/>
      <c r="CC168" s="1008">
        <f>+CC150/CC$154</f>
        <v>0.62176986082815666</v>
      </c>
      <c r="CD168" s="379">
        <f>+CD150/CD$154</f>
        <v>0.61538850204074946</v>
      </c>
      <c r="CE168" s="379">
        <f>+CE150/CE$154</f>
        <v>0.59003344523580192</v>
      </c>
      <c r="CF168" s="379">
        <f>+CF150/CF$154</f>
        <v>0.60021774951270146</v>
      </c>
      <c r="CG168" s="1009">
        <f>+CG150/CG$154</f>
        <v>0.60650429256507821</v>
      </c>
      <c r="CH168" s="136"/>
      <c r="CI168" s="1008">
        <f>+CI150/CI$154</f>
        <v>0.62646500904101132</v>
      </c>
      <c r="CJ168" s="379">
        <f>+CJ150/CJ$154</f>
        <v>0.62001840102496752</v>
      </c>
      <c r="CK168" s="379">
        <f>+CK150/CK$154</f>
        <v>0.59478815207862545</v>
      </c>
      <c r="CL168" s="379">
        <f>+CL150/CL$154</f>
        <v>0.60496091813670405</v>
      </c>
      <c r="CM168" s="1009">
        <f>+CM150/CM$154</f>
        <v>0.61121181553852044</v>
      </c>
      <c r="CN168" s="11"/>
      <c r="CO168" s="11"/>
      <c r="CP168" s="11"/>
      <c r="CQ168" s="11"/>
      <c r="CR168" s="11"/>
      <c r="CS168" s="11"/>
      <c r="CT168" s="11"/>
      <c r="CU168" s="11"/>
      <c r="CV168" s="11"/>
      <c r="CW168" s="11"/>
      <c r="CX168" s="11"/>
    </row>
    <row r="169" spans="1:102" s="9" customFormat="1" ht="11.25" customHeight="1" x14ac:dyDescent="0.2">
      <c r="A169" s="12"/>
      <c r="B169" s="658" t="s">
        <v>459</v>
      </c>
      <c r="C169" s="1013">
        <f>+C91/C$154</f>
        <v>0.14128710212849052</v>
      </c>
      <c r="D169" s="243">
        <f>+D91/D$154</f>
        <v>0.12467862065786801</v>
      </c>
      <c r="E169" s="243">
        <f>+E91/E$154</f>
        <v>0.11796294260416579</v>
      </c>
      <c r="F169" s="243">
        <f>+F91/F$154</f>
        <v>0.13403495669985371</v>
      </c>
      <c r="G169" s="1014">
        <f>+G91/G$154</f>
        <v>0.12933757099597698</v>
      </c>
      <c r="H169" s="136"/>
      <c r="I169" s="1013">
        <f>+I91/I$154</f>
        <v>0.14684995644444065</v>
      </c>
      <c r="J169" s="243">
        <f>+J91/J$154</f>
        <v>0.13574270342537387</v>
      </c>
      <c r="K169" s="243">
        <f>+K91/K$154</f>
        <v>0.1243355394068571</v>
      </c>
      <c r="L169" s="243">
        <f>+L91/L$154</f>
        <v>0.14287347698063177</v>
      </c>
      <c r="M169" s="1014">
        <f>+M91/M$154</f>
        <v>0.1372361423789879</v>
      </c>
      <c r="N169" s="136"/>
      <c r="O169" s="1013">
        <f>+O91/O$154</f>
        <v>0.15489091346612729</v>
      </c>
      <c r="P169" s="243">
        <f>+P91/P$154</f>
        <v>0.15172997691784043</v>
      </c>
      <c r="Q169" s="243">
        <f>+Q91/Q$154</f>
        <v>0.16492010707464522</v>
      </c>
      <c r="R169" s="243">
        <f>+R91/R$154</f>
        <v>0.19388139774633151</v>
      </c>
      <c r="S169" s="1014">
        <f>+S91/S$154</f>
        <v>0.16657116623958104</v>
      </c>
      <c r="T169" s="136"/>
      <c r="U169" s="1013">
        <f>+U91/U$154</f>
        <v>0.20368322865729713</v>
      </c>
      <c r="V169" s="243">
        <f>+V91/V$154</f>
        <v>0.1867977338514831</v>
      </c>
      <c r="W169" s="243">
        <f>+W91/W$154</f>
        <v>0.172329907667995</v>
      </c>
      <c r="X169" s="243">
        <f>+X91/X$154</f>
        <v>0.18743248330999726</v>
      </c>
      <c r="Y169" s="1014">
        <f>+Y91/Y$154</f>
        <v>0.18741042127945595</v>
      </c>
      <c r="Z169" s="136"/>
      <c r="AA169" s="1013">
        <f>+AA91/AA$154</f>
        <v>0.19968062585094853</v>
      </c>
      <c r="AB169" s="243">
        <f>+AB91/AB$154</f>
        <v>0.17734606619439383</v>
      </c>
      <c r="AC169" s="243">
        <f>+AC91/AC$154</f>
        <v>0.16752925483538469</v>
      </c>
      <c r="AD169" s="243">
        <f>+AD91/AD$154</f>
        <v>0.19360594509521722</v>
      </c>
      <c r="AE169" s="1014">
        <f>+AE91/AE$154</f>
        <v>0.18473992818982618</v>
      </c>
      <c r="AF169" s="136"/>
      <c r="AG169" s="1013">
        <f>+AG91/AG$154</f>
        <v>0.19987326267196273</v>
      </c>
      <c r="AH169" s="243">
        <f>+AH91/AH$154</f>
        <v>0.18990751276440554</v>
      </c>
      <c r="AI169" s="243">
        <f>+AI91/AI$154</f>
        <v>0.17767225679586157</v>
      </c>
      <c r="AJ169" s="243">
        <f>+AJ91/AJ$154</f>
        <v>0.20790017237438776</v>
      </c>
      <c r="AK169" s="1014">
        <f>+AK91/AK$154</f>
        <v>0.19396373125138411</v>
      </c>
      <c r="AL169" s="136"/>
      <c r="AM169" s="1013">
        <f>+AM91/AM$154</f>
        <v>0.20396974893868253</v>
      </c>
      <c r="AN169" s="243">
        <f>+AN91/AN$154</f>
        <v>0.2013265789737694</v>
      </c>
      <c r="AO169" s="243">
        <f>+AO91/AO$154</f>
        <v>0.17668729206724604</v>
      </c>
      <c r="AP169" s="243">
        <f>+AP91/AP$154</f>
        <v>0.19818578077441645</v>
      </c>
      <c r="AQ169" s="1014">
        <f>+AQ91/AQ$154</f>
        <v>0.19493529659530434</v>
      </c>
      <c r="AR169" s="136"/>
      <c r="AS169" s="1013">
        <f>+AS91/AS$154</f>
        <v>0.21383439852293712</v>
      </c>
      <c r="AT169" s="243">
        <f>+AT91/AT$154</f>
        <v>0.29226377956697508</v>
      </c>
      <c r="AU169" s="243">
        <f>+AU91/AU$154</f>
        <v>0.28864880541693344</v>
      </c>
      <c r="AV169" s="243">
        <f>+AV91/AV$154</f>
        <v>0.31058991340895414</v>
      </c>
      <c r="AW169" s="1014">
        <f>+AW91/AW$154</f>
        <v>0.27928434941918906</v>
      </c>
      <c r="AX169" s="136"/>
      <c r="AY169" s="1013">
        <f>+AY36/AY$154</f>
        <v>0.39442636289666394</v>
      </c>
      <c r="AZ169" s="243">
        <f>+AZ36/AZ$154</f>
        <v>0.36760953568726873</v>
      </c>
      <c r="BA169" s="243">
        <f>+BA36/BA$154</f>
        <v>0.32949068877604237</v>
      </c>
      <c r="BB169" s="243">
        <f>+BB36/BB$154</f>
        <v>0.32110474648354059</v>
      </c>
      <c r="BC169" s="1014">
        <f>+BC36/BC$154</f>
        <v>0.35239620902281216</v>
      </c>
      <c r="BD169" s="136"/>
      <c r="BE169" s="1013">
        <f>+BE36/BE$154</f>
        <v>0.47009283645558991</v>
      </c>
      <c r="BF169" s="243">
        <f>+BF36/BF$154</f>
        <v>0.54351249991002082</v>
      </c>
      <c r="BG169" s="243">
        <f>+BG36/BG$154</f>
        <v>0.51825780435206259</v>
      </c>
      <c r="BH169" s="243">
        <f>+BH36/BH$154</f>
        <v>0.52052525502658609</v>
      </c>
      <c r="BI169" s="1014">
        <f>+BI36/BI$154</f>
        <v>0.51516391380775961</v>
      </c>
      <c r="BJ169" s="136"/>
      <c r="BK169" s="1013">
        <f>+BK36/BK$154</f>
        <v>0.55783016970421095</v>
      </c>
      <c r="BL169" s="243">
        <f>+BL36/BL$154</f>
        <v>0.55561431378729009</v>
      </c>
      <c r="BM169" s="243">
        <f>+BM36/BM$154</f>
        <v>0.52877306575412653</v>
      </c>
      <c r="BN169" s="243">
        <f>+BN36/BN$154</f>
        <v>0.55980698005303675</v>
      </c>
      <c r="BO169" s="1014">
        <f>+BO36/BO$154</f>
        <v>0.55051923548312054</v>
      </c>
      <c r="BP169" s="136"/>
      <c r="BQ169" s="1013">
        <f>+BQ36/BQ$154</f>
        <v>0.58271471457655177</v>
      </c>
      <c r="BR169" s="243">
        <f>+BR36/BR$154</f>
        <v>0.58082738643768628</v>
      </c>
      <c r="BS169" s="243">
        <f>+BS36/BS$154</f>
        <v>0.56128610507976173</v>
      </c>
      <c r="BT169" s="243">
        <f>+BT36/BT$154</f>
        <v>0.56992361945399628</v>
      </c>
      <c r="BU169" s="1014">
        <f>+BU36/BU$154</f>
        <v>0.57353967647526449</v>
      </c>
      <c r="BV169" s="136"/>
      <c r="BW169" s="1013">
        <f>+BW36/BW$154</f>
        <v>0.60294749259416813</v>
      </c>
      <c r="BX169" s="243">
        <f>+BX36/BX$154</f>
        <v>0.59563256257784392</v>
      </c>
      <c r="BY169" s="243">
        <f>+BY36/BY$154</f>
        <v>0.568340391445467</v>
      </c>
      <c r="BZ169" s="243">
        <f>+BZ36/BZ$154</f>
        <v>0.58207093804478771</v>
      </c>
      <c r="CA169" s="1014">
        <f>+CA36/CA$154</f>
        <v>0.58691816440101541</v>
      </c>
      <c r="CB169" s="136"/>
      <c r="CC169" s="1013">
        <f>+CC36/CC$154</f>
        <v>0.60891966300963496</v>
      </c>
      <c r="CD169" s="243">
        <f>+CD36/CD$154</f>
        <v>0.601786130906665</v>
      </c>
      <c r="CE169" s="243">
        <f>+CE36/CE$154</f>
        <v>0.5729539705773723</v>
      </c>
      <c r="CF169" s="243">
        <f>+CF36/CF$154</f>
        <v>0.58671133132903841</v>
      </c>
      <c r="CG169" s="1014">
        <f>+CG36/CG$154</f>
        <v>0.59223185241656462</v>
      </c>
      <c r="CH169" s="136"/>
      <c r="CI169" s="1013">
        <f>+CI36/CI$154</f>
        <v>0.61365055310015326</v>
      </c>
      <c r="CJ169" s="243">
        <f>+CJ36/CJ$154</f>
        <v>0.60643100824163199</v>
      </c>
      <c r="CK169" s="243">
        <f>+CK36/CK$154</f>
        <v>0.57754494558478542</v>
      </c>
      <c r="CL169" s="243">
        <f>+CL36/CL$154</f>
        <v>0.59132720376706183</v>
      </c>
      <c r="CM169" s="1014">
        <f>+CM36/CM$154</f>
        <v>0.59687692415261884</v>
      </c>
      <c r="CN169" s="11"/>
      <c r="CO169" s="11"/>
      <c r="CP169" s="11"/>
      <c r="CQ169" s="11"/>
      <c r="CR169" s="11"/>
      <c r="CS169" s="11"/>
      <c r="CT169" s="11"/>
      <c r="CU169" s="11"/>
      <c r="CV169" s="11"/>
      <c r="CW169" s="11"/>
      <c r="CX169" s="11"/>
    </row>
    <row r="170" spans="1:102" s="9" customFormat="1" ht="11.25" customHeight="1" x14ac:dyDescent="0.2">
      <c r="A170" s="12"/>
      <c r="B170" s="658" t="s">
        <v>460</v>
      </c>
      <c r="C170" s="1013">
        <f>+C98/C$154</f>
        <v>8.0871045694200366E-3</v>
      </c>
      <c r="D170" s="243">
        <f>+D98/D$154</f>
        <v>9.7195195549877357E-3</v>
      </c>
      <c r="E170" s="243">
        <f>+E98/E$154</f>
        <v>1.2453946051693178E-2</v>
      </c>
      <c r="F170" s="243">
        <f>+F98/F$154</f>
        <v>1.1649978420955078E-2</v>
      </c>
      <c r="G170" s="1014">
        <f>+G98/G$154</f>
        <v>1.054031628095789E-2</v>
      </c>
      <c r="H170" s="136"/>
      <c r="I170" s="1013">
        <f>+I98/I$154</f>
        <v>8.1094606096637732E-3</v>
      </c>
      <c r="J170" s="243">
        <f>+J98/J$154</f>
        <v>8.7184228401384397E-3</v>
      </c>
      <c r="K170" s="243">
        <f>+K98/K$154</f>
        <v>1.2042020938392115E-2</v>
      </c>
      <c r="L170" s="243">
        <f>+L98/L$154</f>
        <v>8.3775700550368197E-3</v>
      </c>
      <c r="M170" s="1014">
        <f>+M98/M$154</f>
        <v>9.3486273684617715E-3</v>
      </c>
      <c r="N170" s="136"/>
      <c r="O170" s="1013">
        <f>+O98/O$154</f>
        <v>8.2461864412476018E-3</v>
      </c>
      <c r="P170" s="243">
        <f>+P98/P$154</f>
        <v>7.8094859380534367E-3</v>
      </c>
      <c r="Q170" s="243">
        <f>+Q98/Q$154</f>
        <v>1.2593970824501895E-2</v>
      </c>
      <c r="R170" s="243">
        <f>+R98/R$154</f>
        <v>6.4624995512153087E-3</v>
      </c>
      <c r="S170" s="1014">
        <f>+S98/S$154</f>
        <v>8.829022563632211E-3</v>
      </c>
      <c r="T170" s="136"/>
      <c r="U170" s="1013">
        <f>+U98/U$154</f>
        <v>8.2664305914924279E-3</v>
      </c>
      <c r="V170" s="243">
        <f>+V98/V$154</f>
        <v>8.5367095690415742E-3</v>
      </c>
      <c r="W170" s="243">
        <f>+W98/W$154</f>
        <v>1.0898883529004347E-2</v>
      </c>
      <c r="X170" s="243">
        <f>+X98/X$154</f>
        <v>8.5670835988887282E-3</v>
      </c>
      <c r="Y170" s="1014">
        <f>+Y98/Y$154</f>
        <v>9.0767955282302724E-3</v>
      </c>
      <c r="Z170" s="136"/>
      <c r="AA170" s="1013">
        <f>+AA98/AA$154</f>
        <v>8.5597920420058208E-3</v>
      </c>
      <c r="AB170" s="243">
        <f>+AB98/AB$154</f>
        <v>8.5372993676333716E-3</v>
      </c>
      <c r="AC170" s="243">
        <f>+AC98/AC$154</f>
        <v>1.2034196325713939E-2</v>
      </c>
      <c r="AD170" s="243">
        <f>+AD98/AD$154</f>
        <v>1.1093875343536756E-2</v>
      </c>
      <c r="AE170" s="1014">
        <f>+AE98/AE$154</f>
        <v>1.004868148932333E-2</v>
      </c>
      <c r="AF170" s="136"/>
      <c r="AG170" s="1013">
        <f>+AG98/AG$154</f>
        <v>8.9294353934639414E-3</v>
      </c>
      <c r="AH170" s="243">
        <f>+AH98/AH$154</f>
        <v>8.6477024070021891E-3</v>
      </c>
      <c r="AI170" s="243">
        <f>+AI98/AI$154</f>
        <v>1.4991676256661786E-2</v>
      </c>
      <c r="AJ170" s="243">
        <f>+AJ98/AJ$154</f>
        <v>1.059878205853894E-2</v>
      </c>
      <c r="AK170" s="1014">
        <f>+AK98/AK$154</f>
        <v>1.0837860303914884E-2</v>
      </c>
      <c r="AL170" s="136"/>
      <c r="AM170" s="1013">
        <f>+AM98/AM$154</f>
        <v>8.1126823919705354E-3</v>
      </c>
      <c r="AN170" s="243">
        <f>+AN98/AN$154</f>
        <v>8.2611367942315023E-3</v>
      </c>
      <c r="AO170" s="243">
        <f>+AO98/AO$154</f>
        <v>1.2438568734775257E-2</v>
      </c>
      <c r="AP170" s="243">
        <f>+AP98/AP$154</f>
        <v>9.636938523192801E-3</v>
      </c>
      <c r="AQ170" s="1014">
        <f>+AQ98/AQ$154</f>
        <v>9.6417255854209238E-3</v>
      </c>
      <c r="AR170" s="136"/>
      <c r="AS170" s="1013">
        <f>+AS98/AS$154</f>
        <v>9.1611986933674179E-3</v>
      </c>
      <c r="AT170" s="243">
        <f>+AT98/AT$154</f>
        <v>9.5841751482228284E-3</v>
      </c>
      <c r="AU170" s="243">
        <f>+AU98/AU$154</f>
        <v>1.3491533501619595E-2</v>
      </c>
      <c r="AV170" s="243">
        <f>+AV98/AV$154</f>
        <v>1.0686186173924327E-2</v>
      </c>
      <c r="AW170" s="1014">
        <f>+AW98/AW$154</f>
        <v>1.0832452571107962E-2</v>
      </c>
      <c r="AX170" s="136"/>
      <c r="AY170" s="1013">
        <f>+AY43/AY$154</f>
        <v>8.1058111349200605E-3</v>
      </c>
      <c r="AZ170" s="243">
        <f>+AZ43/AZ$154</f>
        <v>8.635071865224591E-3</v>
      </c>
      <c r="BA170" s="243">
        <f>+BA43/BA$154</f>
        <v>1.5761066858051297E-2</v>
      </c>
      <c r="BB170" s="243">
        <f>+BB43/BB$154</f>
        <v>1.4978827334814085E-2</v>
      </c>
      <c r="BC170" s="1014">
        <f>+BC43/BC$154</f>
        <v>1.1933677076554678E-2</v>
      </c>
      <c r="BD170" s="136"/>
      <c r="BE170" s="1013">
        <f>+BE43/BE$154</f>
        <v>8.5862784043679516E-3</v>
      </c>
      <c r="BF170" s="243">
        <f>+BF43/BF$154</f>
        <v>7.948402329381446E-3</v>
      </c>
      <c r="BG170" s="243">
        <f>+BG43/BG$154</f>
        <v>1.173927599826677E-2</v>
      </c>
      <c r="BH170" s="243">
        <f>+BH43/BH$154</f>
        <v>8.7414102643471811E-3</v>
      </c>
      <c r="BI170" s="1014">
        <f>+BI43/BI$154</f>
        <v>9.2836007479900028E-3</v>
      </c>
      <c r="BJ170" s="136"/>
      <c r="BK170" s="1013">
        <f>+BK43/BK$154</f>
        <v>7.5530832250104325E-3</v>
      </c>
      <c r="BL170" s="243">
        <f>+BL43/BL$154</f>
        <v>8.5542584088317847E-3</v>
      </c>
      <c r="BM170" s="243">
        <f>+BM43/BM$154</f>
        <v>1.3321711900090022E-2</v>
      </c>
      <c r="BN170" s="243">
        <f>+BN43/BN$154</f>
        <v>8.8897685310775111E-3</v>
      </c>
      <c r="BO170" s="1014">
        <f>+BO43/BO$154</f>
        <v>9.5935600961680294E-3</v>
      </c>
      <c r="BP170" s="136"/>
      <c r="BQ170" s="1013">
        <f>+BQ43/BQ$154</f>
        <v>6.9671769744232672E-3</v>
      </c>
      <c r="BR170" s="243">
        <f>+BR43/BR$154</f>
        <v>8.5326436401712592E-3</v>
      </c>
      <c r="BS170" s="243">
        <f>+BS43/BS$154</f>
        <v>1.1324717027505378E-2</v>
      </c>
      <c r="BT170" s="243">
        <f>+BT43/BT$154</f>
        <v>9.0946626544878804E-3</v>
      </c>
      <c r="BU170" s="1014">
        <f>+BU43/BU$154</f>
        <v>9.0063189493445293E-3</v>
      </c>
      <c r="BV170" s="136"/>
      <c r="BW170" s="1013">
        <f>+BW43/BW$154</f>
        <v>7.2090883962678143E-3</v>
      </c>
      <c r="BX170" s="243">
        <f>+BX43/BX$154</f>
        <v>8.5850420894629225E-3</v>
      </c>
      <c r="BY170" s="243">
        <f>+BY43/BY$154</f>
        <v>1.1467046930561236E-2</v>
      </c>
      <c r="BZ170" s="243">
        <f>+BZ43/BZ$154</f>
        <v>9.1132509350973744E-3</v>
      </c>
      <c r="CA170" s="1014">
        <f>+CA43/CA$154</f>
        <v>9.1260223717342832E-3</v>
      </c>
      <c r="CB170" s="136"/>
      <c r="CC170" s="1013">
        <f>+CC43/CC$154</f>
        <v>7.280494123916563E-3</v>
      </c>
      <c r="CD170" s="243">
        <f>+CD43/CD$154</f>
        <v>8.6737354323430972E-3</v>
      </c>
      <c r="CE170" s="243">
        <f>+CE43/CE$154</f>
        <v>1.1560132217512009E-2</v>
      </c>
      <c r="CF170" s="243">
        <f>+CF43/CF$154</f>
        <v>9.1859037093090009E-3</v>
      </c>
      <c r="CG170" s="1014">
        <f>+CG43/CG$154</f>
        <v>9.2086451948936391E-3</v>
      </c>
      <c r="CH170" s="136"/>
      <c r="CI170" s="1013">
        <f>+CI43/CI$154</f>
        <v>7.3370585930859046E-3</v>
      </c>
      <c r="CJ170" s="243">
        <f>+CJ43/CJ$154</f>
        <v>8.7406835307622006E-3</v>
      </c>
      <c r="CK170" s="243">
        <f>+CK43/CK$154</f>
        <v>1.1652761435247436E-2</v>
      </c>
      <c r="CL170" s="243">
        <f>+CL43/CL$154</f>
        <v>9.2581725704780678E-3</v>
      </c>
      <c r="CM170" s="1014">
        <f>+CM43/CM$154</f>
        <v>9.2808716672584946E-3</v>
      </c>
      <c r="CN170" s="11"/>
      <c r="CO170" s="11"/>
      <c r="CP170" s="11"/>
      <c r="CQ170" s="11"/>
      <c r="CR170" s="11"/>
      <c r="CS170" s="11"/>
      <c r="CT170" s="11"/>
      <c r="CU170" s="11"/>
      <c r="CV170" s="11"/>
      <c r="CW170" s="11"/>
      <c r="CX170" s="11"/>
    </row>
    <row r="171" spans="1:102" s="9" customFormat="1" ht="11.25" customHeight="1" x14ac:dyDescent="0.2">
      <c r="A171" s="12"/>
      <c r="B171" s="658" t="s">
        <v>37</v>
      </c>
      <c r="C171" s="1013">
        <f>+C105/C$154</f>
        <v>3.3578036516305411E-3</v>
      </c>
      <c r="D171" s="243">
        <f>+D105/D$154</f>
        <v>2.9570500365130141E-3</v>
      </c>
      <c r="E171" s="243">
        <f>+E105/E$154</f>
        <v>2.4425858428682979E-3</v>
      </c>
      <c r="F171" s="243">
        <f>+F105/F$154</f>
        <v>2.7126009446074703E-3</v>
      </c>
      <c r="G171" s="1014">
        <f>+G105/G$154</f>
        <v>2.8559197083474186E-3</v>
      </c>
      <c r="H171" s="136"/>
      <c r="I171" s="1013">
        <f>+I105/I$154</f>
        <v>2.4593564612640667E-3</v>
      </c>
      <c r="J171" s="243">
        <f>+J105/J$154</f>
        <v>2.3383001433977726E-3</v>
      </c>
      <c r="K171" s="243">
        <f>+K105/K$154</f>
        <v>2.1391448054304931E-3</v>
      </c>
      <c r="L171" s="243">
        <f>+L105/L$154</f>
        <v>2.2315349157489583E-3</v>
      </c>
      <c r="M171" s="1014">
        <f>+M105/M$154</f>
        <v>2.2873023871113397E-3</v>
      </c>
      <c r="N171" s="136"/>
      <c r="O171" s="1013">
        <f>+O105/O$154</f>
        <v>2.5851673502639613E-3</v>
      </c>
      <c r="P171" s="243">
        <f>+P105/P$154</f>
        <v>3.1930540212071457E-3</v>
      </c>
      <c r="Q171" s="243">
        <f>+Q105/Q$154</f>
        <v>1.6078458933963648E-3</v>
      </c>
      <c r="R171" s="243">
        <f>+R105/R$154</f>
        <v>2.9094070400213366E-3</v>
      </c>
      <c r="S171" s="1014">
        <f>+S105/S$154</f>
        <v>2.5599285378868461E-3</v>
      </c>
      <c r="T171" s="136"/>
      <c r="U171" s="1013">
        <f>+U105/U$154</f>
        <v>2.3176908200446059E-3</v>
      </c>
      <c r="V171" s="243">
        <f>+V105/V$154</f>
        <v>1.7988811597261678E-3</v>
      </c>
      <c r="W171" s="243">
        <f>+W105/W$154</f>
        <v>1.8388360216758284E-3</v>
      </c>
      <c r="X171" s="243">
        <f>+X105/X$154</f>
        <v>3.2937071368986251E-3</v>
      </c>
      <c r="Y171" s="1014">
        <f>+Y105/Y$154</f>
        <v>2.3108220978965682E-3</v>
      </c>
      <c r="Z171" s="136"/>
      <c r="AA171" s="1013">
        <f>+AA105/AA$154</f>
        <v>3.1478476371137707E-3</v>
      </c>
      <c r="AB171" s="243">
        <f>+AB105/AB$154</f>
        <v>2.5646887034734677E-3</v>
      </c>
      <c r="AC171" s="243">
        <f>+AC105/AC$154</f>
        <v>1.9996362093009155E-3</v>
      </c>
      <c r="AD171" s="243">
        <f>+AD105/AD$154</f>
        <v>3.4226387469860975E-3</v>
      </c>
      <c r="AE171" s="1014">
        <f>+AE105/AE$154</f>
        <v>2.7953503732208477E-3</v>
      </c>
      <c r="AF171" s="136"/>
      <c r="AG171" s="1013">
        <f>+AG105/AG$154</f>
        <v>3.1377519110903419E-3</v>
      </c>
      <c r="AH171" s="243">
        <f>+AH105/AH$154</f>
        <v>2.9911013858497449E-3</v>
      </c>
      <c r="AI171" s="243">
        <f>+AI105/AI$154</f>
        <v>2.4613700099438002E-3</v>
      </c>
      <c r="AJ171" s="243">
        <f>+AJ105/AJ$154</f>
        <v>3.1100013456736592E-3</v>
      </c>
      <c r="AK171" s="1014">
        <f>+AK105/AK$154</f>
        <v>2.9236400209182948E-3</v>
      </c>
      <c r="AL171" s="136"/>
      <c r="AM171" s="1013">
        <f>+AM105/AM$154</f>
        <v>2.8125615001827428E-3</v>
      </c>
      <c r="AN171" s="243">
        <f>+AN105/AN$154</f>
        <v>3.023548391188582E-3</v>
      </c>
      <c r="AO171" s="243">
        <f>+AO105/AO$154</f>
        <v>2.3966518936825569E-3</v>
      </c>
      <c r="AP171" s="243">
        <f>+AP105/AP$154</f>
        <v>3.9764418876751034E-3</v>
      </c>
      <c r="AQ171" s="1014">
        <f>+AQ105/AQ$154</f>
        <v>3.0669094900159797E-3</v>
      </c>
      <c r="AR171" s="136"/>
      <c r="AS171" s="1013">
        <f>+AS105/AS$154</f>
        <v>3.8846754722340572E-3</v>
      </c>
      <c r="AT171" s="243">
        <f>+AT105/AT$154</f>
        <v>6.6317326002118459E-3</v>
      </c>
      <c r="AU171" s="243">
        <f>+AU105/AU$154</f>
        <v>5.8013501693484409E-3</v>
      </c>
      <c r="AV171" s="243">
        <f>+AV105/AV$154</f>
        <v>7.048509314684908E-3</v>
      </c>
      <c r="AW171" s="1014">
        <f>+AW105/AW$154</f>
        <v>5.9285653644510009E-3</v>
      </c>
      <c r="AX171" s="136"/>
      <c r="AY171" s="1013">
        <f>+AY50/AY$154</f>
        <v>8.8822053429553679E-3</v>
      </c>
      <c r="AZ171" s="243">
        <f>+AZ50/AZ$154</f>
        <v>8.6115597718304671E-3</v>
      </c>
      <c r="BA171" s="243">
        <f>+BA50/BA$154</f>
        <v>7.1424994888528185E-3</v>
      </c>
      <c r="BB171" s="243">
        <f>+BB50/BB$154</f>
        <v>7.8391515089448853E-3</v>
      </c>
      <c r="BC171" s="1014">
        <f>+BC50/BC$154</f>
        <v>8.1120161396519719E-3</v>
      </c>
      <c r="BD171" s="136"/>
      <c r="BE171" s="1013">
        <f>+BE50/BE$154</f>
        <v>8.9502743094140198E-3</v>
      </c>
      <c r="BF171" s="243">
        <f>+BF50/BF$154</f>
        <v>6.0163690154836202E-3</v>
      </c>
      <c r="BG171" s="243">
        <f>+BG50/BG$154</f>
        <v>5.1861258818734013E-3</v>
      </c>
      <c r="BH171" s="243">
        <f>+BH50/BH$154</f>
        <v>7.8100387268962759E-3</v>
      </c>
      <c r="BI171" s="1014">
        <f>+BI50/BI$154</f>
        <v>6.9070078673355486E-3</v>
      </c>
      <c r="BJ171" s="136"/>
      <c r="BK171" s="1013">
        <f>+BK50/BK$154</f>
        <v>6.9751943057677823E-3</v>
      </c>
      <c r="BL171" s="243">
        <f>+BL50/BL$154</f>
        <v>4.949088342531347E-3</v>
      </c>
      <c r="BM171" s="243">
        <f>+BM50/BM$154</f>
        <v>3.6095141181808157E-3</v>
      </c>
      <c r="BN171" s="243">
        <f>+BN50/BN$154</f>
        <v>3.9355529842937734E-3</v>
      </c>
      <c r="BO171" s="1014">
        <f>+BO50/BO$154</f>
        <v>4.8352200835060609E-3</v>
      </c>
      <c r="BP171" s="136"/>
      <c r="BQ171" s="1013">
        <f>+BQ50/BQ$154</f>
        <v>5.4619416232464151E-3</v>
      </c>
      <c r="BR171" s="243">
        <f>+BR50/BR$154</f>
        <v>4.9684752590137956E-3</v>
      </c>
      <c r="BS171" s="243">
        <f>+BS50/BS$154</f>
        <v>5.3809494030781944E-3</v>
      </c>
      <c r="BT171" s="243">
        <f>+BT50/BT$154</f>
        <v>4.2570346079245508E-3</v>
      </c>
      <c r="BU171" s="1014">
        <f>+BU50/BU$154</f>
        <v>5.0021063216237295E-3</v>
      </c>
      <c r="BV171" s="136"/>
      <c r="BW171" s="1013">
        <f>+BW50/BW$154</f>
        <v>5.6515888891278494E-3</v>
      </c>
      <c r="BX171" s="243">
        <f>+BX50/BX$154</f>
        <v>4.9989863655236994E-3</v>
      </c>
      <c r="BY171" s="243">
        <f>+BY50/BY$154</f>
        <v>5.4485775835464972E-3</v>
      </c>
      <c r="BZ171" s="243">
        <f>+BZ50/BZ$154</f>
        <v>4.2657354203529682E-3</v>
      </c>
      <c r="CA171" s="1014">
        <f>+CA50/CA$154</f>
        <v>5.0685895595840467E-3</v>
      </c>
      <c r="CB171" s="136"/>
      <c r="CC171" s="1013">
        <f>+CC50/CC$154</f>
        <v>5.569703694605202E-3</v>
      </c>
      <c r="CD171" s="243">
        <f>+CD50/CD$154</f>
        <v>4.928635701741407E-3</v>
      </c>
      <c r="CE171" s="243">
        <f>+CE50/CE$154</f>
        <v>5.5193424409177199E-3</v>
      </c>
      <c r="CF171" s="243">
        <f>+CF50/CF$154</f>
        <v>4.320514474354005E-3</v>
      </c>
      <c r="CG171" s="1014">
        <f>+CG50/CG$154</f>
        <v>5.0637949536199807E-3</v>
      </c>
      <c r="CH171" s="136"/>
      <c r="CI171" s="1013">
        <f>+CI50/CI$154</f>
        <v>5.4773973477721715E-3</v>
      </c>
      <c r="CJ171" s="243">
        <f>+CJ50/CJ$154</f>
        <v>4.8467092525733089E-3</v>
      </c>
      <c r="CK171" s="243">
        <f>+CK50/CK$154</f>
        <v>5.5904450585925183E-3</v>
      </c>
      <c r="CL171" s="243">
        <f>+CL50/CL$154</f>
        <v>4.3755417991642159E-3</v>
      </c>
      <c r="CM171" s="1014">
        <f>+CM50/CM$154</f>
        <v>5.0540197186431032E-3</v>
      </c>
      <c r="CN171" s="11"/>
      <c r="CO171" s="11"/>
      <c r="CP171" s="11"/>
      <c r="CQ171" s="11"/>
      <c r="CR171" s="11"/>
      <c r="CS171" s="11"/>
      <c r="CT171" s="11"/>
      <c r="CU171" s="11"/>
      <c r="CV171" s="11"/>
      <c r="CW171" s="11"/>
      <c r="CX171" s="11"/>
    </row>
    <row r="172" spans="1:102" s="31" customFormat="1" ht="11.25" customHeight="1" x14ac:dyDescent="0.2">
      <c r="B172" s="613" t="s">
        <v>461</v>
      </c>
      <c r="C172" s="1010">
        <f>+C153/C$154</f>
        <v>0.12611214850615116</v>
      </c>
      <c r="D172" s="1011">
        <f>+D153/D$154</f>
        <v>0.12489467399711643</v>
      </c>
      <c r="E172" s="1011">
        <f>+E153/E$154</f>
        <v>0.11005448953761414</v>
      </c>
      <c r="F172" s="1011">
        <f>+F153/F$154</f>
        <v>0.11754558996026476</v>
      </c>
      <c r="G172" s="1012">
        <f>+G153/G$154</f>
        <v>0.11947621460564224</v>
      </c>
      <c r="H172" s="85"/>
      <c r="I172" s="1010">
        <f>+I153/I$154</f>
        <v>0.13011350108282971</v>
      </c>
      <c r="J172" s="1011">
        <f>+J153/J$154</f>
        <v>0.13283566399637733</v>
      </c>
      <c r="K172" s="1011">
        <f>+K153/K$154</f>
        <v>0.10860986477824713</v>
      </c>
      <c r="L172" s="1011">
        <f>+L153/L$154</f>
        <v>0.12436856683299333</v>
      </c>
      <c r="M172" s="1012">
        <f>+M153/M$154</f>
        <v>0.12372441791172195</v>
      </c>
      <c r="N172" s="85"/>
      <c r="O172" s="1010">
        <f>+O153/O$154</f>
        <v>0.13537511813394743</v>
      </c>
      <c r="P172" s="1011">
        <f>+P153/P$154</f>
        <v>0.13040169277948441</v>
      </c>
      <c r="Q172" s="1011">
        <f>+Q153/Q$154</f>
        <v>0.10062723251991619</v>
      </c>
      <c r="R172" s="1011">
        <f>+R153/R$154</f>
        <v>0.11261033692190121</v>
      </c>
      <c r="S172" s="1012">
        <f>+S153/S$154</f>
        <v>0.11930895826324314</v>
      </c>
      <c r="T172" s="85"/>
      <c r="U172" s="1010">
        <f>+U153/U$154</f>
        <v>0.13856371560033889</v>
      </c>
      <c r="V172" s="1011">
        <f>+V153/V$154</f>
        <v>0.14372643263214602</v>
      </c>
      <c r="W172" s="1011">
        <f>+W153/W$154</f>
        <v>0.1173538320464733</v>
      </c>
      <c r="X172" s="1011">
        <f>+X153/X$154</f>
        <v>0.12736815943658786</v>
      </c>
      <c r="Y172" s="1012">
        <f>+Y153/Y$154</f>
        <v>0.13167979252332757</v>
      </c>
      <c r="Z172" s="85"/>
      <c r="AA172" s="1010">
        <f>+AA153/AA$154</f>
        <v>0.15000700175455731</v>
      </c>
      <c r="AB172" s="1011">
        <f>+AB153/AB$154</f>
        <v>0.15468140244969175</v>
      </c>
      <c r="AC172" s="1011">
        <f>+AC153/AC$154</f>
        <v>0.14294064148426605</v>
      </c>
      <c r="AD172" s="1011">
        <f>+AD153/AD$154</f>
        <v>0.14342044373238474</v>
      </c>
      <c r="AE172" s="1012">
        <f>+AE153/AE$154</f>
        <v>0.14777004349363757</v>
      </c>
      <c r="AF172" s="85"/>
      <c r="AG172" s="1010">
        <f>+AG153/AG$154</f>
        <v>0.15866003006766405</v>
      </c>
      <c r="AH172" s="1011">
        <f>+AH153/AH$154</f>
        <v>0.15588037928519327</v>
      </c>
      <c r="AI172" s="1011">
        <f>+AI153/AI$154</f>
        <v>0.1288738924952236</v>
      </c>
      <c r="AJ172" s="1011">
        <f>+AJ153/AJ$154</f>
        <v>0.13880944192990965</v>
      </c>
      <c r="AK172" s="1012">
        <f>+AK153/AK$154</f>
        <v>0.14518925881186007</v>
      </c>
      <c r="AL172" s="85"/>
      <c r="AM172" s="1010">
        <f>+AM153/AM$154</f>
        <v>0.14703027917568667</v>
      </c>
      <c r="AN172" s="1011">
        <f>+AN153/AN$154</f>
        <v>0.15413985122112378</v>
      </c>
      <c r="AO172" s="1011">
        <f>+AO153/AO$154</f>
        <v>0.12442827022877928</v>
      </c>
      <c r="AP172" s="1011">
        <f>+AP153/AP$154</f>
        <v>0.12811873985033159</v>
      </c>
      <c r="AQ172" s="1012">
        <f>+AQ153/AQ$154</f>
        <v>0.13801697563958329</v>
      </c>
      <c r="AR172" s="85"/>
      <c r="AS172" s="1010">
        <f>+AS153/AS$154</f>
        <v>0.1433989490129243</v>
      </c>
      <c r="AT172" s="1011">
        <f>+AT153/AT$154</f>
        <v>0.1278110276582495</v>
      </c>
      <c r="AU172" s="1011">
        <f>+AU153/AU$154</f>
        <v>9.9117097496118439E-2</v>
      </c>
      <c r="AV172" s="1011">
        <f>+AV153/AV$154</f>
        <v>0.1065170582454765</v>
      </c>
      <c r="AW172" s="1012">
        <f>+AW153/AW$154</f>
        <v>0.11776736311478535</v>
      </c>
      <c r="AX172" s="85"/>
      <c r="AY172" s="1010">
        <f>+AY151/AY$154</f>
        <v>1.0417953556929186E-2</v>
      </c>
      <c r="AZ172" s="1011">
        <f>+AZ151/AZ$154</f>
        <v>9.3128335139334717E-3</v>
      </c>
      <c r="BA172" s="1011">
        <f>+BA151/BA$154</f>
        <v>1.0596394013110402E-2</v>
      </c>
      <c r="BB172" s="1011">
        <f>+BB151/BB$154</f>
        <v>9.8950689862723085E-3</v>
      </c>
      <c r="BC172" s="1012">
        <f>+BC151/BC$154</f>
        <v>1.0046882211480071E-2</v>
      </c>
      <c r="BD172" s="85"/>
      <c r="BE172" s="1010">
        <f>+BE151/BE$154</f>
        <v>9.1488970749079076E-3</v>
      </c>
      <c r="BF172" s="1011">
        <f>+BF151/BF$154</f>
        <v>9.6709640731062977E-3</v>
      </c>
      <c r="BG172" s="1011">
        <f>+BG151/BG$154</f>
        <v>9.6291331067570977E-3</v>
      </c>
      <c r="BH172" s="1011">
        <f>+BH151/BH$154</f>
        <v>7.4564752333587843E-3</v>
      </c>
      <c r="BI172" s="1012">
        <f>+BI151/BI$154</f>
        <v>8.951672293794552E-3</v>
      </c>
      <c r="BJ172" s="85"/>
      <c r="BK172" s="1010">
        <f>+BK151/BK$154</f>
        <v>1.1099970279998438E-2</v>
      </c>
      <c r="BL172" s="1011">
        <f>+BL151/BL$154</f>
        <v>6.7280525665243075E-3</v>
      </c>
      <c r="BM172" s="1011">
        <f>+BM151/BM$154</f>
        <v>6.0812154988700582E-3</v>
      </c>
      <c r="BN172" s="1011">
        <f>+BN151/BN$154</f>
        <v>7.0946525751678854E-3</v>
      </c>
      <c r="BO172" s="1012">
        <f>+BO151/BO$154</f>
        <v>7.7026679351282386E-3</v>
      </c>
      <c r="BP172" s="85"/>
      <c r="BQ172" s="1010">
        <f>+BQ151/BQ$154</f>
        <v>7.0331220789577598E-3</v>
      </c>
      <c r="BR172" s="1011">
        <f>+BR151/BR$154</f>
        <v>6.1512393765916617E-3</v>
      </c>
      <c r="BS172" s="1011">
        <f>+BS151/BS$154</f>
        <v>1.8018908947064548E-3</v>
      </c>
      <c r="BT172" s="1011">
        <f>+BT151/BT$154</f>
        <v>3.5558631861256421E-3</v>
      </c>
      <c r="BU172" s="1012">
        <f>+BU151/BU$154</f>
        <v>4.594455933173181E-3</v>
      </c>
      <c r="BV172" s="85"/>
      <c r="BW172" s="1010">
        <f>+BW151/BW$154</f>
        <v>6.8574776489566591E-3</v>
      </c>
      <c r="BX172" s="1011">
        <f>+BX151/BX$154</f>
        <v>5.8319552796114085E-3</v>
      </c>
      <c r="BY172" s="1011">
        <f>+BY151/BY$154</f>
        <v>1.7192754348996434E-3</v>
      </c>
      <c r="BZ172" s="1011">
        <f>+BZ151/BZ$154</f>
        <v>3.3575656533609E-3</v>
      </c>
      <c r="CA172" s="1012">
        <f>+CA151/CA$154</f>
        <v>4.3869333159900015E-3</v>
      </c>
      <c r="CB172" s="85"/>
      <c r="CC172" s="1010">
        <f>+CC151/CC$154</f>
        <v>6.825032560549343E-3</v>
      </c>
      <c r="CD172" s="1011">
        <f>+CD151/CD$154</f>
        <v>5.8068117834773171E-3</v>
      </c>
      <c r="CE172" s="1011">
        <f>+CE151/CE$154</f>
        <v>1.7081125805071906E-3</v>
      </c>
      <c r="CF172" s="1011">
        <f>+CF151/CF$154</f>
        <v>3.3352845780526461E-3</v>
      </c>
      <c r="CG172" s="1012">
        <f>+CG151/CG$154</f>
        <v>4.3624962427395277E-3</v>
      </c>
      <c r="CH172" s="85"/>
      <c r="CI172" s="1010">
        <f>+CI151/CI$154</f>
        <v>6.7783763984417388E-3</v>
      </c>
      <c r="CJ172" s="1011">
        <f>+CJ151/CJ$154</f>
        <v>5.7668253194923507E-3</v>
      </c>
      <c r="CK172" s="1011">
        <f>+CK151/CK$154</f>
        <v>1.6968457590081742E-3</v>
      </c>
      <c r="CL172" s="1011">
        <f>+CL151/CL$154</f>
        <v>3.3128067345031646E-3</v>
      </c>
      <c r="CM172" s="1012">
        <f>+CM151/CM$154</f>
        <v>4.3329922795519111E-3</v>
      </c>
      <c r="CN172" s="11"/>
      <c r="CO172" s="11"/>
      <c r="CP172" s="11"/>
      <c r="CQ172" s="11"/>
      <c r="CR172" s="11"/>
      <c r="CS172" s="11"/>
      <c r="CT172" s="11"/>
      <c r="CU172" s="11"/>
      <c r="CV172" s="11"/>
      <c r="CW172" s="11"/>
      <c r="CX172" s="11"/>
    </row>
    <row r="173" spans="1:102" s="9" customFormat="1" ht="11.25" customHeight="1" x14ac:dyDescent="0.2">
      <c r="A173" s="12"/>
      <c r="B173" s="1128" t="s">
        <v>505</v>
      </c>
      <c r="C173" s="1013"/>
      <c r="D173" s="243"/>
      <c r="E173" s="243"/>
      <c r="F173" s="243"/>
      <c r="G173" s="1014"/>
      <c r="H173" s="136"/>
      <c r="I173" s="1013"/>
      <c r="J173" s="243"/>
      <c r="K173" s="243"/>
      <c r="L173" s="243"/>
      <c r="M173" s="1014"/>
      <c r="N173" s="136"/>
      <c r="O173" s="1013"/>
      <c r="P173" s="243"/>
      <c r="Q173" s="243"/>
      <c r="R173" s="243"/>
      <c r="S173" s="1014"/>
      <c r="T173" s="136"/>
      <c r="U173" s="1013"/>
      <c r="V173" s="243"/>
      <c r="W173" s="243"/>
      <c r="X173" s="243"/>
      <c r="Y173" s="1014"/>
      <c r="Z173" s="136"/>
      <c r="AA173" s="1013"/>
      <c r="AB173" s="243"/>
      <c r="AC173" s="243"/>
      <c r="AD173" s="243"/>
      <c r="AE173" s="1014"/>
      <c r="AF173" s="136"/>
      <c r="AG173" s="1013"/>
      <c r="AH173" s="243"/>
      <c r="AI173" s="243"/>
      <c r="AJ173" s="243"/>
      <c r="AK173" s="1014"/>
      <c r="AL173" s="136"/>
      <c r="AM173" s="1013"/>
      <c r="AN173" s="243"/>
      <c r="AO173" s="243"/>
      <c r="AP173" s="243"/>
      <c r="AQ173" s="1014"/>
      <c r="AR173" s="136"/>
      <c r="AS173" s="1013"/>
      <c r="AT173" s="243"/>
      <c r="AU173" s="243"/>
      <c r="AV173" s="243"/>
      <c r="AW173" s="1014"/>
      <c r="AX173" s="136"/>
      <c r="AY173" s="1013"/>
      <c r="AZ173" s="243"/>
      <c r="BA173" s="243"/>
      <c r="BB173" s="243"/>
      <c r="BC173" s="1014"/>
      <c r="BD173" s="136"/>
      <c r="BE173" s="1013"/>
      <c r="BF173" s="243"/>
      <c r="BG173" s="243"/>
      <c r="BH173" s="243"/>
      <c r="BI173" s="1014"/>
      <c r="BJ173" s="136"/>
      <c r="BK173" s="1013"/>
      <c r="BL173" s="243"/>
      <c r="BM173" s="243"/>
      <c r="BN173" s="243"/>
      <c r="BO173" s="1014"/>
      <c r="BP173" s="136"/>
      <c r="BQ173" s="1013"/>
      <c r="BR173" s="243"/>
      <c r="BS173" s="243"/>
      <c r="BT173" s="243"/>
      <c r="BU173" s="1014"/>
      <c r="BV173" s="136"/>
      <c r="BW173" s="1013"/>
      <c r="BX173" s="243"/>
      <c r="BY173" s="243"/>
      <c r="BZ173" s="243"/>
      <c r="CA173" s="1014"/>
      <c r="CB173" s="136"/>
      <c r="CC173" s="1013"/>
      <c r="CD173" s="243"/>
      <c r="CE173" s="243"/>
      <c r="CF173" s="243"/>
      <c r="CG173" s="1014"/>
      <c r="CH173" s="136"/>
      <c r="CI173" s="1013"/>
      <c r="CJ173" s="243"/>
      <c r="CK173" s="243"/>
      <c r="CL173" s="243"/>
      <c r="CM173" s="1014"/>
      <c r="CN173" s="11"/>
      <c r="CO173" s="11"/>
      <c r="CP173" s="11"/>
      <c r="CQ173" s="11"/>
      <c r="CR173" s="11"/>
      <c r="CS173" s="11"/>
      <c r="CT173" s="11"/>
      <c r="CU173" s="11"/>
      <c r="CV173" s="11"/>
      <c r="CW173" s="11"/>
      <c r="CX173" s="11"/>
    </row>
    <row r="174" spans="1:102" s="9" customFormat="1" ht="11.25" customHeight="1" x14ac:dyDescent="0.2">
      <c r="A174" s="12"/>
      <c r="B174" s="658" t="s">
        <v>459</v>
      </c>
      <c r="C174" s="1013">
        <f>+(C7+C91+C120)/C$154</f>
        <v>0.66181989601640312</v>
      </c>
      <c r="D174" s="243">
        <f t="shared" ref="D174:G174" si="116">+(D7+D91+D120)/D$154</f>
        <v>0.63432396189971374</v>
      </c>
      <c r="E174" s="243">
        <f t="shared" si="116"/>
        <v>0.59328761060699597</v>
      </c>
      <c r="F174" s="243">
        <f t="shared" si="116"/>
        <v>0.62549330779023793</v>
      </c>
      <c r="G174" s="1014">
        <f t="shared" si="116"/>
        <v>0.62802789310169604</v>
      </c>
      <c r="H174" s="136"/>
      <c r="I174" s="1013">
        <f>+(I7+I91+I120)/I$154</f>
        <v>0.66257201637289831</v>
      </c>
      <c r="J174" s="243">
        <f t="shared" ref="J174:M174" si="117">+(J7+J91+J120)/J$154</f>
        <v>0.64777787361588812</v>
      </c>
      <c r="K174" s="243">
        <f t="shared" si="117"/>
        <v>0.57883173347954686</v>
      </c>
      <c r="L174" s="243">
        <f t="shared" si="117"/>
        <v>0.63518194011212925</v>
      </c>
      <c r="M174" s="1014">
        <f t="shared" si="117"/>
        <v>0.63010528794032405</v>
      </c>
      <c r="N174" s="136"/>
      <c r="O174" s="1013">
        <f t="shared" ref="O174:S174" si="118">+(O7+O91+O120)/O$154</f>
        <v>0.66972773065863289</v>
      </c>
      <c r="P174" s="243">
        <f t="shared" si="118"/>
        <v>0.65010711544108268</v>
      </c>
      <c r="Q174" s="243">
        <f t="shared" si="118"/>
        <v>0.58715474160412218</v>
      </c>
      <c r="R174" s="243">
        <f t="shared" si="118"/>
        <v>0.66517841114832466</v>
      </c>
      <c r="S174" s="1014">
        <f t="shared" si="118"/>
        <v>0.64212224894941461</v>
      </c>
      <c r="T174" s="136"/>
      <c r="U174" s="1013">
        <f t="shared" ref="U174:Y174" si="119">+(U7+U91+U120)/U$154</f>
        <v>0.69244496117551246</v>
      </c>
      <c r="V174" s="243">
        <f t="shared" si="119"/>
        <v>0.6609636653001224</v>
      </c>
      <c r="W174" s="243">
        <f t="shared" si="119"/>
        <v>0.61108496202828</v>
      </c>
      <c r="X174" s="243">
        <f t="shared" si="119"/>
        <v>0.66196992477502625</v>
      </c>
      <c r="Y174" s="1014">
        <f t="shared" si="119"/>
        <v>0.6562592667641941</v>
      </c>
      <c r="Z174" s="136"/>
      <c r="AA174" s="1013">
        <f t="shared" ref="AA174:AE174" si="120">+(AA7+AA91+AA120)/AA$154</f>
        <v>0.69029415606499034</v>
      </c>
      <c r="AB174" s="243">
        <f t="shared" si="120"/>
        <v>0.63835206796250121</v>
      </c>
      <c r="AC174" s="243">
        <f t="shared" si="120"/>
        <v>0.63058388407203059</v>
      </c>
      <c r="AD174" s="243">
        <f t="shared" si="120"/>
        <v>0.65503082637773946</v>
      </c>
      <c r="AE174" s="1014">
        <f t="shared" si="120"/>
        <v>0.6537149937113399</v>
      </c>
      <c r="AF174" s="136"/>
      <c r="AG174" s="1013">
        <f t="shared" ref="AG174:AK174" si="121">+(AG7+AG91+AG120)/AG$154</f>
        <v>0.67848368345405241</v>
      </c>
      <c r="AH174" s="243">
        <f t="shared" si="121"/>
        <v>0.66517520058351565</v>
      </c>
      <c r="AI174" s="243">
        <f t="shared" si="121"/>
        <v>0.61549668726187945</v>
      </c>
      <c r="AJ174" s="243">
        <f t="shared" si="121"/>
        <v>0.65840501359557591</v>
      </c>
      <c r="AK174" s="1014">
        <f t="shared" si="121"/>
        <v>0.65399624002414247</v>
      </c>
      <c r="AL174" s="136"/>
      <c r="AM174" s="1013">
        <f t="shared" ref="AM174:AQ174" si="122">+(AM7+AM91+AM120)/AM$154</f>
        <v>0.66075290280862542</v>
      </c>
      <c r="AN174" s="243">
        <f t="shared" si="122"/>
        <v>0.67661639335188373</v>
      </c>
      <c r="AO174" s="243">
        <f t="shared" si="122"/>
        <v>0.60178236653815376</v>
      </c>
      <c r="AP174" s="243">
        <f t="shared" si="122"/>
        <v>0.64039886707159965</v>
      </c>
      <c r="AQ174" s="1014">
        <f t="shared" si="122"/>
        <v>0.64428633799734525</v>
      </c>
      <c r="AR174" s="136"/>
      <c r="AS174" s="1013">
        <f t="shared" ref="AS174:AW174" si="123">+(AS7+AS91+AS120)/AS$154</f>
        <v>0.6930254225252096</v>
      </c>
      <c r="AT174" s="243">
        <f t="shared" si="123"/>
        <v>0.71547724646938327</v>
      </c>
      <c r="AU174" s="243">
        <f t="shared" si="123"/>
        <v>0.65727052986157486</v>
      </c>
      <c r="AV174" s="243">
        <f t="shared" si="123"/>
        <v>0.70256978414393922</v>
      </c>
      <c r="AW174" s="1014">
        <f t="shared" si="123"/>
        <v>0.6916063257388867</v>
      </c>
      <c r="AX174" s="136"/>
      <c r="AY174" s="1013">
        <f t="shared" ref="AY174:BC174" si="124">+AY169+AY165</f>
        <v>0.74086432165085481</v>
      </c>
      <c r="AZ174" s="243">
        <f t="shared" si="124"/>
        <v>0.70144241581648303</v>
      </c>
      <c r="BA174" s="243">
        <f t="shared" si="124"/>
        <v>0.66609884126063501</v>
      </c>
      <c r="BB174" s="243">
        <f t="shared" si="124"/>
        <v>0.65429573715945244</v>
      </c>
      <c r="BC174" s="1014">
        <f t="shared" si="124"/>
        <v>0.68976581907071721</v>
      </c>
      <c r="BD174" s="136"/>
      <c r="BE174" s="1013">
        <f t="shared" ref="BE174:BI174" si="125">+BE169+BE165</f>
        <v>0.78338481192086595</v>
      </c>
      <c r="BF174" s="243">
        <f t="shared" si="125"/>
        <v>0.7828110940750499</v>
      </c>
      <c r="BG174" s="243">
        <f t="shared" si="125"/>
        <v>0.75656617789304081</v>
      </c>
      <c r="BH174" s="243">
        <f t="shared" si="125"/>
        <v>0.76441734249571802</v>
      </c>
      <c r="BI174" s="1014">
        <f t="shared" si="125"/>
        <v>0.77114349909397273</v>
      </c>
      <c r="BJ174" s="136"/>
      <c r="BK174" s="1013">
        <f t="shared" ref="BK174:BO174" si="126">+BK169+BK165</f>
        <v>0.80770933838473291</v>
      </c>
      <c r="BL174" s="243">
        <f t="shared" si="126"/>
        <v>0.78423342718198108</v>
      </c>
      <c r="BM174" s="243">
        <f t="shared" si="126"/>
        <v>0.76147437631403059</v>
      </c>
      <c r="BN174" s="243">
        <f t="shared" si="126"/>
        <v>0.79467928737910287</v>
      </c>
      <c r="BO174" s="1014">
        <f t="shared" si="126"/>
        <v>0.78683856096956128</v>
      </c>
      <c r="BP174" s="136"/>
      <c r="BQ174" s="1013">
        <f t="shared" ref="BQ174:BU174" si="127">+BQ169+BQ165</f>
        <v>0.82822833875846813</v>
      </c>
      <c r="BR174" s="243">
        <f t="shared" si="127"/>
        <v>0.80541329270994433</v>
      </c>
      <c r="BS174" s="243">
        <f t="shared" si="127"/>
        <v>0.78110225112745435</v>
      </c>
      <c r="BT174" s="243">
        <f t="shared" si="127"/>
        <v>0.78973371674949866</v>
      </c>
      <c r="BU174" s="1014">
        <f t="shared" si="127"/>
        <v>0.80064037422096856</v>
      </c>
      <c r="BV174" s="136"/>
      <c r="BW174" s="1013">
        <f t="shared" ref="BW174:CA174" si="128">+BW169+BW165</f>
        <v>0.82278828253370029</v>
      </c>
      <c r="BX174" s="243">
        <f t="shared" si="128"/>
        <v>0.80204296740623748</v>
      </c>
      <c r="BY174" s="243">
        <f t="shared" si="128"/>
        <v>0.78235847995843111</v>
      </c>
      <c r="BZ174" s="243">
        <f t="shared" si="128"/>
        <v>0.79597666255645194</v>
      </c>
      <c r="CA174" s="1014">
        <f t="shared" si="128"/>
        <v>0.8003288469570573</v>
      </c>
      <c r="CB174" s="136"/>
      <c r="CC174" s="1013">
        <f t="shared" ref="CC174:CG174" si="129">+CC169+CC165</f>
        <v>0.82557520607410839</v>
      </c>
      <c r="CD174" s="243">
        <f t="shared" si="129"/>
        <v>0.80529172505355795</v>
      </c>
      <c r="CE174" s="243">
        <f t="shared" si="129"/>
        <v>0.7834978962361635</v>
      </c>
      <c r="CF174" s="243">
        <f t="shared" si="129"/>
        <v>0.79711436195193852</v>
      </c>
      <c r="CG174" s="1014">
        <f t="shared" si="129"/>
        <v>0.80237314043427044</v>
      </c>
      <c r="CH174" s="136"/>
      <c r="CI174" s="1013">
        <f t="shared" ref="CI174:CM174" si="130">+CI169+CI165</f>
        <v>0.82671547756120289</v>
      </c>
      <c r="CJ174" s="243">
        <f t="shared" si="130"/>
        <v>0.80655382230023231</v>
      </c>
      <c r="CK174" s="243">
        <f t="shared" si="130"/>
        <v>0.78464956901203942</v>
      </c>
      <c r="CL174" s="243">
        <f t="shared" si="130"/>
        <v>0.79826336959431832</v>
      </c>
      <c r="CM174" s="1014">
        <f t="shared" si="130"/>
        <v>0.80355073199342952</v>
      </c>
      <c r="CN174" s="11"/>
      <c r="CO174" s="11"/>
      <c r="CP174" s="11"/>
      <c r="CQ174" s="11"/>
      <c r="CR174" s="11"/>
      <c r="CS174" s="11"/>
      <c r="CT174" s="11"/>
      <c r="CU174" s="11"/>
      <c r="CV174" s="11"/>
      <c r="CW174" s="11"/>
      <c r="CX174" s="11"/>
    </row>
    <row r="175" spans="1:102" s="9" customFormat="1" ht="11.25" customHeight="1" x14ac:dyDescent="0.2">
      <c r="A175" s="12"/>
      <c r="B175" s="658" t="s">
        <v>460</v>
      </c>
      <c r="C175" s="1013">
        <f>+(C14+C98+C127)/C$154</f>
        <v>0.25850206258543257</v>
      </c>
      <c r="D175" s="243">
        <f t="shared" ref="D175:G175" si="131">+(D14+D98+D127)/D$154</f>
        <v>0.28601861227499842</v>
      </c>
      <c r="E175" s="243">
        <f t="shared" si="131"/>
        <v>0.33003661764581516</v>
      </c>
      <c r="F175" s="243">
        <f t="shared" si="131"/>
        <v>0.29617002393312247</v>
      </c>
      <c r="G175" s="1014">
        <f t="shared" si="131"/>
        <v>0.29341466081665291</v>
      </c>
      <c r="H175" s="136"/>
      <c r="I175" s="1013">
        <f>+(I14+I98+I127)/I$154</f>
        <v>0.25605251189401812</v>
      </c>
      <c r="J175" s="243">
        <f t="shared" ref="J175:M175" si="132">+(J14+J98+J127)/J$154</f>
        <v>0.26870505342375661</v>
      </c>
      <c r="K175" s="243">
        <f t="shared" si="132"/>
        <v>0.33747519132603809</v>
      </c>
      <c r="L175" s="243">
        <f t="shared" si="132"/>
        <v>0.28762005580764349</v>
      </c>
      <c r="M175" s="1014">
        <f t="shared" si="132"/>
        <v>0.28847321648605129</v>
      </c>
      <c r="N175" s="136"/>
      <c r="O175" s="1013">
        <f t="shared" ref="O175:S175" si="133">+(O14+O98+O127)/O$154</f>
        <v>0.24371823154657002</v>
      </c>
      <c r="P175" s="243">
        <f t="shared" si="133"/>
        <v>0.26461661625810939</v>
      </c>
      <c r="Q175" s="243">
        <f t="shared" si="133"/>
        <v>0.33461936344591953</v>
      </c>
      <c r="R175" s="243">
        <f t="shared" si="133"/>
        <v>0.25427114801688455</v>
      </c>
      <c r="S175" s="1014">
        <f t="shared" si="133"/>
        <v>0.27533338698162746</v>
      </c>
      <c r="T175" s="136"/>
      <c r="U175" s="1013">
        <f t="shared" ref="U175:Y175" si="134">+(U14+U98+U127)/U$154</f>
        <v>0.22499838521541224</v>
      </c>
      <c r="V175" s="243">
        <f t="shared" si="134"/>
        <v>0.25768543139403471</v>
      </c>
      <c r="W175" s="243">
        <f t="shared" si="134"/>
        <v>0.30402251476677999</v>
      </c>
      <c r="X175" s="243">
        <f t="shared" si="134"/>
        <v>0.24909752178374481</v>
      </c>
      <c r="Y175" s="1014">
        <f t="shared" si="134"/>
        <v>0.2592951822710739</v>
      </c>
      <c r="Z175" s="136"/>
      <c r="AA175" s="1013">
        <f t="shared" ref="AA175:AE175" si="135">+(AA14+AA98+AA127)/AA$154</f>
        <v>0.22619903575837239</v>
      </c>
      <c r="AB175" s="243">
        <f t="shared" si="135"/>
        <v>0.28405997569435537</v>
      </c>
      <c r="AC175" s="243">
        <f t="shared" si="135"/>
        <v>0.28205177954283639</v>
      </c>
      <c r="AD175" s="243">
        <f t="shared" si="135"/>
        <v>0.26303516209730249</v>
      </c>
      <c r="AE175" s="1014">
        <f t="shared" si="135"/>
        <v>0.2637396096580702</v>
      </c>
      <c r="AF175" s="136"/>
      <c r="AG175" s="1013">
        <f t="shared" ref="AG175:AK175" si="136">+(AG14+AG98+AG127)/AG$154</f>
        <v>0.23559808454347417</v>
      </c>
      <c r="AH175" s="243">
        <f t="shared" si="136"/>
        <v>0.24977388767323122</v>
      </c>
      <c r="AI175" s="243">
        <f t="shared" si="136"/>
        <v>0.30565791090801425</v>
      </c>
      <c r="AJ175" s="243">
        <f t="shared" si="136"/>
        <v>0.25989871135727211</v>
      </c>
      <c r="AK175" s="1014">
        <f t="shared" si="136"/>
        <v>0.26320424950242682</v>
      </c>
      <c r="AL175" s="136"/>
      <c r="AM175" s="1013">
        <f t="shared" ref="AM175:AQ175" si="137">+(AM14+AM98+AM127)/AM$154</f>
        <v>0.25532570496780899</v>
      </c>
      <c r="AN175" s="243">
        <f t="shared" si="137"/>
        <v>0.23860893711088535</v>
      </c>
      <c r="AO175" s="243">
        <f t="shared" si="137"/>
        <v>0.31961837003650123</v>
      </c>
      <c r="AP175" s="243">
        <f t="shared" si="137"/>
        <v>0.27678605664849276</v>
      </c>
      <c r="AQ175" s="1014">
        <f t="shared" si="137"/>
        <v>0.27322245720073512</v>
      </c>
      <c r="AR175" s="136"/>
      <c r="AS175" s="1013">
        <f t="shared" ref="AS175:AW175" si="138">+(AS14+AS98+AS127)/AS$154</f>
        <v>0.22285811674478057</v>
      </c>
      <c r="AT175" s="243">
        <f t="shared" si="138"/>
        <v>0.20580897326282446</v>
      </c>
      <c r="AU175" s="243">
        <f t="shared" si="138"/>
        <v>0.27155694347077947</v>
      </c>
      <c r="AV175" s="243">
        <f t="shared" si="138"/>
        <v>0.22173314568764252</v>
      </c>
      <c r="AW175" s="1014">
        <f t="shared" si="138"/>
        <v>0.2313370893382041</v>
      </c>
      <c r="AX175" s="136"/>
      <c r="AY175" s="1013">
        <f t="shared" ref="AY175:BC175" si="139">+AY170+AY166</f>
        <v>0.16656158542040309</v>
      </c>
      <c r="AZ175" s="243">
        <f t="shared" si="139"/>
        <v>0.2089601521130216</v>
      </c>
      <c r="BA175" s="243">
        <f t="shared" si="139"/>
        <v>0.24602556987694912</v>
      </c>
      <c r="BB175" s="243">
        <f t="shared" si="139"/>
        <v>0.25927264190226473</v>
      </c>
      <c r="BC175" s="1014">
        <f t="shared" si="139"/>
        <v>0.22118201472052862</v>
      </c>
      <c r="BD175" s="136"/>
      <c r="BE175" s="1013">
        <f t="shared" ref="BE175:BI175" si="140">+BE170+BE166</f>
        <v>0.13429611416871562</v>
      </c>
      <c r="BF175" s="243">
        <f t="shared" si="140"/>
        <v>0.1495878952786116</v>
      </c>
      <c r="BG175" s="243">
        <f t="shared" si="140"/>
        <v>0.17759108200503548</v>
      </c>
      <c r="BH175" s="243">
        <f t="shared" si="140"/>
        <v>0.16985492890897461</v>
      </c>
      <c r="BI175" s="1014">
        <f t="shared" si="140"/>
        <v>0.15909564718901337</v>
      </c>
      <c r="BJ175" s="136"/>
      <c r="BK175" s="1013">
        <f t="shared" ref="BK175:BO175" si="141">+BK170+BK166</f>
        <v>0.12079079220315272</v>
      </c>
      <c r="BL175" s="243">
        <f t="shared" si="141"/>
        <v>0.15314322460005036</v>
      </c>
      <c r="BM175" s="243">
        <f t="shared" si="141"/>
        <v>0.17821940178243015</v>
      </c>
      <c r="BN175" s="243">
        <f t="shared" si="141"/>
        <v>0.1434840197310509</v>
      </c>
      <c r="BO175" s="1014">
        <f t="shared" si="141"/>
        <v>0.14920562325868872</v>
      </c>
      <c r="BP175" s="136"/>
      <c r="BQ175" s="1013">
        <f t="shared" ref="BQ175:BU175" si="142">+BQ170+BQ166</f>
        <v>0.10501297814993309</v>
      </c>
      <c r="BR175" s="243">
        <f t="shared" si="142"/>
        <v>0.13085960755901013</v>
      </c>
      <c r="BS175" s="243">
        <f t="shared" si="142"/>
        <v>0.16184586924874675</v>
      </c>
      <c r="BT175" s="243">
        <f t="shared" si="142"/>
        <v>0.151341124961266</v>
      </c>
      <c r="BU175" s="1014">
        <f t="shared" si="142"/>
        <v>0.13783871409654871</v>
      </c>
      <c r="BV175" s="136"/>
      <c r="BW175" s="1013">
        <f t="shared" ref="BW175:CA175" si="143">+BW170+BW166</f>
        <v>0.10963467690654895</v>
      </c>
      <c r="BX175" s="243">
        <f t="shared" si="143"/>
        <v>0.13521354022972745</v>
      </c>
      <c r="BY175" s="243">
        <f t="shared" si="143"/>
        <v>0.16094894284922123</v>
      </c>
      <c r="BZ175" s="243">
        <f t="shared" si="143"/>
        <v>0.14616824627431949</v>
      </c>
      <c r="CA175" s="1014">
        <f t="shared" si="143"/>
        <v>0.1386129685844269</v>
      </c>
      <c r="CB175" s="136"/>
      <c r="CC175" s="1013">
        <f t="shared" ref="CC175:CG175" si="144">+CC170+CC166</f>
        <v>0.10722262919905398</v>
      </c>
      <c r="CD175" s="243">
        <f t="shared" si="144"/>
        <v>0.13228408898979988</v>
      </c>
      <c r="CE175" s="243">
        <f t="shared" si="144"/>
        <v>0.16007147705135114</v>
      </c>
      <c r="CF175" s="243">
        <f t="shared" si="144"/>
        <v>0.14533139109312632</v>
      </c>
      <c r="CG175" s="1014">
        <f t="shared" si="144"/>
        <v>0.13688535542769781</v>
      </c>
      <c r="CH175" s="136"/>
      <c r="CI175" s="1013">
        <f t="shared" ref="CI175:CM175" si="145">+CI170+CI166</f>
        <v>0.1065959857253926</v>
      </c>
      <c r="CJ175" s="243">
        <f t="shared" si="145"/>
        <v>0.13149984005704288</v>
      </c>
      <c r="CK175" s="243">
        <f t="shared" si="145"/>
        <v>0.15918451579483051</v>
      </c>
      <c r="CL175" s="243">
        <f t="shared" si="145"/>
        <v>0.14448611996819677</v>
      </c>
      <c r="CM175" s="1014">
        <f t="shared" si="145"/>
        <v>0.1360940925698669</v>
      </c>
      <c r="CN175" s="11"/>
      <c r="CO175" s="11"/>
      <c r="CP175" s="11"/>
      <c r="CQ175" s="11"/>
      <c r="CR175" s="11"/>
      <c r="CS175" s="11"/>
      <c r="CT175" s="11"/>
      <c r="CU175" s="11"/>
      <c r="CV175" s="11"/>
      <c r="CW175" s="11"/>
      <c r="CX175" s="11"/>
    </row>
    <row r="176" spans="1:102" s="31" customFormat="1" ht="11.25" customHeight="1" x14ac:dyDescent="0.2">
      <c r="B176" s="662" t="s">
        <v>506</v>
      </c>
      <c r="C176" s="1195">
        <f>+(C21+C105+C134)/C$154</f>
        <v>7.9678041398164423E-2</v>
      </c>
      <c r="D176" s="1196">
        <f t="shared" ref="D176:G176" si="146">+(D21+D105+D134)/D$154</f>
        <v>7.9657425825287731E-2</v>
      </c>
      <c r="E176" s="1196">
        <f t="shared" si="146"/>
        <v>7.6675771747188828E-2</v>
      </c>
      <c r="F176" s="1196">
        <f t="shared" si="146"/>
        <v>7.8336668276639279E-2</v>
      </c>
      <c r="G176" s="1197">
        <f t="shared" si="146"/>
        <v>7.8557446081650995E-2</v>
      </c>
      <c r="H176" s="85"/>
      <c r="I176" s="1195">
        <f>+(I21+I105+I134)/I$154</f>
        <v>8.1375471733083557E-2</v>
      </c>
      <c r="J176" s="1196">
        <f t="shared" ref="J176:M176" si="147">+(J21+J105+J134)/J$154</f>
        <v>8.3517072960355376E-2</v>
      </c>
      <c r="K176" s="1196">
        <f t="shared" si="147"/>
        <v>8.3693075194415059E-2</v>
      </c>
      <c r="L176" s="1196">
        <f t="shared" si="147"/>
        <v>7.7198004080227353E-2</v>
      </c>
      <c r="M176" s="1197">
        <f t="shared" si="147"/>
        <v>8.1421495573624714E-2</v>
      </c>
      <c r="N176" s="85"/>
      <c r="O176" s="1195">
        <f t="shared" ref="O176:S176" si="148">+(O21+O105+O134)/O$154</f>
        <v>8.6554037794797131E-2</v>
      </c>
      <c r="P176" s="1196">
        <f t="shared" si="148"/>
        <v>8.5276268300808075E-2</v>
      </c>
      <c r="Q176" s="1196">
        <f t="shared" si="148"/>
        <v>7.8225894949958269E-2</v>
      </c>
      <c r="R176" s="1196">
        <f t="shared" si="148"/>
        <v>8.0550440834790807E-2</v>
      </c>
      <c r="S176" s="1197">
        <f t="shared" si="148"/>
        <v>8.2544364068958112E-2</v>
      </c>
      <c r="T176" s="85"/>
      <c r="U176" s="1195">
        <f t="shared" ref="U176:Y176" si="149">+(U21+U105+U134)/U$154</f>
        <v>8.2556653609075215E-2</v>
      </c>
      <c r="V176" s="1196">
        <f t="shared" si="149"/>
        <v>8.1350903305842936E-2</v>
      </c>
      <c r="W176" s="1196">
        <f t="shared" si="149"/>
        <v>8.4892523204939993E-2</v>
      </c>
      <c r="X176" s="1196">
        <f t="shared" si="149"/>
        <v>8.8932553441228815E-2</v>
      </c>
      <c r="Y176" s="1197">
        <f t="shared" si="149"/>
        <v>8.4445550964731941E-2</v>
      </c>
      <c r="Z176" s="85"/>
      <c r="AA176" s="1195">
        <f t="shared" ref="AA176:AE176" si="150">+(AA21+AA105+AA134)/AA$154</f>
        <v>8.3506808176637207E-2</v>
      </c>
      <c r="AB176" s="1196">
        <f t="shared" si="150"/>
        <v>7.7587956343143444E-2</v>
      </c>
      <c r="AC176" s="1196">
        <f t="shared" si="150"/>
        <v>8.7364336385133093E-2</v>
      </c>
      <c r="AD176" s="1196">
        <f t="shared" si="150"/>
        <v>8.1934011524958106E-2</v>
      </c>
      <c r="AE176" s="1197">
        <f t="shared" si="150"/>
        <v>8.254539663058981E-2</v>
      </c>
      <c r="AF176" s="85"/>
      <c r="AG176" s="1195">
        <f t="shared" ref="AG176:AK176" si="151">+(AG21+AG105+AG134)/AG$154</f>
        <v>8.591823200247338E-2</v>
      </c>
      <c r="AH176" s="1196">
        <f t="shared" si="151"/>
        <v>8.5050911743253105E-2</v>
      </c>
      <c r="AI176" s="1196">
        <f t="shared" si="151"/>
        <v>7.8845401830106243E-2</v>
      </c>
      <c r="AJ176" s="1196">
        <f t="shared" si="151"/>
        <v>8.1696275047151989E-2</v>
      </c>
      <c r="AK176" s="1197">
        <f t="shared" si="151"/>
        <v>8.2799510473430579E-2</v>
      </c>
      <c r="AL176" s="85"/>
      <c r="AM176" s="1195">
        <f t="shared" ref="AM176:AQ176" si="152">+(AM21+AM105+AM134)/AM$154</f>
        <v>8.3921392223565455E-2</v>
      </c>
      <c r="AN176" s="1196">
        <f t="shared" si="152"/>
        <v>8.4774669537231034E-2</v>
      </c>
      <c r="AO176" s="1196">
        <f t="shared" si="152"/>
        <v>7.8599263425345123E-2</v>
      </c>
      <c r="AP176" s="1196">
        <f t="shared" si="152"/>
        <v>8.2815076279907515E-2</v>
      </c>
      <c r="AQ176" s="1197">
        <f t="shared" si="152"/>
        <v>8.249120480191971E-2</v>
      </c>
      <c r="AR176" s="85"/>
      <c r="AS176" s="1195">
        <f t="shared" ref="AS176:AW176" si="153">+(AS21+AS105+AS134)/AS$154</f>
        <v>8.4116460730009945E-2</v>
      </c>
      <c r="AT176" s="1196">
        <f t="shared" si="153"/>
        <v>7.8713780267792244E-2</v>
      </c>
      <c r="AU176" s="1196">
        <f t="shared" si="153"/>
        <v>7.1172526667645744E-2</v>
      </c>
      <c r="AV176" s="1196">
        <f t="shared" si="153"/>
        <v>7.5697070168418354E-2</v>
      </c>
      <c r="AW176" s="1197">
        <f t="shared" si="153"/>
        <v>7.7056584922909219E-2</v>
      </c>
      <c r="AX176" s="85"/>
      <c r="AY176" s="1195">
        <f t="shared" ref="AY176:BC176" si="154">+AY171+AY167</f>
        <v>8.2156139371812945E-2</v>
      </c>
      <c r="AZ176" s="1196">
        <f t="shared" si="154"/>
        <v>8.028459855656192E-2</v>
      </c>
      <c r="BA176" s="1196">
        <f t="shared" si="154"/>
        <v>7.7279194849305455E-2</v>
      </c>
      <c r="BB176" s="1196">
        <f t="shared" si="154"/>
        <v>7.6536551952010562E-2</v>
      </c>
      <c r="BC176" s="1197">
        <f t="shared" si="154"/>
        <v>7.9005283997274273E-2</v>
      </c>
      <c r="BD176" s="85"/>
      <c r="BE176" s="1195">
        <f t="shared" ref="BE176:BI176" si="155">+BE171+BE167</f>
        <v>7.3170176835510595E-2</v>
      </c>
      <c r="BF176" s="1196">
        <f t="shared" si="155"/>
        <v>5.7930046573232266E-2</v>
      </c>
      <c r="BG176" s="1196">
        <f t="shared" si="155"/>
        <v>5.6213606995166511E-2</v>
      </c>
      <c r="BH176" s="1196">
        <f t="shared" si="155"/>
        <v>5.8271253361948584E-2</v>
      </c>
      <c r="BI176" s="1197">
        <f t="shared" si="155"/>
        <v>6.0809181423219359E-2</v>
      </c>
      <c r="BJ176" s="85"/>
      <c r="BK176" s="1195">
        <f t="shared" ref="BK176:BO176" si="156">+BK171+BK167</f>
        <v>6.0399899132115922E-2</v>
      </c>
      <c r="BL176" s="1196">
        <f t="shared" si="156"/>
        <v>5.5895295651444292E-2</v>
      </c>
      <c r="BM176" s="1196">
        <f t="shared" si="156"/>
        <v>5.4225006404669172E-2</v>
      </c>
      <c r="BN176" s="1196">
        <f t="shared" si="156"/>
        <v>5.474204031467815E-2</v>
      </c>
      <c r="BO176" s="1197">
        <f t="shared" si="156"/>
        <v>5.6253147836621623E-2</v>
      </c>
      <c r="BP176" s="85"/>
      <c r="BQ176" s="1195">
        <f t="shared" ref="BQ176:BU176" si="157">+BQ171+BQ167</f>
        <v>5.9725561012640753E-2</v>
      </c>
      <c r="BR176" s="1196">
        <f t="shared" si="157"/>
        <v>5.7575860354453993E-2</v>
      </c>
      <c r="BS176" s="1196">
        <f t="shared" si="157"/>
        <v>5.5249988729092467E-2</v>
      </c>
      <c r="BT176" s="1196">
        <f t="shared" si="157"/>
        <v>5.5369295103109749E-2</v>
      </c>
      <c r="BU176" s="1197">
        <f t="shared" si="157"/>
        <v>5.6926455749309435E-2</v>
      </c>
      <c r="BV176" s="85"/>
      <c r="BW176" s="1195">
        <f t="shared" ref="BW176:CA176" si="158">+BW171+BW167</f>
        <v>6.0719562910794098E-2</v>
      </c>
      <c r="BX176" s="1196">
        <f t="shared" si="158"/>
        <v>5.6911537084423654E-2</v>
      </c>
      <c r="BY176" s="1196">
        <f t="shared" si="158"/>
        <v>5.4973301757448051E-2</v>
      </c>
      <c r="BZ176" s="1196">
        <f t="shared" si="158"/>
        <v>5.4497525515867569E-2</v>
      </c>
      <c r="CA176" s="1197">
        <f t="shared" si="158"/>
        <v>5.6671251142525851E-2</v>
      </c>
      <c r="CB176" s="85"/>
      <c r="CC176" s="1195">
        <f t="shared" ref="CC176:CG176" si="159">+CC171+CC167</f>
        <v>6.0377132166288282E-2</v>
      </c>
      <c r="CD176" s="1196">
        <f t="shared" si="159"/>
        <v>5.6617374173165001E-2</v>
      </c>
      <c r="CE176" s="1196">
        <f t="shared" si="159"/>
        <v>5.4722514131978213E-2</v>
      </c>
      <c r="CF176" s="1196">
        <f t="shared" si="159"/>
        <v>5.4218962376882375E-2</v>
      </c>
      <c r="CG176" s="1197">
        <f t="shared" si="159"/>
        <v>5.6379007895292155E-2</v>
      </c>
      <c r="CH176" s="85"/>
      <c r="CI176" s="1195">
        <f t="shared" ref="CI176:CM176" si="160">+CI171+CI167</f>
        <v>5.9910160314962789E-2</v>
      </c>
      <c r="CJ176" s="1196">
        <f t="shared" si="160"/>
        <v>5.6179512323232407E-2</v>
      </c>
      <c r="CK176" s="1196">
        <f t="shared" si="160"/>
        <v>5.4469069434121838E-2</v>
      </c>
      <c r="CL176" s="1196">
        <f t="shared" si="160"/>
        <v>5.3937703702981843E-2</v>
      </c>
      <c r="CM176" s="1197">
        <f t="shared" si="160"/>
        <v>5.6022183157151677E-2</v>
      </c>
      <c r="CN176" s="11"/>
      <c r="CO176" s="11"/>
      <c r="CP176" s="11"/>
      <c r="CQ176" s="11"/>
      <c r="CR176" s="11"/>
      <c r="CS176" s="11"/>
      <c r="CT176" s="11"/>
      <c r="CU176" s="11"/>
      <c r="CV176" s="11"/>
      <c r="CW176" s="11"/>
      <c r="CX176" s="11"/>
    </row>
    <row r="177" spans="2:102" s="31" customFormat="1" ht="11.25" customHeight="1" x14ac:dyDescent="0.2">
      <c r="B177" s="561"/>
      <c r="C177" s="1194"/>
      <c r="D177" s="1194"/>
      <c r="E177" s="1194"/>
      <c r="F177" s="1194"/>
      <c r="G177" s="1194"/>
      <c r="H177" s="85"/>
      <c r="I177" s="1194"/>
      <c r="J177" s="1194"/>
      <c r="K177" s="1194"/>
      <c r="L177" s="1194"/>
      <c r="M177" s="1194"/>
      <c r="N177" s="85"/>
      <c r="O177" s="1194"/>
      <c r="P177" s="1194"/>
      <c r="Q177" s="1194"/>
      <c r="R177" s="1194"/>
      <c r="S177" s="1194"/>
      <c r="T177" s="85"/>
      <c r="U177" s="1194"/>
      <c r="V177" s="1194"/>
      <c r="W177" s="1194"/>
      <c r="X177" s="1194"/>
      <c r="Y177" s="1194"/>
      <c r="Z177" s="85"/>
      <c r="AA177" s="1194"/>
      <c r="AB177" s="1194"/>
      <c r="AC177" s="1194"/>
      <c r="AD177" s="1194"/>
      <c r="AE177" s="1194"/>
      <c r="AF177" s="85"/>
      <c r="AG177" s="1194"/>
      <c r="AH177" s="1194"/>
      <c r="AI177" s="1194"/>
      <c r="AJ177" s="1194"/>
      <c r="AK177" s="1194"/>
      <c r="AL177" s="85"/>
      <c r="AM177" s="1194"/>
      <c r="AN177" s="1194"/>
      <c r="AO177" s="1194"/>
      <c r="AP177" s="1194"/>
      <c r="AQ177" s="1194"/>
      <c r="AR177" s="85"/>
      <c r="AS177" s="1194"/>
      <c r="AT177" s="1194"/>
      <c r="AU177" s="1194"/>
      <c r="AV177" s="1194"/>
      <c r="AW177" s="1194"/>
      <c r="AX177" s="85"/>
      <c r="AY177" s="1194"/>
      <c r="AZ177" s="1194"/>
      <c r="BA177" s="1194"/>
      <c r="BB177" s="1194"/>
      <c r="BC177" s="1194"/>
      <c r="BD177" s="85"/>
      <c r="BE177" s="1194"/>
      <c r="BF177" s="1194"/>
      <c r="BG177" s="1194"/>
      <c r="BH177" s="1194"/>
      <c r="BI177" s="1194"/>
      <c r="BJ177" s="85"/>
      <c r="BK177" s="1194"/>
      <c r="BL177" s="1194"/>
      <c r="BM177" s="1194"/>
      <c r="BN177" s="1194"/>
      <c r="BO177" s="1194"/>
      <c r="BP177" s="85"/>
      <c r="BQ177" s="1194"/>
      <c r="BR177" s="1194"/>
      <c r="BS177" s="1194"/>
      <c r="BT177" s="1194"/>
      <c r="BU177" s="1194"/>
      <c r="BV177" s="85"/>
      <c r="BW177" s="1194"/>
      <c r="BX177" s="1194"/>
      <c r="BY177" s="1194"/>
      <c r="BZ177" s="1194"/>
      <c r="CA177" s="1194"/>
      <c r="CB177" s="85"/>
      <c r="CC177" s="1194"/>
      <c r="CD177" s="1194"/>
      <c r="CE177" s="1194"/>
      <c r="CF177" s="1194"/>
      <c r="CG177" s="1194"/>
      <c r="CH177" s="85"/>
      <c r="CI177" s="1194"/>
      <c r="CJ177" s="1194"/>
      <c r="CK177" s="1194"/>
      <c r="CL177" s="1194"/>
      <c r="CM177" s="1194"/>
      <c r="CN177" s="11"/>
      <c r="CO177" s="11"/>
      <c r="CP177" s="11"/>
      <c r="CQ177" s="11"/>
      <c r="CR177" s="11"/>
      <c r="CS177" s="11"/>
      <c r="CT177" s="11"/>
      <c r="CU177" s="11"/>
      <c r="CV177" s="11"/>
      <c r="CW177" s="11"/>
      <c r="CX177" s="11"/>
    </row>
    <row r="178" spans="2:102" s="31" customFormat="1" ht="11.25" customHeight="1" x14ac:dyDescent="0.2">
      <c r="B178" s="1033" t="s">
        <v>504</v>
      </c>
      <c r="C178" s="1034"/>
      <c r="D178" s="1034"/>
      <c r="E178" s="1034"/>
      <c r="F178" s="1034"/>
      <c r="G178" s="1034"/>
      <c r="H178" s="1033"/>
      <c r="I178" s="1034"/>
      <c r="J178" s="1034"/>
      <c r="K178" s="1034"/>
      <c r="L178" s="1034"/>
      <c r="M178" s="1034"/>
      <c r="N178" s="1033"/>
      <c r="O178" s="1034"/>
      <c r="P178" s="1034"/>
      <c r="Q178" s="1034"/>
      <c r="R178" s="1034"/>
      <c r="S178" s="1034"/>
      <c r="T178" s="1033"/>
      <c r="U178" s="1034"/>
      <c r="V178" s="1034"/>
      <c r="W178" s="1034"/>
      <c r="X178" s="1034"/>
      <c r="Y178" s="1034"/>
      <c r="Z178" s="1033"/>
      <c r="AA178" s="1034"/>
      <c r="AB178" s="1034"/>
      <c r="AC178" s="1034"/>
      <c r="AD178" s="1034"/>
      <c r="AE178" s="1034"/>
      <c r="AF178" s="1033"/>
      <c r="AG178" s="1034"/>
      <c r="AH178" s="1034"/>
      <c r="AI178" s="1034"/>
      <c r="AJ178" s="1034"/>
      <c r="AK178" s="1034"/>
      <c r="AL178" s="1033"/>
      <c r="AM178" s="1034"/>
      <c r="AN178" s="1034"/>
      <c r="AO178" s="1034"/>
      <c r="AP178" s="1034"/>
      <c r="AQ178" s="1034"/>
      <c r="AR178" s="1033"/>
      <c r="AS178" s="1034"/>
      <c r="AT178" s="1034"/>
      <c r="AU178" s="1034"/>
      <c r="AV178" s="1034"/>
      <c r="AW178" s="1034"/>
      <c r="AX178" s="1033"/>
      <c r="AY178" s="1034"/>
      <c r="AZ178" s="1034"/>
      <c r="BA178" s="1034"/>
      <c r="BB178" s="1034"/>
      <c r="BC178" s="1034"/>
      <c r="BD178" s="1033"/>
      <c r="BE178" s="1034"/>
      <c r="BF178" s="1034"/>
      <c r="BG178" s="1034"/>
      <c r="BH178" s="1034"/>
      <c r="BI178" s="1034"/>
      <c r="BJ178" s="1033"/>
      <c r="BK178" s="1034"/>
      <c r="BL178" s="1034"/>
      <c r="BM178" s="1034"/>
      <c r="BN178" s="1034"/>
      <c r="BO178" s="1034"/>
      <c r="BP178" s="1033"/>
      <c r="BQ178" s="1034"/>
      <c r="BR178" s="1034"/>
      <c r="BS178" s="1034"/>
      <c r="BT178" s="1034"/>
      <c r="BU178" s="1034"/>
      <c r="BV178" s="1033"/>
      <c r="BW178" s="1034"/>
      <c r="BX178" s="1034"/>
      <c r="BY178" s="1034"/>
      <c r="BZ178" s="1034"/>
      <c r="CA178" s="1034"/>
      <c r="CB178" s="1033"/>
      <c r="CC178" s="1034"/>
      <c r="CD178" s="1034"/>
      <c r="CE178" s="1034"/>
      <c r="CF178" s="1034"/>
      <c r="CG178" s="1034"/>
      <c r="CH178" s="1033"/>
      <c r="CI178" s="1034"/>
      <c r="CJ178" s="1034"/>
      <c r="CK178" s="1034"/>
      <c r="CL178" s="1034"/>
      <c r="CM178" s="1034"/>
      <c r="CN178" s="11"/>
      <c r="CO178" s="11"/>
      <c r="CP178" s="11"/>
      <c r="CQ178" s="11"/>
      <c r="CR178" s="11"/>
      <c r="CS178" s="11"/>
      <c r="CT178" s="11"/>
      <c r="CU178" s="11"/>
      <c r="CV178" s="11"/>
      <c r="CW178" s="11"/>
      <c r="CX178" s="11"/>
    </row>
    <row r="179" spans="2:102" s="31" customFormat="1" ht="11.25" customHeight="1" x14ac:dyDescent="0.2">
      <c r="B179" s="645" t="s">
        <v>307</v>
      </c>
      <c r="C179" s="1005"/>
      <c r="D179" s="1006"/>
      <c r="E179" s="1006"/>
      <c r="F179" s="1006"/>
      <c r="G179" s="1007"/>
      <c r="H179" s="136"/>
      <c r="I179" s="1005"/>
      <c r="J179" s="1006"/>
      <c r="K179" s="1006"/>
      <c r="L179" s="1006"/>
      <c r="M179" s="1007"/>
      <c r="N179" s="136"/>
      <c r="O179" s="1005"/>
      <c r="P179" s="1006"/>
      <c r="Q179" s="1006"/>
      <c r="R179" s="1006"/>
      <c r="S179" s="1007"/>
      <c r="T179" s="136"/>
      <c r="U179" s="1005"/>
      <c r="V179" s="1006"/>
      <c r="W179" s="1006"/>
      <c r="X179" s="1006"/>
      <c r="Y179" s="1007"/>
      <c r="Z179" s="136"/>
      <c r="AA179" s="1005"/>
      <c r="AB179" s="1006"/>
      <c r="AC179" s="1006"/>
      <c r="AD179" s="1006"/>
      <c r="AE179" s="1007"/>
      <c r="AF179" s="136"/>
      <c r="AG179" s="1005"/>
      <c r="AH179" s="1006"/>
      <c r="AI179" s="1006"/>
      <c r="AJ179" s="1006"/>
      <c r="AK179" s="1007"/>
      <c r="AL179" s="136"/>
      <c r="AM179" s="1005"/>
      <c r="AN179" s="1006"/>
      <c r="AO179" s="1006"/>
      <c r="AP179" s="1006"/>
      <c r="AQ179" s="1007"/>
      <c r="AR179" s="136"/>
      <c r="AS179" s="1005"/>
      <c r="AT179" s="1006"/>
      <c r="AU179" s="1006"/>
      <c r="AV179" s="1006"/>
      <c r="AW179" s="1007"/>
      <c r="AX179" s="136"/>
      <c r="AY179" s="1005"/>
      <c r="AZ179" s="1006"/>
      <c r="BA179" s="1006"/>
      <c r="BB179" s="1006"/>
      <c r="BC179" s="1007"/>
      <c r="BD179" s="136"/>
      <c r="BE179" s="1005"/>
      <c r="BF179" s="1006"/>
      <c r="BG179" s="1006"/>
      <c r="BH179" s="1006"/>
      <c r="BI179" s="1007"/>
      <c r="BJ179" s="136"/>
      <c r="BK179" s="1005"/>
      <c r="BL179" s="1006"/>
      <c r="BM179" s="1006"/>
      <c r="BN179" s="1006"/>
      <c r="BO179" s="1007"/>
      <c r="BP179" s="136"/>
      <c r="BQ179" s="1005"/>
      <c r="BR179" s="1006"/>
      <c r="BS179" s="1006"/>
      <c r="BT179" s="1006"/>
      <c r="BU179" s="1007"/>
      <c r="BV179" s="136"/>
      <c r="BW179" s="1005"/>
      <c r="BX179" s="1006"/>
      <c r="BY179" s="1006"/>
      <c r="BZ179" s="1006"/>
      <c r="CA179" s="1007"/>
      <c r="CB179" s="136"/>
      <c r="CC179" s="1005"/>
      <c r="CD179" s="1006"/>
      <c r="CE179" s="1006"/>
      <c r="CF179" s="1006"/>
      <c r="CG179" s="1007"/>
      <c r="CH179" s="136"/>
      <c r="CI179" s="1005"/>
      <c r="CJ179" s="1006"/>
      <c r="CK179" s="1006"/>
      <c r="CL179" s="1006"/>
      <c r="CM179" s="1007"/>
      <c r="CN179" s="11"/>
      <c r="CO179" s="11"/>
      <c r="CP179" s="11"/>
      <c r="CQ179" s="11"/>
      <c r="CR179" s="11"/>
      <c r="CS179" s="11"/>
      <c r="CT179" s="11"/>
      <c r="CU179" s="11"/>
      <c r="CV179" s="11"/>
      <c r="CW179" s="11"/>
      <c r="CX179" s="11"/>
    </row>
    <row r="180" spans="2:102" s="31" customFormat="1" ht="11.25" customHeight="1" x14ac:dyDescent="0.2">
      <c r="B180" s="658" t="s">
        <v>459</v>
      </c>
      <c r="C180" s="1013">
        <f>+C7/C$28</f>
        <v>0.5910972712599083</v>
      </c>
      <c r="D180" s="243">
        <f t="shared" ref="D180:G180" si="161">+D7/D$28</f>
        <v>0.56597422881686832</v>
      </c>
      <c r="E180" s="243">
        <f t="shared" si="161"/>
        <v>0.52719734598285761</v>
      </c>
      <c r="F180" s="243">
        <f t="shared" si="161"/>
        <v>0.55647811446570317</v>
      </c>
      <c r="G180" s="1014">
        <f t="shared" si="161"/>
        <v>0.55914231605663001</v>
      </c>
      <c r="H180" s="136"/>
      <c r="I180" s="1013">
        <f>+I7/I$28</f>
        <v>0.59113676067132659</v>
      </c>
      <c r="J180" s="243">
        <f t="shared" ref="J180:M180" si="162">+J7/J$28</f>
        <v>0.58021908120597565</v>
      </c>
      <c r="K180" s="243">
        <f t="shared" si="162"/>
        <v>0.50370464080199395</v>
      </c>
      <c r="L180" s="243">
        <f t="shared" si="162"/>
        <v>0.56574668393487415</v>
      </c>
      <c r="M180" s="1014">
        <f t="shared" si="162"/>
        <v>0.55847238738982419</v>
      </c>
      <c r="N180" s="136"/>
      <c r="O180" s="1013">
        <f t="shared" ref="O180:S180" si="163">+O7/O$28</f>
        <v>0.60127335853121366</v>
      </c>
      <c r="P180" s="243">
        <f t="shared" si="163"/>
        <v>0.57685852502714974</v>
      </c>
      <c r="Q180" s="243">
        <f t="shared" si="163"/>
        <v>0.49253432396343344</v>
      </c>
      <c r="R180" s="243">
        <f t="shared" si="163"/>
        <v>0.57579182340075008</v>
      </c>
      <c r="S180" s="1014">
        <f t="shared" si="163"/>
        <v>0.55978107154633749</v>
      </c>
      <c r="T180" s="136"/>
      <c r="U180" s="1013">
        <f t="shared" ref="U180:Y180" si="164">+U7/U$28</f>
        <v>0.59799096265883356</v>
      </c>
      <c r="V180" s="243">
        <f t="shared" si="164"/>
        <v>0.56504774120524903</v>
      </c>
      <c r="W180" s="243">
        <f t="shared" si="164"/>
        <v>0.51230699578550287</v>
      </c>
      <c r="X180" s="243">
        <f t="shared" si="164"/>
        <v>0.5712526312711963</v>
      </c>
      <c r="Y180" s="1014">
        <f t="shared" si="164"/>
        <v>0.56046080844477142</v>
      </c>
      <c r="Z180" s="136"/>
      <c r="AA180" s="1013">
        <f t="shared" ref="AA180:AE180" si="165">+AA7/AA$28</f>
        <v>0.6007098131857197</v>
      </c>
      <c r="AB180" s="243">
        <f t="shared" si="165"/>
        <v>0.54155288435929749</v>
      </c>
      <c r="AC180" s="243">
        <f t="shared" si="165"/>
        <v>0.54158349011216267</v>
      </c>
      <c r="AD180" s="243">
        <f t="shared" si="165"/>
        <v>0.55928252372975995</v>
      </c>
      <c r="AE180" s="1014">
        <f t="shared" si="165"/>
        <v>0.56046181312095933</v>
      </c>
      <c r="AF180" s="136"/>
      <c r="AG180" s="1013">
        <f t="shared" ref="AG180:AK180" si="166">+AG7/AG$28</f>
        <v>0.57909281976575233</v>
      </c>
      <c r="AH180" s="243">
        <f t="shared" si="166"/>
        <v>0.56707803234623733</v>
      </c>
      <c r="AI180" s="243">
        <f t="shared" si="166"/>
        <v>0.51460314259694795</v>
      </c>
      <c r="AJ180" s="243">
        <f t="shared" si="166"/>
        <v>0.55280515377499317</v>
      </c>
      <c r="AK180" s="1014">
        <f t="shared" si="166"/>
        <v>0.5522657487843522</v>
      </c>
      <c r="AL180" s="136"/>
      <c r="AM180" s="1013">
        <f t="shared" ref="AM180:AQ180" si="167">+AM7/AM$28</f>
        <v>0.54663442558231345</v>
      </c>
      <c r="AN180" s="243">
        <f t="shared" si="167"/>
        <v>0.57430132805486311</v>
      </c>
      <c r="AO180" s="243">
        <f t="shared" si="167"/>
        <v>0.49274214916663212</v>
      </c>
      <c r="AP180" s="243">
        <f t="shared" si="167"/>
        <v>0.53221757322175722</v>
      </c>
      <c r="AQ180" s="1014">
        <f t="shared" si="167"/>
        <v>0.53497355008676584</v>
      </c>
      <c r="AR180" s="136"/>
      <c r="AS180" s="1013">
        <f t="shared" ref="AS180:AW180" si="168">+AS7/AS$28</f>
        <v>0.59182329453496996</v>
      </c>
      <c r="AT180" s="243">
        <f t="shared" si="168"/>
        <v>0.58256963832825381</v>
      </c>
      <c r="AU180" s="243">
        <f t="shared" si="168"/>
        <v>0.50068305904527499</v>
      </c>
      <c r="AV180" s="243">
        <f t="shared" si="168"/>
        <v>0.55540356555692572</v>
      </c>
      <c r="AW180" s="1014">
        <f t="shared" si="168"/>
        <v>0.55555145086390223</v>
      </c>
      <c r="AX180" s="136"/>
      <c r="AY180" s="1013">
        <f t="shared" ref="AY180:BC180" si="169">+AY7/AY$28</f>
        <v>0.59919981432155534</v>
      </c>
      <c r="AZ180" s="243">
        <f t="shared" si="169"/>
        <v>0.55103301183188336</v>
      </c>
      <c r="BA180" s="243">
        <f t="shared" si="169"/>
        <v>0.52841948399669203</v>
      </c>
      <c r="BB180" s="243">
        <f t="shared" si="169"/>
        <v>0.51563009278779015</v>
      </c>
      <c r="BC180" s="1014">
        <f t="shared" si="169"/>
        <v>0.54633762359715499</v>
      </c>
      <c r="BD180" s="136"/>
      <c r="BE180" s="1013">
        <f t="shared" ref="BE180:BI180" si="170">+BE7/BE$28</f>
        <v>0.62257245047529464</v>
      </c>
      <c r="BF180" s="243">
        <f t="shared" si="170"/>
        <v>0.55284190500264418</v>
      </c>
      <c r="BG180" s="243">
        <f t="shared" si="170"/>
        <v>0.52353873827532615</v>
      </c>
      <c r="BH180" s="243">
        <f t="shared" si="170"/>
        <v>0.53547717716992072</v>
      </c>
      <c r="BI180" s="1014">
        <f t="shared" si="170"/>
        <v>0.55684802001749434</v>
      </c>
      <c r="BJ180" s="136"/>
      <c r="BK180" s="1013">
        <f t="shared" ref="BK180:BO180" si="171">+BK7/BK$28</f>
        <v>0.59989009306054786</v>
      </c>
      <c r="BL180" s="243">
        <f t="shared" si="171"/>
        <v>0.53899988862161774</v>
      </c>
      <c r="BM180" s="243">
        <f t="shared" si="171"/>
        <v>0.5191739989111398</v>
      </c>
      <c r="BN180" s="243">
        <f t="shared" si="171"/>
        <v>0.55885646163067171</v>
      </c>
      <c r="BO180" s="1014">
        <f t="shared" si="171"/>
        <v>0.55298865919817397</v>
      </c>
      <c r="BP180" s="136"/>
      <c r="BQ180" s="1013">
        <f t="shared" ref="BQ180:BU180" si="172">+BQ7/BQ$28</f>
        <v>0.6171427910571754</v>
      </c>
      <c r="BR180" s="243">
        <f t="shared" si="172"/>
        <v>0.56213897368278454</v>
      </c>
      <c r="BS180" s="243">
        <f t="shared" si="172"/>
        <v>0.52311478048096738</v>
      </c>
      <c r="BT180" s="243">
        <f t="shared" si="172"/>
        <v>0.53201037107216753</v>
      </c>
      <c r="BU180" s="1014">
        <f t="shared" si="172"/>
        <v>0.55681391138424519</v>
      </c>
      <c r="BV180" s="136"/>
      <c r="BW180" s="1013">
        <f t="shared" ref="BW180:CA180" si="173">+BW7/BW$28</f>
        <v>0.58261536088514121</v>
      </c>
      <c r="BX180" s="243">
        <f t="shared" si="173"/>
        <v>0.53619853322056676</v>
      </c>
      <c r="BY180" s="243">
        <f t="shared" si="173"/>
        <v>0.51817260336686022</v>
      </c>
      <c r="BZ180" s="243">
        <f t="shared" si="173"/>
        <v>0.53317477073597885</v>
      </c>
      <c r="CA180" s="1014">
        <f t="shared" si="173"/>
        <v>0.54096457664403108</v>
      </c>
      <c r="CB180" s="136"/>
      <c r="CC180" s="1013">
        <f t="shared" ref="CC180:CG180" si="174">+CC7/CC$28</f>
        <v>0.58334023740610907</v>
      </c>
      <c r="CD180" s="243">
        <f t="shared" si="174"/>
        <v>0.53723093080338002</v>
      </c>
      <c r="CE180" s="243">
        <f t="shared" si="174"/>
        <v>0.51571236232773265</v>
      </c>
      <c r="CF180" s="243">
        <f t="shared" si="174"/>
        <v>0.53072175780269526</v>
      </c>
      <c r="CG180" s="1014">
        <f t="shared" si="174"/>
        <v>0.54002403797377974</v>
      </c>
      <c r="CH180" s="136"/>
      <c r="CI180" s="1013">
        <f t="shared" ref="CI180:CM180" si="175">+CI7/CI$28</f>
        <v>0.58094364491925266</v>
      </c>
      <c r="CJ180" s="243">
        <f t="shared" si="175"/>
        <v>0.53478063440330881</v>
      </c>
      <c r="CK180" s="243">
        <f t="shared" si="175"/>
        <v>0.51325135947217948</v>
      </c>
      <c r="CL180" s="243">
        <f t="shared" si="175"/>
        <v>0.52826725947658082</v>
      </c>
      <c r="CM180" s="1014">
        <f t="shared" si="175"/>
        <v>0.53757580088295642</v>
      </c>
      <c r="CN180" s="11"/>
      <c r="CO180" s="11"/>
      <c r="CP180" s="11"/>
      <c r="CQ180" s="11"/>
      <c r="CR180" s="11"/>
      <c r="CS180" s="11"/>
      <c r="CT180" s="11"/>
      <c r="CU180" s="11"/>
      <c r="CV180" s="11"/>
      <c r="CW180" s="11"/>
      <c r="CX180" s="11"/>
    </row>
    <row r="181" spans="2:102" s="31" customFormat="1" ht="11.25" customHeight="1" x14ac:dyDescent="0.2">
      <c r="B181" s="658" t="s">
        <v>460</v>
      </c>
      <c r="C181" s="1013">
        <f>+C14/C$28</f>
        <v>0.31096932785286507</v>
      </c>
      <c r="D181" s="243">
        <f t="shared" ref="D181:G181" si="176">+D14/D$28</f>
        <v>0.33825068332682545</v>
      </c>
      <c r="E181" s="243">
        <f t="shared" si="176"/>
        <v>0.38213862845994023</v>
      </c>
      <c r="F181" s="243">
        <f t="shared" si="176"/>
        <v>0.34802321530927632</v>
      </c>
      <c r="G181" s="1014">
        <f t="shared" si="176"/>
        <v>0.34599080706954755</v>
      </c>
      <c r="H181" s="136"/>
      <c r="I181" s="1013">
        <f>+I14/I$28</f>
        <v>0.30563287555005036</v>
      </c>
      <c r="J181" s="243">
        <f t="shared" ref="J181:M181" si="177">+J14/J$28</f>
        <v>0.31615981141429922</v>
      </c>
      <c r="K181" s="243">
        <f t="shared" si="177"/>
        <v>0.39587514659573086</v>
      </c>
      <c r="L181" s="243">
        <f t="shared" si="177"/>
        <v>0.339873548332005</v>
      </c>
      <c r="M181" s="1014">
        <f t="shared" si="177"/>
        <v>0.34123585811305812</v>
      </c>
      <c r="N181" s="136"/>
      <c r="O181" s="1013">
        <f t="shared" ref="O181:S181" si="178">+O14/O$28</f>
        <v>0.28922742529597895</v>
      </c>
      <c r="P181" s="243">
        <f t="shared" si="178"/>
        <v>0.31786557185886966</v>
      </c>
      <c r="Q181" s="243">
        <f t="shared" si="178"/>
        <v>0.40953880918957786</v>
      </c>
      <c r="R181" s="243">
        <f t="shared" si="178"/>
        <v>0.32078523541506182</v>
      </c>
      <c r="S181" s="1014">
        <f t="shared" si="178"/>
        <v>0.33636220232716113</v>
      </c>
      <c r="T181" s="136"/>
      <c r="U181" s="1013">
        <f t="shared" ref="U181:Y181" si="179">+U14/U$28</f>
        <v>0.28902074596225769</v>
      </c>
      <c r="V181" s="243">
        <f t="shared" si="179"/>
        <v>0.32589306491277392</v>
      </c>
      <c r="W181" s="243">
        <f t="shared" si="179"/>
        <v>0.37799896167097558</v>
      </c>
      <c r="X181" s="243">
        <f t="shared" si="179"/>
        <v>0.31151144602970415</v>
      </c>
      <c r="Y181" s="1014">
        <f t="shared" si="179"/>
        <v>0.32732163165312961</v>
      </c>
      <c r="Z181" s="136"/>
      <c r="AA181" s="1013">
        <f t="shared" ref="AA181:AE181" si="180">+AA14/AA$28</f>
        <v>0.28483004654693944</v>
      </c>
      <c r="AB181" s="243">
        <f t="shared" si="180"/>
        <v>0.35508069814101312</v>
      </c>
      <c r="AC181" s="243">
        <f t="shared" si="180"/>
        <v>0.34210157832000115</v>
      </c>
      <c r="AD181" s="243">
        <f t="shared" si="180"/>
        <v>0.33086613623673927</v>
      </c>
      <c r="AE181" s="1014">
        <f t="shared" si="180"/>
        <v>0.32859150218062516</v>
      </c>
      <c r="AF181" s="136"/>
      <c r="AG181" s="1013">
        <f t="shared" ref="AG181:AK181" si="181">+AG14/AG$28</f>
        <v>0.30190656714794878</v>
      </c>
      <c r="AH181" s="243">
        <f t="shared" si="181"/>
        <v>0.317674194749412</v>
      </c>
      <c r="AI181" s="243">
        <f t="shared" si="181"/>
        <v>0.38240714265644804</v>
      </c>
      <c r="AJ181" s="243">
        <f t="shared" si="181"/>
        <v>0.33617260737866156</v>
      </c>
      <c r="AK181" s="1014">
        <f t="shared" si="181"/>
        <v>0.3359593509260777</v>
      </c>
      <c r="AL181" s="136"/>
      <c r="AM181" s="1013">
        <f t="shared" ref="AM181:AQ181" si="182">+AM14/AM$28</f>
        <v>0.3382828802662004</v>
      </c>
      <c r="AN181" s="243">
        <f t="shared" si="182"/>
        <v>0.30831522956428947</v>
      </c>
      <c r="AO181" s="243">
        <f t="shared" si="182"/>
        <v>0.4054835321647135</v>
      </c>
      <c r="AP181" s="243">
        <f t="shared" si="182"/>
        <v>0.35890318478337663</v>
      </c>
      <c r="AQ181" s="1014">
        <f t="shared" si="182"/>
        <v>0.3545763181888848</v>
      </c>
      <c r="AR181" s="136"/>
      <c r="AS181" s="1013">
        <f t="shared" ref="AS181:AW181" si="183">+AS14/AS$28</f>
        <v>0.29198008779700962</v>
      </c>
      <c r="AT181" s="243">
        <f t="shared" si="183"/>
        <v>0.30114270085178629</v>
      </c>
      <c r="AU181" s="243">
        <f t="shared" si="183"/>
        <v>0.39877251875102221</v>
      </c>
      <c r="AV181" s="243">
        <f t="shared" si="183"/>
        <v>0.33354847410604194</v>
      </c>
      <c r="AW181" s="1014">
        <f t="shared" si="183"/>
        <v>0.3337948312789818</v>
      </c>
      <c r="AX181" s="136"/>
      <c r="AY181" s="1013">
        <f t="shared" ref="AY181:BC181" si="184">+AY14/AY$28</f>
        <v>0.27406543691537993</v>
      </c>
      <c r="AZ181" s="243">
        <f t="shared" si="184"/>
        <v>0.33066165403384201</v>
      </c>
      <c r="BA181" s="243">
        <f t="shared" si="184"/>
        <v>0.36147742997273413</v>
      </c>
      <c r="BB181" s="243">
        <f t="shared" si="184"/>
        <v>0.37805716780446091</v>
      </c>
      <c r="BC181" s="1014">
        <f t="shared" si="184"/>
        <v>0.33885755007343671</v>
      </c>
      <c r="BD181" s="136"/>
      <c r="BE181" s="1013">
        <f t="shared" ref="BE181:BI181" si="185">+BE14/BE$28</f>
        <v>0.24981003865300452</v>
      </c>
      <c r="BF181" s="243">
        <f t="shared" si="185"/>
        <v>0.32722401641716087</v>
      </c>
      <c r="BG181" s="243">
        <f t="shared" si="185"/>
        <v>0.36435918707882531</v>
      </c>
      <c r="BH181" s="243">
        <f t="shared" si="185"/>
        <v>0.35373272279141699</v>
      </c>
      <c r="BI181" s="1014">
        <f t="shared" si="185"/>
        <v>0.32589529099430825</v>
      </c>
      <c r="BJ181" s="136"/>
      <c r="BK181" s="1013">
        <f t="shared" ref="BK181:BO181" si="186">+BK14/BK$28</f>
        <v>0.27185211210507826</v>
      </c>
      <c r="BL181" s="243">
        <f t="shared" si="186"/>
        <v>0.34088766908318968</v>
      </c>
      <c r="BM181" s="243">
        <f t="shared" si="186"/>
        <v>0.36789905850308863</v>
      </c>
      <c r="BN181" s="243">
        <f t="shared" si="186"/>
        <v>0.32025430259440013</v>
      </c>
      <c r="BO181" s="1014">
        <f t="shared" si="186"/>
        <v>0.32669307707787443</v>
      </c>
      <c r="BP181" s="136"/>
      <c r="BQ181" s="1013">
        <f t="shared" ref="BQ181:BU181" si="187">+BQ14/BQ$28</f>
        <v>0.24645581112051301</v>
      </c>
      <c r="BR181" s="243">
        <f t="shared" si="187"/>
        <v>0.30618463594819645</v>
      </c>
      <c r="BS181" s="243">
        <f t="shared" si="187"/>
        <v>0.35820771548270658</v>
      </c>
      <c r="BT181" s="243">
        <f t="shared" si="187"/>
        <v>0.34428169645817541</v>
      </c>
      <c r="BU181" s="1014">
        <f t="shared" si="187"/>
        <v>0.31587604338953368</v>
      </c>
      <c r="BV181" s="136"/>
      <c r="BW181" s="1013">
        <f t="shared" ref="BW181:CA181" si="188">+BW14/BW$28</f>
        <v>0.27144517280075336</v>
      </c>
      <c r="BX181" s="243">
        <f t="shared" si="188"/>
        <v>0.32894666828051849</v>
      </c>
      <c r="BY181" s="243">
        <f t="shared" si="188"/>
        <v>0.36191998397226188</v>
      </c>
      <c r="BZ181" s="243">
        <f t="shared" si="188"/>
        <v>0.34161902812575579</v>
      </c>
      <c r="CA181" s="1014">
        <f t="shared" si="188"/>
        <v>0.32823029381616375</v>
      </c>
      <c r="CB181" s="136"/>
      <c r="CC181" s="1013">
        <f t="shared" ref="CC181:CG181" si="189">+CC14/CC$28</f>
        <v>0.26909197880182922</v>
      </c>
      <c r="CD181" s="243">
        <f t="shared" si="189"/>
        <v>0.32631685422206991</v>
      </c>
      <c r="CE181" s="243">
        <f t="shared" si="189"/>
        <v>0.36376797020897433</v>
      </c>
      <c r="CF181" s="243">
        <f t="shared" si="189"/>
        <v>0.34341412368125829</v>
      </c>
      <c r="CG181" s="1014">
        <f t="shared" si="189"/>
        <v>0.32810540596533189</v>
      </c>
      <c r="CH181" s="136"/>
      <c r="CI181" s="1013">
        <f t="shared" ref="CI181:CM181" si="190">+CI14/CI$28</f>
        <v>0.27063977360364766</v>
      </c>
      <c r="CJ181" s="243">
        <f t="shared" si="190"/>
        <v>0.3280446555519449</v>
      </c>
      <c r="CK181" s="243">
        <f t="shared" si="190"/>
        <v>0.36561652867671873</v>
      </c>
      <c r="CL181" s="243">
        <f t="shared" si="190"/>
        <v>0.34521030623554194</v>
      </c>
      <c r="CM181" s="1014">
        <f t="shared" si="190"/>
        <v>0.32985175771172631</v>
      </c>
      <c r="CN181" s="11"/>
      <c r="CO181" s="11"/>
      <c r="CP181" s="11"/>
      <c r="CQ181" s="11"/>
      <c r="CR181" s="11"/>
      <c r="CS181" s="11"/>
      <c r="CT181" s="11"/>
      <c r="CU181" s="11"/>
      <c r="CV181" s="11"/>
      <c r="CW181" s="11"/>
      <c r="CX181" s="11"/>
    </row>
    <row r="182" spans="2:102" s="31" customFormat="1" ht="11.25" customHeight="1" x14ac:dyDescent="0.2">
      <c r="B182" s="1198" t="s">
        <v>37</v>
      </c>
      <c r="C182" s="1203">
        <f>+C21/C$28</f>
        <v>9.7933400887226602E-2</v>
      </c>
      <c r="D182" s="1204">
        <f t="shared" ref="D182:G182" si="191">+D21/D$28</f>
        <v>9.5775087856306118E-2</v>
      </c>
      <c r="E182" s="1204">
        <f t="shared" si="191"/>
        <v>9.0664025557202113E-2</v>
      </c>
      <c r="F182" s="1204">
        <f t="shared" si="191"/>
        <v>9.5498670225020385E-2</v>
      </c>
      <c r="G182" s="1205">
        <f t="shared" si="191"/>
        <v>9.4866876873822434E-2</v>
      </c>
      <c r="H182" s="85"/>
      <c r="I182" s="1203">
        <f>+I21/I$28</f>
        <v>0.10323036377862314</v>
      </c>
      <c r="J182" s="1204">
        <f t="shared" ref="J182:M182" si="192">+J21/J$28</f>
        <v>0.10362110737972517</v>
      </c>
      <c r="K182" s="1204">
        <f t="shared" si="192"/>
        <v>0.1004202126022751</v>
      </c>
      <c r="L182" s="1204">
        <f t="shared" si="192"/>
        <v>9.4379767733120803E-2</v>
      </c>
      <c r="M182" s="1205">
        <f t="shared" si="192"/>
        <v>0.10029175449711777</v>
      </c>
      <c r="N182" s="85"/>
      <c r="O182" s="1203">
        <f t="shared" ref="O182:S182" si="193">+O21/O$28</f>
        <v>0.10949921617280745</v>
      </c>
      <c r="P182" s="1204">
        <f t="shared" si="193"/>
        <v>0.10527590311398059</v>
      </c>
      <c r="Q182" s="1204">
        <f t="shared" si="193"/>
        <v>9.7926866846988744E-2</v>
      </c>
      <c r="R182" s="1204">
        <f t="shared" si="193"/>
        <v>0.10342294118418807</v>
      </c>
      <c r="S182" s="1205">
        <f t="shared" si="193"/>
        <v>0.10385672612650151</v>
      </c>
      <c r="T182" s="85"/>
      <c r="U182" s="1203">
        <f t="shared" ref="U182:Y182" si="194">+U21/U$28</f>
        <v>0.11298829137890883</v>
      </c>
      <c r="V182" s="1204">
        <f t="shared" si="194"/>
        <v>0.10905919388197713</v>
      </c>
      <c r="W182" s="1204">
        <f t="shared" si="194"/>
        <v>0.10969404254352155</v>
      </c>
      <c r="X182" s="1204">
        <f t="shared" si="194"/>
        <v>0.11723592269909953</v>
      </c>
      <c r="Y182" s="1205">
        <f t="shared" si="194"/>
        <v>0.11221755990209897</v>
      </c>
      <c r="Z182" s="85"/>
      <c r="AA182" s="1203">
        <f t="shared" ref="AA182:AE182" si="195">+AA21/AA$28</f>
        <v>0.11446014026734086</v>
      </c>
      <c r="AB182" s="1204">
        <f t="shared" si="195"/>
        <v>0.10336641749968928</v>
      </c>
      <c r="AC182" s="1204">
        <f t="shared" si="195"/>
        <v>0.11631493156783618</v>
      </c>
      <c r="AD182" s="1204">
        <f t="shared" si="195"/>
        <v>0.10985134003350083</v>
      </c>
      <c r="AE182" s="1205">
        <f t="shared" si="195"/>
        <v>0.11094668469841543</v>
      </c>
      <c r="AF182" s="85"/>
      <c r="AG182" s="1203">
        <f t="shared" ref="AG182:AK182" si="196">+AG21/AG$28</f>
        <v>0.11900061308629893</v>
      </c>
      <c r="AH182" s="1204">
        <f t="shared" si="196"/>
        <v>0.11524777290435068</v>
      </c>
      <c r="AI182" s="1204">
        <f t="shared" si="196"/>
        <v>0.10298971474660394</v>
      </c>
      <c r="AJ182" s="1204">
        <f t="shared" si="196"/>
        <v>0.11102223884634524</v>
      </c>
      <c r="AK182" s="1205">
        <f t="shared" si="196"/>
        <v>0.11177490028957002</v>
      </c>
      <c r="AL182" s="85"/>
      <c r="AM182" s="1203">
        <f t="shared" ref="AM182:AQ182" si="197">+AM21/AM$28</f>
        <v>0.11508269415148609</v>
      </c>
      <c r="AN182" s="1204">
        <f t="shared" si="197"/>
        <v>0.11738344238084746</v>
      </c>
      <c r="AO182" s="1204">
        <f t="shared" si="197"/>
        <v>0.10177431866865447</v>
      </c>
      <c r="AP182" s="1204">
        <f t="shared" si="197"/>
        <v>0.10887924199486604</v>
      </c>
      <c r="AQ182" s="1205">
        <f t="shared" si="197"/>
        <v>0.11045013172434948</v>
      </c>
      <c r="AR182" s="85"/>
      <c r="AS182" s="1203">
        <f t="shared" ref="AS182:AW182" si="198">+AS21/AS$28</f>
        <v>0.11619661766802052</v>
      </c>
      <c r="AT182" s="1204">
        <f t="shared" si="198"/>
        <v>0.11628766081995978</v>
      </c>
      <c r="AU182" s="1204">
        <f t="shared" si="198"/>
        <v>0.1005444222037027</v>
      </c>
      <c r="AV182" s="1204">
        <f t="shared" si="198"/>
        <v>0.11104796033703247</v>
      </c>
      <c r="AW182" s="1205">
        <f t="shared" si="198"/>
        <v>0.11065371785711586</v>
      </c>
      <c r="AX182" s="85"/>
      <c r="AY182" s="1203">
        <f t="shared" ref="AY182:BC182" si="199">+AY21/AY$28</f>
        <v>0.12673474876306473</v>
      </c>
      <c r="AZ182" s="1204">
        <f t="shared" si="199"/>
        <v>0.11830533413427466</v>
      </c>
      <c r="BA182" s="1204">
        <f t="shared" si="199"/>
        <v>0.11010308603057371</v>
      </c>
      <c r="BB182" s="1204">
        <f t="shared" si="199"/>
        <v>0.10631273940774896</v>
      </c>
      <c r="BC182" s="1205">
        <f t="shared" si="199"/>
        <v>0.11480482632940829</v>
      </c>
      <c r="BD182" s="85"/>
      <c r="BE182" s="1203">
        <f t="shared" ref="BE182:BI182" si="200">+BE21/BE$28</f>
        <v>0.1276175108717009</v>
      </c>
      <c r="BF182" s="1204">
        <f t="shared" si="200"/>
        <v>0.11993407858019497</v>
      </c>
      <c r="BG182" s="1204">
        <f t="shared" si="200"/>
        <v>0.11210207464584859</v>
      </c>
      <c r="BH182" s="1204">
        <f t="shared" si="200"/>
        <v>0.11079010003866227</v>
      </c>
      <c r="BI182" s="1205">
        <f t="shared" si="200"/>
        <v>0.11725668898819741</v>
      </c>
      <c r="BJ182" s="85"/>
      <c r="BK182" s="1203">
        <f t="shared" ref="BK182:BO182" si="201">+BK21/BK$28</f>
        <v>0.12825779483437386</v>
      </c>
      <c r="BL182" s="1204">
        <f t="shared" si="201"/>
        <v>0.12011244229519262</v>
      </c>
      <c r="BM182" s="1204">
        <f t="shared" si="201"/>
        <v>0.1129269425857717</v>
      </c>
      <c r="BN182" s="1204">
        <f t="shared" si="201"/>
        <v>0.12088923577492802</v>
      </c>
      <c r="BO182" s="1205">
        <f t="shared" si="201"/>
        <v>0.12031826372395164</v>
      </c>
      <c r="BP182" s="85"/>
      <c r="BQ182" s="1203">
        <f t="shared" ref="BQ182:BU182" si="202">+BQ21/BQ$28</f>
        <v>0.13640139782231159</v>
      </c>
      <c r="BR182" s="1204">
        <f t="shared" si="202"/>
        <v>0.13167639036901904</v>
      </c>
      <c r="BS182" s="1204">
        <f t="shared" si="202"/>
        <v>0.11867750403632608</v>
      </c>
      <c r="BT182" s="1204">
        <f t="shared" si="202"/>
        <v>0.12370793246965714</v>
      </c>
      <c r="BU182" s="1205">
        <f t="shared" si="202"/>
        <v>0.12731004522622116</v>
      </c>
      <c r="BV182" s="85"/>
      <c r="BW182" s="1203">
        <f t="shared" ref="BW182:CA182" si="203">+BW21/BW$28</f>
        <v>0.14593946631410537</v>
      </c>
      <c r="BX182" s="1204">
        <f t="shared" si="203"/>
        <v>0.13485479849891474</v>
      </c>
      <c r="BY182" s="1204">
        <f t="shared" si="203"/>
        <v>0.11990741266087776</v>
      </c>
      <c r="BZ182" s="1204">
        <f t="shared" si="203"/>
        <v>0.12520620113826533</v>
      </c>
      <c r="CA182" s="1205">
        <f t="shared" si="203"/>
        <v>0.13080512953980528</v>
      </c>
      <c r="CB182" s="85"/>
      <c r="CC182" s="1203">
        <f t="shared" ref="CC182:CG182" si="204">+CC21/CC$28</f>
        <v>0.14756778379206179</v>
      </c>
      <c r="CD182" s="1204">
        <f t="shared" si="204"/>
        <v>0.13645221497455004</v>
      </c>
      <c r="CE182" s="1204">
        <f t="shared" si="204"/>
        <v>0.12051966746329308</v>
      </c>
      <c r="CF182" s="1204">
        <f t="shared" si="204"/>
        <v>0.12586411851604651</v>
      </c>
      <c r="CG182" s="1205">
        <f t="shared" si="204"/>
        <v>0.13187055606088838</v>
      </c>
      <c r="CH182" s="85"/>
      <c r="CI182" s="1203">
        <f t="shared" ref="CI182:CM182" si="205">+CI21/CI$28</f>
        <v>0.14841658147709957</v>
      </c>
      <c r="CJ182" s="1204">
        <f t="shared" si="205"/>
        <v>0.13717471004474638</v>
      </c>
      <c r="CK182" s="1204">
        <f t="shared" si="205"/>
        <v>0.1211321118511017</v>
      </c>
      <c r="CL182" s="1204">
        <f t="shared" si="205"/>
        <v>0.12652243428787729</v>
      </c>
      <c r="CM182" s="1205">
        <f t="shared" si="205"/>
        <v>0.13257244140531721</v>
      </c>
      <c r="CN182" s="11"/>
      <c r="CO182" s="11"/>
      <c r="CP182" s="11"/>
      <c r="CQ182" s="11"/>
      <c r="CR182" s="11"/>
      <c r="CS182" s="11"/>
      <c r="CT182" s="11"/>
      <c r="CU182" s="11"/>
      <c r="CV182" s="11"/>
      <c r="CW182" s="11"/>
      <c r="CX182" s="11"/>
    </row>
    <row r="183" spans="2:102" s="31" customFormat="1" ht="11.25" customHeight="1" x14ac:dyDescent="0.2">
      <c r="B183" s="1128" t="s">
        <v>508</v>
      </c>
      <c r="C183" s="1203"/>
      <c r="D183" s="1204"/>
      <c r="E183" s="1204"/>
      <c r="F183" s="1204"/>
      <c r="G183" s="1205"/>
      <c r="H183" s="85"/>
      <c r="I183" s="1203"/>
      <c r="J183" s="1204"/>
      <c r="K183" s="1204"/>
      <c r="L183" s="1204"/>
      <c r="M183" s="1205"/>
      <c r="N183" s="85"/>
      <c r="O183" s="1203"/>
      <c r="P183" s="1204"/>
      <c r="Q183" s="1204"/>
      <c r="R183" s="1204"/>
      <c r="S183" s="1205"/>
      <c r="T183" s="85"/>
      <c r="U183" s="1203"/>
      <c r="V183" s="1204"/>
      <c r="W183" s="1204"/>
      <c r="X183" s="1204"/>
      <c r="Y183" s="1205"/>
      <c r="Z183" s="85"/>
      <c r="AA183" s="1203"/>
      <c r="AB183" s="1204"/>
      <c r="AC183" s="1204"/>
      <c r="AD183" s="1204"/>
      <c r="AE183" s="1205"/>
      <c r="AF183" s="85"/>
      <c r="AG183" s="1203"/>
      <c r="AH183" s="1204"/>
      <c r="AI183" s="1204"/>
      <c r="AJ183" s="1204"/>
      <c r="AK183" s="1205"/>
      <c r="AL183" s="85"/>
      <c r="AM183" s="1203"/>
      <c r="AN183" s="1204"/>
      <c r="AO183" s="1204"/>
      <c r="AP183" s="1204"/>
      <c r="AQ183" s="1205"/>
      <c r="AR183" s="85"/>
      <c r="AS183" s="1203"/>
      <c r="AT183" s="1204"/>
      <c r="AU183" s="1204"/>
      <c r="AV183" s="1204"/>
      <c r="AW183" s="1205"/>
      <c r="AX183" s="85"/>
      <c r="AY183" s="1203"/>
      <c r="AZ183" s="1204"/>
      <c r="BA183" s="1204"/>
      <c r="BB183" s="1204"/>
      <c r="BC183" s="1205"/>
      <c r="BD183" s="85"/>
      <c r="BE183" s="1203"/>
      <c r="BF183" s="1204"/>
      <c r="BG183" s="1204"/>
      <c r="BH183" s="1204"/>
      <c r="BI183" s="1205"/>
      <c r="BJ183" s="85"/>
      <c r="BK183" s="1203"/>
      <c r="BL183" s="1204"/>
      <c r="BM183" s="1204"/>
      <c r="BN183" s="1204"/>
      <c r="BO183" s="1205"/>
      <c r="BP183" s="85"/>
      <c r="BQ183" s="1203"/>
      <c r="BR183" s="1204"/>
      <c r="BS183" s="1204"/>
      <c r="BT183" s="1204"/>
      <c r="BU183" s="1205"/>
      <c r="BV183" s="85"/>
      <c r="BW183" s="1203"/>
      <c r="BX183" s="1204"/>
      <c r="BY183" s="1204"/>
      <c r="BZ183" s="1204"/>
      <c r="CA183" s="1205"/>
      <c r="CB183" s="85"/>
      <c r="CC183" s="1203"/>
      <c r="CD183" s="1204"/>
      <c r="CE183" s="1204"/>
      <c r="CF183" s="1204"/>
      <c r="CG183" s="1205"/>
      <c r="CH183" s="85"/>
      <c r="CI183" s="1203"/>
      <c r="CJ183" s="1204"/>
      <c r="CK183" s="1204"/>
      <c r="CL183" s="1204"/>
      <c r="CM183" s="1205"/>
      <c r="CN183" s="11"/>
      <c r="CO183" s="11"/>
      <c r="CP183" s="11"/>
      <c r="CQ183" s="11"/>
      <c r="CR183" s="11"/>
      <c r="CS183" s="11"/>
      <c r="CT183" s="11"/>
      <c r="CU183" s="11"/>
      <c r="CV183" s="11"/>
      <c r="CW183" s="11"/>
      <c r="CX183" s="11"/>
    </row>
    <row r="184" spans="2:102" s="10" customFormat="1" ht="11.25" customHeight="1" x14ac:dyDescent="0.2">
      <c r="B184" s="1199" t="s">
        <v>457</v>
      </c>
      <c r="C184" s="1211"/>
      <c r="D184" s="1194"/>
      <c r="E184" s="1194"/>
      <c r="F184" s="1194"/>
      <c r="G184" s="1214">
        <v>1</v>
      </c>
      <c r="H184" s="382"/>
      <c r="I184" s="1211">
        <f t="shared" ref="I184:I185" si="206">+M184</f>
        <v>1</v>
      </c>
      <c r="J184" s="1194">
        <f t="shared" ref="J184:J185" si="207">+M184</f>
        <v>1</v>
      </c>
      <c r="K184" s="1194">
        <f t="shared" ref="K184:K185" si="208">+M184</f>
        <v>1</v>
      </c>
      <c r="L184" s="1194">
        <f t="shared" ref="L184" si="209">+M184</f>
        <v>1</v>
      </c>
      <c r="M184" s="1214">
        <v>1</v>
      </c>
      <c r="N184" s="382"/>
      <c r="O184" s="1211">
        <f t="shared" ref="O184:O185" si="210">+S184</f>
        <v>1</v>
      </c>
      <c r="P184" s="1194">
        <f t="shared" ref="P184:P185" si="211">+S184</f>
        <v>1</v>
      </c>
      <c r="Q184" s="1194">
        <f t="shared" ref="Q184:Q185" si="212">+S184</f>
        <v>1</v>
      </c>
      <c r="R184" s="1194">
        <f t="shared" ref="R184" si="213">+S184</f>
        <v>1</v>
      </c>
      <c r="S184" s="1214">
        <v>1</v>
      </c>
      <c r="T184" s="382"/>
      <c r="U184" s="1211">
        <f t="shared" ref="U184:U185" si="214">+Y184</f>
        <v>1</v>
      </c>
      <c r="V184" s="1194">
        <f t="shared" ref="V184:V185" si="215">+Y184</f>
        <v>1</v>
      </c>
      <c r="W184" s="1194">
        <f t="shared" ref="W184:W185" si="216">+Y184</f>
        <v>1</v>
      </c>
      <c r="X184" s="1194">
        <f t="shared" ref="X184" si="217">+Y184</f>
        <v>1</v>
      </c>
      <c r="Y184" s="1214">
        <v>1</v>
      </c>
      <c r="Z184" s="382"/>
      <c r="AA184" s="1211">
        <f t="shared" ref="AA184:AA185" si="218">+AE184</f>
        <v>1</v>
      </c>
      <c r="AB184" s="1194">
        <f t="shared" ref="AB184:AB185" si="219">+AE184</f>
        <v>1</v>
      </c>
      <c r="AC184" s="1194">
        <f t="shared" ref="AC184:AC185" si="220">+AE184</f>
        <v>1</v>
      </c>
      <c r="AD184" s="1194">
        <f t="shared" ref="AD184" si="221">+AE184</f>
        <v>1</v>
      </c>
      <c r="AE184" s="1214">
        <v>1</v>
      </c>
      <c r="AF184" s="382"/>
      <c r="AG184" s="1211">
        <f t="shared" ref="AG184:AG185" si="222">+AK184</f>
        <v>1</v>
      </c>
      <c r="AH184" s="1194">
        <f t="shared" ref="AH184:AH185" si="223">+AK184</f>
        <v>1</v>
      </c>
      <c r="AI184" s="1194">
        <f t="shared" ref="AI184:AI185" si="224">+AK184</f>
        <v>1</v>
      </c>
      <c r="AJ184" s="1194">
        <f t="shared" ref="AJ184" si="225">+AK184</f>
        <v>1</v>
      </c>
      <c r="AK184" s="1214">
        <v>1</v>
      </c>
      <c r="AL184" s="382"/>
      <c r="AM184" s="1211">
        <f t="shared" ref="AM184:AM185" si="226">+AQ184</f>
        <v>1</v>
      </c>
      <c r="AN184" s="1194">
        <f t="shared" ref="AN184:AN185" si="227">+AQ184</f>
        <v>1</v>
      </c>
      <c r="AO184" s="1194">
        <f t="shared" ref="AO184:AO185" si="228">+AQ184</f>
        <v>1</v>
      </c>
      <c r="AP184" s="1194">
        <f t="shared" ref="AP184" si="229">+AQ184</f>
        <v>1</v>
      </c>
      <c r="AQ184" s="1214">
        <v>1</v>
      </c>
      <c r="AR184" s="382"/>
      <c r="AS184" s="1211">
        <f t="shared" ref="AS184:AS185" si="230">+AW184</f>
        <v>1</v>
      </c>
      <c r="AT184" s="1194">
        <f t="shared" ref="AT184:AT185" si="231">+AW184</f>
        <v>1</v>
      </c>
      <c r="AU184" s="1194">
        <f t="shared" ref="AU184:AU185" si="232">+AW184</f>
        <v>1</v>
      </c>
      <c r="AV184" s="1194">
        <f t="shared" ref="AV184" si="233">+AW184</f>
        <v>1</v>
      </c>
      <c r="AW184" s="1214">
        <v>1</v>
      </c>
      <c r="AX184" s="382"/>
      <c r="AY184" s="1211">
        <f t="shared" ref="AY184:AY185" si="234">+BC184</f>
        <v>1</v>
      </c>
      <c r="AZ184" s="1194">
        <f t="shared" ref="AZ184:AZ185" si="235">+BC184</f>
        <v>1</v>
      </c>
      <c r="BA184" s="1194">
        <f t="shared" ref="BA184:BA185" si="236">+BC184</f>
        <v>1</v>
      </c>
      <c r="BB184" s="1194">
        <f t="shared" ref="BB184" si="237">+BC184</f>
        <v>1</v>
      </c>
      <c r="BC184" s="1214">
        <v>1</v>
      </c>
      <c r="BD184" s="382"/>
      <c r="BE184" s="1211">
        <f t="shared" ref="BE184:BE185" si="238">+BI184</f>
        <v>1</v>
      </c>
      <c r="BF184" s="1194">
        <f t="shared" ref="BF184:BF185" si="239">+BI184</f>
        <v>1</v>
      </c>
      <c r="BG184" s="1194">
        <f t="shared" ref="BG184:BG185" si="240">+BI184</f>
        <v>1</v>
      </c>
      <c r="BH184" s="1194">
        <f t="shared" ref="BH184" si="241">+BI184</f>
        <v>1</v>
      </c>
      <c r="BI184" s="1214">
        <v>1</v>
      </c>
      <c r="BJ184" s="382"/>
      <c r="BK184" s="1211">
        <f>+BO184</f>
        <v>1</v>
      </c>
      <c r="BL184" s="1194">
        <f>+BO184</f>
        <v>1</v>
      </c>
      <c r="BM184" s="1194">
        <f>+BO184</f>
        <v>1</v>
      </c>
      <c r="BN184" s="1194">
        <f>+BO184</f>
        <v>1</v>
      </c>
      <c r="BO184" s="1214">
        <v>1</v>
      </c>
      <c r="BP184" s="382"/>
      <c r="BQ184" s="1008">
        <f t="shared" ref="BQ184:BQ185" si="242">+BU184</f>
        <v>1</v>
      </c>
      <c r="BR184" s="379">
        <f t="shared" ref="BR184:BR185" si="243">+BU184</f>
        <v>1</v>
      </c>
      <c r="BS184" s="379">
        <f t="shared" ref="BS184:BS185" si="244">+BU184</f>
        <v>1</v>
      </c>
      <c r="BT184" s="379">
        <f t="shared" ref="BT184:BT185" si="245">+BU184</f>
        <v>1</v>
      </c>
      <c r="BU184" s="1214">
        <v>1</v>
      </c>
      <c r="BV184" s="382"/>
      <c r="BW184" s="1211"/>
      <c r="BX184" s="1194"/>
      <c r="BY184" s="1194"/>
      <c r="BZ184" s="1194"/>
      <c r="CA184" s="1212"/>
      <c r="CB184" s="382"/>
      <c r="CC184" s="1211"/>
      <c r="CD184" s="1194"/>
      <c r="CE184" s="1194"/>
      <c r="CF184" s="1194"/>
      <c r="CG184" s="1212"/>
      <c r="CH184" s="382"/>
      <c r="CI184" s="1211"/>
      <c r="CJ184" s="1194"/>
      <c r="CK184" s="1194"/>
      <c r="CL184" s="1194"/>
      <c r="CM184" s="1212"/>
      <c r="CN184" s="20"/>
      <c r="CO184" s="20"/>
      <c r="CP184" s="20"/>
      <c r="CQ184" s="20"/>
      <c r="CR184" s="20"/>
      <c r="CS184" s="20"/>
      <c r="CT184" s="20"/>
      <c r="CU184" s="20"/>
      <c r="CV184" s="20"/>
      <c r="CW184" s="20"/>
      <c r="CX184" s="20"/>
    </row>
    <row r="185" spans="2:102" s="10" customFormat="1" ht="11.25" customHeight="1" x14ac:dyDescent="0.2">
      <c r="B185" s="1199" t="s">
        <v>507</v>
      </c>
      <c r="C185" s="1211"/>
      <c r="D185" s="1194"/>
      <c r="E185" s="1194"/>
      <c r="F185" s="1194"/>
      <c r="G185" s="1214">
        <f>100%-G184</f>
        <v>0</v>
      </c>
      <c r="H185" s="382"/>
      <c r="I185" s="1211">
        <f t="shared" si="206"/>
        <v>0</v>
      </c>
      <c r="J185" s="1194">
        <f t="shared" si="207"/>
        <v>0</v>
      </c>
      <c r="K185" s="1194">
        <f t="shared" si="208"/>
        <v>0</v>
      </c>
      <c r="L185" s="1194">
        <f t="shared" ref="L185" si="246">+M185</f>
        <v>0</v>
      </c>
      <c r="M185" s="1214">
        <f t="shared" ref="M185" si="247">100%-M184</f>
        <v>0</v>
      </c>
      <c r="N185" s="382"/>
      <c r="O185" s="1211">
        <f t="shared" si="210"/>
        <v>0</v>
      </c>
      <c r="P185" s="1194">
        <f t="shared" si="211"/>
        <v>0</v>
      </c>
      <c r="Q185" s="1194">
        <f t="shared" si="212"/>
        <v>0</v>
      </c>
      <c r="R185" s="1194">
        <f t="shared" ref="R185" si="248">+S185</f>
        <v>0</v>
      </c>
      <c r="S185" s="1214">
        <f t="shared" ref="S185" si="249">100%-S184</f>
        <v>0</v>
      </c>
      <c r="T185" s="382"/>
      <c r="U185" s="1211">
        <f t="shared" si="214"/>
        <v>0</v>
      </c>
      <c r="V185" s="1194">
        <f t="shared" si="215"/>
        <v>0</v>
      </c>
      <c r="W185" s="1194">
        <f t="shared" si="216"/>
        <v>0</v>
      </c>
      <c r="X185" s="1194">
        <f t="shared" ref="X185" si="250">+Y185</f>
        <v>0</v>
      </c>
      <c r="Y185" s="1214">
        <f t="shared" ref="Y185" si="251">100%-Y184</f>
        <v>0</v>
      </c>
      <c r="Z185" s="382"/>
      <c r="AA185" s="1211">
        <f t="shared" si="218"/>
        <v>0</v>
      </c>
      <c r="AB185" s="1194">
        <f t="shared" si="219"/>
        <v>0</v>
      </c>
      <c r="AC185" s="1194">
        <f t="shared" si="220"/>
        <v>0</v>
      </c>
      <c r="AD185" s="1194">
        <f t="shared" ref="AD185" si="252">+AE185</f>
        <v>0</v>
      </c>
      <c r="AE185" s="1214">
        <f t="shared" ref="AE185" si="253">100%-AE184</f>
        <v>0</v>
      </c>
      <c r="AF185" s="382"/>
      <c r="AG185" s="1211">
        <f t="shared" si="222"/>
        <v>0</v>
      </c>
      <c r="AH185" s="1194">
        <f t="shared" si="223"/>
        <v>0</v>
      </c>
      <c r="AI185" s="1194">
        <f t="shared" si="224"/>
        <v>0</v>
      </c>
      <c r="AJ185" s="1194">
        <f t="shared" ref="AJ185" si="254">+AK185</f>
        <v>0</v>
      </c>
      <c r="AK185" s="1214">
        <f t="shared" ref="AK185" si="255">100%-AK184</f>
        <v>0</v>
      </c>
      <c r="AL185" s="382"/>
      <c r="AM185" s="1211">
        <f t="shared" si="226"/>
        <v>0</v>
      </c>
      <c r="AN185" s="1194">
        <f t="shared" si="227"/>
        <v>0</v>
      </c>
      <c r="AO185" s="1194">
        <f t="shared" si="228"/>
        <v>0</v>
      </c>
      <c r="AP185" s="1194">
        <f t="shared" ref="AP185" si="256">+AQ185</f>
        <v>0</v>
      </c>
      <c r="AQ185" s="1214">
        <f t="shared" ref="AQ185" si="257">100%-AQ184</f>
        <v>0</v>
      </c>
      <c r="AR185" s="382"/>
      <c r="AS185" s="1211">
        <f t="shared" si="230"/>
        <v>0</v>
      </c>
      <c r="AT185" s="1194">
        <f t="shared" si="231"/>
        <v>0</v>
      </c>
      <c r="AU185" s="1194">
        <f t="shared" si="232"/>
        <v>0</v>
      </c>
      <c r="AV185" s="1194">
        <f t="shared" ref="AV185" si="258">+AW185</f>
        <v>0</v>
      </c>
      <c r="AW185" s="1214">
        <f t="shared" ref="AW185" si="259">100%-AW184</f>
        <v>0</v>
      </c>
      <c r="AX185" s="382"/>
      <c r="AY185" s="1211">
        <f t="shared" si="234"/>
        <v>0</v>
      </c>
      <c r="AZ185" s="1194">
        <f t="shared" si="235"/>
        <v>0</v>
      </c>
      <c r="BA185" s="1194">
        <f t="shared" si="236"/>
        <v>0</v>
      </c>
      <c r="BB185" s="1194">
        <f t="shared" ref="BB185" si="260">+BC185</f>
        <v>0</v>
      </c>
      <c r="BC185" s="1214">
        <f t="shared" ref="BC185" si="261">100%-BC184</f>
        <v>0</v>
      </c>
      <c r="BD185" s="382"/>
      <c r="BE185" s="1211">
        <f t="shared" si="238"/>
        <v>0</v>
      </c>
      <c r="BF185" s="1194">
        <f t="shared" si="239"/>
        <v>0</v>
      </c>
      <c r="BG185" s="1194">
        <f t="shared" si="240"/>
        <v>0</v>
      </c>
      <c r="BH185" s="1194">
        <f t="shared" ref="BH185" si="262">+BI185</f>
        <v>0</v>
      </c>
      <c r="BI185" s="1214">
        <f t="shared" ref="BI185" si="263">100%-BI184</f>
        <v>0</v>
      </c>
      <c r="BJ185" s="382"/>
      <c r="BK185" s="1211">
        <f>+BO185</f>
        <v>0</v>
      </c>
      <c r="BL185" s="1194">
        <f>+BO185</f>
        <v>0</v>
      </c>
      <c r="BM185" s="1194">
        <f>+BO185</f>
        <v>0</v>
      </c>
      <c r="BN185" s="1194">
        <f>+BO185</f>
        <v>0</v>
      </c>
      <c r="BO185" s="1214">
        <f>100%-BO184</f>
        <v>0</v>
      </c>
      <c r="BP185" s="382"/>
      <c r="BQ185" s="1010">
        <f t="shared" si="242"/>
        <v>0</v>
      </c>
      <c r="BR185" s="1011">
        <f t="shared" si="243"/>
        <v>0</v>
      </c>
      <c r="BS185" s="1011">
        <f t="shared" si="244"/>
        <v>0</v>
      </c>
      <c r="BT185" s="1011">
        <f t="shared" si="245"/>
        <v>0</v>
      </c>
      <c r="BU185" s="1214">
        <f>100%-BU184</f>
        <v>0</v>
      </c>
      <c r="BV185" s="382"/>
      <c r="BW185" s="1211"/>
      <c r="BX185" s="1194"/>
      <c r="BY185" s="1194"/>
      <c r="BZ185" s="1194"/>
      <c r="CA185" s="1212"/>
      <c r="CB185" s="382"/>
      <c r="CC185" s="1211"/>
      <c r="CD185" s="1194"/>
      <c r="CE185" s="1194"/>
      <c r="CF185" s="1194"/>
      <c r="CG185" s="1212"/>
      <c r="CH185" s="382"/>
      <c r="CI185" s="1211"/>
      <c r="CJ185" s="1194"/>
      <c r="CK185" s="1194"/>
      <c r="CL185" s="1194"/>
      <c r="CM185" s="1212"/>
      <c r="CN185" s="20"/>
      <c r="CO185" s="20"/>
      <c r="CP185" s="20"/>
      <c r="CQ185" s="20"/>
      <c r="CR185" s="20"/>
      <c r="CS185" s="20"/>
      <c r="CT185" s="20"/>
      <c r="CU185" s="20"/>
      <c r="CV185" s="20"/>
      <c r="CW185" s="20"/>
      <c r="CX185" s="20"/>
    </row>
    <row r="186" spans="2:102" s="31" customFormat="1" ht="11.25" customHeight="1" x14ac:dyDescent="0.2">
      <c r="B186" s="645" t="s">
        <v>311</v>
      </c>
      <c r="C186" s="1005"/>
      <c r="D186" s="1006"/>
      <c r="E186" s="1006"/>
      <c r="F186" s="1006"/>
      <c r="G186" s="1007"/>
      <c r="H186" s="136"/>
      <c r="I186" s="1005"/>
      <c r="J186" s="1006"/>
      <c r="K186" s="1006"/>
      <c r="L186" s="1006"/>
      <c r="M186" s="1007"/>
      <c r="N186" s="136"/>
      <c r="O186" s="1005"/>
      <c r="P186" s="1006"/>
      <c r="Q186" s="1006"/>
      <c r="R186" s="1006"/>
      <c r="S186" s="1007"/>
      <c r="T186" s="136"/>
      <c r="U186" s="1005"/>
      <c r="V186" s="1006"/>
      <c r="W186" s="1006"/>
      <c r="X186" s="1006"/>
      <c r="Y186" s="1007"/>
      <c r="Z186" s="136"/>
      <c r="AA186" s="1005"/>
      <c r="AB186" s="1006"/>
      <c r="AC186" s="1006"/>
      <c r="AD186" s="1006"/>
      <c r="AE186" s="1007"/>
      <c r="AF186" s="136"/>
      <c r="AG186" s="1005"/>
      <c r="AH186" s="1006"/>
      <c r="AI186" s="1006"/>
      <c r="AJ186" s="1006"/>
      <c r="AK186" s="1007"/>
      <c r="AL186" s="136"/>
      <c r="AM186" s="1005"/>
      <c r="AN186" s="1006"/>
      <c r="AO186" s="1006"/>
      <c r="AP186" s="1006"/>
      <c r="AQ186" s="1007"/>
      <c r="AR186" s="136"/>
      <c r="AS186" s="1005"/>
      <c r="AT186" s="1006"/>
      <c r="AU186" s="1006"/>
      <c r="AV186" s="1006"/>
      <c r="AW186" s="1007"/>
      <c r="AX186" s="136"/>
      <c r="AY186" s="1005"/>
      <c r="AZ186" s="1006"/>
      <c r="BA186" s="1006"/>
      <c r="BB186" s="1006"/>
      <c r="BC186" s="1007"/>
      <c r="BD186" s="136"/>
      <c r="BE186" s="1005"/>
      <c r="BF186" s="1006"/>
      <c r="BG186" s="1006"/>
      <c r="BH186" s="1006"/>
      <c r="BI186" s="1007"/>
      <c r="BJ186" s="136"/>
      <c r="BK186" s="1005"/>
      <c r="BL186" s="1006"/>
      <c r="BM186" s="1006"/>
      <c r="BN186" s="1006"/>
      <c r="BO186" s="1007"/>
      <c r="BP186" s="136"/>
      <c r="BQ186" s="1005"/>
      <c r="BR186" s="1006"/>
      <c r="BS186" s="1006"/>
      <c r="BT186" s="1006"/>
      <c r="BU186" s="1007"/>
      <c r="BV186" s="136"/>
      <c r="BW186" s="1005"/>
      <c r="BX186" s="1006"/>
      <c r="BY186" s="1006"/>
      <c r="BZ186" s="1006"/>
      <c r="CA186" s="1007"/>
      <c r="CB186" s="136"/>
      <c r="CC186" s="1005"/>
      <c r="CD186" s="1006"/>
      <c r="CE186" s="1006"/>
      <c r="CF186" s="1006"/>
      <c r="CG186" s="1007"/>
      <c r="CH186" s="136"/>
      <c r="CI186" s="1005"/>
      <c r="CJ186" s="1006"/>
      <c r="CK186" s="1006"/>
      <c r="CL186" s="1006"/>
      <c r="CM186" s="1007"/>
      <c r="CN186" s="11"/>
      <c r="CO186" s="11"/>
      <c r="CP186" s="11"/>
      <c r="CQ186" s="11"/>
      <c r="CR186" s="11"/>
      <c r="CS186" s="11"/>
      <c r="CT186" s="11"/>
      <c r="CU186" s="11"/>
      <c r="CV186" s="11"/>
      <c r="CW186" s="11"/>
      <c r="CX186" s="11"/>
    </row>
    <row r="187" spans="2:102" s="31" customFormat="1" ht="11.25" customHeight="1" x14ac:dyDescent="0.2">
      <c r="B187" s="658" t="s">
        <v>459</v>
      </c>
      <c r="C187" s="1013">
        <f>+C91/C$112</f>
        <v>0.9250654254150269</v>
      </c>
      <c r="D187" s="243">
        <f t="shared" ref="D187:G187" si="264">+D91/D$112</f>
        <v>0.90770956984962559</v>
      </c>
      <c r="E187" s="243">
        <f t="shared" si="264"/>
        <v>0.88787753413322301</v>
      </c>
      <c r="F187" s="243">
        <f t="shared" si="264"/>
        <v>0.90321551323310878</v>
      </c>
      <c r="G187" s="1014">
        <f t="shared" si="264"/>
        <v>0.90614531853209346</v>
      </c>
      <c r="H187" s="136"/>
      <c r="I187" s="1013">
        <f>+I91/I$112</f>
        <v>0.93286177477493804</v>
      </c>
      <c r="J187" s="243">
        <f t="shared" ref="J187:M187" si="265">+J91/J$112</f>
        <v>0.92468142925342445</v>
      </c>
      <c r="K187" s="243">
        <f t="shared" si="265"/>
        <v>0.89762125998884967</v>
      </c>
      <c r="L187" s="243">
        <f t="shared" si="265"/>
        <v>0.93087746612091848</v>
      </c>
      <c r="M187" s="1014">
        <f t="shared" si="265"/>
        <v>0.92183940487470517</v>
      </c>
      <c r="N187" s="136"/>
      <c r="O187" s="1013">
        <f t="shared" ref="O187:S187" si="266">+O91/O$112</f>
        <v>0.93464153024968766</v>
      </c>
      <c r="P187" s="243">
        <f t="shared" si="266"/>
        <v>0.93238880482890873</v>
      </c>
      <c r="Q187" s="243">
        <f t="shared" si="266"/>
        <v>0.92071424637920585</v>
      </c>
      <c r="R187" s="243">
        <f t="shared" si="266"/>
        <v>0.95389050809392228</v>
      </c>
      <c r="S187" s="1014">
        <f t="shared" si="266"/>
        <v>0.93600278943573856</v>
      </c>
      <c r="T187" s="136"/>
      <c r="U187" s="1013">
        <f t="shared" ref="U187:Y187" si="267">+U91/U$112</f>
        <v>0.9506032001229453</v>
      </c>
      <c r="V187" s="243">
        <f t="shared" si="267"/>
        <v>0.94757055535498647</v>
      </c>
      <c r="W187" s="243">
        <f t="shared" si="267"/>
        <v>0.93117262191064165</v>
      </c>
      <c r="X187" s="243">
        <f t="shared" si="267"/>
        <v>0.94048574497771309</v>
      </c>
      <c r="Y187" s="1014">
        <f t="shared" si="267"/>
        <v>0.94271765612569614</v>
      </c>
      <c r="Z187" s="136"/>
      <c r="AA187" s="1013">
        <f t="shared" ref="AA187:AE187" si="268">+AA91/AA$112</f>
        <v>0.9446154702591365</v>
      </c>
      <c r="AB187" s="243">
        <f t="shared" si="268"/>
        <v>0.94108727673321857</v>
      </c>
      <c r="AC187" s="243">
        <f t="shared" si="268"/>
        <v>0.92270547533494507</v>
      </c>
      <c r="AD187" s="243">
        <f t="shared" si="268"/>
        <v>0.93025013183431815</v>
      </c>
      <c r="AE187" s="1014">
        <f t="shared" si="268"/>
        <v>0.93499456201232201</v>
      </c>
      <c r="AF187" s="136"/>
      <c r="AG187" s="1013">
        <f t="shared" ref="AG187:AK187" si="269">+AG91/AG$112</f>
        <v>0.94306331186004688</v>
      </c>
      <c r="AH187" s="243">
        <f t="shared" si="269"/>
        <v>0.94225246091488135</v>
      </c>
      <c r="AI187" s="243">
        <f t="shared" si="269"/>
        <v>0.91055467439290438</v>
      </c>
      <c r="AJ187" s="243">
        <f t="shared" si="269"/>
        <v>0.93813975903614455</v>
      </c>
      <c r="AK187" s="1014">
        <f t="shared" si="269"/>
        <v>0.933751426245088</v>
      </c>
      <c r="AL187" s="136"/>
      <c r="AM187" s="1013">
        <f t="shared" ref="AM187:AQ187" si="270">+AM91/AM$112</f>
        <v>0.949160081636925</v>
      </c>
      <c r="AN187" s="243">
        <f t="shared" si="270"/>
        <v>0.9469233898305085</v>
      </c>
      <c r="AO187" s="243">
        <f t="shared" si="270"/>
        <v>0.92254059107908426</v>
      </c>
      <c r="AP187" s="243">
        <f t="shared" si="270"/>
        <v>0.93572505039829335</v>
      </c>
      <c r="AQ187" s="1014">
        <f t="shared" si="270"/>
        <v>0.93879601983462313</v>
      </c>
      <c r="AR187" s="136"/>
      <c r="AS187" s="1013">
        <f t="shared" ref="AS187:AW187" si="271">+AS91/AS$112</f>
        <v>0.9424988606942003</v>
      </c>
      <c r="AT187" s="243">
        <f t="shared" si="271"/>
        <v>0.94743281838244842</v>
      </c>
      <c r="AU187" s="243">
        <f t="shared" si="271"/>
        <v>0.93734890612533828</v>
      </c>
      <c r="AV187" s="243">
        <f t="shared" si="271"/>
        <v>0.94598426371949962</v>
      </c>
      <c r="AW187" s="1014">
        <f t="shared" si="271"/>
        <v>0.94338361689181782</v>
      </c>
      <c r="AX187" s="136"/>
      <c r="AY187" s="1013">
        <f>+AY36/AY$78</f>
        <v>0.95870825783070157</v>
      </c>
      <c r="AZ187" s="243">
        <f t="shared" ref="AZ187:BC187" si="272">+AZ36/AZ$78</f>
        <v>0.95518681236951297</v>
      </c>
      <c r="BA187" s="243">
        <f t="shared" si="272"/>
        <v>0.93500584639521644</v>
      </c>
      <c r="BB187" s="243">
        <f t="shared" si="272"/>
        <v>0.9336537624199045</v>
      </c>
      <c r="BC187" s="1014">
        <f t="shared" si="272"/>
        <v>0.94617766396397018</v>
      </c>
      <c r="BD187" s="136"/>
      <c r="BE187" s="1013">
        <f>+BE36/BE$78</f>
        <v>0.96403712921476337</v>
      </c>
      <c r="BF187" s="243">
        <f t="shared" ref="BF187:BI187" si="273">+BF36/BF$78</f>
        <v>0.97495006152729735</v>
      </c>
      <c r="BG187" s="243">
        <f t="shared" si="273"/>
        <v>0.96837456466674576</v>
      </c>
      <c r="BH187" s="243">
        <f t="shared" si="273"/>
        <v>0.96918233677345644</v>
      </c>
      <c r="BI187" s="1014">
        <f t="shared" si="273"/>
        <v>0.96952955525532547</v>
      </c>
      <c r="BJ187" s="136"/>
      <c r="BK187" s="1013">
        <f t="shared" ref="BK187:BO187" si="274">+BK36/BK$78</f>
        <v>0.97461681992995308</v>
      </c>
      <c r="BL187" s="243">
        <f t="shared" si="274"/>
        <v>0.9762731897327126</v>
      </c>
      <c r="BM187" s="243">
        <f t="shared" si="274"/>
        <v>0.96897362495852879</v>
      </c>
      <c r="BN187" s="243">
        <f t="shared" si="274"/>
        <v>0.97760286752905234</v>
      </c>
      <c r="BO187" s="1014">
        <f t="shared" si="274"/>
        <v>0.97445998608784157</v>
      </c>
      <c r="BP187" s="136"/>
      <c r="BQ187" s="1013">
        <f t="shared" ref="BQ187:BU187" si="275">+BQ36/BQ$78</f>
        <v>0.97911577352422763</v>
      </c>
      <c r="BR187" s="243">
        <f t="shared" si="275"/>
        <v>0.97728340677260217</v>
      </c>
      <c r="BS187" s="243">
        <f t="shared" si="275"/>
        <v>0.97109705145640723</v>
      </c>
      <c r="BT187" s="243">
        <f t="shared" si="275"/>
        <v>0.97710909945996549</v>
      </c>
      <c r="BU187" s="1014">
        <f t="shared" si="275"/>
        <v>0.9761578239648222</v>
      </c>
      <c r="BV187" s="136"/>
      <c r="BW187" s="1013">
        <f t="shared" ref="BW187:CA187" si="276">+BW36/BW$78</f>
        <v>0.97911577352422774</v>
      </c>
      <c r="BX187" s="243">
        <f t="shared" si="276"/>
        <v>0.97770246468180222</v>
      </c>
      <c r="BY187" s="243">
        <f t="shared" si="276"/>
        <v>0.97109705145640712</v>
      </c>
      <c r="BZ187" s="243">
        <f t="shared" si="276"/>
        <v>0.97753129892672963</v>
      </c>
      <c r="CA187" s="1014">
        <f t="shared" si="276"/>
        <v>0.97638610841392159</v>
      </c>
      <c r="CB187" s="136"/>
      <c r="CC187" s="1013">
        <f t="shared" ref="CC187:CG187" si="277">+CC36/CC$78</f>
        <v>0.97933287116650181</v>
      </c>
      <c r="CD187" s="243">
        <f t="shared" si="277"/>
        <v>0.97789628651010485</v>
      </c>
      <c r="CE187" s="243">
        <f t="shared" si="277"/>
        <v>0.9710533787595651</v>
      </c>
      <c r="CF187" s="243">
        <f t="shared" si="277"/>
        <v>0.97749746955229411</v>
      </c>
      <c r="CG187" s="1014">
        <f t="shared" si="277"/>
        <v>0.97646770134445138</v>
      </c>
      <c r="CH187" s="136"/>
      <c r="CI187" s="1013">
        <f t="shared" ref="CI187:CM187" si="278">+CI36/CI$78</f>
        <v>0.9795448177377466</v>
      </c>
      <c r="CJ187" s="243">
        <f t="shared" si="278"/>
        <v>0.97808550075147138</v>
      </c>
      <c r="CK187" s="243">
        <f t="shared" si="278"/>
        <v>0.97100949903998668</v>
      </c>
      <c r="CL187" s="243">
        <f t="shared" si="278"/>
        <v>0.97746347910930431</v>
      </c>
      <c r="CM187" s="1014">
        <f t="shared" si="278"/>
        <v>0.97654676984071132</v>
      </c>
      <c r="CN187" s="11"/>
      <c r="CO187" s="11"/>
      <c r="CP187" s="11"/>
      <c r="CQ187" s="11"/>
      <c r="CR187" s="11"/>
      <c r="CS187" s="11"/>
      <c r="CT187" s="11"/>
      <c r="CU187" s="11"/>
      <c r="CV187" s="11"/>
      <c r="CW187" s="11"/>
      <c r="CX187" s="11"/>
    </row>
    <row r="188" spans="2:102" s="31" customFormat="1" ht="11.25" customHeight="1" x14ac:dyDescent="0.2">
      <c r="B188" s="658" t="s">
        <v>460</v>
      </c>
      <c r="C188" s="1013">
        <f>+C98/C$112</f>
        <v>5.2949637413348787E-2</v>
      </c>
      <c r="D188" s="243">
        <f t="shared" ref="D188:G188" si="279">+D98/D$112</f>
        <v>7.0761938717728234E-2</v>
      </c>
      <c r="E188" s="243">
        <f t="shared" si="279"/>
        <v>9.3737733787382108E-2</v>
      </c>
      <c r="F188" s="243">
        <f t="shared" si="279"/>
        <v>7.8505201163310154E-2</v>
      </c>
      <c r="G188" s="1014">
        <f t="shared" si="279"/>
        <v>7.3845968965465428E-2</v>
      </c>
      <c r="H188" s="136"/>
      <c r="I188" s="1013">
        <f>+I98/I$112</f>
        <v>5.1515206404984873E-2</v>
      </c>
      <c r="J188" s="243">
        <f t="shared" ref="J188:M188" si="280">+J98/J$112</f>
        <v>5.9390033417795904E-2</v>
      </c>
      <c r="K188" s="243">
        <f t="shared" si="280"/>
        <v>8.6935513845010221E-2</v>
      </c>
      <c r="L188" s="243">
        <f t="shared" si="280"/>
        <v>5.4583197314784587E-2</v>
      </c>
      <c r="M188" s="1014">
        <f t="shared" si="280"/>
        <v>6.2796381043261282E-2</v>
      </c>
      <c r="N188" s="136"/>
      <c r="O188" s="1013">
        <f t="shared" ref="O188:S188" si="281">+O98/O$112</f>
        <v>4.9759073283904151E-2</v>
      </c>
      <c r="P188" s="243">
        <f t="shared" si="281"/>
        <v>4.7989707821893532E-2</v>
      </c>
      <c r="Q188" s="243">
        <f t="shared" si="281"/>
        <v>7.0309488407951981E-2</v>
      </c>
      <c r="R188" s="243">
        <f t="shared" si="281"/>
        <v>3.1795298837957529E-2</v>
      </c>
      <c r="S188" s="1014">
        <f t="shared" si="281"/>
        <v>4.9612366498440932E-2</v>
      </c>
      <c r="T188" s="136"/>
      <c r="U188" s="1013">
        <f t="shared" ref="U188:Y188" si="282">+U98/U$112</f>
        <v>3.8579982385728892E-2</v>
      </c>
      <c r="V188" s="243">
        <f t="shared" si="282"/>
        <v>4.3304243903046297E-2</v>
      </c>
      <c r="W188" s="243">
        <f t="shared" si="282"/>
        <v>5.8891356056163573E-2</v>
      </c>
      <c r="X188" s="243">
        <f t="shared" si="282"/>
        <v>4.2987319265579284E-2</v>
      </c>
      <c r="Y188" s="1014">
        <f t="shared" si="282"/>
        <v>4.5658375596658717E-2</v>
      </c>
      <c r="Z188" s="136"/>
      <c r="AA188" s="1013">
        <f t="shared" ref="AA188:AE188" si="283">+AA98/AA$112</f>
        <v>4.0493222367578699E-2</v>
      </c>
      <c r="AB188" s="243">
        <f t="shared" si="283"/>
        <v>4.530319721744297E-2</v>
      </c>
      <c r="AC188" s="243">
        <f t="shared" si="283"/>
        <v>6.6281073427460827E-2</v>
      </c>
      <c r="AD188" s="243">
        <f t="shared" si="283"/>
        <v>5.3304556302767703E-2</v>
      </c>
      <c r="AE188" s="1014">
        <f t="shared" si="283"/>
        <v>5.085777958220844E-2</v>
      </c>
      <c r="AF188" s="136"/>
      <c r="AG188" s="1013">
        <f t="shared" ref="AG188:AK188" si="284">+AG98/AG$112</f>
        <v>4.2131812942990926E-2</v>
      </c>
      <c r="AH188" s="243">
        <f t="shared" si="284"/>
        <v>4.2906774753908514E-2</v>
      </c>
      <c r="AI188" s="243">
        <f t="shared" si="284"/>
        <v>7.6831020997119831E-2</v>
      </c>
      <c r="AJ188" s="243">
        <f t="shared" si="284"/>
        <v>4.7826506024096382E-2</v>
      </c>
      <c r="AK188" s="1014">
        <f t="shared" si="284"/>
        <v>5.2174019601168777E-2</v>
      </c>
      <c r="AL188" s="136"/>
      <c r="AM188" s="1013">
        <f t="shared" ref="AM188:AQ188" si="285">+AM98/AM$112</f>
        <v>3.7751844680517038E-2</v>
      </c>
      <c r="AN188" s="243">
        <f t="shared" si="285"/>
        <v>3.8855593220338984E-2</v>
      </c>
      <c r="AO188" s="243">
        <f t="shared" si="285"/>
        <v>6.4945726534707648E-2</v>
      </c>
      <c r="AP188" s="243">
        <f t="shared" si="285"/>
        <v>4.5500362084825711E-2</v>
      </c>
      <c r="AQ188" s="1014">
        <f t="shared" si="285"/>
        <v>4.6433938655668035E-2</v>
      </c>
      <c r="AR188" s="136"/>
      <c r="AS188" s="1013">
        <f t="shared" ref="AS188:AW188" si="286">+AS98/AS$112</f>
        <v>4.0379000716135066E-2</v>
      </c>
      <c r="AT188" s="243">
        <f t="shared" si="286"/>
        <v>3.1069064001038559E-2</v>
      </c>
      <c r="AU188" s="243">
        <f t="shared" si="286"/>
        <v>4.3811974733204959E-2</v>
      </c>
      <c r="AV188" s="243">
        <f t="shared" si="286"/>
        <v>3.2547624772343506E-2</v>
      </c>
      <c r="AW188" s="1014">
        <f t="shared" si="286"/>
        <v>3.6590515392620718E-2</v>
      </c>
      <c r="AX188" s="136"/>
      <c r="AY188" s="1013">
        <f>+AY43/AY$78</f>
        <v>1.9702303908879112E-2</v>
      </c>
      <c r="AZ188" s="243">
        <f t="shared" ref="AZ188:BC188" si="287">+AZ43/AZ$78</f>
        <v>2.2437140413415001E-2</v>
      </c>
      <c r="BA188" s="243">
        <f t="shared" si="287"/>
        <v>4.4725663454849553E-2</v>
      </c>
      <c r="BB188" s="243">
        <f t="shared" si="287"/>
        <v>4.3552886249547028E-2</v>
      </c>
      <c r="BC188" s="1014">
        <f t="shared" si="287"/>
        <v>3.2041714438715611E-2</v>
      </c>
      <c r="BD188" s="136"/>
      <c r="BE188" s="1013">
        <f>+BE43/BE$78</f>
        <v>1.7608205319605167E-2</v>
      </c>
      <c r="BF188" s="243">
        <f t="shared" ref="BF188:BI188" si="288">+BF43/BF$78</f>
        <v>1.4257805186370251E-2</v>
      </c>
      <c r="BG188" s="243">
        <f t="shared" si="288"/>
        <v>2.1935060483144881E-2</v>
      </c>
      <c r="BH188" s="243">
        <f t="shared" si="288"/>
        <v>1.6275906586439817E-2</v>
      </c>
      <c r="BI188" s="1014">
        <f t="shared" si="288"/>
        <v>1.747157567353504E-2</v>
      </c>
      <c r="BJ188" s="136"/>
      <c r="BK188" s="1013">
        <f t="shared" ref="BK188:BO188" si="289">+BK43/BK$78</f>
        <v>1.3196421336137661E-2</v>
      </c>
      <c r="BL188" s="243">
        <f t="shared" si="289"/>
        <v>1.5030737933409817E-2</v>
      </c>
      <c r="BM188" s="243">
        <f t="shared" si="289"/>
        <v>2.4411961021641095E-2</v>
      </c>
      <c r="BN188" s="243">
        <f t="shared" si="289"/>
        <v>1.5524392366146529E-2</v>
      </c>
      <c r="BO188" s="1014">
        <f t="shared" si="289"/>
        <v>1.6981314793915871E-2</v>
      </c>
      <c r="BP188" s="136"/>
      <c r="BQ188" s="1013">
        <f t="shared" ref="BQ188:BU188" si="290">+BQ43/BQ$78</f>
        <v>1.1706711194945214E-2</v>
      </c>
      <c r="BR188" s="243">
        <f t="shared" si="290"/>
        <v>1.4356780069525477E-2</v>
      </c>
      <c r="BS188" s="243">
        <f t="shared" si="290"/>
        <v>1.9593214965522535E-2</v>
      </c>
      <c r="BT188" s="243">
        <f t="shared" si="290"/>
        <v>1.5592401039164407E-2</v>
      </c>
      <c r="BU188" s="1014">
        <f t="shared" si="290"/>
        <v>1.5328649556652705E-2</v>
      </c>
      <c r="BV188" s="136"/>
      <c r="BW188" s="1013">
        <f t="shared" ref="BW188:CA188" si="291">+BW43/BW$78</f>
        <v>1.1706711194945216E-2</v>
      </c>
      <c r="BX188" s="243">
        <f t="shared" si="291"/>
        <v>1.4091937441999634E-2</v>
      </c>
      <c r="BY188" s="243">
        <f t="shared" si="291"/>
        <v>1.9593214965522535E-2</v>
      </c>
      <c r="BZ188" s="243">
        <f t="shared" si="291"/>
        <v>1.530481500065118E-2</v>
      </c>
      <c r="CA188" s="1014">
        <f t="shared" si="291"/>
        <v>1.5181880557283036E-2</v>
      </c>
      <c r="CB188" s="136"/>
      <c r="CC188" s="1013">
        <f t="shared" ref="CC188:CG188" si="292">+CC43/CC$78</f>
        <v>1.1709306903714217E-2</v>
      </c>
      <c r="CD188" s="243">
        <f t="shared" si="292"/>
        <v>1.4094731057826533E-2</v>
      </c>
      <c r="CE188" s="243">
        <f t="shared" si="292"/>
        <v>1.959233380896247E-2</v>
      </c>
      <c r="CF188" s="243">
        <f t="shared" si="292"/>
        <v>1.5304285347720485E-2</v>
      </c>
      <c r="CG188" s="1014">
        <f t="shared" si="292"/>
        <v>1.5183149250185308E-2</v>
      </c>
      <c r="CH188" s="136"/>
      <c r="CI188" s="1013">
        <f t="shared" ref="CI188:CM188" si="293">+CI43/CI$78</f>
        <v>1.1711841024157801E-2</v>
      </c>
      <c r="CJ188" s="243">
        <f t="shared" si="293"/>
        <v>1.4097458263033427E-2</v>
      </c>
      <c r="CK188" s="243">
        <f t="shared" si="293"/>
        <v>1.9591448475434748E-2</v>
      </c>
      <c r="CL188" s="243">
        <f t="shared" si="293"/>
        <v>1.5303753173004114E-2</v>
      </c>
      <c r="CM188" s="1014">
        <f t="shared" si="293"/>
        <v>1.5184378690522199E-2</v>
      </c>
      <c r="CN188" s="11"/>
      <c r="CO188" s="11"/>
      <c r="CP188" s="11"/>
      <c r="CQ188" s="11"/>
      <c r="CR188" s="11"/>
      <c r="CS188" s="11"/>
      <c r="CT188" s="11"/>
      <c r="CU188" s="11"/>
      <c r="CV188" s="11"/>
      <c r="CW188" s="11"/>
      <c r="CX188" s="11"/>
    </row>
    <row r="189" spans="2:102" s="31" customFormat="1" ht="11.25" customHeight="1" x14ac:dyDescent="0.2">
      <c r="B189" s="1198" t="s">
        <v>37</v>
      </c>
      <c r="C189" s="1203">
        <f>+C105/C$112</f>
        <v>2.198493717162435E-2</v>
      </c>
      <c r="D189" s="1204">
        <f>+D105/D$112</f>
        <v>2.1528491432646124E-2</v>
      </c>
      <c r="E189" s="1204">
        <f>+E105/E$112</f>
        <v>1.8384732079394884E-2</v>
      </c>
      <c r="F189" s="1204">
        <f>+F105/F$112</f>
        <v>1.8279285603581098E-2</v>
      </c>
      <c r="G189" s="1205">
        <f>+G105/G$112</f>
        <v>2.0008712502441E-2</v>
      </c>
      <c r="H189" s="85"/>
      <c r="I189" s="1203">
        <f>+I105/I$112</f>
        <v>1.5623018820077165E-2</v>
      </c>
      <c r="J189" s="1204">
        <f>+J105/J$112</f>
        <v>1.5928537328779701E-2</v>
      </c>
      <c r="K189" s="1204">
        <f>+K105/K$112</f>
        <v>1.5443226166140122E-2</v>
      </c>
      <c r="L189" s="1204">
        <f>+L105/L$112</f>
        <v>1.4539336564297015E-2</v>
      </c>
      <c r="M189" s="1205">
        <f>+M105/M$112</f>
        <v>1.536421408203357E-2</v>
      </c>
      <c r="N189" s="85"/>
      <c r="O189" s="1203">
        <f>+O105/O$112</f>
        <v>1.5599396466408164E-2</v>
      </c>
      <c r="P189" s="1204">
        <f>+P105/P$112</f>
        <v>1.9621487349197744E-2</v>
      </c>
      <c r="Q189" s="1204">
        <f>+Q105/Q$112</f>
        <v>8.9762652128421178E-3</v>
      </c>
      <c r="R189" s="1204">
        <f>+R105/R$112</f>
        <v>1.4314193068120165E-2</v>
      </c>
      <c r="S189" s="1205">
        <f>+S105/S$112</f>
        <v>1.4384844065820515E-2</v>
      </c>
      <c r="T189" s="85"/>
      <c r="U189" s="1203">
        <f>+U105/U$112</f>
        <v>1.0816817491325858E-2</v>
      </c>
      <c r="V189" s="1204">
        <f>+V105/V$112</f>
        <v>9.1252007419672099E-3</v>
      </c>
      <c r="W189" s="1204">
        <f>+W105/W$112</f>
        <v>9.9360220331947482E-3</v>
      </c>
      <c r="X189" s="1204">
        <f>+X105/X$112</f>
        <v>1.6526935756707703E-2</v>
      </c>
      <c r="Y189" s="1205">
        <f>+Y105/Y$112</f>
        <v>1.1623968277645188E-2</v>
      </c>
      <c r="Z189" s="85"/>
      <c r="AA189" s="1203">
        <f>+AA105/AA$112</f>
        <v>1.4891307373284713E-2</v>
      </c>
      <c r="AB189" s="1204">
        <f>+AB105/AB$112</f>
        <v>1.3609526049338398E-2</v>
      </c>
      <c r="AC189" s="1204">
        <f>+AC105/AC$112</f>
        <v>1.1013451237594006E-2</v>
      </c>
      <c r="AD189" s="1204">
        <f>+AD105/AD$112</f>
        <v>1.6445311862914053E-2</v>
      </c>
      <c r="AE189" s="1205">
        <f>+AE105/AE$112</f>
        <v>1.41476584054694E-2</v>
      </c>
      <c r="AF189" s="85"/>
      <c r="AG189" s="1203">
        <f>+AG105/AG$112</f>
        <v>1.4804875196962186E-2</v>
      </c>
      <c r="AH189" s="1204">
        <f>+AH105/AH$112</f>
        <v>1.4840764331210192E-2</v>
      </c>
      <c r="AI189" s="1204">
        <f>+AI105/AI$112</f>
        <v>1.2614304609975778E-2</v>
      </c>
      <c r="AJ189" s="1204">
        <f>+AJ105/AJ$112</f>
        <v>1.4033734939759035E-2</v>
      </c>
      <c r="AK189" s="1205">
        <f>+AK105/AK$112</f>
        <v>1.4074554153743092E-2</v>
      </c>
      <c r="AL189" s="85"/>
      <c r="AM189" s="1203">
        <f>+AM105/AM$112</f>
        <v>1.3088073682557957E-2</v>
      </c>
      <c r="AN189" s="1204">
        <f>+AN105/AN$112</f>
        <v>1.4221016949152543E-2</v>
      </c>
      <c r="AO189" s="1204">
        <f>+AO105/AO$112</f>
        <v>1.2513682386208154E-2</v>
      </c>
      <c r="AP189" s="1204">
        <f>+AP105/AP$112</f>
        <v>1.8774587516880985E-2</v>
      </c>
      <c r="AQ189" s="1205">
        <f>+AQ105/AQ$112</f>
        <v>1.4770041509708769E-2</v>
      </c>
      <c r="AR189" s="85"/>
      <c r="AS189" s="1203">
        <f>+AS105/AS$112</f>
        <v>1.7122138589664614E-2</v>
      </c>
      <c r="AT189" s="1204">
        <f>+AT105/AT$112</f>
        <v>2.1498117616513046E-2</v>
      </c>
      <c r="AU189" s="1204">
        <f>+AU105/AU$112</f>
        <v>1.8839119141456858E-2</v>
      </c>
      <c r="AV189" s="1204">
        <f>+AV105/AV$112</f>
        <v>2.1468111508156945E-2</v>
      </c>
      <c r="AW189" s="1205">
        <f>+AW105/AW$112</f>
        <v>2.0025867715561526E-2</v>
      </c>
      <c r="AX189" s="85"/>
      <c r="AY189" s="1203">
        <f>+AY50/AY$78</f>
        <v>2.1589438260419366E-2</v>
      </c>
      <c r="AZ189" s="1204">
        <f>+AZ50/AZ$78</f>
        <v>2.2376047217072096E-2</v>
      </c>
      <c r="BA189" s="1204">
        <f>+BA50/BA$78</f>
        <v>2.0268490149934142E-2</v>
      </c>
      <c r="BB189" s="1204">
        <f>+BB50/BB$78</f>
        <v>2.2793351330548543E-2</v>
      </c>
      <c r="BC189" s="1205">
        <f>+BC50/BC$78</f>
        <v>2.178062159731424E-2</v>
      </c>
      <c r="BD189" s="85"/>
      <c r="BE189" s="1203">
        <f>+BE50/BE$78</f>
        <v>1.8354665465631428E-2</v>
      </c>
      <c r="BF189" s="1204">
        <f>+BF50/BF$78</f>
        <v>1.0792133286332418E-2</v>
      </c>
      <c r="BG189" s="1204">
        <f>+BG50/BG$78</f>
        <v>9.6903748501093075E-3</v>
      </c>
      <c r="BH189" s="1204">
        <f>+BH50/BH$78</f>
        <v>1.4541756640103688E-2</v>
      </c>
      <c r="BI189" s="1205">
        <f>+BI50/BI$78</f>
        <v>1.2998869071139512E-2</v>
      </c>
      <c r="BJ189" s="85"/>
      <c r="BK189" s="1203">
        <f>+BK50/BK$78</f>
        <v>1.2186758733909323E-2</v>
      </c>
      <c r="BL189" s="1204">
        <f>+BL50/BL$78</f>
        <v>8.6960723338776382E-3</v>
      </c>
      <c r="BM189" s="1204">
        <f>+BM50/BM$78</f>
        <v>6.6144140198301279E-3</v>
      </c>
      <c r="BN189" s="1204">
        <f>+BN50/BN$78</f>
        <v>6.87274010480113E-3</v>
      </c>
      <c r="BO189" s="1205">
        <f>+BO50/BO$78</f>
        <v>8.5586991182425888E-3</v>
      </c>
      <c r="BP189" s="85"/>
      <c r="BQ189" s="1203">
        <f>+BQ50/BQ$78</f>
        <v>9.1775152808270706E-3</v>
      </c>
      <c r="BR189" s="1204">
        <f>+BR50/BR$78</f>
        <v>8.3598131578723704E-3</v>
      </c>
      <c r="BS189" s="1204">
        <f>+BS50/BS$78</f>
        <v>9.3097335780702936E-3</v>
      </c>
      <c r="BT189" s="1204">
        <f>+BT50/BT$78</f>
        <v>7.2984995008700858E-3</v>
      </c>
      <c r="BU189" s="1205">
        <f>+BU50/BU$78</f>
        <v>8.5135264785251297E-3</v>
      </c>
      <c r="BV189" s="85"/>
      <c r="BW189" s="1203">
        <f>+BW50/BW$78</f>
        <v>9.1775152808270723E-3</v>
      </c>
      <c r="BX189" s="1204">
        <f>+BX50/BX$78</f>
        <v>8.2055978761981958E-3</v>
      </c>
      <c r="BY189" s="1204">
        <f>+BY50/BY$78</f>
        <v>9.3097335780702936E-3</v>
      </c>
      <c r="BZ189" s="1204">
        <f>+BZ50/BZ$78</f>
        <v>7.1638860726191108E-3</v>
      </c>
      <c r="CA189" s="1205">
        <f>+CA50/CA$78</f>
        <v>8.4320110287953772E-3</v>
      </c>
      <c r="CB189" s="85"/>
      <c r="CC189" s="1203">
        <f>+CC50/CC$78</f>
        <v>8.9578219297839906E-3</v>
      </c>
      <c r="CD189" s="1204">
        <f>+CD50/CD$78</f>
        <v>8.008982432068653E-3</v>
      </c>
      <c r="CE189" s="1204">
        <f>+CE50/CE$78</f>
        <v>9.3542874314725688E-3</v>
      </c>
      <c r="CF189" s="1204">
        <f>+CF50/CF$78</f>
        <v>7.1982450999852959E-3</v>
      </c>
      <c r="CG189" s="1205">
        <f>+CG50/CG$78</f>
        <v>8.3491494053632483E-3</v>
      </c>
      <c r="CH189" s="85"/>
      <c r="CI189" s="1203">
        <f>+CI50/CI$78</f>
        <v>8.7433412380955432E-3</v>
      </c>
      <c r="CJ189" s="1204">
        <f>+CJ50/CJ$78</f>
        <v>7.8170409854951012E-3</v>
      </c>
      <c r="CK189" s="1204">
        <f>+CK50/CK$78</f>
        <v>9.399052484578601E-3</v>
      </c>
      <c r="CL189" s="1204">
        <f>+CL50/CL$78</f>
        <v>7.2327677176915869E-3</v>
      </c>
      <c r="CM189" s="1205">
        <f>+CM50/CM$78</f>
        <v>8.2688514687664499E-3</v>
      </c>
      <c r="CN189" s="11"/>
      <c r="CO189" s="11"/>
      <c r="CP189" s="11"/>
      <c r="CQ189" s="11"/>
      <c r="CR189" s="11"/>
      <c r="CS189" s="11"/>
      <c r="CT189" s="11"/>
      <c r="CU189" s="11"/>
      <c r="CV189" s="11"/>
      <c r="CW189" s="11"/>
      <c r="CX189" s="11"/>
    </row>
    <row r="190" spans="2:102" s="10" customFormat="1" ht="11.25" customHeight="1" x14ac:dyDescent="0.2">
      <c r="B190" s="1139" t="s">
        <v>525</v>
      </c>
      <c r="C190" s="1211"/>
      <c r="D190" s="1194"/>
      <c r="E190" s="1194"/>
      <c r="F190" s="1194"/>
      <c r="G190" s="1212"/>
      <c r="H190" s="382"/>
      <c r="I190" s="1211">
        <f t="shared" ref="I190:I191" si="294">+M190</f>
        <v>1</v>
      </c>
      <c r="J190" s="1194">
        <f t="shared" ref="J190:J191" si="295">+M190</f>
        <v>1</v>
      </c>
      <c r="K190" s="1194">
        <f t="shared" ref="K190:K191" si="296">+M190</f>
        <v>1</v>
      </c>
      <c r="L190" s="1194">
        <f t="shared" ref="L190" si="297">+M190</f>
        <v>1</v>
      </c>
      <c r="M190" s="1214">
        <f>+M194</f>
        <v>1</v>
      </c>
      <c r="N190" s="382"/>
      <c r="O190" s="1211">
        <f t="shared" ref="O190:O191" si="298">+S190</f>
        <v>1</v>
      </c>
      <c r="P190" s="1194">
        <f t="shared" ref="P190:P191" si="299">+S190</f>
        <v>1</v>
      </c>
      <c r="Q190" s="1194">
        <f t="shared" ref="Q190:Q191" si="300">+S190</f>
        <v>1</v>
      </c>
      <c r="R190" s="1194">
        <f t="shared" ref="R190" si="301">+S190</f>
        <v>1</v>
      </c>
      <c r="S190" s="1214">
        <f>+S194</f>
        <v>1</v>
      </c>
      <c r="T190" s="382"/>
      <c r="U190" s="1211">
        <f t="shared" ref="U190:U191" si="302">+Y190</f>
        <v>1</v>
      </c>
      <c r="V190" s="1194">
        <f t="shared" ref="V190:V191" si="303">+Y190</f>
        <v>1</v>
      </c>
      <c r="W190" s="1194">
        <f t="shared" ref="W190:W191" si="304">+Y190</f>
        <v>1</v>
      </c>
      <c r="X190" s="1194">
        <f t="shared" ref="X190" si="305">+Y190</f>
        <v>1</v>
      </c>
      <c r="Y190" s="1214">
        <f>+Y194</f>
        <v>1</v>
      </c>
      <c r="Z190" s="382"/>
      <c r="AA190" s="1211">
        <f t="shared" ref="AA190:AA191" si="306">+AE190</f>
        <v>1</v>
      </c>
      <c r="AB190" s="1194">
        <f t="shared" ref="AB190:AB191" si="307">+AE190</f>
        <v>1</v>
      </c>
      <c r="AC190" s="1194">
        <f t="shared" ref="AC190:AC191" si="308">+AE190</f>
        <v>1</v>
      </c>
      <c r="AD190" s="1194">
        <f t="shared" ref="AD190" si="309">+AE190</f>
        <v>1</v>
      </c>
      <c r="AE190" s="1214">
        <f>+AE194</f>
        <v>1</v>
      </c>
      <c r="AF190" s="382"/>
      <c r="AG190" s="1211">
        <f t="shared" ref="AG190:AG191" si="310">+AK190</f>
        <v>1</v>
      </c>
      <c r="AH190" s="1194">
        <f t="shared" ref="AH190:AH191" si="311">+AK190</f>
        <v>1</v>
      </c>
      <c r="AI190" s="1194">
        <f t="shared" ref="AI190:AI191" si="312">+AK190</f>
        <v>1</v>
      </c>
      <c r="AJ190" s="1194">
        <f t="shared" ref="AJ190" si="313">+AK190</f>
        <v>1</v>
      </c>
      <c r="AK190" s="1214">
        <f>+AK194</f>
        <v>1</v>
      </c>
      <c r="AL190" s="382"/>
      <c r="AM190" s="1211">
        <f t="shared" ref="AM190:AM191" si="314">+AQ190</f>
        <v>1</v>
      </c>
      <c r="AN190" s="1194">
        <f t="shared" ref="AN190:AN191" si="315">+AQ190</f>
        <v>1</v>
      </c>
      <c r="AO190" s="1194">
        <f t="shared" ref="AO190:AO191" si="316">+AQ190</f>
        <v>1</v>
      </c>
      <c r="AP190" s="1194">
        <f t="shared" ref="AP190" si="317">+AQ190</f>
        <v>1</v>
      </c>
      <c r="AQ190" s="1214">
        <f>+AQ194</f>
        <v>1</v>
      </c>
      <c r="AR190" s="382"/>
      <c r="AS190" s="1211">
        <f t="shared" ref="AS190:AS191" si="318">+AW190</f>
        <v>0.91292920292192137</v>
      </c>
      <c r="AT190" s="1194">
        <f t="shared" ref="AT190:AT191" si="319">+AW190</f>
        <v>0.91292920292192137</v>
      </c>
      <c r="AU190" s="1194">
        <f t="shared" ref="AU190:AU191" si="320">+AW190</f>
        <v>0.91292920292192137</v>
      </c>
      <c r="AV190" s="1194">
        <f t="shared" ref="AV190" si="321">+AW190</f>
        <v>0.91292920292192137</v>
      </c>
      <c r="AW190" s="1212">
        <f>100%-AW191</f>
        <v>0.91292920292192137</v>
      </c>
      <c r="AX190" s="382"/>
      <c r="AY190" s="1211">
        <f t="shared" ref="AY190:AY191" si="322">+BC190</f>
        <v>0.89358561552139615</v>
      </c>
      <c r="AZ190" s="1194">
        <f t="shared" ref="AZ190:AZ191" si="323">+BC190</f>
        <v>0.89358561552139615</v>
      </c>
      <c r="BA190" s="1194">
        <f t="shared" ref="BA190:BA191" si="324">+BC190</f>
        <v>0.89358561552139615</v>
      </c>
      <c r="BB190" s="1194">
        <f t="shared" ref="BB190:BB191" si="325">+BC190</f>
        <v>0.89358561552139615</v>
      </c>
      <c r="BC190" s="1212">
        <f>100%-BC191</f>
        <v>0.89358561552139615</v>
      </c>
      <c r="BD190" s="382"/>
      <c r="BE190" s="1008">
        <f>+(BE$193*BE194)+(BE$196*BE197)</f>
        <v>0.48409423848169741</v>
      </c>
      <c r="BF190" s="1194">
        <f t="shared" ref="BF190:BI190" si="326">+(BF$193*BF194)+(BF$196*BF197)</f>
        <v>0.48409423848169741</v>
      </c>
      <c r="BG190" s="1194">
        <f t="shared" si="326"/>
        <v>0.48409423848169741</v>
      </c>
      <c r="BH190" s="1194">
        <f t="shared" si="326"/>
        <v>0.48409423848169741</v>
      </c>
      <c r="BI190" s="1212">
        <f t="shared" si="326"/>
        <v>0.48409423848169741</v>
      </c>
      <c r="BJ190" s="382"/>
      <c r="BK190" s="1008">
        <f>+(BK$193*BK194)+(BK$196*BK197)</f>
        <v>0.53890119266060843</v>
      </c>
      <c r="BL190" s="1194">
        <f t="shared" ref="BL190:BO190" si="327">+(BL$193*BL194)+(BL$196*BL197)</f>
        <v>0.53890119266060843</v>
      </c>
      <c r="BM190" s="1194">
        <f t="shared" si="327"/>
        <v>0.53890119266060843</v>
      </c>
      <c r="BN190" s="1194">
        <f t="shared" si="327"/>
        <v>0.53890119266060843</v>
      </c>
      <c r="BO190" s="1212">
        <f t="shared" si="327"/>
        <v>0.53890119266060843</v>
      </c>
      <c r="BP190" s="382"/>
      <c r="BQ190" s="1008">
        <f>+(BQ$193*BQ194)+(BQ$196*BQ197)</f>
        <v>0.54168665978659158</v>
      </c>
      <c r="BR190" s="1194">
        <f t="shared" ref="BR190:BU190" si="328">+(BR$193*BR194)+(BR$196*BR197)</f>
        <v>0.54168665978659158</v>
      </c>
      <c r="BS190" s="1194">
        <f t="shared" si="328"/>
        <v>0.54168665978659158</v>
      </c>
      <c r="BT190" s="1194">
        <f t="shared" si="328"/>
        <v>0.54168665978659158</v>
      </c>
      <c r="BU190" s="1212">
        <f t="shared" si="328"/>
        <v>0.54168665978659158</v>
      </c>
      <c r="BV190" s="382"/>
      <c r="BW190" s="1211"/>
      <c r="BX190" s="1194"/>
      <c r="BY190" s="1194"/>
      <c r="BZ190" s="1194"/>
      <c r="CA190" s="1212"/>
      <c r="CB190" s="382"/>
      <c r="CC190" s="1211"/>
      <c r="CD190" s="1194"/>
      <c r="CE190" s="1194"/>
      <c r="CF190" s="1194"/>
      <c r="CG190" s="1212"/>
      <c r="CH190" s="382"/>
      <c r="CI190" s="1211"/>
      <c r="CJ190" s="1194"/>
      <c r="CK190" s="1194"/>
      <c r="CL190" s="1194"/>
      <c r="CM190" s="1212"/>
      <c r="CN190" s="20"/>
      <c r="CO190" s="20"/>
      <c r="CP190" s="20"/>
      <c r="CQ190" s="20"/>
      <c r="CR190" s="20"/>
      <c r="CS190" s="20"/>
      <c r="CT190" s="20"/>
      <c r="CU190" s="20"/>
      <c r="CV190" s="20"/>
      <c r="CW190" s="20"/>
      <c r="CX190" s="20"/>
    </row>
    <row r="191" spans="2:102" s="10" customFormat="1" ht="11.25" customHeight="1" x14ac:dyDescent="0.2">
      <c r="B191" s="1139" t="s">
        <v>526</v>
      </c>
      <c r="C191" s="1211"/>
      <c r="D191" s="1194"/>
      <c r="E191" s="1194"/>
      <c r="F191" s="1194"/>
      <c r="G191" s="1212"/>
      <c r="H191" s="382"/>
      <c r="I191" s="1211">
        <f t="shared" si="294"/>
        <v>0</v>
      </c>
      <c r="J191" s="1194">
        <f t="shared" si="295"/>
        <v>0</v>
      </c>
      <c r="K191" s="1194">
        <f t="shared" si="296"/>
        <v>0</v>
      </c>
      <c r="L191" s="1194">
        <f t="shared" ref="L191" si="329">+M191</f>
        <v>0</v>
      </c>
      <c r="M191" s="1214">
        <f t="shared" ref="M191" si="330">100%-M190</f>
        <v>0</v>
      </c>
      <c r="N191" s="382"/>
      <c r="O191" s="1211">
        <f t="shared" si="298"/>
        <v>0</v>
      </c>
      <c r="P191" s="1194">
        <f t="shared" si="299"/>
        <v>0</v>
      </c>
      <c r="Q191" s="1194">
        <f t="shared" si="300"/>
        <v>0</v>
      </c>
      <c r="R191" s="1194">
        <f t="shared" ref="R191" si="331">+S191</f>
        <v>0</v>
      </c>
      <c r="S191" s="1214">
        <f t="shared" ref="S191" si="332">100%-S190</f>
        <v>0</v>
      </c>
      <c r="T191" s="382"/>
      <c r="U191" s="1211">
        <f t="shared" si="302"/>
        <v>0</v>
      </c>
      <c r="V191" s="1194">
        <f t="shared" si="303"/>
        <v>0</v>
      </c>
      <c r="W191" s="1194">
        <f t="shared" si="304"/>
        <v>0</v>
      </c>
      <c r="X191" s="1194">
        <f t="shared" ref="X191" si="333">+Y191</f>
        <v>0</v>
      </c>
      <c r="Y191" s="1214">
        <f t="shared" ref="Y191" si="334">100%-Y190</f>
        <v>0</v>
      </c>
      <c r="Z191" s="382"/>
      <c r="AA191" s="1211">
        <f t="shared" si="306"/>
        <v>0</v>
      </c>
      <c r="AB191" s="1194">
        <f t="shared" si="307"/>
        <v>0</v>
      </c>
      <c r="AC191" s="1194">
        <f t="shared" si="308"/>
        <v>0</v>
      </c>
      <c r="AD191" s="1194">
        <f t="shared" ref="AD191" si="335">+AE191</f>
        <v>0</v>
      </c>
      <c r="AE191" s="1214">
        <f t="shared" ref="AE191" si="336">100%-AE190</f>
        <v>0</v>
      </c>
      <c r="AF191" s="382"/>
      <c r="AG191" s="1211">
        <f t="shared" si="310"/>
        <v>0</v>
      </c>
      <c r="AH191" s="1194">
        <f t="shared" si="311"/>
        <v>0</v>
      </c>
      <c r="AI191" s="1194">
        <f t="shared" si="312"/>
        <v>0</v>
      </c>
      <c r="AJ191" s="1194">
        <f t="shared" ref="AJ191" si="337">+AK191</f>
        <v>0</v>
      </c>
      <c r="AK191" s="1214">
        <f t="shared" ref="AK191" si="338">100%-AK190</f>
        <v>0</v>
      </c>
      <c r="AL191" s="382"/>
      <c r="AM191" s="1211">
        <f t="shared" si="314"/>
        <v>0</v>
      </c>
      <c r="AN191" s="1194">
        <f t="shared" si="315"/>
        <v>0</v>
      </c>
      <c r="AO191" s="1194">
        <f t="shared" si="316"/>
        <v>0</v>
      </c>
      <c r="AP191" s="1194">
        <f t="shared" ref="AP191" si="339">+AQ191</f>
        <v>0</v>
      </c>
      <c r="AQ191" s="1214">
        <f t="shared" ref="AQ191" si="340">100%-AQ190</f>
        <v>0</v>
      </c>
      <c r="AR191" s="382"/>
      <c r="AS191" s="1211">
        <f t="shared" si="318"/>
        <v>8.7070797078078618E-2</v>
      </c>
      <c r="AT191" s="1194">
        <f t="shared" si="319"/>
        <v>8.7070797078078618E-2</v>
      </c>
      <c r="AU191" s="1194">
        <f t="shared" si="320"/>
        <v>8.7070797078078618E-2</v>
      </c>
      <c r="AV191" s="1194">
        <f t="shared" ref="AV191" si="341">+AW191</f>
        <v>8.7070797078078618E-2</v>
      </c>
      <c r="AW191" s="1212">
        <f>+(419*AW198)/AW$112</f>
        <v>8.7070797078078618E-2</v>
      </c>
      <c r="AX191" s="382"/>
      <c r="AY191" s="1211">
        <f t="shared" si="322"/>
        <v>0.10641438447860385</v>
      </c>
      <c r="AZ191" s="1194">
        <f t="shared" si="323"/>
        <v>0.10641438447860385</v>
      </c>
      <c r="BA191" s="1194">
        <f t="shared" si="324"/>
        <v>0.10641438447860385</v>
      </c>
      <c r="BB191" s="1194">
        <f t="shared" si="325"/>
        <v>0.10641438447860385</v>
      </c>
      <c r="BC191" s="1212">
        <f>+(620*BC198)/BC$150</f>
        <v>0.10641438447860385</v>
      </c>
      <c r="BD191" s="382"/>
      <c r="BE191" s="1008">
        <f>+(BE$193*BE195)+(BE$196*BE198)</f>
        <v>0.51590576151830247</v>
      </c>
      <c r="BF191" s="1194">
        <f t="shared" ref="BF191:BI191" si="342">+(BF$193*BF195)+(BF$196*BF198)</f>
        <v>0.51590576151830247</v>
      </c>
      <c r="BG191" s="1194">
        <f t="shared" si="342"/>
        <v>0.51590576151830247</v>
      </c>
      <c r="BH191" s="1194">
        <f t="shared" si="342"/>
        <v>0.51590576151830247</v>
      </c>
      <c r="BI191" s="1212">
        <f t="shared" si="342"/>
        <v>0.51590576151830247</v>
      </c>
      <c r="BJ191" s="382"/>
      <c r="BK191" s="1008">
        <f>+(BK$193*BK195)+(BK$196*BK198)</f>
        <v>0.46109880733939151</v>
      </c>
      <c r="BL191" s="1194">
        <f t="shared" ref="BL191:BO191" si="343">+(BL$193*BL195)+(BL$196*BL198)</f>
        <v>0.46109880733939151</v>
      </c>
      <c r="BM191" s="1194">
        <f t="shared" si="343"/>
        <v>0.46109880733939151</v>
      </c>
      <c r="BN191" s="1194">
        <f t="shared" si="343"/>
        <v>0.46109880733939151</v>
      </c>
      <c r="BO191" s="1212">
        <f t="shared" si="343"/>
        <v>0.46109880733939151</v>
      </c>
      <c r="BP191" s="382"/>
      <c r="BQ191" s="1008">
        <f>+(BQ$193*BQ195)+(BQ$196*BQ198)</f>
        <v>0.45831334021340842</v>
      </c>
      <c r="BR191" s="1194">
        <f t="shared" ref="BR191:BU191" si="344">+(BR$193*BR195)+(BR$196*BR198)</f>
        <v>0.45831334021340842</v>
      </c>
      <c r="BS191" s="1194">
        <f t="shared" si="344"/>
        <v>0.45831334021340842</v>
      </c>
      <c r="BT191" s="1194">
        <f t="shared" si="344"/>
        <v>0.45831334021340842</v>
      </c>
      <c r="BU191" s="1212">
        <f t="shared" si="344"/>
        <v>0.45831334021340842</v>
      </c>
      <c r="BV191" s="382"/>
      <c r="BW191" s="1211"/>
      <c r="BX191" s="1194"/>
      <c r="BY191" s="1194"/>
      <c r="BZ191" s="1194"/>
      <c r="CA191" s="1212"/>
      <c r="CB191" s="382"/>
      <c r="CC191" s="1211"/>
      <c r="CD191" s="1194"/>
      <c r="CE191" s="1194"/>
      <c r="CF191" s="1194"/>
      <c r="CG191" s="1212"/>
      <c r="CH191" s="382"/>
      <c r="CI191" s="1211"/>
      <c r="CJ191" s="1194"/>
      <c r="CK191" s="1194"/>
      <c r="CL191" s="1194"/>
      <c r="CM191" s="1212"/>
      <c r="CN191" s="20"/>
      <c r="CO191" s="20"/>
      <c r="CP191" s="20"/>
      <c r="CQ191" s="20"/>
      <c r="CR191" s="20"/>
      <c r="CS191" s="20"/>
      <c r="CT191" s="20"/>
      <c r="CU191" s="20"/>
      <c r="CV191" s="20"/>
      <c r="CW191" s="20"/>
      <c r="CX191" s="20"/>
    </row>
    <row r="192" spans="2:102" s="31" customFormat="1" ht="11.25" customHeight="1" x14ac:dyDescent="0.2">
      <c r="B192" s="1128" t="s">
        <v>508</v>
      </c>
      <c r="C192" s="1203"/>
      <c r="D192" s="1204"/>
      <c r="E192" s="1204"/>
      <c r="F192" s="1204"/>
      <c r="G192" s="1205"/>
      <c r="H192" s="85"/>
      <c r="I192" s="1203"/>
      <c r="J192" s="1204"/>
      <c r="K192" s="1204"/>
      <c r="L192" s="1204"/>
      <c r="M192" s="1205"/>
      <c r="N192" s="85"/>
      <c r="O192" s="1203"/>
      <c r="P192" s="1204"/>
      <c r="Q192" s="1204"/>
      <c r="R192" s="1204"/>
      <c r="S192" s="1205"/>
      <c r="T192" s="85"/>
      <c r="U192" s="1203"/>
      <c r="V192" s="1204"/>
      <c r="W192" s="1204"/>
      <c r="X192" s="1204"/>
      <c r="Y192" s="1205"/>
      <c r="Z192" s="85"/>
      <c r="AA192" s="1203"/>
      <c r="AB192" s="1204"/>
      <c r="AC192" s="1204"/>
      <c r="AD192" s="1204"/>
      <c r="AE192" s="1205"/>
      <c r="AF192" s="85"/>
      <c r="AG192" s="1203"/>
      <c r="AH192" s="1204"/>
      <c r="AI192" s="1204"/>
      <c r="AJ192" s="1204"/>
      <c r="AK192" s="1205"/>
      <c r="AL192" s="85"/>
      <c r="AM192" s="1203"/>
      <c r="AN192" s="1204"/>
      <c r="AO192" s="1204"/>
      <c r="AP192" s="1204"/>
      <c r="AQ192" s="1205"/>
      <c r="AR192" s="85"/>
      <c r="AS192" s="1203"/>
      <c r="AT192" s="1204"/>
      <c r="AU192" s="1204"/>
      <c r="AV192" s="1204"/>
      <c r="AW192" s="1205"/>
      <c r="AX192" s="85"/>
      <c r="AY192" s="1203"/>
      <c r="AZ192" s="1204"/>
      <c r="BA192" s="1204"/>
      <c r="BB192" s="1204"/>
      <c r="BC192" s="1205"/>
      <c r="BD192" s="85"/>
      <c r="BE192" s="1203"/>
      <c r="BF192" s="1204"/>
      <c r="BG192" s="1204"/>
      <c r="BH192" s="1204"/>
      <c r="BI192" s="1205"/>
      <c r="BJ192" s="85"/>
      <c r="BK192" s="1203"/>
      <c r="BL192" s="1204"/>
      <c r="BM192" s="1204"/>
      <c r="BN192" s="1204"/>
      <c r="BO192" s="1205">
        <f>+BO190*BO193</f>
        <v>0.44544648700914269</v>
      </c>
      <c r="BP192" s="85"/>
      <c r="BQ192" s="1203"/>
      <c r="BR192" s="1204"/>
      <c r="BS192" s="1204"/>
      <c r="BT192" s="1204"/>
      <c r="BU192" s="1205"/>
      <c r="BV192" s="85"/>
      <c r="BW192" s="1203"/>
      <c r="BX192" s="1204"/>
      <c r="BY192" s="1204"/>
      <c r="BZ192" s="1204"/>
      <c r="CA192" s="1205"/>
      <c r="CB192" s="85"/>
      <c r="CC192" s="1203"/>
      <c r="CD192" s="1204"/>
      <c r="CE192" s="1204"/>
      <c r="CF192" s="1204"/>
      <c r="CG192" s="1205"/>
      <c r="CH192" s="85"/>
      <c r="CI192" s="1203"/>
      <c r="CJ192" s="1204"/>
      <c r="CK192" s="1204"/>
      <c r="CL192" s="1204"/>
      <c r="CM192" s="1205"/>
      <c r="CN192" s="11"/>
      <c r="CO192" s="11"/>
      <c r="CP192" s="11"/>
      <c r="CQ192" s="11"/>
      <c r="CR192" s="11"/>
      <c r="CS192" s="11"/>
      <c r="CT192" s="11"/>
      <c r="CU192" s="11"/>
      <c r="CV192" s="11"/>
      <c r="CW192" s="11"/>
      <c r="CX192" s="11"/>
    </row>
    <row r="193" spans="1:102" s="10" customFormat="1" ht="11.25" customHeight="1" x14ac:dyDescent="0.2">
      <c r="B193" s="1199" t="s">
        <v>457</v>
      </c>
      <c r="C193" s="1008"/>
      <c r="D193" s="379"/>
      <c r="E193" s="379"/>
      <c r="F193" s="379"/>
      <c r="G193" s="1213">
        <f>100%-G196</f>
        <v>1</v>
      </c>
      <c r="H193" s="136"/>
      <c r="I193" s="1008">
        <f t="shared" ref="I193:I196" si="345">+M193</f>
        <v>1</v>
      </c>
      <c r="J193" s="379">
        <f t="shared" ref="J193:J196" si="346">+M193</f>
        <v>1</v>
      </c>
      <c r="K193" s="379">
        <f t="shared" ref="K193:K196" si="347">+M193</f>
        <v>1</v>
      </c>
      <c r="L193" s="379">
        <f t="shared" ref="L193" si="348">+M193</f>
        <v>1</v>
      </c>
      <c r="M193" s="1213">
        <f>100%-M196</f>
        <v>1</v>
      </c>
      <c r="N193" s="136"/>
      <c r="O193" s="1008">
        <f t="shared" ref="O193:O196" si="349">+S193</f>
        <v>1</v>
      </c>
      <c r="P193" s="379">
        <f t="shared" ref="P193:P196" si="350">+S193</f>
        <v>1</v>
      </c>
      <c r="Q193" s="379">
        <f t="shared" ref="Q193:Q196" si="351">+S193</f>
        <v>1</v>
      </c>
      <c r="R193" s="379">
        <f t="shared" ref="R193:R196" si="352">+S193</f>
        <v>1</v>
      </c>
      <c r="S193" s="1213">
        <f>100%-S196</f>
        <v>1</v>
      </c>
      <c r="T193" s="136"/>
      <c r="U193" s="1008">
        <f t="shared" ref="U193:U196" si="353">+Y193</f>
        <v>1</v>
      </c>
      <c r="V193" s="379">
        <f t="shared" ref="V193:V196" si="354">+Y193</f>
        <v>1</v>
      </c>
      <c r="W193" s="379">
        <f t="shared" ref="W193:W196" si="355">+Y193</f>
        <v>1</v>
      </c>
      <c r="X193" s="379">
        <f t="shared" ref="X193:X196" si="356">+Y193</f>
        <v>1</v>
      </c>
      <c r="Y193" s="1213">
        <f>100%-Y196</f>
        <v>1</v>
      </c>
      <c r="Z193" s="136"/>
      <c r="AA193" s="1008">
        <f t="shared" ref="AA193:AA196" si="357">+AE193</f>
        <v>1</v>
      </c>
      <c r="AB193" s="379">
        <f t="shared" ref="AB193:AB196" si="358">+AE193</f>
        <v>1</v>
      </c>
      <c r="AC193" s="379">
        <f t="shared" ref="AC193:AC196" si="359">+AE193</f>
        <v>1</v>
      </c>
      <c r="AD193" s="379">
        <f t="shared" ref="AD193:AD196" si="360">+AE193</f>
        <v>1</v>
      </c>
      <c r="AE193" s="1213">
        <f>100%-AE196</f>
        <v>1</v>
      </c>
      <c r="AF193" s="136"/>
      <c r="AG193" s="1008">
        <f t="shared" ref="AG193:AG196" si="361">+AK193</f>
        <v>1</v>
      </c>
      <c r="AH193" s="379">
        <f t="shared" ref="AH193:AH196" si="362">+AK193</f>
        <v>1</v>
      </c>
      <c r="AI193" s="379">
        <f t="shared" ref="AI193:AI196" si="363">+AK193</f>
        <v>1</v>
      </c>
      <c r="AJ193" s="379">
        <f t="shared" ref="AJ193:AJ196" si="364">+AK193</f>
        <v>1</v>
      </c>
      <c r="AK193" s="1213">
        <f>100%-AK196</f>
        <v>1</v>
      </c>
      <c r="AL193" s="136"/>
      <c r="AM193" s="1008">
        <f t="shared" ref="AM193:AM196" si="365">+AQ193</f>
        <v>1</v>
      </c>
      <c r="AN193" s="379">
        <f t="shared" ref="AN193:AN196" si="366">+AQ193</f>
        <v>1</v>
      </c>
      <c r="AO193" s="379">
        <f t="shared" ref="AO193:AO196" si="367">+AQ193</f>
        <v>1</v>
      </c>
      <c r="AP193" s="379">
        <f t="shared" ref="AP193:AP198" si="368">+AQ193</f>
        <v>1</v>
      </c>
      <c r="AQ193" s="1009">
        <f>100%-AQ196</f>
        <v>1</v>
      </c>
      <c r="AR193" s="136"/>
      <c r="AS193" s="1008">
        <f t="shared" ref="AS193:AS196" si="369">+AW193</f>
        <v>0.65171681168768547</v>
      </c>
      <c r="AT193" s="379">
        <f t="shared" ref="AT193:AT196" si="370">+AW193</f>
        <v>0.65171681168768547</v>
      </c>
      <c r="AU193" s="379">
        <f t="shared" ref="AU193:AU196" si="371">+AW193</f>
        <v>0.65171681168768547</v>
      </c>
      <c r="AV193" s="379">
        <f t="shared" ref="AV193:AV198" si="372">+AW193</f>
        <v>0.65171681168768547</v>
      </c>
      <c r="AW193" s="1009">
        <f>100%-AW196</f>
        <v>0.65171681168768547</v>
      </c>
      <c r="AX193" s="136"/>
      <c r="AY193" s="1008">
        <f t="shared" ref="AY193:AY196" si="373">+BC193</f>
        <v>0.55406125349279467</v>
      </c>
      <c r="AZ193" s="379">
        <f t="shared" ref="AZ193:AZ196" si="374">+BC193</f>
        <v>0.55406125349279467</v>
      </c>
      <c r="BA193" s="379">
        <f t="shared" ref="BA193:BA196" si="375">+BC193</f>
        <v>0.55406125349279467</v>
      </c>
      <c r="BB193" s="379">
        <f t="shared" ref="BB193:BB196" si="376">+BC193</f>
        <v>0.55406125349279467</v>
      </c>
      <c r="BC193" s="1009">
        <f>100%-BC196</f>
        <v>0.55406125349279467</v>
      </c>
      <c r="BD193" s="136"/>
      <c r="BE193" s="1008">
        <f t="shared" ref="BE193:BE196" si="377">+BI193</f>
        <v>0.78108019253391303</v>
      </c>
      <c r="BF193" s="379">
        <f t="shared" ref="BF193:BF196" si="378">+BI193</f>
        <v>0.78108019253391303</v>
      </c>
      <c r="BG193" s="379">
        <f t="shared" ref="BG193:BG196" si="379">+BI193</f>
        <v>0.78108019253391303</v>
      </c>
      <c r="BH193" s="379">
        <f t="shared" ref="BH193:BH196" si="380">+BI193</f>
        <v>0.78108019253391303</v>
      </c>
      <c r="BI193" s="1009">
        <f>100%-BI196</f>
        <v>0.78108019253391303</v>
      </c>
      <c r="BJ193" s="136"/>
      <c r="BK193" s="1008">
        <f t="shared" ref="BK193:BK196" si="381">+BO193</f>
        <v>0.82658285614461047</v>
      </c>
      <c r="BL193" s="379">
        <f t="shared" ref="BL193:BL196" si="382">+BO193</f>
        <v>0.82658285614461047</v>
      </c>
      <c r="BM193" s="379">
        <f t="shared" ref="BM193:BM196" si="383">+BO193</f>
        <v>0.82658285614461047</v>
      </c>
      <c r="BN193" s="379">
        <f t="shared" ref="BN193:BN196" si="384">+BO193</f>
        <v>0.82658285614461047</v>
      </c>
      <c r="BO193" s="1009">
        <f>100%-BO196</f>
        <v>0.82658285614461047</v>
      </c>
      <c r="BP193" s="136"/>
      <c r="BQ193" s="1008">
        <f t="shared" ref="BQ193:BQ196" si="385">+BU193</f>
        <v>0.83325336085363355</v>
      </c>
      <c r="BR193" s="379">
        <f t="shared" ref="BR193:BR196" si="386">+BU193</f>
        <v>0.83325336085363355</v>
      </c>
      <c r="BS193" s="379">
        <f t="shared" ref="BS193:BS196" si="387">+BU193</f>
        <v>0.83325336085363355</v>
      </c>
      <c r="BT193" s="379">
        <f t="shared" ref="BT193:BT196" si="388">+BU193</f>
        <v>0.83325336085363355</v>
      </c>
      <c r="BU193" s="1009">
        <f>100%-BU196</f>
        <v>0.83325336085363355</v>
      </c>
      <c r="BV193" s="136"/>
      <c r="BW193" s="1008"/>
      <c r="BX193" s="379"/>
      <c r="BY193" s="379"/>
      <c r="BZ193" s="379"/>
      <c r="CA193" s="1009"/>
      <c r="CB193" s="136"/>
      <c r="CC193" s="1008"/>
      <c r="CD193" s="379"/>
      <c r="CE193" s="379"/>
      <c r="CF193" s="379"/>
      <c r="CG193" s="1009"/>
      <c r="CH193" s="136"/>
      <c r="CI193" s="1008"/>
      <c r="CJ193" s="379"/>
      <c r="CK193" s="379"/>
      <c r="CL193" s="379"/>
      <c r="CM193" s="1009"/>
      <c r="CN193" s="20"/>
      <c r="CO193" s="20"/>
      <c r="CP193" s="20"/>
      <c r="CQ193" s="20"/>
      <c r="CR193" s="20"/>
      <c r="CS193" s="20"/>
      <c r="CT193" s="20"/>
      <c r="CU193" s="20"/>
      <c r="CV193" s="20"/>
      <c r="CW193" s="20"/>
      <c r="CX193" s="20"/>
    </row>
    <row r="194" spans="1:102" s="31" customFormat="1" ht="11.25" customHeight="1" x14ac:dyDescent="0.2">
      <c r="B194" s="1210" t="s">
        <v>523</v>
      </c>
      <c r="C194" s="1013"/>
      <c r="D194" s="243"/>
      <c r="E194" s="243"/>
      <c r="F194" s="243"/>
      <c r="G194" s="1178">
        <v>1</v>
      </c>
      <c r="H194" s="136"/>
      <c r="I194" s="1013">
        <f>+M194</f>
        <v>1</v>
      </c>
      <c r="J194" s="243">
        <f>+M194</f>
        <v>1</v>
      </c>
      <c r="K194" s="243">
        <f>+M194</f>
        <v>1</v>
      </c>
      <c r="L194" s="243">
        <f>+M194</f>
        <v>1</v>
      </c>
      <c r="M194" s="1178">
        <v>1</v>
      </c>
      <c r="N194" s="136"/>
      <c r="O194" s="1013">
        <f>+S194</f>
        <v>1</v>
      </c>
      <c r="P194" s="243">
        <f>+S194</f>
        <v>1</v>
      </c>
      <c r="Q194" s="243">
        <f>+S194</f>
        <v>1</v>
      </c>
      <c r="R194" s="243">
        <f>+S194</f>
        <v>1</v>
      </c>
      <c r="S194" s="1178">
        <v>1</v>
      </c>
      <c r="T194" s="136"/>
      <c r="U194" s="1013">
        <f>+Y194</f>
        <v>1</v>
      </c>
      <c r="V194" s="243">
        <f>+Y194</f>
        <v>1</v>
      </c>
      <c r="W194" s="243">
        <f>+Y194</f>
        <v>1</v>
      </c>
      <c r="X194" s="243">
        <f>+Y194</f>
        <v>1</v>
      </c>
      <c r="Y194" s="1178">
        <v>1</v>
      </c>
      <c r="Z194" s="136"/>
      <c r="AA194" s="1013">
        <f>+AE194</f>
        <v>1</v>
      </c>
      <c r="AB194" s="243">
        <f>+AE194</f>
        <v>1</v>
      </c>
      <c r="AC194" s="243">
        <f>+AE194</f>
        <v>1</v>
      </c>
      <c r="AD194" s="243">
        <f>+AE194</f>
        <v>1</v>
      </c>
      <c r="AE194" s="1178">
        <v>1</v>
      </c>
      <c r="AF194" s="136"/>
      <c r="AG194" s="1013">
        <f>+AK194</f>
        <v>1</v>
      </c>
      <c r="AH194" s="243">
        <f>+AK194</f>
        <v>1</v>
      </c>
      <c r="AI194" s="243">
        <f>+AK194</f>
        <v>1</v>
      </c>
      <c r="AJ194" s="243">
        <f>+AK194</f>
        <v>1</v>
      </c>
      <c r="AK194" s="1178">
        <v>1</v>
      </c>
      <c r="AL194" s="136"/>
      <c r="AM194" s="1013">
        <f>+AQ194</f>
        <v>1</v>
      </c>
      <c r="AN194" s="243">
        <f>+AQ194</f>
        <v>1</v>
      </c>
      <c r="AO194" s="243">
        <f>+AQ194</f>
        <v>1</v>
      </c>
      <c r="AP194" s="243">
        <f>+AQ194</f>
        <v>1</v>
      </c>
      <c r="AQ194" s="1178">
        <v>1</v>
      </c>
      <c r="AR194" s="136"/>
      <c r="AS194" s="1013">
        <f>+AW194</f>
        <v>1</v>
      </c>
      <c r="AT194" s="243">
        <f>+AW194</f>
        <v>1</v>
      </c>
      <c r="AU194" s="243">
        <f>+AW194</f>
        <v>1</v>
      </c>
      <c r="AV194" s="243">
        <f>+AW194</f>
        <v>1</v>
      </c>
      <c r="AW194" s="1178">
        <v>1</v>
      </c>
      <c r="AX194" s="136"/>
      <c r="AY194" s="1013">
        <f>+BC194</f>
        <v>1</v>
      </c>
      <c r="AZ194" s="243">
        <f>+BC194</f>
        <v>1</v>
      </c>
      <c r="BA194" s="243">
        <f>+BC194</f>
        <v>1</v>
      </c>
      <c r="BB194" s="243">
        <f>+BC194</f>
        <v>1</v>
      </c>
      <c r="BC194" s="1178">
        <v>1</v>
      </c>
      <c r="BD194" s="136"/>
      <c r="BE194" s="1013">
        <f>+BI194</f>
        <v>0.40956663085300626</v>
      </c>
      <c r="BF194" s="243">
        <f>+BI194</f>
        <v>0.40956663085300626</v>
      </c>
      <c r="BG194" s="243">
        <f>+BI194</f>
        <v>0.40956663085300626</v>
      </c>
      <c r="BH194" s="243">
        <f>+BI194</f>
        <v>0.40956663085300626</v>
      </c>
      <c r="BI194" s="1014">
        <f>100%-BI195</f>
        <v>0.40956663085300626</v>
      </c>
      <c r="BJ194" s="136"/>
      <c r="BK194" s="1013">
        <f>+BO194</f>
        <v>0.49461264739507271</v>
      </c>
      <c r="BL194" s="243">
        <f>+BO194</f>
        <v>0.49461264739507271</v>
      </c>
      <c r="BM194" s="243">
        <f>+BO194</f>
        <v>0.49461264739507271</v>
      </c>
      <c r="BN194" s="243">
        <f>+BO194</f>
        <v>0.49461264739507271</v>
      </c>
      <c r="BO194" s="1014">
        <f>100%-BO195</f>
        <v>0.49461264739507271</v>
      </c>
      <c r="BP194" s="136"/>
      <c r="BQ194" s="1013">
        <f>+BU194</f>
        <v>0.5</v>
      </c>
      <c r="BR194" s="243">
        <f>+BU194</f>
        <v>0.5</v>
      </c>
      <c r="BS194" s="243">
        <f>+BU194</f>
        <v>0.5</v>
      </c>
      <c r="BT194" s="243">
        <f>+BU194</f>
        <v>0.5</v>
      </c>
      <c r="BU194" s="1014">
        <f>100%-BU195</f>
        <v>0.5</v>
      </c>
      <c r="BV194" s="136"/>
      <c r="BW194" s="1013"/>
      <c r="BX194" s="243"/>
      <c r="BY194" s="243"/>
      <c r="BZ194" s="243"/>
      <c r="CA194" s="1014"/>
      <c r="CB194" s="136"/>
      <c r="CC194" s="1013"/>
      <c r="CD194" s="243"/>
      <c r="CE194" s="243"/>
      <c r="CF194" s="243"/>
      <c r="CG194" s="1014"/>
      <c r="CH194" s="136"/>
      <c r="CI194" s="1013"/>
      <c r="CJ194" s="243"/>
      <c r="CK194" s="243"/>
      <c r="CL194" s="243"/>
      <c r="CM194" s="1014"/>
      <c r="CN194" s="11"/>
      <c r="CO194" s="11"/>
      <c r="CP194" s="11"/>
      <c r="CQ194" s="11"/>
      <c r="CR194" s="11"/>
      <c r="CS194" s="11"/>
      <c r="CT194" s="11"/>
      <c r="CU194" s="11"/>
      <c r="CV194" s="11"/>
      <c r="CW194" s="11"/>
      <c r="CX194" s="11"/>
    </row>
    <row r="195" spans="1:102" s="31" customFormat="1" ht="11.25" customHeight="1" x14ac:dyDescent="0.2">
      <c r="B195" s="1210" t="s">
        <v>524</v>
      </c>
      <c r="C195" s="1013"/>
      <c r="D195" s="243"/>
      <c r="E195" s="243"/>
      <c r="F195" s="243"/>
      <c r="G195" s="1178">
        <f>100%-G194</f>
        <v>0</v>
      </c>
      <c r="H195" s="136"/>
      <c r="I195" s="1013">
        <f t="shared" ref="I195" si="389">+M195</f>
        <v>0</v>
      </c>
      <c r="J195" s="243">
        <f t="shared" ref="J195" si="390">+M195</f>
        <v>0</v>
      </c>
      <c r="K195" s="243">
        <f t="shared" ref="K195" si="391">+M195</f>
        <v>0</v>
      </c>
      <c r="L195" s="243">
        <f t="shared" ref="L195" si="392">+M195</f>
        <v>0</v>
      </c>
      <c r="M195" s="1178">
        <f>100%-M194</f>
        <v>0</v>
      </c>
      <c r="N195" s="136"/>
      <c r="O195" s="1013">
        <f t="shared" ref="O195" si="393">+S195</f>
        <v>0</v>
      </c>
      <c r="P195" s="243">
        <f t="shared" ref="P195" si="394">+S195</f>
        <v>0</v>
      </c>
      <c r="Q195" s="243">
        <f t="shared" ref="Q195" si="395">+S195</f>
        <v>0</v>
      </c>
      <c r="R195" s="243">
        <f t="shared" ref="R195" si="396">+S195</f>
        <v>0</v>
      </c>
      <c r="S195" s="1178">
        <f>100%-S194</f>
        <v>0</v>
      </c>
      <c r="T195" s="136"/>
      <c r="U195" s="1013">
        <f t="shared" ref="U195" si="397">+Y195</f>
        <v>0</v>
      </c>
      <c r="V195" s="243">
        <f t="shared" ref="V195" si="398">+Y195</f>
        <v>0</v>
      </c>
      <c r="W195" s="243">
        <f t="shared" ref="W195" si="399">+Y195</f>
        <v>0</v>
      </c>
      <c r="X195" s="243">
        <f t="shared" ref="X195" si="400">+Y195</f>
        <v>0</v>
      </c>
      <c r="Y195" s="1178">
        <f>100%-Y194</f>
        <v>0</v>
      </c>
      <c r="Z195" s="136"/>
      <c r="AA195" s="1013">
        <f t="shared" ref="AA195" si="401">+AE195</f>
        <v>0</v>
      </c>
      <c r="AB195" s="243">
        <f t="shared" ref="AB195" si="402">+AE195</f>
        <v>0</v>
      </c>
      <c r="AC195" s="243">
        <f t="shared" ref="AC195" si="403">+AE195</f>
        <v>0</v>
      </c>
      <c r="AD195" s="243">
        <f t="shared" ref="AD195" si="404">+AE195</f>
        <v>0</v>
      </c>
      <c r="AE195" s="1178">
        <f>100%-AE194</f>
        <v>0</v>
      </c>
      <c r="AF195" s="136"/>
      <c r="AG195" s="1013">
        <f t="shared" ref="AG195" si="405">+AK195</f>
        <v>0</v>
      </c>
      <c r="AH195" s="243">
        <f t="shared" ref="AH195" si="406">+AK195</f>
        <v>0</v>
      </c>
      <c r="AI195" s="243">
        <f t="shared" ref="AI195" si="407">+AK195</f>
        <v>0</v>
      </c>
      <c r="AJ195" s="243">
        <f t="shared" ref="AJ195" si="408">+AK195</f>
        <v>0</v>
      </c>
      <c r="AK195" s="1178">
        <f>100%-AK194</f>
        <v>0</v>
      </c>
      <c r="AL195" s="136"/>
      <c r="AM195" s="1013">
        <f t="shared" ref="AM195" si="409">+AQ195</f>
        <v>0</v>
      </c>
      <c r="AN195" s="243">
        <f t="shared" ref="AN195" si="410">+AQ195</f>
        <v>0</v>
      </c>
      <c r="AO195" s="243">
        <f t="shared" ref="AO195" si="411">+AQ195</f>
        <v>0</v>
      </c>
      <c r="AP195" s="243">
        <f t="shared" ref="AP195" si="412">+AQ195</f>
        <v>0</v>
      </c>
      <c r="AQ195" s="1178">
        <f>100%-AQ194</f>
        <v>0</v>
      </c>
      <c r="AR195" s="136"/>
      <c r="AS195" s="1013">
        <f t="shared" ref="AS195" si="413">+AW195</f>
        <v>0</v>
      </c>
      <c r="AT195" s="243">
        <f t="shared" ref="AT195" si="414">+AW195</f>
        <v>0</v>
      </c>
      <c r="AU195" s="243">
        <f t="shared" ref="AU195" si="415">+AW195</f>
        <v>0</v>
      </c>
      <c r="AV195" s="243">
        <f t="shared" ref="AV195" si="416">+AW195</f>
        <v>0</v>
      </c>
      <c r="AW195" s="1178">
        <f>100%-AW194</f>
        <v>0</v>
      </c>
      <c r="AX195" s="136"/>
      <c r="AY195" s="1013">
        <f t="shared" ref="AY195" si="417">+BC195</f>
        <v>0</v>
      </c>
      <c r="AZ195" s="243">
        <f t="shared" ref="AZ195" si="418">+BC195</f>
        <v>0</v>
      </c>
      <c r="BA195" s="243">
        <f t="shared" ref="BA195" si="419">+BC195</f>
        <v>0</v>
      </c>
      <c r="BB195" s="243">
        <f t="shared" ref="BB195" si="420">+BC195</f>
        <v>0</v>
      </c>
      <c r="BC195" s="1178">
        <f>100%-BC194</f>
        <v>0</v>
      </c>
      <c r="BD195" s="136"/>
      <c r="BE195" s="1013">
        <f t="shared" ref="BE195" si="421">+BI195</f>
        <v>0.59043336914699374</v>
      </c>
      <c r="BF195" s="243">
        <f t="shared" ref="BF195" si="422">+BI195</f>
        <v>0.59043336914699374</v>
      </c>
      <c r="BG195" s="243">
        <f t="shared" ref="BG195" si="423">+BI195</f>
        <v>0.59043336914699374</v>
      </c>
      <c r="BH195" s="243">
        <f t="shared" ref="BH195" si="424">+BI195</f>
        <v>0.59043336914699374</v>
      </c>
      <c r="BI195" s="1178">
        <f>(88%*1500)/(BI150*BI193)</f>
        <v>0.59043336914699374</v>
      </c>
      <c r="BJ195" s="136"/>
      <c r="BK195" s="1013">
        <f t="shared" ref="BK195" si="425">+BO195</f>
        <v>0.50538735260492729</v>
      </c>
      <c r="BL195" s="243">
        <f t="shared" ref="BL195" si="426">+BO195</f>
        <v>0.50538735260492729</v>
      </c>
      <c r="BM195" s="243">
        <f t="shared" ref="BM195" si="427">+BO195</f>
        <v>0.50538735260492729</v>
      </c>
      <c r="BN195" s="243">
        <f t="shared" ref="BN195" si="428">+BO195</f>
        <v>0.50538735260492729</v>
      </c>
      <c r="BO195" s="1178">
        <f>(88%*1500)/(BO150*BO193)</f>
        <v>0.50538735260492729</v>
      </c>
      <c r="BP195" s="136"/>
      <c r="BQ195" s="1013">
        <f t="shared" ref="BQ195" si="429">+BU195</f>
        <v>0.5</v>
      </c>
      <c r="BR195" s="243">
        <f t="shared" ref="BR195" si="430">+BU195</f>
        <v>0.5</v>
      </c>
      <c r="BS195" s="243">
        <f t="shared" ref="BS195" si="431">+BU195</f>
        <v>0.5</v>
      </c>
      <c r="BT195" s="243">
        <f t="shared" ref="BT195" si="432">+BU195</f>
        <v>0.5</v>
      </c>
      <c r="BU195" s="1178">
        <v>0.5</v>
      </c>
      <c r="BV195" s="136"/>
      <c r="BW195" s="1013"/>
      <c r="BX195" s="243"/>
      <c r="BY195" s="243"/>
      <c r="BZ195" s="243"/>
      <c r="CA195" s="1014"/>
      <c r="CB195" s="136"/>
      <c r="CC195" s="1013"/>
      <c r="CD195" s="243"/>
      <c r="CE195" s="243"/>
      <c r="CF195" s="243"/>
      <c r="CG195" s="1014"/>
      <c r="CH195" s="136"/>
      <c r="CI195" s="1013"/>
      <c r="CJ195" s="243"/>
      <c r="CK195" s="243"/>
      <c r="CL195" s="243"/>
      <c r="CM195" s="1014"/>
      <c r="CN195" s="11"/>
      <c r="CO195" s="11"/>
      <c r="CP195" s="11"/>
      <c r="CQ195" s="11"/>
      <c r="CR195" s="11"/>
      <c r="CS195" s="11"/>
      <c r="CT195" s="11"/>
      <c r="CU195" s="11"/>
      <c r="CV195" s="11"/>
      <c r="CW195" s="11"/>
      <c r="CX195" s="11"/>
    </row>
    <row r="196" spans="1:102" s="10" customFormat="1" ht="11.25" customHeight="1" x14ac:dyDescent="0.2">
      <c r="B196" s="1199" t="s">
        <v>507</v>
      </c>
      <c r="C196" s="1211"/>
      <c r="D196" s="1194"/>
      <c r="E196" s="1194"/>
      <c r="F196" s="1194"/>
      <c r="G196" s="1214">
        <v>0</v>
      </c>
      <c r="H196" s="382"/>
      <c r="I196" s="1211">
        <f t="shared" si="345"/>
        <v>0</v>
      </c>
      <c r="J196" s="1194">
        <f t="shared" si="346"/>
        <v>0</v>
      </c>
      <c r="K196" s="1194">
        <f t="shared" si="347"/>
        <v>0</v>
      </c>
      <c r="L196" s="1194">
        <f t="shared" ref="L196" si="433">+M196</f>
        <v>0</v>
      </c>
      <c r="M196" s="1214">
        <v>0</v>
      </c>
      <c r="N196" s="382"/>
      <c r="O196" s="1211">
        <f t="shared" si="349"/>
        <v>0</v>
      </c>
      <c r="P196" s="1194">
        <f t="shared" si="350"/>
        <v>0</v>
      </c>
      <c r="Q196" s="1194">
        <f t="shared" si="351"/>
        <v>0</v>
      </c>
      <c r="R196" s="1194">
        <f t="shared" si="352"/>
        <v>0</v>
      </c>
      <c r="S196" s="1214">
        <v>0</v>
      </c>
      <c r="T196" s="382"/>
      <c r="U196" s="1211">
        <f t="shared" si="353"/>
        <v>0</v>
      </c>
      <c r="V196" s="1194">
        <f t="shared" si="354"/>
        <v>0</v>
      </c>
      <c r="W196" s="1194">
        <f t="shared" si="355"/>
        <v>0</v>
      </c>
      <c r="X196" s="1194">
        <f t="shared" si="356"/>
        <v>0</v>
      </c>
      <c r="Y196" s="1214">
        <v>0</v>
      </c>
      <c r="Z196" s="382"/>
      <c r="AA196" s="1211">
        <f t="shared" si="357"/>
        <v>0</v>
      </c>
      <c r="AB196" s="1194">
        <f t="shared" si="358"/>
        <v>0</v>
      </c>
      <c r="AC196" s="1194">
        <f t="shared" si="359"/>
        <v>0</v>
      </c>
      <c r="AD196" s="1194">
        <f t="shared" si="360"/>
        <v>0</v>
      </c>
      <c r="AE196" s="1214">
        <v>0</v>
      </c>
      <c r="AF196" s="382"/>
      <c r="AG196" s="1211">
        <f t="shared" si="361"/>
        <v>0</v>
      </c>
      <c r="AH196" s="1194">
        <f t="shared" si="362"/>
        <v>0</v>
      </c>
      <c r="AI196" s="1194">
        <f t="shared" si="363"/>
        <v>0</v>
      </c>
      <c r="AJ196" s="1194">
        <f t="shared" si="364"/>
        <v>0</v>
      </c>
      <c r="AK196" s="1214">
        <v>0</v>
      </c>
      <c r="AL196" s="382"/>
      <c r="AM196" s="1211">
        <f t="shared" si="365"/>
        <v>0</v>
      </c>
      <c r="AN196" s="1194">
        <f t="shared" si="366"/>
        <v>0</v>
      </c>
      <c r="AO196" s="1194">
        <f t="shared" si="367"/>
        <v>0</v>
      </c>
      <c r="AP196" s="1194">
        <f t="shared" si="368"/>
        <v>0</v>
      </c>
      <c r="AQ196" s="1214">
        <v>0</v>
      </c>
      <c r="AR196" s="382"/>
      <c r="AS196" s="1211">
        <f t="shared" si="369"/>
        <v>0.34828318831231447</v>
      </c>
      <c r="AT196" s="1194">
        <f t="shared" si="370"/>
        <v>0.34828318831231447</v>
      </c>
      <c r="AU196" s="1194">
        <f t="shared" si="371"/>
        <v>0.34828318831231447</v>
      </c>
      <c r="AV196" s="1194">
        <f t="shared" si="372"/>
        <v>0.34828318831231447</v>
      </c>
      <c r="AW196" s="1212">
        <f>+(419)/AW152</f>
        <v>0.34828318831231447</v>
      </c>
      <c r="AX196" s="382"/>
      <c r="AY196" s="1211">
        <f t="shared" si="373"/>
        <v>0.44593874650720533</v>
      </c>
      <c r="AZ196" s="1194">
        <f t="shared" si="374"/>
        <v>0.44593874650720533</v>
      </c>
      <c r="BA196" s="1194">
        <f t="shared" si="375"/>
        <v>0.44593874650720533</v>
      </c>
      <c r="BB196" s="1194">
        <f t="shared" si="376"/>
        <v>0.44593874650720533</v>
      </c>
      <c r="BC196" s="1212">
        <f>+(BC202)/BC150</f>
        <v>0.44593874650720533</v>
      </c>
      <c r="BD196" s="382"/>
      <c r="BE196" s="1211">
        <f t="shared" si="377"/>
        <v>0.21891980746608694</v>
      </c>
      <c r="BF196" s="1194">
        <f t="shared" si="378"/>
        <v>0.21891980746608694</v>
      </c>
      <c r="BG196" s="1194">
        <f t="shared" si="379"/>
        <v>0.21891980746608694</v>
      </c>
      <c r="BH196" s="1194">
        <f t="shared" si="380"/>
        <v>0.21891980746608694</v>
      </c>
      <c r="BI196" s="1212">
        <f>+(BI202)/BI150</f>
        <v>0.21891980746608694</v>
      </c>
      <c r="BJ196" s="382"/>
      <c r="BK196" s="1211">
        <f t="shared" si="381"/>
        <v>0.17341714385538951</v>
      </c>
      <c r="BL196" s="1194">
        <f t="shared" si="382"/>
        <v>0.17341714385538951</v>
      </c>
      <c r="BM196" s="1194">
        <f t="shared" si="383"/>
        <v>0.17341714385538951</v>
      </c>
      <c r="BN196" s="1194">
        <f t="shared" si="384"/>
        <v>0.17341714385538951</v>
      </c>
      <c r="BO196" s="1212">
        <f>+(BO202)/BO150</f>
        <v>0.17341714385538951</v>
      </c>
      <c r="BP196" s="382"/>
      <c r="BQ196" s="1211">
        <f t="shared" si="385"/>
        <v>0.16674663914636645</v>
      </c>
      <c r="BR196" s="1194">
        <f t="shared" si="386"/>
        <v>0.16674663914636645</v>
      </c>
      <c r="BS196" s="1194">
        <f t="shared" si="387"/>
        <v>0.16674663914636645</v>
      </c>
      <c r="BT196" s="1194">
        <f t="shared" si="388"/>
        <v>0.16674663914636645</v>
      </c>
      <c r="BU196" s="1212">
        <f>+(BU202)/BU150</f>
        <v>0.16674663914636645</v>
      </c>
      <c r="BV196" s="382"/>
      <c r="BW196" s="1211"/>
      <c r="BX196" s="1194"/>
      <c r="BY196" s="1194"/>
      <c r="BZ196" s="1194"/>
      <c r="CA196" s="1212"/>
      <c r="CB196" s="382"/>
      <c r="CC196" s="1211"/>
      <c r="CD196" s="1194"/>
      <c r="CE196" s="1194"/>
      <c r="CF196" s="1194"/>
      <c r="CG196" s="1212"/>
      <c r="CH196" s="382"/>
      <c r="CI196" s="1211"/>
      <c r="CJ196" s="1194"/>
      <c r="CK196" s="1194"/>
      <c r="CL196" s="1194"/>
      <c r="CM196" s="1212"/>
      <c r="CN196" s="20"/>
      <c r="CO196" s="20"/>
      <c r="CP196" s="20"/>
      <c r="CQ196" s="20"/>
      <c r="CR196" s="20"/>
      <c r="CS196" s="20"/>
      <c r="CT196" s="20"/>
      <c r="CU196" s="20"/>
      <c r="CV196" s="20"/>
      <c r="CW196" s="20"/>
      <c r="CX196" s="20"/>
    </row>
    <row r="197" spans="1:102" s="31" customFormat="1" ht="11.25" customHeight="1" x14ac:dyDescent="0.2">
      <c r="B197" s="1210" t="s">
        <v>523</v>
      </c>
      <c r="C197" s="1203"/>
      <c r="D197" s="1204"/>
      <c r="E197" s="1204"/>
      <c r="F197" s="1204"/>
      <c r="G197" s="1205">
        <v>0</v>
      </c>
      <c r="H197" s="85"/>
      <c r="I197" s="1203">
        <f>+M197</f>
        <v>0</v>
      </c>
      <c r="J197" s="1204">
        <f>+M197</f>
        <v>0</v>
      </c>
      <c r="K197" s="1204">
        <f>+M197</f>
        <v>0</v>
      </c>
      <c r="L197" s="1204">
        <f>+M197</f>
        <v>0</v>
      </c>
      <c r="M197" s="1205">
        <v>0</v>
      </c>
      <c r="N197" s="85"/>
      <c r="O197" s="1203">
        <f>+S197</f>
        <v>0</v>
      </c>
      <c r="P197" s="1204">
        <f>+S197</f>
        <v>0</v>
      </c>
      <c r="Q197" s="1204">
        <f>+S197</f>
        <v>0</v>
      </c>
      <c r="R197" s="1204">
        <f>+S197</f>
        <v>0</v>
      </c>
      <c r="S197" s="1205">
        <v>0</v>
      </c>
      <c r="T197" s="85"/>
      <c r="U197" s="1203">
        <f>+Y197</f>
        <v>0</v>
      </c>
      <c r="V197" s="1204">
        <f>+Y197</f>
        <v>0</v>
      </c>
      <c r="W197" s="1204">
        <f>+Y197</f>
        <v>0</v>
      </c>
      <c r="X197" s="1204">
        <f>+Y197</f>
        <v>0</v>
      </c>
      <c r="Y197" s="1205">
        <v>0</v>
      </c>
      <c r="Z197" s="85"/>
      <c r="AA197" s="1203">
        <f>+AE197</f>
        <v>0</v>
      </c>
      <c r="AB197" s="1204">
        <f>+AE197</f>
        <v>0</v>
      </c>
      <c r="AC197" s="1204">
        <f>+AE197</f>
        <v>0</v>
      </c>
      <c r="AD197" s="1204">
        <f>+AE197</f>
        <v>0</v>
      </c>
      <c r="AE197" s="1205">
        <v>0</v>
      </c>
      <c r="AF197" s="85"/>
      <c r="AG197" s="1203">
        <f>+AK197</f>
        <v>0</v>
      </c>
      <c r="AH197" s="1204">
        <f>+AK197</f>
        <v>0</v>
      </c>
      <c r="AI197" s="1204">
        <f>+AK197</f>
        <v>0</v>
      </c>
      <c r="AJ197" s="1204">
        <f>+AK197</f>
        <v>0</v>
      </c>
      <c r="AK197" s="1205">
        <v>0</v>
      </c>
      <c r="AL197" s="85"/>
      <c r="AM197" s="1203">
        <f>+AQ197</f>
        <v>0</v>
      </c>
      <c r="AN197" s="1204">
        <f>+AQ197</f>
        <v>0</v>
      </c>
      <c r="AO197" s="1204">
        <f>+AQ197</f>
        <v>0</v>
      </c>
      <c r="AP197" s="1204">
        <f>+AQ197</f>
        <v>0</v>
      </c>
      <c r="AQ197" s="1205">
        <v>0</v>
      </c>
      <c r="AR197" s="85"/>
      <c r="AS197" s="1203">
        <f>+AW197</f>
        <v>0.75</v>
      </c>
      <c r="AT197" s="1204">
        <f>+AW197</f>
        <v>0.75</v>
      </c>
      <c r="AU197" s="1204">
        <f>+AW197</f>
        <v>0.75</v>
      </c>
      <c r="AV197" s="1204">
        <f>+AW197</f>
        <v>0.75</v>
      </c>
      <c r="AW197" s="1206">
        <v>0.75</v>
      </c>
      <c r="AX197" s="85"/>
      <c r="AY197" s="1203">
        <f>+BC197</f>
        <v>0.75</v>
      </c>
      <c r="AZ197" s="1204">
        <f>+BC197</f>
        <v>0.75</v>
      </c>
      <c r="BA197" s="1204">
        <f>+BC197</f>
        <v>0.75</v>
      </c>
      <c r="BB197" s="1204">
        <f>+BC197</f>
        <v>0.75</v>
      </c>
      <c r="BC197" s="1206">
        <v>0.75</v>
      </c>
      <c r="BD197" s="85"/>
      <c r="BE197" s="1203">
        <f>+BI197</f>
        <v>0.75</v>
      </c>
      <c r="BF197" s="1204">
        <f>+BI197</f>
        <v>0.75</v>
      </c>
      <c r="BG197" s="1204">
        <f>+BI197</f>
        <v>0.75</v>
      </c>
      <c r="BH197" s="1204">
        <f>+BI197</f>
        <v>0.75</v>
      </c>
      <c r="BI197" s="1206">
        <v>0.75</v>
      </c>
      <c r="BJ197" s="85"/>
      <c r="BK197" s="1203">
        <f>+BO197</f>
        <v>0.75</v>
      </c>
      <c r="BL197" s="1204">
        <f>+BO197</f>
        <v>0.75</v>
      </c>
      <c r="BM197" s="1204">
        <f>+BO197</f>
        <v>0.75</v>
      </c>
      <c r="BN197" s="1204">
        <f>+BO197</f>
        <v>0.75</v>
      </c>
      <c r="BO197" s="1206">
        <v>0.75</v>
      </c>
      <c r="BP197" s="85"/>
      <c r="BQ197" s="1203">
        <f>+BU197</f>
        <v>0.75</v>
      </c>
      <c r="BR197" s="1204">
        <f>+BU197</f>
        <v>0.75</v>
      </c>
      <c r="BS197" s="1204">
        <f>+BU197</f>
        <v>0.75</v>
      </c>
      <c r="BT197" s="1204">
        <f>+BU197</f>
        <v>0.75</v>
      </c>
      <c r="BU197" s="1206">
        <v>0.75</v>
      </c>
      <c r="BV197" s="85"/>
      <c r="BW197" s="1203"/>
      <c r="BX197" s="1204"/>
      <c r="BY197" s="1204"/>
      <c r="BZ197" s="1204"/>
      <c r="CA197" s="1205"/>
      <c r="CB197" s="85"/>
      <c r="CC197" s="1203"/>
      <c r="CD197" s="1204"/>
      <c r="CE197" s="1204"/>
      <c r="CF197" s="1204"/>
      <c r="CG197" s="1205"/>
      <c r="CH197" s="85"/>
      <c r="CI197" s="1203"/>
      <c r="CJ197" s="1204"/>
      <c r="CK197" s="1204"/>
      <c r="CL197" s="1204"/>
      <c r="CM197" s="1205"/>
      <c r="CN197" s="11"/>
      <c r="CO197" s="11"/>
      <c r="CP197" s="11"/>
      <c r="CQ197" s="11"/>
      <c r="CR197" s="11"/>
      <c r="CS197" s="11"/>
      <c r="CT197" s="11"/>
      <c r="CU197" s="11"/>
      <c r="CV197" s="11"/>
      <c r="CW197" s="11"/>
      <c r="CX197" s="11"/>
    </row>
    <row r="198" spans="1:102" s="31" customFormat="1" ht="11.25" customHeight="1" x14ac:dyDescent="0.2">
      <c r="B198" s="661" t="s">
        <v>524</v>
      </c>
      <c r="C198" s="1195"/>
      <c r="D198" s="1196"/>
      <c r="E198" s="1196"/>
      <c r="F198" s="1196"/>
      <c r="G198" s="1197">
        <f>+(G211*G156)/G154</f>
        <v>0</v>
      </c>
      <c r="H198" s="85"/>
      <c r="I198" s="1195">
        <f t="shared" ref="I198" si="434">+M198</f>
        <v>2.06754261555479E-5</v>
      </c>
      <c r="J198" s="1196">
        <f t="shared" ref="J198" si="435">+M198</f>
        <v>2.06754261555479E-5</v>
      </c>
      <c r="K198" s="1196">
        <f t="shared" ref="K198" si="436">+M198</f>
        <v>2.06754261555479E-5</v>
      </c>
      <c r="L198" s="1196">
        <f t="shared" ref="L198" si="437">+M198</f>
        <v>2.06754261555479E-5</v>
      </c>
      <c r="M198" s="1197">
        <f>+(M211*M156)/M154</f>
        <v>2.06754261555479E-5</v>
      </c>
      <c r="N198" s="85"/>
      <c r="O198" s="1195">
        <f t="shared" ref="O198" si="438">+S198</f>
        <v>1.3896847257812703E-5</v>
      </c>
      <c r="P198" s="1196">
        <f t="shared" ref="P198" si="439">+S198</f>
        <v>1.3896847257812703E-5</v>
      </c>
      <c r="Q198" s="1196">
        <f t="shared" ref="Q198" si="440">+S198</f>
        <v>1.3896847257812703E-5</v>
      </c>
      <c r="R198" s="1196">
        <f t="shared" ref="R198" si="441">+S198</f>
        <v>1.3896847257812703E-5</v>
      </c>
      <c r="S198" s="1197">
        <f>+(S211*S156)/S154</f>
        <v>1.3896847257812703E-5</v>
      </c>
      <c r="T198" s="85"/>
      <c r="U198" s="1195">
        <f t="shared" ref="U198" si="442">+Y198</f>
        <v>1.297346987189625E-5</v>
      </c>
      <c r="V198" s="1196">
        <f t="shared" ref="V198" si="443">+Y198</f>
        <v>1.297346987189625E-5</v>
      </c>
      <c r="W198" s="1196">
        <f t="shared" ref="W198" si="444">+Y198</f>
        <v>1.297346987189625E-5</v>
      </c>
      <c r="X198" s="1196">
        <f t="shared" ref="X198" si="445">+Y198</f>
        <v>1.297346987189625E-5</v>
      </c>
      <c r="Y198" s="1197">
        <f>+(Y211*Y156)/Y154</f>
        <v>1.297346987189625E-5</v>
      </c>
      <c r="Z198" s="85"/>
      <c r="AA198" s="1195">
        <f t="shared" ref="AA198" si="446">+AE198</f>
        <v>1.4931175446664011E-5</v>
      </c>
      <c r="AB198" s="1196">
        <f t="shared" ref="AB198" si="447">+AE198</f>
        <v>1.4931175446664011E-5</v>
      </c>
      <c r="AC198" s="1196">
        <f t="shared" ref="AC198" si="448">+AE198</f>
        <v>1.4931175446664011E-5</v>
      </c>
      <c r="AD198" s="1196">
        <f t="shared" ref="AD198" si="449">+AE198</f>
        <v>1.4931175446664011E-5</v>
      </c>
      <c r="AE198" s="1197">
        <f>+(AE211*AE156)/AE154</f>
        <v>1.4931175446664011E-5</v>
      </c>
      <c r="AF198" s="85"/>
      <c r="AG198" s="1195">
        <f t="shared" ref="AG198" si="450">+AK198</f>
        <v>9.3334739953858695E-6</v>
      </c>
      <c r="AH198" s="1196">
        <f t="shared" ref="AH198" si="451">+AK198</f>
        <v>9.3334739953858695E-6</v>
      </c>
      <c r="AI198" s="1196">
        <f t="shared" ref="AI198" si="452">+AK198</f>
        <v>9.3334739953858695E-6</v>
      </c>
      <c r="AJ198" s="1196">
        <f t="shared" ref="AJ198" si="453">+AK198</f>
        <v>9.3334739953858695E-6</v>
      </c>
      <c r="AK198" s="1197">
        <f>+(AK211*AK156)/AK154</f>
        <v>9.3334739953858695E-6</v>
      </c>
      <c r="AL198" s="85"/>
      <c r="AM198" s="1195">
        <f t="shared" ref="AM198" si="454">+AQ198</f>
        <v>8.5230115813980597E-6</v>
      </c>
      <c r="AN198" s="1196">
        <f t="shared" ref="AN198" si="455">+AQ198</f>
        <v>8.5230115813980597E-6</v>
      </c>
      <c r="AO198" s="1196">
        <f t="shared" ref="AO198" si="456">+AQ198</f>
        <v>8.5230115813980597E-6</v>
      </c>
      <c r="AP198" s="1196">
        <f t="shared" si="368"/>
        <v>8.5230115813980597E-6</v>
      </c>
      <c r="AQ198" s="1197">
        <f>+(AQ211*AQ156)/AQ154</f>
        <v>8.5230115813980597E-6</v>
      </c>
      <c r="AR198" s="85"/>
      <c r="AS198" s="1195">
        <f t="shared" ref="AS198" si="457">+AW198</f>
        <v>0.25</v>
      </c>
      <c r="AT198" s="1196">
        <f t="shared" ref="AT198" si="458">+AW198</f>
        <v>0.25</v>
      </c>
      <c r="AU198" s="1196">
        <f t="shared" ref="AU198" si="459">+AW198</f>
        <v>0.25</v>
      </c>
      <c r="AV198" s="1196">
        <f t="shared" si="372"/>
        <v>0.25</v>
      </c>
      <c r="AW198" s="1215">
        <f>100%-AW197</f>
        <v>0.25</v>
      </c>
      <c r="AX198" s="85"/>
      <c r="AY198" s="1195">
        <f t="shared" ref="AY198" si="460">+BC198</f>
        <v>0.25</v>
      </c>
      <c r="AZ198" s="1196">
        <f t="shared" ref="AZ198" si="461">+BC198</f>
        <v>0.25</v>
      </c>
      <c r="BA198" s="1196">
        <f t="shared" ref="BA198" si="462">+BC198</f>
        <v>0.25</v>
      </c>
      <c r="BB198" s="1196">
        <f t="shared" ref="BB198" si="463">+BC198</f>
        <v>0.25</v>
      </c>
      <c r="BC198" s="1215">
        <f>100%-BC197</f>
        <v>0.25</v>
      </c>
      <c r="BD198" s="85"/>
      <c r="BE198" s="1195">
        <f t="shared" ref="BE198" si="464">+BI198</f>
        <v>0.25</v>
      </c>
      <c r="BF198" s="1196">
        <f t="shared" ref="BF198" si="465">+BI198</f>
        <v>0.25</v>
      </c>
      <c r="BG198" s="1196">
        <f t="shared" ref="BG198" si="466">+BI198</f>
        <v>0.25</v>
      </c>
      <c r="BH198" s="1196">
        <f t="shared" ref="BH198" si="467">+BI198</f>
        <v>0.25</v>
      </c>
      <c r="BI198" s="1215">
        <f>100%-BI197</f>
        <v>0.25</v>
      </c>
      <c r="BJ198" s="85"/>
      <c r="BK198" s="1195">
        <f t="shared" ref="BK198" si="468">+BO198</f>
        <v>0.25</v>
      </c>
      <c r="BL198" s="1196">
        <f t="shared" ref="BL198" si="469">+BO198</f>
        <v>0.25</v>
      </c>
      <c r="BM198" s="1196">
        <f t="shared" ref="BM198" si="470">+BO198</f>
        <v>0.25</v>
      </c>
      <c r="BN198" s="1196">
        <f t="shared" ref="BN198" si="471">+BO198</f>
        <v>0.25</v>
      </c>
      <c r="BO198" s="1215">
        <f>100%-BO197</f>
        <v>0.25</v>
      </c>
      <c r="BP198" s="85"/>
      <c r="BQ198" s="1195">
        <f t="shared" ref="BQ198" si="472">+BU198</f>
        <v>0.25</v>
      </c>
      <c r="BR198" s="1196">
        <f t="shared" ref="BR198" si="473">+BU198</f>
        <v>0.25</v>
      </c>
      <c r="BS198" s="1196">
        <f t="shared" ref="BS198" si="474">+BU198</f>
        <v>0.25</v>
      </c>
      <c r="BT198" s="1196">
        <f t="shared" ref="BT198" si="475">+BU198</f>
        <v>0.25</v>
      </c>
      <c r="BU198" s="1215">
        <f>100%-BU197</f>
        <v>0.25</v>
      </c>
      <c r="BV198" s="85"/>
      <c r="BW198" s="1195"/>
      <c r="BX198" s="1196"/>
      <c r="BY198" s="1196"/>
      <c r="BZ198" s="1196"/>
      <c r="CA198" s="1197"/>
      <c r="CB198" s="85"/>
      <c r="CC198" s="1195"/>
      <c r="CD198" s="1196"/>
      <c r="CE198" s="1196"/>
      <c r="CF198" s="1196"/>
      <c r="CG198" s="1197"/>
      <c r="CH198" s="85"/>
      <c r="CI198" s="1195"/>
      <c r="CJ198" s="1196"/>
      <c r="CK198" s="1196"/>
      <c r="CL198" s="1196"/>
      <c r="CM198" s="1197"/>
      <c r="CN198" s="11"/>
      <c r="CO198" s="11"/>
      <c r="CP198" s="11"/>
      <c r="CQ198" s="11"/>
      <c r="CR198" s="11"/>
      <c r="CS198" s="11"/>
      <c r="CT198" s="11"/>
      <c r="CU198" s="11"/>
      <c r="CV198" s="11"/>
      <c r="CW198" s="11"/>
      <c r="CX198" s="11"/>
    </row>
    <row r="199" spans="1:102" s="31" customFormat="1" ht="11.25" customHeight="1" x14ac:dyDescent="0.2">
      <c r="A199" s="84"/>
      <c r="B199" s="154"/>
      <c r="C199" s="14"/>
      <c r="D199" s="14"/>
      <c r="E199" s="14"/>
      <c r="F199" s="14"/>
      <c r="G199" s="14"/>
      <c r="H199" s="17"/>
      <c r="I199" s="14"/>
      <c r="J199" s="14"/>
      <c r="K199" s="14"/>
      <c r="L199" s="14"/>
      <c r="M199" s="14"/>
      <c r="N199" s="17"/>
      <c r="O199" s="14"/>
      <c r="P199" s="14"/>
      <c r="Q199" s="14"/>
      <c r="R199" s="14"/>
      <c r="S199" s="14"/>
      <c r="T199" s="17"/>
      <c r="U199" s="14"/>
      <c r="V199" s="14"/>
      <c r="W199" s="14"/>
      <c r="X199" s="14"/>
      <c r="Y199" s="14"/>
      <c r="Z199" s="17"/>
      <c r="AA199" s="14"/>
      <c r="AB199" s="14"/>
      <c r="AC199" s="14"/>
      <c r="AD199" s="14"/>
      <c r="AE199" s="14"/>
      <c r="AF199" s="17"/>
      <c r="AG199" s="14"/>
      <c r="AH199" s="14"/>
      <c r="AI199" s="14"/>
      <c r="AJ199" s="14"/>
      <c r="AK199" s="14"/>
      <c r="AL199" s="17"/>
      <c r="AM199" s="14"/>
      <c r="AN199" s="14"/>
      <c r="AO199" s="14"/>
      <c r="AP199" s="14"/>
      <c r="AQ199" s="14"/>
      <c r="AR199" s="17"/>
      <c r="AS199" s="14"/>
      <c r="AT199" s="14"/>
      <c r="AU199" s="14"/>
      <c r="AV199" s="14"/>
      <c r="AW199" s="14"/>
      <c r="AX199" s="17"/>
      <c r="AY199" s="14"/>
      <c r="AZ199" s="14"/>
      <c r="BA199" s="14"/>
      <c r="BB199" s="14"/>
      <c r="BC199" s="14"/>
      <c r="BD199" s="17"/>
      <c r="BE199" s="14"/>
      <c r="BF199" s="14"/>
      <c r="BG199" s="14"/>
      <c r="BH199" s="14"/>
      <c r="BI199" s="14"/>
      <c r="BJ199" s="17"/>
      <c r="BK199" s="14"/>
      <c r="BL199" s="14"/>
      <c r="BM199" s="14"/>
      <c r="BN199" s="14"/>
      <c r="BO199" s="14"/>
      <c r="BP199" s="17"/>
      <c r="BQ199" s="14"/>
      <c r="BR199" s="14"/>
      <c r="BS199" s="14"/>
      <c r="BT199" s="14"/>
      <c r="BU199" s="14"/>
      <c r="BV199" s="17"/>
      <c r="BW199" s="14"/>
      <c r="BX199" s="14"/>
      <c r="BY199" s="14"/>
      <c r="BZ199" s="14"/>
      <c r="CA199" s="14"/>
      <c r="CB199" s="17"/>
      <c r="CC199" s="14"/>
      <c r="CD199" s="14"/>
      <c r="CE199" s="14"/>
      <c r="CF199" s="14"/>
      <c r="CG199" s="14"/>
      <c r="CH199" s="17"/>
      <c r="CI199" s="14"/>
      <c r="CJ199" s="14"/>
      <c r="CK199" s="14"/>
      <c r="CL199" s="14"/>
      <c r="CM199" s="14"/>
      <c r="CN199" s="11"/>
      <c r="CO199" s="11"/>
      <c r="CP199" s="11"/>
      <c r="CQ199" s="11"/>
      <c r="CR199" s="11"/>
      <c r="CS199" s="11"/>
      <c r="CT199" s="11"/>
      <c r="CU199" s="11"/>
      <c r="CV199" s="11"/>
      <c r="CW199" s="11"/>
      <c r="CX199" s="11"/>
    </row>
    <row r="200" spans="1:102" s="31" customFormat="1" ht="11.25" customHeight="1" x14ac:dyDescent="0.2">
      <c r="A200" s="84"/>
      <c r="B200" s="1065" t="s">
        <v>509</v>
      </c>
      <c r="C200" s="1049"/>
      <c r="D200" s="1049"/>
      <c r="E200" s="1049"/>
      <c r="F200" s="1049"/>
      <c r="G200" s="1049"/>
      <c r="H200" s="1066"/>
      <c r="I200" s="1049"/>
      <c r="J200" s="1049"/>
      <c r="K200" s="1049"/>
      <c r="L200" s="1049"/>
      <c r="M200" s="1049"/>
      <c r="N200" s="1066"/>
      <c r="O200" s="1049"/>
      <c r="P200" s="1049"/>
      <c r="Q200" s="1049"/>
      <c r="R200" s="1049"/>
      <c r="S200" s="1049"/>
      <c r="T200" s="1066"/>
      <c r="U200" s="1049"/>
      <c r="V200" s="1049"/>
      <c r="W200" s="1049"/>
      <c r="X200" s="1049"/>
      <c r="Y200" s="1049"/>
      <c r="Z200" s="1066"/>
      <c r="AA200" s="1049"/>
      <c r="AB200" s="1049"/>
      <c r="AC200" s="1049"/>
      <c r="AD200" s="1049"/>
      <c r="AE200" s="1049"/>
      <c r="AF200" s="1066"/>
      <c r="AG200" s="1049"/>
      <c r="AH200" s="1049"/>
      <c r="AI200" s="1049"/>
      <c r="AJ200" s="1049"/>
      <c r="AK200" s="1049"/>
      <c r="AL200" s="1066"/>
      <c r="AM200" s="1049"/>
      <c r="AN200" s="1049"/>
      <c r="AO200" s="1049"/>
      <c r="AP200" s="1049"/>
      <c r="AQ200" s="1049"/>
      <c r="AR200" s="1066"/>
      <c r="AS200" s="1049"/>
      <c r="AT200" s="1049"/>
      <c r="AU200" s="1049"/>
      <c r="AV200" s="1049"/>
      <c r="AW200" s="1049"/>
      <c r="AX200" s="1066"/>
      <c r="AY200" s="1049"/>
      <c r="AZ200" s="1049"/>
      <c r="BA200" s="1049"/>
      <c r="BB200" s="1049"/>
      <c r="BC200" s="1049"/>
      <c r="BD200" s="1066"/>
      <c r="BE200" s="1049"/>
      <c r="BF200" s="1049"/>
      <c r="BG200" s="1049"/>
      <c r="BH200" s="1049"/>
      <c r="BI200" s="1049"/>
      <c r="BJ200" s="1066"/>
      <c r="BK200" s="1049"/>
      <c r="BL200" s="1049"/>
      <c r="BM200" s="1049"/>
      <c r="BN200" s="1049"/>
      <c r="BO200" s="1049"/>
      <c r="BP200" s="1066"/>
      <c r="BQ200" s="1049"/>
      <c r="BR200" s="1049"/>
      <c r="BS200" s="1049"/>
      <c r="BT200" s="1049"/>
      <c r="BU200" s="1049"/>
      <c r="BV200" s="1066"/>
      <c r="BW200" s="1049"/>
      <c r="BX200" s="1049"/>
      <c r="BY200" s="1049"/>
      <c r="BZ200" s="1049"/>
      <c r="CA200" s="1049"/>
      <c r="CB200" s="1066"/>
      <c r="CC200" s="1049"/>
      <c r="CD200" s="1049"/>
      <c r="CE200" s="1049"/>
      <c r="CF200" s="1049"/>
      <c r="CG200" s="1050"/>
      <c r="CH200" s="1066"/>
      <c r="CI200" s="1049"/>
      <c r="CJ200" s="1049"/>
      <c r="CK200" s="1049"/>
      <c r="CL200" s="1049"/>
      <c r="CM200" s="1050"/>
      <c r="CN200" s="11"/>
      <c r="CO200" s="11"/>
      <c r="CP200" s="11"/>
      <c r="CQ200" s="11"/>
      <c r="CR200" s="11"/>
      <c r="CS200" s="11"/>
      <c r="CT200" s="11"/>
      <c r="CU200" s="11"/>
      <c r="CV200" s="11"/>
      <c r="CW200" s="11"/>
      <c r="CX200" s="11"/>
    </row>
    <row r="201" spans="1:102" s="31" customFormat="1" ht="11.25" customHeight="1" x14ac:dyDescent="0.2">
      <c r="A201" s="84"/>
      <c r="B201" s="658" t="s">
        <v>478</v>
      </c>
      <c r="C201" s="1021">
        <f t="shared" ref="C201:F203" si="476">C$204*C208</f>
        <v>595.17223915683178</v>
      </c>
      <c r="D201" s="8">
        <f t="shared" si="476"/>
        <v>630.38837628779038</v>
      </c>
      <c r="E201" s="8">
        <f t="shared" si="476"/>
        <v>644.20879199670674</v>
      </c>
      <c r="F201" s="8">
        <f t="shared" si="476"/>
        <v>671.12959255867122</v>
      </c>
      <c r="G201" s="1067">
        <v>2540.8989999999999</v>
      </c>
      <c r="H201" s="136"/>
      <c r="I201" s="1021">
        <f t="shared" ref="I201:L203" si="477">I$204*I208</f>
        <v>633.39467598205772</v>
      </c>
      <c r="J201" s="8">
        <f t="shared" si="477"/>
        <v>670.04814981013612</v>
      </c>
      <c r="K201" s="8">
        <f t="shared" si="477"/>
        <v>701.61299556111931</v>
      </c>
      <c r="L201" s="8">
        <f t="shared" si="477"/>
        <v>702.91517864668651</v>
      </c>
      <c r="M201" s="1067">
        <v>2707.971</v>
      </c>
      <c r="N201" s="136"/>
      <c r="O201" s="1021">
        <f t="shared" ref="O201:R203" si="478">O$204*O208</f>
        <v>678.35997626838639</v>
      </c>
      <c r="P201" s="8">
        <f t="shared" si="478"/>
        <v>692.58817321127378</v>
      </c>
      <c r="Q201" s="8">
        <f t="shared" si="478"/>
        <v>739.60998392587237</v>
      </c>
      <c r="R201" s="8">
        <f t="shared" si="478"/>
        <v>711.21286659446787</v>
      </c>
      <c r="S201" s="1067">
        <v>2821.7710000000002</v>
      </c>
      <c r="T201" s="136"/>
      <c r="U201" s="1021">
        <f t="shared" ref="U201:X203" si="479">U$204*U208</f>
        <v>708.12571528701028</v>
      </c>
      <c r="V201" s="8">
        <f t="shared" si="479"/>
        <v>730.88032964258696</v>
      </c>
      <c r="W201" s="8">
        <f t="shared" si="479"/>
        <v>735.48380731431871</v>
      </c>
      <c r="X201" s="8">
        <f t="shared" si="479"/>
        <v>728.91714775608386</v>
      </c>
      <c r="Y201" s="1067">
        <v>2903.4070000000002</v>
      </c>
      <c r="Z201" s="136"/>
      <c r="AA201" s="1021">
        <f t="shared" ref="AA201:AD203" si="480">AA$204*AA208</f>
        <v>748.10971563646376</v>
      </c>
      <c r="AB201" s="8">
        <f t="shared" si="480"/>
        <v>754.8241426648359</v>
      </c>
      <c r="AC201" s="8">
        <f t="shared" si="480"/>
        <v>725.98036566764358</v>
      </c>
      <c r="AD201" s="8">
        <f t="shared" si="480"/>
        <v>778.07153673042194</v>
      </c>
      <c r="AE201" s="1067">
        <v>3006.9839999999999</v>
      </c>
      <c r="AF201" s="136"/>
      <c r="AG201" s="1021">
        <f t="shared" ref="AG201:AJ203" si="481">AG$204*AG208</f>
        <v>743.97339474400974</v>
      </c>
      <c r="AH201" s="8">
        <f t="shared" si="481"/>
        <v>752.27242462583376</v>
      </c>
      <c r="AI201" s="8">
        <f t="shared" si="481"/>
        <v>785.76967260435902</v>
      </c>
      <c r="AJ201" s="8">
        <f t="shared" si="481"/>
        <v>822.03150802579773</v>
      </c>
      <c r="AK201" s="1067">
        <v>3104.047</v>
      </c>
      <c r="AL201" s="136"/>
      <c r="AM201" s="1021">
        <f t="shared" ref="AM201:AP203" si="482">AM$204*AM208</f>
        <v>785.26410510990297</v>
      </c>
      <c r="AN201" s="8">
        <f t="shared" si="482"/>
        <v>765.80790587598415</v>
      </c>
      <c r="AO201" s="8">
        <f t="shared" si="482"/>
        <v>808.78604241902849</v>
      </c>
      <c r="AP201" s="8">
        <f t="shared" si="482"/>
        <v>852.12094659508432</v>
      </c>
      <c r="AQ201" s="1067">
        <v>3211.9789999999998</v>
      </c>
      <c r="AR201" s="136"/>
      <c r="AS201" s="1021">
        <f t="shared" ref="AS201:AV203" si="483">AS$204*AS208</f>
        <v>707.34157350478574</v>
      </c>
      <c r="AT201" s="8">
        <f t="shared" si="483"/>
        <v>802.74598861534344</v>
      </c>
      <c r="AU201" s="8">
        <f t="shared" si="483"/>
        <v>870.13079671704338</v>
      </c>
      <c r="AV201" s="8">
        <f t="shared" si="483"/>
        <v>885.72064116282763</v>
      </c>
      <c r="AW201" s="1067">
        <v>3265.9389999999999</v>
      </c>
      <c r="AX201" s="136"/>
      <c r="AY201" s="1021">
        <f t="shared" ref="AY201:BB203" si="484">AY$204*AY208</f>
        <v>727.35972711816953</v>
      </c>
      <c r="AZ201" s="8">
        <f t="shared" si="484"/>
        <v>757.77547857571142</v>
      </c>
      <c r="BA201" s="8">
        <f t="shared" si="484"/>
        <v>742.59858873880842</v>
      </c>
      <c r="BB201" s="8">
        <f t="shared" si="484"/>
        <v>801.80720556731046</v>
      </c>
      <c r="BC201" s="1067">
        <v>3029.5410000000002</v>
      </c>
      <c r="BD201" s="136"/>
      <c r="BE201" s="1021">
        <f t="shared" ref="BE201:BH203" si="485">BE$204*BE208</f>
        <v>945.67342565201761</v>
      </c>
      <c r="BF201" s="8">
        <f t="shared" si="485"/>
        <v>1149.5086752211882</v>
      </c>
      <c r="BG201" s="8">
        <f t="shared" si="485"/>
        <v>1159.1427330710455</v>
      </c>
      <c r="BH201" s="8">
        <f t="shared" si="485"/>
        <v>1202.9291660557487</v>
      </c>
      <c r="BI201" s="1067">
        <v>4457.2539999999999</v>
      </c>
      <c r="BJ201" s="136"/>
      <c r="BK201" s="1021">
        <f t="shared" ref="BK201:BN203" si="486">BK$204*BK208</f>
        <v>1125.7010871364084</v>
      </c>
      <c r="BL201" s="8">
        <f t="shared" si="486"/>
        <v>1198.1929605034893</v>
      </c>
      <c r="BM201" s="8">
        <f t="shared" si="486"/>
        <v>1180.600765653274</v>
      </c>
      <c r="BN201" s="8">
        <f t="shared" si="486"/>
        <v>1220.8271867068279</v>
      </c>
      <c r="BO201" s="1067">
        <v>4725.3220000000001</v>
      </c>
      <c r="BP201" s="136"/>
      <c r="BQ201" s="1021">
        <f t="shared" ref="BQ201:BT203" si="487">BQ$204*BQ208</f>
        <v>1101.7742490077555</v>
      </c>
      <c r="BR201" s="8">
        <f t="shared" si="487"/>
        <v>1170.7321382679131</v>
      </c>
      <c r="BS201" s="8">
        <f t="shared" si="487"/>
        <v>1161.8485994478579</v>
      </c>
      <c r="BT201" s="8">
        <f t="shared" si="487"/>
        <v>1217.8962309066922</v>
      </c>
      <c r="BU201" s="592">
        <f>SUM(BQ201:BT201)</f>
        <v>4652.2512176302189</v>
      </c>
      <c r="BV201" s="136"/>
      <c r="BW201" s="1021">
        <f t="shared" ref="BW201:BZ203" si="488">BW$204*BW208</f>
        <v>1107.3947199732352</v>
      </c>
      <c r="BX201" s="8">
        <f t="shared" si="488"/>
        <v>1210.130088010224</v>
      </c>
      <c r="BY201" s="8">
        <f t="shared" si="488"/>
        <v>1193.3247474363232</v>
      </c>
      <c r="BZ201" s="8">
        <f t="shared" si="488"/>
        <v>1264.0285738907178</v>
      </c>
      <c r="CA201" s="592">
        <f>SUM(BW201:BZ201)</f>
        <v>4774.8781293105003</v>
      </c>
      <c r="CB201" s="136"/>
      <c r="CC201" s="1021">
        <f t="shared" ref="CC201:CF203" si="489">CC$204*CC208</f>
        <v>1134.9122751996663</v>
      </c>
      <c r="CD201" s="8">
        <f t="shared" si="489"/>
        <v>1239.6773505534304</v>
      </c>
      <c r="CE201" s="8">
        <f t="shared" si="489"/>
        <v>1225.1458284946361</v>
      </c>
      <c r="CF201" s="8">
        <f t="shared" si="489"/>
        <v>1297.9222617282612</v>
      </c>
      <c r="CG201" s="592">
        <f>SUM(CC201:CF201)</f>
        <v>4897.6577159759945</v>
      </c>
      <c r="CH201" s="136"/>
      <c r="CI201" s="1021">
        <f t="shared" ref="CI201:CL201" si="490">CI$204*CI208</f>
        <v>1165.5784559342605</v>
      </c>
      <c r="CJ201" s="8">
        <f t="shared" si="490"/>
        <v>1273.2385846721004</v>
      </c>
      <c r="CK201" s="8">
        <f t="shared" si="490"/>
        <v>1257.9462401505534</v>
      </c>
      <c r="CL201" s="8">
        <f t="shared" si="490"/>
        <v>1332.8634173332671</v>
      </c>
      <c r="CM201" s="592">
        <f>SUM(CI201:CL201)</f>
        <v>5029.6266980901819</v>
      </c>
      <c r="CN201" s="11"/>
      <c r="CO201" s="11"/>
      <c r="CP201" s="11"/>
      <c r="CQ201" s="11"/>
      <c r="CR201" s="11"/>
      <c r="CS201" s="11"/>
      <c r="CT201" s="11"/>
      <c r="CU201" s="11"/>
      <c r="CV201" s="11"/>
      <c r="CW201" s="11"/>
      <c r="CX201" s="11"/>
    </row>
    <row r="202" spans="1:102" s="31" customFormat="1" ht="11.25" customHeight="1" x14ac:dyDescent="0.2">
      <c r="A202" s="84"/>
      <c r="B202" s="658" t="s">
        <v>479</v>
      </c>
      <c r="C202" s="1021">
        <f t="shared" si="476"/>
        <v>14.225786726380903</v>
      </c>
      <c r="D202" s="8">
        <f t="shared" si="476"/>
        <v>15.067521644766417</v>
      </c>
      <c r="E202" s="8">
        <f t="shared" si="476"/>
        <v>15.397856753513251</v>
      </c>
      <c r="F202" s="8">
        <f t="shared" si="476"/>
        <v>16.041316817847715</v>
      </c>
      <c r="G202" s="1067">
        <f>257.499-G203</f>
        <v>60.732481942508286</v>
      </c>
      <c r="H202" s="136"/>
      <c r="I202" s="1021">
        <f t="shared" si="477"/>
        <v>18.689883229648792</v>
      </c>
      <c r="J202" s="8">
        <f t="shared" si="477"/>
        <v>19.77143502000072</v>
      </c>
      <c r="K202" s="8">
        <f t="shared" si="477"/>
        <v>20.7028341990877</v>
      </c>
      <c r="L202" s="8">
        <f t="shared" si="477"/>
        <v>20.741258345572891</v>
      </c>
      <c r="M202" s="1067">
        <f>290.758-M203</f>
        <v>79.905410794310114</v>
      </c>
      <c r="N202" s="136"/>
      <c r="O202" s="1021">
        <f t="shared" si="478"/>
        <v>13.195332349713203</v>
      </c>
      <c r="P202" s="8">
        <f t="shared" si="478"/>
        <v>13.47209659578702</v>
      </c>
      <c r="Q202" s="8">
        <f t="shared" si="478"/>
        <v>14.386756130209424</v>
      </c>
      <c r="R202" s="8">
        <f t="shared" si="478"/>
        <v>13.834380674595227</v>
      </c>
      <c r="S202" s="1067">
        <f>272.456-S203</f>
        <v>54.888565750304878</v>
      </c>
      <c r="T202" s="136"/>
      <c r="U202" s="1021">
        <f t="shared" si="479"/>
        <v>25.934837886871314</v>
      </c>
      <c r="V202" s="8">
        <f t="shared" si="479"/>
        <v>26.768217076117349</v>
      </c>
      <c r="W202" s="8">
        <f t="shared" si="479"/>
        <v>26.936817713765148</v>
      </c>
      <c r="X202" s="8">
        <f t="shared" si="479"/>
        <v>26.696316278180273</v>
      </c>
      <c r="Y202" s="1067">
        <f>333.969-Y203</f>
        <v>106.3361889549341</v>
      </c>
      <c r="Z202" s="136"/>
      <c r="AA202" s="1021">
        <f t="shared" si="480"/>
        <v>41.925338075735453</v>
      </c>
      <c r="AB202" s="8">
        <f t="shared" si="480"/>
        <v>42.301625961409904</v>
      </c>
      <c r="AC202" s="8">
        <f t="shared" si="480"/>
        <v>40.685171747926525</v>
      </c>
      <c r="AD202" s="8">
        <f t="shared" si="480"/>
        <v>43.604449377825951</v>
      </c>
      <c r="AE202" s="1067">
        <f>408.686-AE203</f>
        <v>168.51648649031733</v>
      </c>
      <c r="AF202" s="136"/>
      <c r="AG202" s="1021">
        <f t="shared" si="481"/>
        <v>43.862986532236313</v>
      </c>
      <c r="AH202" s="8">
        <f t="shared" si="481"/>
        <v>44.352278539865601</v>
      </c>
      <c r="AI202" s="8">
        <f t="shared" si="481"/>
        <v>46.327200421923749</v>
      </c>
      <c r="AJ202" s="8">
        <f t="shared" si="481"/>
        <v>48.465116118858077</v>
      </c>
      <c r="AK202" s="1067">
        <f>431.614-AK203</f>
        <v>183.00758161288374</v>
      </c>
      <c r="AL202" s="136"/>
      <c r="AM202" s="1021">
        <f t="shared" si="482"/>
        <v>41.435940605655453</v>
      </c>
      <c r="AN202" s="8">
        <f t="shared" si="482"/>
        <v>40.409297581197293</v>
      </c>
      <c r="AO202" s="8">
        <f t="shared" si="482"/>
        <v>42.677119962929737</v>
      </c>
      <c r="AP202" s="8">
        <f t="shared" si="482"/>
        <v>44.963767861268998</v>
      </c>
      <c r="AQ202" s="1067">
        <f>425.233-AQ203</f>
        <v>169.48612601105148</v>
      </c>
      <c r="AR202" s="136"/>
      <c r="AS202" s="1021">
        <f t="shared" si="483"/>
        <v>110.8983294842281</v>
      </c>
      <c r="AT202" s="8">
        <f t="shared" si="483"/>
        <v>125.85601139843715</v>
      </c>
      <c r="AU202" s="8">
        <f t="shared" si="483"/>
        <v>136.42072713268522</v>
      </c>
      <c r="AV202" s="8">
        <f t="shared" si="483"/>
        <v>138.8649319846495</v>
      </c>
      <c r="AW202" s="1067">
        <v>512.04</v>
      </c>
      <c r="AX202" s="136"/>
      <c r="AY202" s="1021">
        <f t="shared" si="484"/>
        <v>155.9477044582209</v>
      </c>
      <c r="AZ202" s="8">
        <f t="shared" si="484"/>
        <v>162.46891596104697</v>
      </c>
      <c r="BA202" s="8">
        <f t="shared" si="484"/>
        <v>159.21495366063519</v>
      </c>
      <c r="BB202" s="8">
        <f t="shared" si="484"/>
        <v>171.90942592009696</v>
      </c>
      <c r="BC202" s="1067">
        <v>649.54100000000005</v>
      </c>
      <c r="BD202" s="136"/>
      <c r="BE202" s="1021">
        <f t="shared" si="485"/>
        <v>132.94324387477832</v>
      </c>
      <c r="BF202" s="8">
        <f t="shared" si="485"/>
        <v>161.59850536218536</v>
      </c>
      <c r="BG202" s="8">
        <f t="shared" si="485"/>
        <v>162.95286604050753</v>
      </c>
      <c r="BH202" s="8">
        <f t="shared" si="485"/>
        <v>169.1083847225288</v>
      </c>
      <c r="BI202" s="1067">
        <v>626.60299999999995</v>
      </c>
      <c r="BJ202" s="136"/>
      <c r="BK202" s="1021">
        <f t="shared" si="486"/>
        <v>130.54098182429968</v>
      </c>
      <c r="BL202" s="8">
        <f t="shared" si="486"/>
        <v>138.94744108045461</v>
      </c>
      <c r="BM202" s="8">
        <f t="shared" si="486"/>
        <v>136.90737696891202</v>
      </c>
      <c r="BN202" s="8">
        <f t="shared" si="486"/>
        <v>141.5722001263336</v>
      </c>
      <c r="BO202" s="1067">
        <v>547.96799999999996</v>
      </c>
      <c r="BP202" s="136"/>
      <c r="BQ202" s="1021">
        <f t="shared" si="487"/>
        <v>127.76632612132713</v>
      </c>
      <c r="BR202" s="8">
        <f t="shared" si="487"/>
        <v>135.76296987642149</v>
      </c>
      <c r="BS202" s="8">
        <f t="shared" si="487"/>
        <v>134.73279775267034</v>
      </c>
      <c r="BT202" s="8">
        <f t="shared" si="487"/>
        <v>141.2323142967777</v>
      </c>
      <c r="BU202" s="592">
        <f>SUM(BQ202:BT202)</f>
        <v>539.49440804719666</v>
      </c>
      <c r="BV202" s="136"/>
      <c r="BW202" s="1021">
        <f t="shared" si="488"/>
        <v>128.41809931985452</v>
      </c>
      <c r="BX202" s="8">
        <f t="shared" si="488"/>
        <v>140.33172005352998</v>
      </c>
      <c r="BY202" s="8">
        <f t="shared" si="488"/>
        <v>138.38290283777212</v>
      </c>
      <c r="BZ202" s="8">
        <f t="shared" si="488"/>
        <v>146.58201273431712</v>
      </c>
      <c r="CA202" s="592">
        <f>SUM(BW202:BZ202)</f>
        <v>553.71473494547377</v>
      </c>
      <c r="CB202" s="136"/>
      <c r="CC202" s="1021">
        <f t="shared" si="489"/>
        <v>131.60914951755896</v>
      </c>
      <c r="CD202" s="8">
        <f t="shared" si="489"/>
        <v>143.75814355679086</v>
      </c>
      <c r="CE202" s="8">
        <f t="shared" si="489"/>
        <v>142.07300779683348</v>
      </c>
      <c r="CF202" s="8">
        <f t="shared" si="489"/>
        <v>150.51246579909511</v>
      </c>
      <c r="CG202" s="592">
        <f>SUM(CC202:CF202)</f>
        <v>567.95276667027849</v>
      </c>
      <c r="CH202" s="136"/>
      <c r="CI202" s="1021">
        <f t="shared" ref="CI202:CL202" si="491">CI$204*CI209</f>
        <v>135.16532742983119</v>
      </c>
      <c r="CJ202" s="8">
        <f t="shared" si="491"/>
        <v>147.65004390507175</v>
      </c>
      <c r="CK202" s="8">
        <f t="shared" si="491"/>
        <v>145.87668000674205</v>
      </c>
      <c r="CL202" s="8">
        <f t="shared" si="491"/>
        <v>154.56438758443883</v>
      </c>
      <c r="CM202" s="592">
        <f>SUM(CI202:CL202)</f>
        <v>583.25643892608377</v>
      </c>
      <c r="CN202" s="11"/>
      <c r="CO202" s="11"/>
      <c r="CP202" s="11"/>
      <c r="CQ202" s="11"/>
      <c r="CR202" s="11"/>
      <c r="CS202" s="11"/>
      <c r="CT202" s="11"/>
      <c r="CU202" s="11"/>
      <c r="CV202" s="11"/>
      <c r="CW202" s="11"/>
      <c r="CX202" s="11"/>
    </row>
    <row r="203" spans="1:102" s="31" customFormat="1" ht="11.25" customHeight="1" x14ac:dyDescent="0.2">
      <c r="A203" s="84"/>
      <c r="B203" s="658" t="s">
        <v>480</v>
      </c>
      <c r="C203" s="1021">
        <f t="shared" si="476"/>
        <v>46.089974116787225</v>
      </c>
      <c r="D203" s="8">
        <f t="shared" si="476"/>
        <v>48.817102067443216</v>
      </c>
      <c r="E203" s="8">
        <f t="shared" si="476"/>
        <v>49.887351249780068</v>
      </c>
      <c r="F203" s="8">
        <f t="shared" si="476"/>
        <v>51.972090623481236</v>
      </c>
      <c r="G203" s="592">
        <f>G154*G210</f>
        <v>196.76651805749174</v>
      </c>
      <c r="H203" s="136"/>
      <c r="I203" s="1021">
        <f t="shared" si="477"/>
        <v>49.318440788293472</v>
      </c>
      <c r="J203" s="8">
        <f t="shared" si="477"/>
        <v>52.172415169863044</v>
      </c>
      <c r="K203" s="8">
        <f t="shared" si="477"/>
        <v>54.630170239792903</v>
      </c>
      <c r="L203" s="8">
        <f t="shared" si="477"/>
        <v>54.731563007740448</v>
      </c>
      <c r="M203" s="592">
        <f>M154*M210</f>
        <v>210.85258920568987</v>
      </c>
      <c r="N203" s="136"/>
      <c r="O203" s="1021">
        <f t="shared" si="478"/>
        <v>52.303691381900556</v>
      </c>
      <c r="P203" s="8">
        <f t="shared" si="478"/>
        <v>53.400730192939214</v>
      </c>
      <c r="Q203" s="8">
        <f t="shared" si="478"/>
        <v>57.026259943918312</v>
      </c>
      <c r="R203" s="8">
        <f t="shared" si="478"/>
        <v>54.836752730937086</v>
      </c>
      <c r="S203" s="592">
        <f>S154*S210</f>
        <v>217.56743424969514</v>
      </c>
      <c r="T203" s="136"/>
      <c r="U203" s="1021">
        <f t="shared" si="479"/>
        <v>55.51844682611847</v>
      </c>
      <c r="V203" s="8">
        <f t="shared" si="479"/>
        <v>57.302453281295556</v>
      </c>
      <c r="W203" s="8">
        <f t="shared" si="479"/>
        <v>57.663374971916092</v>
      </c>
      <c r="X203" s="8">
        <f t="shared" si="479"/>
        <v>57.148535965735782</v>
      </c>
      <c r="Y203" s="592">
        <f>Y154*Y210</f>
        <v>227.63281104506589</v>
      </c>
      <c r="Z203" s="136"/>
      <c r="AA203" s="1021">
        <f t="shared" si="480"/>
        <v>59.751911300866333</v>
      </c>
      <c r="AB203" s="8">
        <f t="shared" si="480"/>
        <v>60.288196072805306</v>
      </c>
      <c r="AC203" s="8">
        <f t="shared" si="480"/>
        <v>57.98442863242132</v>
      </c>
      <c r="AD203" s="8">
        <f t="shared" si="480"/>
        <v>62.144977503589701</v>
      </c>
      <c r="AE203" s="592">
        <f>AE154*AE210</f>
        <v>240.16951350968264</v>
      </c>
      <c r="AF203" s="136"/>
      <c r="AG203" s="1021">
        <f t="shared" si="481"/>
        <v>59.58561872375401</v>
      </c>
      <c r="AH203" s="8">
        <f t="shared" si="481"/>
        <v>60.250296834300634</v>
      </c>
      <c r="AI203" s="8">
        <f t="shared" si="481"/>
        <v>62.933126973717407</v>
      </c>
      <c r="AJ203" s="8">
        <f t="shared" si="481"/>
        <v>65.837375855344177</v>
      </c>
      <c r="AK203" s="592">
        <f>AK154*AK210</f>
        <v>248.60641838711624</v>
      </c>
      <c r="AL203" s="136"/>
      <c r="AM203" s="1021">
        <f t="shared" si="482"/>
        <v>62.524954284441712</v>
      </c>
      <c r="AN203" s="8">
        <f t="shared" si="482"/>
        <v>60.975796542818578</v>
      </c>
      <c r="AO203" s="8">
        <f t="shared" si="482"/>
        <v>64.397837618041606</v>
      </c>
      <c r="AP203" s="8">
        <f t="shared" si="482"/>
        <v>67.848285543646639</v>
      </c>
      <c r="AQ203" s="592">
        <f>AQ154*AQ210</f>
        <v>255.74687398894852</v>
      </c>
      <c r="AR203" s="136"/>
      <c r="AS203" s="1021">
        <f t="shared" si="483"/>
        <v>61.885097010986257</v>
      </c>
      <c r="AT203" s="8">
        <f t="shared" si="483"/>
        <v>70.231999986219506</v>
      </c>
      <c r="AU203" s="8">
        <f t="shared" si="483"/>
        <v>76.127476150271363</v>
      </c>
      <c r="AV203" s="8">
        <f t="shared" si="483"/>
        <v>77.491426852522878</v>
      </c>
      <c r="AW203" s="1067">
        <v>285.73599999999999</v>
      </c>
      <c r="AX203" s="136"/>
      <c r="AY203" s="1021">
        <f t="shared" si="484"/>
        <v>55.648568423609603</v>
      </c>
      <c r="AZ203" s="8">
        <f t="shared" si="484"/>
        <v>57.9756054632415</v>
      </c>
      <c r="BA203" s="8">
        <f t="shared" si="484"/>
        <v>56.814457600556395</v>
      </c>
      <c r="BB203" s="8">
        <f t="shared" si="484"/>
        <v>61.344368512592474</v>
      </c>
      <c r="BC203" s="1067">
        <v>231.78299999999999</v>
      </c>
      <c r="BD203" s="136"/>
      <c r="BE203" s="1021">
        <f t="shared" si="485"/>
        <v>64.253330473204102</v>
      </c>
      <c r="BF203" s="8">
        <f t="shared" si="485"/>
        <v>78.10281941662646</v>
      </c>
      <c r="BG203" s="8">
        <f t="shared" si="485"/>
        <v>78.757400888446981</v>
      </c>
      <c r="BH203" s="8">
        <f t="shared" si="485"/>
        <v>81.732449221722462</v>
      </c>
      <c r="BI203" s="1067">
        <v>302.846</v>
      </c>
      <c r="BJ203" s="136"/>
      <c r="BK203" s="1021">
        <f t="shared" si="486"/>
        <v>76.193931039291598</v>
      </c>
      <c r="BL203" s="8">
        <f t="shared" si="486"/>
        <v>81.100598416055988</v>
      </c>
      <c r="BM203" s="8">
        <f t="shared" si="486"/>
        <v>79.909857377813879</v>
      </c>
      <c r="BN203" s="8">
        <f t="shared" si="486"/>
        <v>82.63261316683851</v>
      </c>
      <c r="BO203" s="1067">
        <v>319.83699999999999</v>
      </c>
      <c r="BP203" s="136"/>
      <c r="BQ203" s="1021">
        <f t="shared" si="487"/>
        <v>74.574424870917468</v>
      </c>
      <c r="BR203" s="8">
        <f t="shared" si="487"/>
        <v>79.241891855664974</v>
      </c>
      <c r="BS203" s="8">
        <f t="shared" si="487"/>
        <v>78.640602799471552</v>
      </c>
      <c r="BT203" s="8">
        <f t="shared" si="487"/>
        <v>82.434229202687916</v>
      </c>
      <c r="BU203" s="592">
        <f>SUM(BQ203:BT203)</f>
        <v>314.89114872874188</v>
      </c>
      <c r="BV203" s="136"/>
      <c r="BW203" s="1021">
        <f t="shared" si="488"/>
        <v>74.954850706910463</v>
      </c>
      <c r="BX203" s="8">
        <f t="shared" si="488"/>
        <v>81.908571936246034</v>
      </c>
      <c r="BY203" s="8">
        <f t="shared" si="488"/>
        <v>80.771089725904659</v>
      </c>
      <c r="BZ203" s="8">
        <f t="shared" si="488"/>
        <v>85.556731792560498</v>
      </c>
      <c r="CA203" s="592">
        <f>SUM(BW203:BZ203)</f>
        <v>323.19124416162163</v>
      </c>
      <c r="CB203" s="136"/>
      <c r="CC203" s="1021">
        <f t="shared" si="489"/>
        <v>76.817397282774735</v>
      </c>
      <c r="CD203" s="8">
        <f t="shared" si="489"/>
        <v>83.908500789778458</v>
      </c>
      <c r="CE203" s="8">
        <f t="shared" si="489"/>
        <v>82.924923708530116</v>
      </c>
      <c r="CF203" s="8">
        <f t="shared" si="489"/>
        <v>87.850851735475771</v>
      </c>
      <c r="CG203" s="592">
        <f>SUM(CC203:CF203)</f>
        <v>331.50167351655909</v>
      </c>
      <c r="CH203" s="136"/>
      <c r="CI203" s="1021">
        <f t="shared" ref="CI203:CL203" si="492">CI$204*CI210</f>
        <v>78.893060961908219</v>
      </c>
      <c r="CJ203" s="8">
        <f t="shared" si="492"/>
        <v>86.180118350827854</v>
      </c>
      <c r="CK203" s="8">
        <f t="shared" si="492"/>
        <v>85.145044424704295</v>
      </c>
      <c r="CL203" s="8">
        <f t="shared" si="492"/>
        <v>90.215870327909968</v>
      </c>
      <c r="CM203" s="592">
        <f>SUM(CI203:CL203)</f>
        <v>340.43409406535034</v>
      </c>
      <c r="CN203" s="11"/>
      <c r="CO203" s="11"/>
      <c r="CP203" s="11"/>
      <c r="CQ203" s="11"/>
      <c r="CR203" s="11"/>
      <c r="CS203" s="11"/>
      <c r="CT203" s="11"/>
      <c r="CU203" s="11"/>
      <c r="CV203" s="11"/>
      <c r="CW203" s="11"/>
      <c r="CX203" s="11"/>
    </row>
    <row r="204" spans="1:102" s="31" customFormat="1" ht="11.25" customHeight="1" x14ac:dyDescent="0.2">
      <c r="A204" s="84"/>
      <c r="B204" s="1068" t="s">
        <v>313</v>
      </c>
      <c r="C204" s="1069">
        <f>C154</f>
        <v>655.48799999999994</v>
      </c>
      <c r="D204" s="1070">
        <f>D154</f>
        <v>694.27300000000002</v>
      </c>
      <c r="E204" s="1070">
        <f>E154</f>
        <v>709.49400000000003</v>
      </c>
      <c r="F204" s="1070">
        <f>F154</f>
        <v>739.14300000000014</v>
      </c>
      <c r="G204" s="1071">
        <f>+SUM(G201:G203)</f>
        <v>2798.3980000000001</v>
      </c>
      <c r="H204" s="1072"/>
      <c r="I204" s="1069">
        <f>I154</f>
        <v>701.40300000000002</v>
      </c>
      <c r="J204" s="1070">
        <f>J154</f>
        <v>741.99199999999996</v>
      </c>
      <c r="K204" s="1070">
        <f>K154</f>
        <v>776.94600000000003</v>
      </c>
      <c r="L204" s="1070">
        <f>L154</f>
        <v>778.38799999999992</v>
      </c>
      <c r="M204" s="1071">
        <f>+SUM(M201:M203)</f>
        <v>2998.7290000000003</v>
      </c>
      <c r="N204" s="1072"/>
      <c r="O204" s="1069">
        <f>O154</f>
        <v>743.85900000000004</v>
      </c>
      <c r="P204" s="1070">
        <f>P154</f>
        <v>759.4609999999999</v>
      </c>
      <c r="Q204" s="1070">
        <f>Q154</f>
        <v>811.02300000000002</v>
      </c>
      <c r="R204" s="1070">
        <f>R154</f>
        <v>779.88400000000001</v>
      </c>
      <c r="S204" s="1071">
        <f>+SUM(S201:S203)</f>
        <v>3094.2269999999999</v>
      </c>
      <c r="T204" s="1072"/>
      <c r="U204" s="1069">
        <f>U154</f>
        <v>789.57900000000006</v>
      </c>
      <c r="V204" s="1070">
        <f>V154</f>
        <v>814.95099999999991</v>
      </c>
      <c r="W204" s="1070">
        <f>W154</f>
        <v>820.08399999999995</v>
      </c>
      <c r="X204" s="1070">
        <f>X154</f>
        <v>812.76199999999994</v>
      </c>
      <c r="Y204" s="1071">
        <f>+SUM(Y201:Y203)</f>
        <v>3237.3760000000002</v>
      </c>
      <c r="Z204" s="1072"/>
      <c r="AA204" s="1069">
        <f>AA154</f>
        <v>849.78700000000003</v>
      </c>
      <c r="AB204" s="1070">
        <f>AB154</f>
        <v>857.41399999999999</v>
      </c>
      <c r="AC204" s="1070">
        <f>AC154</f>
        <v>824.65</v>
      </c>
      <c r="AD204" s="1070">
        <f>AD154</f>
        <v>883.82100000000003</v>
      </c>
      <c r="AE204" s="1071">
        <f>+SUM(AE201:AE203)</f>
        <v>3415.6699999999996</v>
      </c>
      <c r="AF204" s="1072"/>
      <c r="AG204" s="1069">
        <f>AG154</f>
        <v>847.42200000000003</v>
      </c>
      <c r="AH204" s="1070">
        <f>AH154</f>
        <v>856.875</v>
      </c>
      <c r="AI204" s="1070">
        <f>AI154</f>
        <v>895.03000000000009</v>
      </c>
      <c r="AJ204" s="1070">
        <f>AJ154</f>
        <v>936.33399999999995</v>
      </c>
      <c r="AK204" s="1071">
        <f>+SUM(AK201:AK203)</f>
        <v>3535.6610000000001</v>
      </c>
      <c r="AL204" s="1072"/>
      <c r="AM204" s="1069">
        <f>AM154</f>
        <v>889.22500000000014</v>
      </c>
      <c r="AN204" s="1070">
        <f>AN154</f>
        <v>867.19299999999998</v>
      </c>
      <c r="AO204" s="1070">
        <f>AO154</f>
        <v>915.86099999999988</v>
      </c>
      <c r="AP204" s="1070">
        <f>AP154</f>
        <v>964.93299999999999</v>
      </c>
      <c r="AQ204" s="1071">
        <f>+SUM(AQ201:AQ203)</f>
        <v>3637.212</v>
      </c>
      <c r="AR204" s="1072"/>
      <c r="AS204" s="1069">
        <f>AS154</f>
        <v>880.125</v>
      </c>
      <c r="AT204" s="1070">
        <f>AT154</f>
        <v>998.83400000000006</v>
      </c>
      <c r="AU204" s="1070">
        <f>AU154</f>
        <v>1082.6789999999999</v>
      </c>
      <c r="AV204" s="1070">
        <f>AV154</f>
        <v>1102.077</v>
      </c>
      <c r="AW204" s="1071">
        <f>+SUM(AW201:AW203)</f>
        <v>4063.7149999999997</v>
      </c>
      <c r="AX204" s="1072"/>
      <c r="AY204" s="1069">
        <f>AY154</f>
        <v>938.95600000000002</v>
      </c>
      <c r="AZ204" s="1070">
        <f>AZ154</f>
        <v>978.21999999999991</v>
      </c>
      <c r="BA204" s="1070">
        <f>BA154</f>
        <v>958.62800000000004</v>
      </c>
      <c r="BB204" s="1070">
        <f>BB154</f>
        <v>1035.0609999999999</v>
      </c>
      <c r="BC204" s="1071">
        <f>+SUM(BC201:BC203)</f>
        <v>3910.8650000000002</v>
      </c>
      <c r="BD204" s="1072"/>
      <c r="BE204" s="1069">
        <f>BE154</f>
        <v>1142.8699999999999</v>
      </c>
      <c r="BF204" s="1070">
        <f>BF154</f>
        <v>1389.21</v>
      </c>
      <c r="BG204" s="1070">
        <f>BG154</f>
        <v>1400.8530000000001</v>
      </c>
      <c r="BH204" s="1070">
        <f>BH154</f>
        <v>1453.77</v>
      </c>
      <c r="BI204" s="1071">
        <f>+SUM(BI201:BI203)</f>
        <v>5386.7029999999995</v>
      </c>
      <c r="BJ204" s="1072"/>
      <c r="BK204" s="1069">
        <f>BK154</f>
        <v>1332.4359999999999</v>
      </c>
      <c r="BL204" s="1070">
        <f>BL154</f>
        <v>1418.241</v>
      </c>
      <c r="BM204" s="1070">
        <f>BM154</f>
        <v>1397.4180000000001</v>
      </c>
      <c r="BN204" s="1070">
        <f>BN154</f>
        <v>1445.0320000000002</v>
      </c>
      <c r="BO204" s="1071">
        <f>+SUM(BO201:BO203)</f>
        <v>5593.1270000000004</v>
      </c>
      <c r="BP204" s="1072"/>
      <c r="BQ204" s="1069">
        <f>BQ154</f>
        <v>1304.1150000000002</v>
      </c>
      <c r="BR204" s="1070">
        <f>BR154</f>
        <v>1385.7369999999999</v>
      </c>
      <c r="BS204" s="1070">
        <f>BS154</f>
        <v>1375.222</v>
      </c>
      <c r="BT204" s="1070">
        <f>BT154</f>
        <v>1441.5627744061578</v>
      </c>
      <c r="BU204" s="1071">
        <f>+SUM(BU201:BU203)</f>
        <v>5506.6367744061572</v>
      </c>
      <c r="BV204" s="1072"/>
      <c r="BW204" s="1069">
        <f>BW154</f>
        <v>1310.7676700000002</v>
      </c>
      <c r="BX204" s="1070">
        <f>BX154</f>
        <v>1432.3703800000001</v>
      </c>
      <c r="BY204" s="1070">
        <f>BY154</f>
        <v>1412.47874</v>
      </c>
      <c r="BZ204" s="1070">
        <f>BZ154</f>
        <v>1496.1673184175957</v>
      </c>
      <c r="CA204" s="1071">
        <f>+SUM(CA201:CA203)</f>
        <v>5651.7841084175952</v>
      </c>
      <c r="CB204" s="1072"/>
      <c r="CC204" s="1069">
        <f>CC154</f>
        <v>1343.3388220000002</v>
      </c>
      <c r="CD204" s="1070">
        <f>CD154</f>
        <v>1467.3439948999999</v>
      </c>
      <c r="CE204" s="1070">
        <f>CE154</f>
        <v>1450.1437599999999</v>
      </c>
      <c r="CF204" s="1070">
        <f>CF154</f>
        <v>1536.2855792628322</v>
      </c>
      <c r="CG204" s="1071">
        <f>+SUM(CG201:CG203)</f>
        <v>5797.1121561628324</v>
      </c>
      <c r="CH204" s="1072"/>
      <c r="CI204" s="1069">
        <f>CI154</f>
        <v>1379.6368443260001</v>
      </c>
      <c r="CJ204" s="1070">
        <f>CJ154</f>
        <v>1507.0687469280001</v>
      </c>
      <c r="CK204" s="1070">
        <f>CK154</f>
        <v>1488.9679645819999</v>
      </c>
      <c r="CL204" s="1070">
        <f>CL154</f>
        <v>1577.6436752456161</v>
      </c>
      <c r="CM204" s="1071">
        <f>+SUM(CM201:CM203)</f>
        <v>5953.3172310816162</v>
      </c>
      <c r="CN204" s="11"/>
      <c r="CO204" s="11"/>
      <c r="CP204" s="11"/>
      <c r="CQ204" s="11"/>
      <c r="CR204" s="11"/>
      <c r="CS204" s="11"/>
      <c r="CT204" s="11"/>
      <c r="CU204" s="11"/>
      <c r="CV204" s="11"/>
      <c r="CW204" s="11"/>
      <c r="CX204" s="11"/>
    </row>
    <row r="205" spans="1:102" s="31" customFormat="1" ht="11.25" hidden="1" customHeight="1" outlineLevel="1" x14ac:dyDescent="0.2">
      <c r="A205" s="84"/>
      <c r="B205" s="154" t="s">
        <v>44</v>
      </c>
      <c r="C205" s="1073">
        <f>'P&amp;L'!C8-RevBuild!C204</f>
        <v>0</v>
      </c>
      <c r="D205" s="1073">
        <f>'P&amp;L'!D8-RevBuild!D204</f>
        <v>0</v>
      </c>
      <c r="E205" s="1073">
        <f>'P&amp;L'!E8-RevBuild!E204</f>
        <v>0</v>
      </c>
      <c r="F205" s="1073">
        <f>'P&amp;L'!F8-RevBuild!F204</f>
        <v>0</v>
      </c>
      <c r="G205" s="1073">
        <f>'P&amp;L'!G8-RevBuild!G204</f>
        <v>0</v>
      </c>
      <c r="H205" s="1073"/>
      <c r="I205" s="1073">
        <f>'P&amp;L'!I8-RevBuild!I204</f>
        <v>0</v>
      </c>
      <c r="J205" s="1073">
        <f>'P&amp;L'!J8-RevBuild!J204</f>
        <v>0</v>
      </c>
      <c r="K205" s="1073">
        <f>'P&amp;L'!K8-RevBuild!K204</f>
        <v>0</v>
      </c>
      <c r="L205" s="1073">
        <f>'P&amp;L'!L8-RevBuild!L204</f>
        <v>0</v>
      </c>
      <c r="M205" s="1073">
        <f>'P&amp;L'!M8-RevBuild!M204</f>
        <v>0</v>
      </c>
      <c r="N205" s="1073"/>
      <c r="O205" s="1073">
        <f>'P&amp;L'!O8-RevBuild!O204</f>
        <v>0</v>
      </c>
      <c r="P205" s="1073">
        <f>'P&amp;L'!P8-RevBuild!P204</f>
        <v>0</v>
      </c>
      <c r="Q205" s="1073">
        <f>'P&amp;L'!Q8-RevBuild!Q204</f>
        <v>0</v>
      </c>
      <c r="R205" s="1073">
        <f>'P&amp;L'!R8-RevBuild!R204</f>
        <v>0</v>
      </c>
      <c r="S205" s="1073">
        <f>'P&amp;L'!S8-RevBuild!S204</f>
        <v>0</v>
      </c>
      <c r="T205" s="1073"/>
      <c r="U205" s="1073">
        <f>'P&amp;L'!U8-RevBuild!U204</f>
        <v>0</v>
      </c>
      <c r="V205" s="1073">
        <f>'P&amp;L'!V8-RevBuild!V204</f>
        <v>0</v>
      </c>
      <c r="W205" s="1073">
        <f>'P&amp;L'!W8-RevBuild!W204</f>
        <v>0</v>
      </c>
      <c r="X205" s="1073">
        <f>'P&amp;L'!X8-RevBuild!X204</f>
        <v>0</v>
      </c>
      <c r="Y205" s="1073">
        <f>'P&amp;L'!Y8-RevBuild!Y204</f>
        <v>0</v>
      </c>
      <c r="Z205" s="1073"/>
      <c r="AA205" s="1073">
        <f>'P&amp;L'!AA8-RevBuild!AA204</f>
        <v>0</v>
      </c>
      <c r="AB205" s="1073">
        <f>'P&amp;L'!AB8-RevBuild!AB204</f>
        <v>0</v>
      </c>
      <c r="AC205" s="1073">
        <f>'P&amp;L'!AC8-RevBuild!AC204</f>
        <v>0</v>
      </c>
      <c r="AD205" s="1073">
        <f>'P&amp;L'!AD8-RevBuild!AD204</f>
        <v>-2.0000000000663931E-3</v>
      </c>
      <c r="AE205" s="1073">
        <f>'P&amp;L'!AE8-RevBuild!AE204</f>
        <v>0</v>
      </c>
      <c r="AF205" s="1073"/>
      <c r="AG205" s="1073">
        <f>'P&amp;L'!AG8-RevBuild!AG204</f>
        <v>0</v>
      </c>
      <c r="AH205" s="1073">
        <f>'P&amp;L'!AH8-RevBuild!AH204</f>
        <v>0</v>
      </c>
      <c r="AI205" s="1073">
        <f>'P&amp;L'!AI8-RevBuild!AI204</f>
        <v>0</v>
      </c>
      <c r="AJ205" s="1073">
        <f>'P&amp;L'!AJ8-RevBuild!AJ204</f>
        <v>0</v>
      </c>
      <c r="AK205" s="1073">
        <f>'P&amp;L'!AK8-RevBuild!AK204</f>
        <v>0</v>
      </c>
      <c r="AL205" s="1073"/>
      <c r="AM205" s="1073">
        <f>'P&amp;L'!AM8-RevBuild!AM204</f>
        <v>0</v>
      </c>
      <c r="AN205" s="1073">
        <f>'P&amp;L'!AN8-RevBuild!AN204</f>
        <v>0</v>
      </c>
      <c r="AO205" s="1073">
        <f>'P&amp;L'!AO8-RevBuild!AO204</f>
        <v>0</v>
      </c>
      <c r="AP205" s="1073">
        <f>'P&amp;L'!AP8-RevBuild!AP204</f>
        <v>0</v>
      </c>
      <c r="AQ205" s="1073">
        <f>'P&amp;L'!AQ8-RevBuild!AQ204</f>
        <v>0</v>
      </c>
      <c r="AR205" s="1073"/>
      <c r="AS205" s="1073">
        <f>'P&amp;L'!AS8-RevBuild!AS204</f>
        <v>0</v>
      </c>
      <c r="AT205" s="1073">
        <f>'P&amp;L'!AT8-RevBuild!AT204</f>
        <v>0</v>
      </c>
      <c r="AU205" s="1073">
        <f>'P&amp;L'!AU8-RevBuild!AU204</f>
        <v>0</v>
      </c>
      <c r="AV205" s="1073">
        <f>'P&amp;L'!AV8-RevBuild!AV204</f>
        <v>0</v>
      </c>
      <c r="AW205" s="1396">
        <f>'P&amp;L'!AW8-RevBuild!AW204</f>
        <v>0</v>
      </c>
      <c r="AX205" s="1073"/>
      <c r="AY205" s="1073">
        <f>'P&amp;L'!AY8-RevBuild!AY204</f>
        <v>0</v>
      </c>
      <c r="AZ205" s="1073">
        <f>'P&amp;L'!AZ8-RevBuild!AZ204</f>
        <v>0</v>
      </c>
      <c r="BA205" s="1073">
        <f>'P&amp;L'!BA8-RevBuild!BA204</f>
        <v>0</v>
      </c>
      <c r="BB205" s="1073">
        <f>'P&amp;L'!BB8-RevBuild!BB204</f>
        <v>0</v>
      </c>
      <c r="BC205" s="1073">
        <f>'P&amp;L'!BC8-RevBuild!BC204</f>
        <v>0</v>
      </c>
      <c r="BD205" s="1073"/>
      <c r="BE205" s="1073">
        <f>'P&amp;L'!BE8-RevBuild!BE204</f>
        <v>0</v>
      </c>
      <c r="BF205" s="1073">
        <f>'P&amp;L'!BF8-RevBuild!BF204</f>
        <v>0</v>
      </c>
      <c r="BG205" s="1073">
        <f>'P&amp;L'!BG8-RevBuild!BG204</f>
        <v>0</v>
      </c>
      <c r="BH205" s="1073">
        <f>'P&amp;L'!BH8-RevBuild!BH204</f>
        <v>0</v>
      </c>
      <c r="BI205" s="1073">
        <f>'P&amp;L'!BI8-RevBuild!BI204</f>
        <v>0</v>
      </c>
      <c r="BJ205" s="1073"/>
      <c r="BK205" s="1073">
        <f>'P&amp;L'!BK8-RevBuild!BK204</f>
        <v>0</v>
      </c>
      <c r="BL205" s="1073">
        <f>'P&amp;L'!BL8-RevBuild!BL204</f>
        <v>0</v>
      </c>
      <c r="BM205" s="1073">
        <f>'P&amp;L'!BM8-RevBuild!BM204</f>
        <v>0</v>
      </c>
      <c r="BN205" s="1073">
        <f>'P&amp;L'!BN8-RevBuild!BN204</f>
        <v>0</v>
      </c>
      <c r="BO205" s="1073">
        <f>'P&amp;L'!BO8-RevBuild!BO204</f>
        <v>0</v>
      </c>
      <c r="BP205" s="1074"/>
      <c r="BQ205" s="1073">
        <f>'P&amp;L'!BQ8-RevBuild!BQ204</f>
        <v>0</v>
      </c>
      <c r="BR205" s="1073">
        <f>'P&amp;L'!BR8-RevBuild!BR204</f>
        <v>0</v>
      </c>
      <c r="BS205" s="1073">
        <f>'P&amp;L'!BS8-RevBuild!BS204</f>
        <v>0</v>
      </c>
      <c r="BT205" s="1073">
        <f>'P&amp;L'!BT8-RevBuild!BT204</f>
        <v>0</v>
      </c>
      <c r="BU205" s="1073">
        <f>'P&amp;L'!BU8-RevBuild!BU204</f>
        <v>0</v>
      </c>
      <c r="BV205" s="1074"/>
      <c r="BW205" s="1073">
        <f>'P&amp;L'!BW8-RevBuild!BW204</f>
        <v>0</v>
      </c>
      <c r="BX205" s="1073">
        <f>'P&amp;L'!BX8-RevBuild!BX204</f>
        <v>0</v>
      </c>
      <c r="BY205" s="1073">
        <f>'P&amp;L'!BY8-RevBuild!BY204</f>
        <v>0</v>
      </c>
      <c r="BZ205" s="1073">
        <f>'P&amp;L'!BZ8-RevBuild!BZ204</f>
        <v>0</v>
      </c>
      <c r="CA205" s="1073">
        <f>'P&amp;L'!CA8-RevBuild!CA204</f>
        <v>0</v>
      </c>
      <c r="CB205" s="1074"/>
      <c r="CC205" s="1073">
        <f>'P&amp;L'!CC8-RevBuild!CC204</f>
        <v>0</v>
      </c>
      <c r="CD205" s="1073">
        <f>'P&amp;L'!CD8-RevBuild!CD204</f>
        <v>0</v>
      </c>
      <c r="CE205" s="1073">
        <f>'P&amp;L'!CE8-RevBuild!CE204</f>
        <v>0</v>
      </c>
      <c r="CF205" s="1073">
        <f>'P&amp;L'!CF8-RevBuild!CF204</f>
        <v>0</v>
      </c>
      <c r="CG205" s="1073">
        <f>'P&amp;L'!CG8-RevBuild!CG204</f>
        <v>0</v>
      </c>
      <c r="CH205" s="1074"/>
      <c r="CI205" s="1073">
        <f>'P&amp;L'!CI8-RevBuild!CI204</f>
        <v>0</v>
      </c>
      <c r="CJ205" s="1073">
        <f>'P&amp;L'!CJ8-RevBuild!CJ204</f>
        <v>0</v>
      </c>
      <c r="CK205" s="1073">
        <f>'P&amp;L'!CK8-RevBuild!CK204</f>
        <v>0</v>
      </c>
      <c r="CL205" s="1073">
        <f>'P&amp;L'!CL8-RevBuild!CL204</f>
        <v>0</v>
      </c>
      <c r="CM205" s="1073">
        <f>'P&amp;L'!CM8-RevBuild!CM204</f>
        <v>0</v>
      </c>
      <c r="CN205" s="1074"/>
      <c r="CO205" s="11"/>
      <c r="CP205" s="11"/>
      <c r="CQ205" s="11"/>
      <c r="CR205" s="11"/>
      <c r="CS205" s="11"/>
      <c r="CT205" s="11"/>
      <c r="CU205" s="11"/>
      <c r="CV205" s="11"/>
      <c r="CW205" s="11"/>
      <c r="CX205" s="11"/>
    </row>
    <row r="206" spans="1:102" s="31" customFormat="1" ht="11.25" customHeight="1" collapsed="1" x14ac:dyDescent="0.2">
      <c r="A206" s="84"/>
      <c r="B206" s="154"/>
      <c r="C206" s="1074"/>
      <c r="D206" s="1074"/>
      <c r="E206" s="1074"/>
      <c r="F206" s="1074"/>
      <c r="G206" s="1074"/>
      <c r="H206" s="1074"/>
      <c r="I206" s="1074"/>
      <c r="J206" s="1074"/>
      <c r="K206" s="1074"/>
      <c r="L206" s="1074"/>
      <c r="M206" s="1074"/>
      <c r="N206" s="1074"/>
      <c r="O206" s="1074"/>
      <c r="P206" s="1074"/>
      <c r="Q206" s="1074"/>
      <c r="R206" s="1074"/>
      <c r="S206" s="1074"/>
      <c r="T206" s="1074"/>
      <c r="U206" s="1074"/>
      <c r="V206" s="1074"/>
      <c r="W206" s="1074"/>
      <c r="X206" s="1074"/>
      <c r="Y206" s="1074"/>
      <c r="Z206" s="1074"/>
      <c r="AA206" s="1074"/>
      <c r="AB206" s="1074"/>
      <c r="AC206" s="1074"/>
      <c r="AD206" s="1074"/>
      <c r="AE206" s="1074"/>
      <c r="AF206" s="1074"/>
      <c r="AG206" s="1074"/>
      <c r="AH206" s="1074"/>
      <c r="AI206" s="1074"/>
      <c r="AJ206" s="1074"/>
      <c r="AK206" s="1074"/>
      <c r="AL206" s="1074"/>
      <c r="AM206" s="1074"/>
      <c r="AN206" s="1074"/>
      <c r="AO206" s="1074"/>
      <c r="AP206" s="1074"/>
      <c r="AQ206" s="1074"/>
      <c r="AR206" s="1074"/>
      <c r="AS206" s="1074"/>
      <c r="AT206" s="1074"/>
      <c r="AU206" s="1074"/>
      <c r="AV206" s="1074"/>
      <c r="AW206" s="1074"/>
      <c r="AX206" s="1074"/>
      <c r="AY206" s="1074"/>
      <c r="AZ206" s="1074"/>
      <c r="BA206" s="1074"/>
      <c r="BB206" s="1074"/>
      <c r="BC206" s="1074"/>
      <c r="BD206" s="1074"/>
      <c r="BE206" s="1074"/>
      <c r="BF206" s="1074"/>
      <c r="BG206" s="1074"/>
      <c r="BH206" s="1074"/>
      <c r="BI206" s="1074"/>
      <c r="BJ206" s="1074"/>
      <c r="BK206" s="1074"/>
      <c r="BL206" s="1074"/>
      <c r="BM206" s="1074"/>
      <c r="BN206" s="1074"/>
      <c r="BO206" s="1074"/>
      <c r="BP206" s="1074"/>
      <c r="BQ206" s="1074"/>
      <c r="BR206" s="1074"/>
      <c r="BS206" s="1074"/>
      <c r="BT206" s="1074"/>
      <c r="BU206" s="1074"/>
      <c r="BV206" s="1074"/>
      <c r="BW206" s="1074"/>
      <c r="BX206" s="1074"/>
      <c r="BY206" s="1074"/>
      <c r="BZ206" s="1074"/>
      <c r="CA206" s="1074"/>
      <c r="CB206" s="1074"/>
      <c r="CC206" s="1074"/>
      <c r="CD206" s="1074"/>
      <c r="CE206" s="1074"/>
      <c r="CF206" s="1074"/>
      <c r="CG206" s="1074"/>
      <c r="CH206" s="1074"/>
      <c r="CI206" s="1074"/>
      <c r="CJ206" s="1074"/>
      <c r="CK206" s="1074"/>
      <c r="CL206" s="1074"/>
      <c r="CM206" s="1074"/>
      <c r="CN206" s="1074"/>
      <c r="CO206" s="11"/>
      <c r="CP206" s="11"/>
      <c r="CQ206" s="11"/>
      <c r="CR206" s="11"/>
      <c r="CS206" s="11"/>
      <c r="CT206" s="11"/>
      <c r="CU206" s="11"/>
      <c r="CV206" s="11"/>
      <c r="CW206" s="11"/>
      <c r="CX206" s="11"/>
    </row>
    <row r="207" spans="1:102" s="31" customFormat="1" ht="11.25" customHeight="1" x14ac:dyDescent="0.2">
      <c r="A207" s="84"/>
      <c r="B207" s="1065" t="s">
        <v>510</v>
      </c>
      <c r="C207" s="1049"/>
      <c r="D207" s="1049"/>
      <c r="E207" s="1049"/>
      <c r="F207" s="1049"/>
      <c r="G207" s="1049"/>
      <c r="H207" s="1066"/>
      <c r="I207" s="1049"/>
      <c r="J207" s="1049"/>
      <c r="K207" s="1049"/>
      <c r="L207" s="1049"/>
      <c r="M207" s="1049"/>
      <c r="N207" s="1066"/>
      <c r="O207" s="1049"/>
      <c r="P207" s="1049"/>
      <c r="Q207" s="1049"/>
      <c r="R207" s="1049"/>
      <c r="S207" s="1049"/>
      <c r="T207" s="1066"/>
      <c r="U207" s="1049"/>
      <c r="V207" s="1049"/>
      <c r="W207" s="1049"/>
      <c r="X207" s="1049"/>
      <c r="Y207" s="1049"/>
      <c r="Z207" s="1066"/>
      <c r="AA207" s="1049"/>
      <c r="AB207" s="1049"/>
      <c r="AC207" s="1049"/>
      <c r="AD207" s="1049"/>
      <c r="AE207" s="1049"/>
      <c r="AF207" s="1066"/>
      <c r="AG207" s="1049"/>
      <c r="AH207" s="1049"/>
      <c r="AI207" s="1049"/>
      <c r="AJ207" s="1049"/>
      <c r="AK207" s="1049"/>
      <c r="AL207" s="1066"/>
      <c r="AM207" s="1049"/>
      <c r="AN207" s="1049"/>
      <c r="AO207" s="1049"/>
      <c r="AP207" s="1049"/>
      <c r="AQ207" s="1049"/>
      <c r="AR207" s="1066"/>
      <c r="AS207" s="1049"/>
      <c r="AT207" s="1049"/>
      <c r="AU207" s="1049"/>
      <c r="AV207" s="1049"/>
      <c r="AW207" s="1049"/>
      <c r="AX207" s="1066"/>
      <c r="AY207" s="1049"/>
      <c r="AZ207" s="1049"/>
      <c r="BA207" s="1049"/>
      <c r="BB207" s="1049"/>
      <c r="BC207" s="1049"/>
      <c r="BD207" s="1066"/>
      <c r="BE207" s="1049"/>
      <c r="BF207" s="1049"/>
      <c r="BG207" s="1049"/>
      <c r="BH207" s="1049"/>
      <c r="BI207" s="1049"/>
      <c r="BJ207" s="1066"/>
      <c r="BK207" s="1049"/>
      <c r="BL207" s="1049"/>
      <c r="BM207" s="1049"/>
      <c r="BN207" s="1049"/>
      <c r="BO207" s="1049"/>
      <c r="BP207" s="1066"/>
      <c r="BQ207" s="1049"/>
      <c r="BR207" s="1049"/>
      <c r="BS207" s="1049"/>
      <c r="BT207" s="1049"/>
      <c r="BU207" s="1049"/>
      <c r="BV207" s="1066"/>
      <c r="BW207" s="1049"/>
      <c r="BX207" s="1049"/>
      <c r="BY207" s="1049"/>
      <c r="BZ207" s="1049"/>
      <c r="CA207" s="1049"/>
      <c r="CB207" s="1066"/>
      <c r="CC207" s="1049"/>
      <c r="CD207" s="1049"/>
      <c r="CE207" s="1049"/>
      <c r="CF207" s="1049"/>
      <c r="CG207" s="1049"/>
      <c r="CH207" s="1066"/>
      <c r="CI207" s="1049"/>
      <c r="CJ207" s="1049"/>
      <c r="CK207" s="1049"/>
      <c r="CL207" s="1049"/>
      <c r="CM207" s="1049"/>
      <c r="CN207" s="11"/>
      <c r="CO207" s="11"/>
      <c r="CP207" s="11"/>
      <c r="CQ207" s="11"/>
      <c r="CR207" s="11"/>
      <c r="CS207" s="11"/>
      <c r="CT207" s="11"/>
      <c r="CU207" s="11"/>
      <c r="CV207" s="11"/>
      <c r="CW207" s="11"/>
      <c r="CX207" s="11"/>
    </row>
    <row r="208" spans="1:102" s="31" customFormat="1" ht="11.25" customHeight="1" x14ac:dyDescent="0.2">
      <c r="A208" s="84"/>
      <c r="B208" s="658" t="s">
        <v>478</v>
      </c>
      <c r="C208" s="996">
        <f>G208</f>
        <v>0.90798342480233329</v>
      </c>
      <c r="D208" s="85">
        <f>G208</f>
        <v>0.90798342480233329</v>
      </c>
      <c r="E208" s="85">
        <f>G208</f>
        <v>0.90798342480233329</v>
      </c>
      <c r="F208" s="85">
        <f>G208</f>
        <v>0.90798342480233329</v>
      </c>
      <c r="G208" s="589">
        <f>+G201/G$204</f>
        <v>0.90798342480233329</v>
      </c>
      <c r="H208" s="1075"/>
      <c r="I208" s="996">
        <f>M208</f>
        <v>0.90303958777201931</v>
      </c>
      <c r="J208" s="85">
        <f>M208</f>
        <v>0.90303958777201931</v>
      </c>
      <c r="K208" s="85">
        <f>M208</f>
        <v>0.90303958777201931</v>
      </c>
      <c r="L208" s="85">
        <f>M208</f>
        <v>0.90303958777201931</v>
      </c>
      <c r="M208" s="589">
        <f>+M201/M$204</f>
        <v>0.90303958777201931</v>
      </c>
      <c r="N208" s="1075"/>
      <c r="O208" s="996">
        <f>S208</f>
        <v>0.91194699031454396</v>
      </c>
      <c r="P208" s="85">
        <f>S208</f>
        <v>0.91194699031454396</v>
      </c>
      <c r="Q208" s="85">
        <f>S208</f>
        <v>0.91194699031454396</v>
      </c>
      <c r="R208" s="85">
        <f>S208</f>
        <v>0.91194699031454396</v>
      </c>
      <c r="S208" s="589">
        <f>+S201/S$204</f>
        <v>0.91194699031454396</v>
      </c>
      <c r="T208" s="1075"/>
      <c r="U208" s="996">
        <f>Y208</f>
        <v>0.89683960096077808</v>
      </c>
      <c r="V208" s="85">
        <f>Y208</f>
        <v>0.89683960096077808</v>
      </c>
      <c r="W208" s="85">
        <f>Y208</f>
        <v>0.89683960096077808</v>
      </c>
      <c r="X208" s="85">
        <f>Y208</f>
        <v>0.89683960096077808</v>
      </c>
      <c r="Y208" s="589">
        <f>+Y201/Y$204</f>
        <v>0.89683960096077808</v>
      </c>
      <c r="Z208" s="1075"/>
      <c r="AA208" s="996">
        <f>AE208</f>
        <v>0.8803496824927467</v>
      </c>
      <c r="AB208" s="85">
        <f>AE208</f>
        <v>0.8803496824927467</v>
      </c>
      <c r="AC208" s="85">
        <f>AE208</f>
        <v>0.8803496824927467</v>
      </c>
      <c r="AD208" s="85">
        <f>AE208</f>
        <v>0.8803496824927467</v>
      </c>
      <c r="AE208" s="589">
        <f>+AE201/AE$204</f>
        <v>0.8803496824927467</v>
      </c>
      <c r="AF208" s="1075"/>
      <c r="AG208" s="996">
        <f>AK208</f>
        <v>0.87792551378653105</v>
      </c>
      <c r="AH208" s="85">
        <f>AK208</f>
        <v>0.87792551378653105</v>
      </c>
      <c r="AI208" s="85">
        <f>AK208</f>
        <v>0.87792551378653105</v>
      </c>
      <c r="AJ208" s="85">
        <f>AK208</f>
        <v>0.87792551378653105</v>
      </c>
      <c r="AK208" s="589">
        <f>+AK201/AK$204</f>
        <v>0.87792551378653105</v>
      </c>
      <c r="AL208" s="1075"/>
      <c r="AM208" s="996">
        <f>AQ208</f>
        <v>0.883088200522818</v>
      </c>
      <c r="AN208" s="85">
        <f>AQ208</f>
        <v>0.883088200522818</v>
      </c>
      <c r="AO208" s="85">
        <f>AQ208</f>
        <v>0.883088200522818</v>
      </c>
      <c r="AP208" s="85">
        <f>AQ208</f>
        <v>0.883088200522818</v>
      </c>
      <c r="AQ208" s="589">
        <f>+AQ201/AQ$204</f>
        <v>0.883088200522818</v>
      </c>
      <c r="AR208" s="1075"/>
      <c r="AS208" s="996">
        <f>AW208</f>
        <v>0.80368308309022662</v>
      </c>
      <c r="AT208" s="85">
        <f>AW208</f>
        <v>0.80368308309022662</v>
      </c>
      <c r="AU208" s="85">
        <f>AW208</f>
        <v>0.80368308309022662</v>
      </c>
      <c r="AV208" s="85">
        <f>AW208</f>
        <v>0.80368308309022662</v>
      </c>
      <c r="AW208" s="589">
        <f>+AW201/AW$204</f>
        <v>0.80368308309022662</v>
      </c>
      <c r="AX208" s="1075"/>
      <c r="AY208" s="996">
        <f>BC208</f>
        <v>0.77464729669778931</v>
      </c>
      <c r="AZ208" s="85">
        <f>BC208</f>
        <v>0.77464729669778931</v>
      </c>
      <c r="BA208" s="85">
        <f>BC208</f>
        <v>0.77464729669778931</v>
      </c>
      <c r="BB208" s="85">
        <f>BC208</f>
        <v>0.77464729669778931</v>
      </c>
      <c r="BC208" s="589">
        <f>+BC201/BC$204</f>
        <v>0.77464729669778931</v>
      </c>
      <c r="BD208" s="1075"/>
      <c r="BE208" s="996">
        <f>BI208</f>
        <v>0.82745493857745644</v>
      </c>
      <c r="BF208" s="85">
        <f>BI208</f>
        <v>0.82745493857745644</v>
      </c>
      <c r="BG208" s="85">
        <f>BI208</f>
        <v>0.82745493857745644</v>
      </c>
      <c r="BH208" s="85">
        <f>BI208</f>
        <v>0.82745493857745644</v>
      </c>
      <c r="BI208" s="589">
        <f>+BI201/BI$204</f>
        <v>0.82745493857745644</v>
      </c>
      <c r="BJ208" s="1075"/>
      <c r="BK208" s="996">
        <f>BO208</f>
        <v>0.84484439563056579</v>
      </c>
      <c r="BL208" s="85">
        <f>BO208</f>
        <v>0.84484439563056579</v>
      </c>
      <c r="BM208" s="85">
        <f>BO208</f>
        <v>0.84484439563056579</v>
      </c>
      <c r="BN208" s="85">
        <f>BO208</f>
        <v>0.84484439563056579</v>
      </c>
      <c r="BO208" s="589">
        <f>+BO201/$BO$204</f>
        <v>0.84484439563056579</v>
      </c>
      <c r="BP208" s="1075"/>
      <c r="BQ208" s="996">
        <f>BK208</f>
        <v>0.84484439563056579</v>
      </c>
      <c r="BR208" s="85">
        <f t="shared" ref="BR208:BT210" si="493">BL208</f>
        <v>0.84484439563056579</v>
      </c>
      <c r="BS208" s="85">
        <f t="shared" si="493"/>
        <v>0.84484439563056579</v>
      </c>
      <c r="BT208" s="85">
        <f t="shared" si="493"/>
        <v>0.84484439563056579</v>
      </c>
      <c r="BU208" s="589">
        <f>+BU201/$BU$204</f>
        <v>0.8448443956305659</v>
      </c>
      <c r="BV208" s="1075"/>
      <c r="BW208" s="996">
        <f>BQ208</f>
        <v>0.84484439563056579</v>
      </c>
      <c r="BX208" s="85">
        <f t="shared" ref="BX208:BZ210" si="494">BR208</f>
        <v>0.84484439563056579</v>
      </c>
      <c r="BY208" s="85">
        <f t="shared" si="494"/>
        <v>0.84484439563056579</v>
      </c>
      <c r="BZ208" s="85">
        <f t="shared" si="494"/>
        <v>0.84484439563056579</v>
      </c>
      <c r="CA208" s="589">
        <f>+CA201/$CA$204</f>
        <v>0.8448443956305659</v>
      </c>
      <c r="CB208" s="1075"/>
      <c r="CC208" s="996">
        <f>BW208</f>
        <v>0.84484439563056579</v>
      </c>
      <c r="CD208" s="85">
        <f t="shared" ref="CD208:CF210" si="495">BX208</f>
        <v>0.84484439563056579</v>
      </c>
      <c r="CE208" s="85">
        <f t="shared" si="495"/>
        <v>0.84484439563056579</v>
      </c>
      <c r="CF208" s="85">
        <f t="shared" si="495"/>
        <v>0.84484439563056579</v>
      </c>
      <c r="CG208" s="589">
        <f>+CG201/$CG$204</f>
        <v>0.84484439563056579</v>
      </c>
      <c r="CH208" s="1075"/>
      <c r="CI208" s="996">
        <f>CC208</f>
        <v>0.84484439563056579</v>
      </c>
      <c r="CJ208" s="85">
        <f t="shared" ref="CJ208:CJ210" si="496">CD208</f>
        <v>0.84484439563056579</v>
      </c>
      <c r="CK208" s="85">
        <f t="shared" ref="CK208:CK210" si="497">CE208</f>
        <v>0.84484439563056579</v>
      </c>
      <c r="CL208" s="85">
        <f t="shared" ref="CL208:CL210" si="498">CF208</f>
        <v>0.84484439563056579</v>
      </c>
      <c r="CM208" s="589">
        <f>+CM201/$CG$204</f>
        <v>0.86760900300044275</v>
      </c>
      <c r="CN208" s="1076"/>
      <c r="CO208" s="11"/>
      <c r="CP208" s="11"/>
      <c r="CQ208" s="11"/>
      <c r="CR208" s="11"/>
      <c r="CS208" s="11"/>
      <c r="CT208" s="11"/>
      <c r="CU208" s="11"/>
      <c r="CV208" s="11"/>
      <c r="CW208" s="11"/>
      <c r="CX208" s="11"/>
    </row>
    <row r="209" spans="1:102" s="31" customFormat="1" ht="11.25" customHeight="1" x14ac:dyDescent="0.2">
      <c r="A209" s="84"/>
      <c r="B209" s="658" t="s">
        <v>479</v>
      </c>
      <c r="C209" s="996">
        <f>G209</f>
        <v>2.1702589103661553E-2</v>
      </c>
      <c r="D209" s="85">
        <f>G209</f>
        <v>2.1702589103661553E-2</v>
      </c>
      <c r="E209" s="85">
        <f>G209</f>
        <v>2.1702589103661553E-2</v>
      </c>
      <c r="F209" s="85">
        <f>G209</f>
        <v>2.1702589103661553E-2</v>
      </c>
      <c r="G209" s="589">
        <f>+G202/G$204</f>
        <v>2.1702589103661553E-2</v>
      </c>
      <c r="H209" s="1075"/>
      <c r="I209" s="996">
        <f>M209</f>
        <v>2.6646426133975464E-2</v>
      </c>
      <c r="J209" s="85">
        <f>M209</f>
        <v>2.6646426133975464E-2</v>
      </c>
      <c r="K209" s="85">
        <f>M209</f>
        <v>2.6646426133975464E-2</v>
      </c>
      <c r="L209" s="85">
        <f>M209</f>
        <v>2.6646426133975464E-2</v>
      </c>
      <c r="M209" s="589">
        <f>+M202/M$204</f>
        <v>2.6646426133975464E-2</v>
      </c>
      <c r="N209" s="1075"/>
      <c r="O209" s="996">
        <f>S209</f>
        <v>1.7739023591451072E-2</v>
      </c>
      <c r="P209" s="85">
        <f>S209</f>
        <v>1.7739023591451072E-2</v>
      </c>
      <c r="Q209" s="85">
        <f>S209</f>
        <v>1.7739023591451072E-2</v>
      </c>
      <c r="R209" s="85">
        <f>S209</f>
        <v>1.7739023591451072E-2</v>
      </c>
      <c r="S209" s="589">
        <f>+S202/S$204</f>
        <v>1.7739023591451072E-2</v>
      </c>
      <c r="T209" s="1075"/>
      <c r="U209" s="996">
        <f>Y209</f>
        <v>3.2846412945216771E-2</v>
      </c>
      <c r="V209" s="85">
        <f>Y209</f>
        <v>3.2846412945216771E-2</v>
      </c>
      <c r="W209" s="85">
        <f>Y209</f>
        <v>3.2846412945216771E-2</v>
      </c>
      <c r="X209" s="85">
        <f>Y209</f>
        <v>3.2846412945216771E-2</v>
      </c>
      <c r="Y209" s="589">
        <f>+Y202/Y$204</f>
        <v>3.2846412945216771E-2</v>
      </c>
      <c r="Z209" s="1075"/>
      <c r="AA209" s="996">
        <f>AE209</f>
        <v>4.9336290241831719E-2</v>
      </c>
      <c r="AB209" s="85">
        <f>AE209</f>
        <v>4.9336290241831719E-2</v>
      </c>
      <c r="AC209" s="85">
        <f>AE209</f>
        <v>4.9336290241831719E-2</v>
      </c>
      <c r="AD209" s="85">
        <f>AE209</f>
        <v>4.9336290241831719E-2</v>
      </c>
      <c r="AE209" s="589">
        <f>+AE202/AE$204</f>
        <v>4.9336290241831719E-2</v>
      </c>
      <c r="AF209" s="1075"/>
      <c r="AG209" s="996">
        <f>AK209</f>
        <v>5.176050011946387E-2</v>
      </c>
      <c r="AH209" s="85">
        <f>AK209</f>
        <v>5.176050011946387E-2</v>
      </c>
      <c r="AI209" s="85">
        <f>AK209</f>
        <v>5.176050011946387E-2</v>
      </c>
      <c r="AJ209" s="85">
        <f>AK209</f>
        <v>5.176050011946387E-2</v>
      </c>
      <c r="AK209" s="589">
        <f>+AK202/AK$204</f>
        <v>5.176050011946387E-2</v>
      </c>
      <c r="AL209" s="1075"/>
      <c r="AM209" s="996">
        <f>AQ209</f>
        <v>4.659781338317686E-2</v>
      </c>
      <c r="AN209" s="85">
        <f>AQ209</f>
        <v>4.659781338317686E-2</v>
      </c>
      <c r="AO209" s="85">
        <f>AQ209</f>
        <v>4.659781338317686E-2</v>
      </c>
      <c r="AP209" s="85">
        <f>AQ209</f>
        <v>4.659781338317686E-2</v>
      </c>
      <c r="AQ209" s="589">
        <f>+AQ202/AQ$204</f>
        <v>4.659781338317686E-2</v>
      </c>
      <c r="AR209" s="1075"/>
      <c r="AS209" s="996">
        <f>AW209</f>
        <v>0.12600293081576833</v>
      </c>
      <c r="AT209" s="85">
        <f>AW209</f>
        <v>0.12600293081576833</v>
      </c>
      <c r="AU209" s="85">
        <f>AW209</f>
        <v>0.12600293081576833</v>
      </c>
      <c r="AV209" s="85">
        <f>AW209</f>
        <v>0.12600293081576833</v>
      </c>
      <c r="AW209" s="589">
        <f>+AW202/AW$204</f>
        <v>0.12600293081576833</v>
      </c>
      <c r="AX209" s="1075"/>
      <c r="AY209" s="996">
        <f>BC209</f>
        <v>0.16608627503122711</v>
      </c>
      <c r="AZ209" s="85">
        <f>BC209</f>
        <v>0.16608627503122711</v>
      </c>
      <c r="BA209" s="85">
        <f>BC209</f>
        <v>0.16608627503122711</v>
      </c>
      <c r="BB209" s="85">
        <f>BC209</f>
        <v>0.16608627503122711</v>
      </c>
      <c r="BC209" s="589">
        <f>+BC202/BC$204</f>
        <v>0.16608627503122711</v>
      </c>
      <c r="BD209" s="1075"/>
      <c r="BE209" s="996">
        <f>BI209</f>
        <v>0.1163240297450964</v>
      </c>
      <c r="BF209" s="85">
        <f>BI209</f>
        <v>0.1163240297450964</v>
      </c>
      <c r="BG209" s="85">
        <f>BI209</f>
        <v>0.1163240297450964</v>
      </c>
      <c r="BH209" s="85">
        <f>BI209</f>
        <v>0.1163240297450964</v>
      </c>
      <c r="BI209" s="589">
        <f>+BI202/BI$204</f>
        <v>0.1163240297450964</v>
      </c>
      <c r="BJ209" s="1075"/>
      <c r="BK209" s="996">
        <f>BO209</f>
        <v>9.7971671303011695E-2</v>
      </c>
      <c r="BL209" s="85">
        <f>BO209</f>
        <v>9.7971671303011695E-2</v>
      </c>
      <c r="BM209" s="85">
        <f>BO209</f>
        <v>9.7971671303011695E-2</v>
      </c>
      <c r="BN209" s="85">
        <f>BO209</f>
        <v>9.7971671303011695E-2</v>
      </c>
      <c r="BO209" s="589">
        <f>+BO202/$BO$204</f>
        <v>9.7971671303011695E-2</v>
      </c>
      <c r="BP209" s="1075"/>
      <c r="BQ209" s="996">
        <f>BK209</f>
        <v>9.7971671303011695E-2</v>
      </c>
      <c r="BR209" s="85">
        <f t="shared" si="493"/>
        <v>9.7971671303011695E-2</v>
      </c>
      <c r="BS209" s="85">
        <f t="shared" si="493"/>
        <v>9.7971671303011695E-2</v>
      </c>
      <c r="BT209" s="85">
        <f t="shared" si="493"/>
        <v>9.7971671303011695E-2</v>
      </c>
      <c r="BU209" s="589">
        <f>+BU202/$BU$204</f>
        <v>9.7971671303011709E-2</v>
      </c>
      <c r="BV209" s="1075"/>
      <c r="BW209" s="996">
        <f>BQ209</f>
        <v>9.7971671303011695E-2</v>
      </c>
      <c r="BX209" s="85">
        <f t="shared" si="494"/>
        <v>9.7971671303011695E-2</v>
      </c>
      <c r="BY209" s="85">
        <f t="shared" si="494"/>
        <v>9.7971671303011695E-2</v>
      </c>
      <c r="BZ209" s="85">
        <f t="shared" si="494"/>
        <v>9.7971671303011695E-2</v>
      </c>
      <c r="CA209" s="589">
        <f>+CA202/$CA$204</f>
        <v>9.7971671303011709E-2</v>
      </c>
      <c r="CB209" s="1075"/>
      <c r="CC209" s="996">
        <f>BW209</f>
        <v>9.7971671303011695E-2</v>
      </c>
      <c r="CD209" s="85">
        <f t="shared" si="495"/>
        <v>9.7971671303011695E-2</v>
      </c>
      <c r="CE209" s="85">
        <f t="shared" si="495"/>
        <v>9.7971671303011695E-2</v>
      </c>
      <c r="CF209" s="85">
        <f t="shared" si="495"/>
        <v>9.7971671303011695E-2</v>
      </c>
      <c r="CG209" s="589">
        <f>+CG202/$CG$204</f>
        <v>9.7971671303011709E-2</v>
      </c>
      <c r="CH209" s="1075"/>
      <c r="CI209" s="996">
        <f>CC209</f>
        <v>9.7971671303011695E-2</v>
      </c>
      <c r="CJ209" s="85">
        <f t="shared" si="496"/>
        <v>9.7971671303011695E-2</v>
      </c>
      <c r="CK209" s="85">
        <f t="shared" si="497"/>
        <v>9.7971671303011695E-2</v>
      </c>
      <c r="CL209" s="85">
        <f t="shared" si="498"/>
        <v>9.7971671303011695E-2</v>
      </c>
      <c r="CM209" s="589">
        <f>+CM202/$CG$204</f>
        <v>0.1006115498914458</v>
      </c>
      <c r="CN209" s="1076"/>
      <c r="CO209" s="11"/>
      <c r="CP209" s="11"/>
      <c r="CQ209" s="11"/>
      <c r="CR209" s="11"/>
      <c r="CS209" s="11"/>
      <c r="CT209" s="11"/>
      <c r="CU209" s="11"/>
      <c r="CV209" s="11"/>
      <c r="CW209" s="11"/>
      <c r="CX209" s="11"/>
    </row>
    <row r="210" spans="1:102" s="31" customFormat="1" ht="11.25" customHeight="1" x14ac:dyDescent="0.2">
      <c r="A210" s="84"/>
      <c r="B210" s="658" t="s">
        <v>480</v>
      </c>
      <c r="C210" s="996">
        <f>G210</f>
        <v>7.0313986094005118E-2</v>
      </c>
      <c r="D210" s="85">
        <f>G210</f>
        <v>7.0313986094005118E-2</v>
      </c>
      <c r="E210" s="85">
        <f>G210</f>
        <v>7.0313986094005118E-2</v>
      </c>
      <c r="F210" s="85">
        <f>G210</f>
        <v>7.0313986094005118E-2</v>
      </c>
      <c r="G210" s="589">
        <f>M210</f>
        <v>7.0313986094005118E-2</v>
      </c>
      <c r="H210" s="1075"/>
      <c r="I210" s="996">
        <f>M210</f>
        <v>7.0313986094005118E-2</v>
      </c>
      <c r="J210" s="85">
        <f>M210</f>
        <v>7.0313986094005118E-2</v>
      </c>
      <c r="K210" s="85">
        <f>M210</f>
        <v>7.0313986094005118E-2</v>
      </c>
      <c r="L210" s="85">
        <f>M210</f>
        <v>7.0313986094005118E-2</v>
      </c>
      <c r="M210" s="589">
        <f>S210</f>
        <v>7.0313986094005118E-2</v>
      </c>
      <c r="N210" s="1075"/>
      <c r="O210" s="996">
        <f>S210</f>
        <v>7.0313986094005118E-2</v>
      </c>
      <c r="P210" s="85">
        <f>S210</f>
        <v>7.0313986094005118E-2</v>
      </c>
      <c r="Q210" s="85">
        <f>S210</f>
        <v>7.0313986094005118E-2</v>
      </c>
      <c r="R210" s="85">
        <f>S210</f>
        <v>7.0313986094005118E-2</v>
      </c>
      <c r="S210" s="589">
        <f>Y210</f>
        <v>7.0313986094005118E-2</v>
      </c>
      <c r="T210" s="1075"/>
      <c r="U210" s="996">
        <f>Y210</f>
        <v>7.0313986094005118E-2</v>
      </c>
      <c r="V210" s="85">
        <f>Y210</f>
        <v>7.0313986094005118E-2</v>
      </c>
      <c r="W210" s="85">
        <f>Y210</f>
        <v>7.0313986094005118E-2</v>
      </c>
      <c r="X210" s="85">
        <f>Y210</f>
        <v>7.0313986094005118E-2</v>
      </c>
      <c r="Y210" s="589">
        <f>AE210</f>
        <v>7.0313986094005118E-2</v>
      </c>
      <c r="Z210" s="1075"/>
      <c r="AA210" s="996">
        <f>AE210</f>
        <v>7.0313986094005118E-2</v>
      </c>
      <c r="AB210" s="85">
        <f>AE210</f>
        <v>7.0313986094005118E-2</v>
      </c>
      <c r="AC210" s="85">
        <f>AE210</f>
        <v>7.0313986094005118E-2</v>
      </c>
      <c r="AD210" s="85">
        <f>AE210</f>
        <v>7.0313986094005118E-2</v>
      </c>
      <c r="AE210" s="589">
        <f>AK210</f>
        <v>7.0313986094005118E-2</v>
      </c>
      <c r="AF210" s="1075"/>
      <c r="AG210" s="996">
        <f>AK210</f>
        <v>7.0313986094005118E-2</v>
      </c>
      <c r="AH210" s="85">
        <f>AK210</f>
        <v>7.0313986094005118E-2</v>
      </c>
      <c r="AI210" s="85">
        <f>AK210</f>
        <v>7.0313986094005118E-2</v>
      </c>
      <c r="AJ210" s="85">
        <f>AK210</f>
        <v>7.0313986094005118E-2</v>
      </c>
      <c r="AK210" s="589">
        <f>AQ210</f>
        <v>7.0313986094005118E-2</v>
      </c>
      <c r="AL210" s="1075"/>
      <c r="AM210" s="996">
        <f>AQ210</f>
        <v>7.0313986094005118E-2</v>
      </c>
      <c r="AN210" s="85">
        <f>AQ210</f>
        <v>7.0313986094005118E-2</v>
      </c>
      <c r="AO210" s="85">
        <f>AQ210</f>
        <v>7.0313986094005118E-2</v>
      </c>
      <c r="AP210" s="85">
        <f>AQ210</f>
        <v>7.0313986094005118E-2</v>
      </c>
      <c r="AQ210" s="589">
        <f>AW210</f>
        <v>7.0313986094005118E-2</v>
      </c>
      <c r="AR210" s="1075"/>
      <c r="AS210" s="996">
        <f>AW210</f>
        <v>7.0313986094005118E-2</v>
      </c>
      <c r="AT210" s="85">
        <f>AW210</f>
        <v>7.0313986094005118E-2</v>
      </c>
      <c r="AU210" s="85">
        <f>AW210</f>
        <v>7.0313986094005118E-2</v>
      </c>
      <c r="AV210" s="85">
        <f>AW210</f>
        <v>7.0313986094005118E-2</v>
      </c>
      <c r="AW210" s="589">
        <f>+AW203/AW$204</f>
        <v>7.0313986094005118E-2</v>
      </c>
      <c r="AX210" s="1075"/>
      <c r="AY210" s="996">
        <f>BC210</f>
        <v>5.9266428270983523E-2</v>
      </c>
      <c r="AZ210" s="85">
        <f>BC210</f>
        <v>5.9266428270983523E-2</v>
      </c>
      <c r="BA210" s="85">
        <f>BC210</f>
        <v>5.9266428270983523E-2</v>
      </c>
      <c r="BB210" s="85">
        <f>BC210</f>
        <v>5.9266428270983523E-2</v>
      </c>
      <c r="BC210" s="589">
        <f>+BC203/BC$204</f>
        <v>5.9266428270983523E-2</v>
      </c>
      <c r="BD210" s="1075"/>
      <c r="BE210" s="996">
        <f>BI210</f>
        <v>5.6221031677447228E-2</v>
      </c>
      <c r="BF210" s="85">
        <f>BI210</f>
        <v>5.6221031677447228E-2</v>
      </c>
      <c r="BG210" s="85">
        <f>BI210</f>
        <v>5.6221031677447228E-2</v>
      </c>
      <c r="BH210" s="85">
        <f>BI210</f>
        <v>5.6221031677447228E-2</v>
      </c>
      <c r="BI210" s="589">
        <f>+BI203/BI$204</f>
        <v>5.6221031677447228E-2</v>
      </c>
      <c r="BJ210" s="1075"/>
      <c r="BK210" s="996">
        <f>BO210</f>
        <v>5.7183933066422409E-2</v>
      </c>
      <c r="BL210" s="85">
        <f>BO210</f>
        <v>5.7183933066422409E-2</v>
      </c>
      <c r="BM210" s="85">
        <f>BO210</f>
        <v>5.7183933066422409E-2</v>
      </c>
      <c r="BN210" s="85">
        <f>BO210</f>
        <v>5.7183933066422409E-2</v>
      </c>
      <c r="BO210" s="589">
        <f>+BO203/$BO$204</f>
        <v>5.7183933066422409E-2</v>
      </c>
      <c r="BP210" s="1075"/>
      <c r="BQ210" s="996">
        <f>BK210</f>
        <v>5.7183933066422409E-2</v>
      </c>
      <c r="BR210" s="85">
        <f t="shared" si="493"/>
        <v>5.7183933066422409E-2</v>
      </c>
      <c r="BS210" s="85">
        <f t="shared" si="493"/>
        <v>5.7183933066422409E-2</v>
      </c>
      <c r="BT210" s="85">
        <f t="shared" si="493"/>
        <v>5.7183933066422409E-2</v>
      </c>
      <c r="BU210" s="589">
        <f>+BU203/$BU$204</f>
        <v>5.7183933066422409E-2</v>
      </c>
      <c r="BV210" s="1075"/>
      <c r="BW210" s="996">
        <f>BQ210</f>
        <v>5.7183933066422409E-2</v>
      </c>
      <c r="BX210" s="85">
        <f t="shared" si="494"/>
        <v>5.7183933066422409E-2</v>
      </c>
      <c r="BY210" s="85">
        <f t="shared" si="494"/>
        <v>5.7183933066422409E-2</v>
      </c>
      <c r="BZ210" s="85">
        <f t="shared" si="494"/>
        <v>5.7183933066422409E-2</v>
      </c>
      <c r="CA210" s="589">
        <f>+CA203/$CA$204</f>
        <v>5.7183933066422409E-2</v>
      </c>
      <c r="CB210" s="1075"/>
      <c r="CC210" s="996">
        <f>BW210</f>
        <v>5.7183933066422409E-2</v>
      </c>
      <c r="CD210" s="85">
        <f t="shared" si="495"/>
        <v>5.7183933066422409E-2</v>
      </c>
      <c r="CE210" s="85">
        <f t="shared" si="495"/>
        <v>5.7183933066422409E-2</v>
      </c>
      <c r="CF210" s="85">
        <f t="shared" si="495"/>
        <v>5.7183933066422409E-2</v>
      </c>
      <c r="CG210" s="589">
        <f>+CG203/$CG$204</f>
        <v>5.7183933066422409E-2</v>
      </c>
      <c r="CH210" s="1075"/>
      <c r="CI210" s="996">
        <f>CC210</f>
        <v>5.7183933066422409E-2</v>
      </c>
      <c r="CJ210" s="85">
        <f t="shared" si="496"/>
        <v>5.7183933066422409E-2</v>
      </c>
      <c r="CK210" s="85">
        <f t="shared" si="497"/>
        <v>5.7183933066422409E-2</v>
      </c>
      <c r="CL210" s="85">
        <f t="shared" si="498"/>
        <v>5.7183933066422409E-2</v>
      </c>
      <c r="CM210" s="589">
        <f>+CM203/$CG$204</f>
        <v>5.8724772765253369E-2</v>
      </c>
      <c r="CN210" s="993"/>
      <c r="CO210" s="11"/>
      <c r="CP210" s="11"/>
      <c r="CQ210" s="11"/>
      <c r="CR210" s="11"/>
      <c r="CS210" s="11"/>
      <c r="CT210" s="11"/>
      <c r="CU210" s="11"/>
      <c r="CV210" s="11"/>
      <c r="CW210" s="11"/>
      <c r="CX210" s="11"/>
    </row>
    <row r="211" spans="1:102" s="31" customFormat="1" ht="11.25" customHeight="1" x14ac:dyDescent="0.2">
      <c r="A211" s="84"/>
      <c r="B211" s="1068" t="s">
        <v>369</v>
      </c>
      <c r="C211" s="629">
        <f>SUM(C208:C210)</f>
        <v>0.99999999999999989</v>
      </c>
      <c r="D211" s="630">
        <f t="shared" ref="D211:BO211" si="499">SUM(D208:D210)</f>
        <v>0.99999999999999989</v>
      </c>
      <c r="E211" s="630">
        <f t="shared" si="499"/>
        <v>0.99999999999999989</v>
      </c>
      <c r="F211" s="630">
        <f t="shared" si="499"/>
        <v>0.99999999999999989</v>
      </c>
      <c r="G211" s="631">
        <f t="shared" si="499"/>
        <v>0.99999999999999989</v>
      </c>
      <c r="H211" s="630"/>
      <c r="I211" s="629">
        <f t="shared" si="499"/>
        <v>0.99999999999999989</v>
      </c>
      <c r="J211" s="630">
        <f t="shared" si="499"/>
        <v>0.99999999999999989</v>
      </c>
      <c r="K211" s="630">
        <f t="shared" si="499"/>
        <v>0.99999999999999989</v>
      </c>
      <c r="L211" s="630">
        <f t="shared" si="499"/>
        <v>0.99999999999999989</v>
      </c>
      <c r="M211" s="631">
        <f t="shared" si="499"/>
        <v>0.99999999999999989</v>
      </c>
      <c r="N211" s="630"/>
      <c r="O211" s="629">
        <f t="shared" si="499"/>
        <v>1.0000000000000002</v>
      </c>
      <c r="P211" s="630">
        <f t="shared" si="499"/>
        <v>1.0000000000000002</v>
      </c>
      <c r="Q211" s="630">
        <f t="shared" si="499"/>
        <v>1.0000000000000002</v>
      </c>
      <c r="R211" s="630">
        <f t="shared" si="499"/>
        <v>1.0000000000000002</v>
      </c>
      <c r="S211" s="631">
        <f t="shared" si="499"/>
        <v>1.0000000000000002</v>
      </c>
      <c r="T211" s="630"/>
      <c r="U211" s="629">
        <f t="shared" si="499"/>
        <v>0.99999999999999989</v>
      </c>
      <c r="V211" s="630">
        <f t="shared" si="499"/>
        <v>0.99999999999999989</v>
      </c>
      <c r="W211" s="630">
        <f t="shared" si="499"/>
        <v>0.99999999999999989</v>
      </c>
      <c r="X211" s="630">
        <f t="shared" si="499"/>
        <v>0.99999999999999989</v>
      </c>
      <c r="Y211" s="631">
        <f t="shared" si="499"/>
        <v>0.99999999999999989</v>
      </c>
      <c r="Z211" s="630"/>
      <c r="AA211" s="629">
        <f t="shared" si="499"/>
        <v>0.9999999588285835</v>
      </c>
      <c r="AB211" s="630">
        <f t="shared" si="499"/>
        <v>0.9999999588285835</v>
      </c>
      <c r="AC211" s="630">
        <f t="shared" si="499"/>
        <v>0.9999999588285835</v>
      </c>
      <c r="AD211" s="630">
        <f t="shared" si="499"/>
        <v>0.9999999588285835</v>
      </c>
      <c r="AE211" s="631">
        <f t="shared" si="499"/>
        <v>0.9999999588285835</v>
      </c>
      <c r="AF211" s="630"/>
      <c r="AG211" s="629">
        <f t="shared" si="499"/>
        <v>1</v>
      </c>
      <c r="AH211" s="630">
        <f t="shared" si="499"/>
        <v>1</v>
      </c>
      <c r="AI211" s="630">
        <f t="shared" si="499"/>
        <v>1</v>
      </c>
      <c r="AJ211" s="630">
        <f t="shared" si="499"/>
        <v>1</v>
      </c>
      <c r="AK211" s="631">
        <f t="shared" si="499"/>
        <v>1</v>
      </c>
      <c r="AL211" s="630"/>
      <c r="AM211" s="629">
        <f t="shared" si="499"/>
        <v>0.99999999999999989</v>
      </c>
      <c r="AN211" s="630">
        <f t="shared" si="499"/>
        <v>0.99999999999999989</v>
      </c>
      <c r="AO211" s="630">
        <f t="shared" si="499"/>
        <v>0.99999999999999989</v>
      </c>
      <c r="AP211" s="630">
        <f t="shared" si="499"/>
        <v>0.99999999999999989</v>
      </c>
      <c r="AQ211" s="631">
        <f t="shared" si="499"/>
        <v>0.99999999999999989</v>
      </c>
      <c r="AR211" s="630"/>
      <c r="AS211" s="629">
        <f t="shared" si="499"/>
        <v>1</v>
      </c>
      <c r="AT211" s="630">
        <f t="shared" si="499"/>
        <v>1</v>
      </c>
      <c r="AU211" s="630">
        <f t="shared" si="499"/>
        <v>1</v>
      </c>
      <c r="AV211" s="630">
        <f t="shared" si="499"/>
        <v>1</v>
      </c>
      <c r="AW211" s="631">
        <f t="shared" si="499"/>
        <v>1</v>
      </c>
      <c r="AX211" s="630"/>
      <c r="AY211" s="629">
        <f t="shared" si="499"/>
        <v>0.99999999999999989</v>
      </c>
      <c r="AZ211" s="630">
        <f t="shared" si="499"/>
        <v>0.99999999999999989</v>
      </c>
      <c r="BA211" s="630">
        <f t="shared" si="499"/>
        <v>0.99999999999999989</v>
      </c>
      <c r="BB211" s="630">
        <f t="shared" si="499"/>
        <v>0.99999999999999989</v>
      </c>
      <c r="BC211" s="631">
        <f t="shared" si="499"/>
        <v>0.99999999999999989</v>
      </c>
      <c r="BD211" s="630"/>
      <c r="BE211" s="629">
        <f t="shared" si="499"/>
        <v>1</v>
      </c>
      <c r="BF211" s="630">
        <f t="shared" si="499"/>
        <v>1</v>
      </c>
      <c r="BG211" s="630">
        <f t="shared" si="499"/>
        <v>1</v>
      </c>
      <c r="BH211" s="630">
        <f t="shared" si="499"/>
        <v>1</v>
      </c>
      <c r="BI211" s="631">
        <f t="shared" si="499"/>
        <v>1</v>
      </c>
      <c r="BJ211" s="630">
        <f t="shared" si="499"/>
        <v>0</v>
      </c>
      <c r="BK211" s="629">
        <f t="shared" si="499"/>
        <v>0.99999999999999989</v>
      </c>
      <c r="BL211" s="630">
        <f t="shared" si="499"/>
        <v>0.99999999999999989</v>
      </c>
      <c r="BM211" s="630">
        <f t="shared" si="499"/>
        <v>0.99999999999999989</v>
      </c>
      <c r="BN211" s="630">
        <f t="shared" si="499"/>
        <v>0.99999999999999989</v>
      </c>
      <c r="BO211" s="631">
        <f t="shared" si="499"/>
        <v>0.99999999999999989</v>
      </c>
      <c r="BP211" s="630"/>
      <c r="BQ211" s="629">
        <f t="shared" ref="BQ211:CG211" si="500">SUM(BQ208:BQ210)</f>
        <v>0.99999999999999989</v>
      </c>
      <c r="BR211" s="630">
        <f t="shared" si="500"/>
        <v>0.99999999999999989</v>
      </c>
      <c r="BS211" s="630">
        <f t="shared" si="500"/>
        <v>0.99999999999999989</v>
      </c>
      <c r="BT211" s="630">
        <f t="shared" si="500"/>
        <v>0.99999999999999989</v>
      </c>
      <c r="BU211" s="631">
        <f t="shared" si="500"/>
        <v>1</v>
      </c>
      <c r="BV211" s="630"/>
      <c r="BW211" s="629">
        <f t="shared" si="500"/>
        <v>0.99999999999999989</v>
      </c>
      <c r="BX211" s="630">
        <f t="shared" si="500"/>
        <v>0.99999999999999989</v>
      </c>
      <c r="BY211" s="630">
        <f t="shared" si="500"/>
        <v>0.99999999999999989</v>
      </c>
      <c r="BZ211" s="630">
        <f t="shared" si="500"/>
        <v>0.99999999999999989</v>
      </c>
      <c r="CA211" s="631">
        <f t="shared" si="500"/>
        <v>1</v>
      </c>
      <c r="CB211" s="630"/>
      <c r="CC211" s="629">
        <f t="shared" si="500"/>
        <v>0.99999999999999989</v>
      </c>
      <c r="CD211" s="630">
        <f t="shared" si="500"/>
        <v>0.99999999999999989</v>
      </c>
      <c r="CE211" s="630">
        <f t="shared" si="500"/>
        <v>0.99999999999999989</v>
      </c>
      <c r="CF211" s="630">
        <f t="shared" si="500"/>
        <v>0.99999999999999989</v>
      </c>
      <c r="CG211" s="631">
        <f t="shared" si="500"/>
        <v>0.99999999999999989</v>
      </c>
      <c r="CH211" s="630"/>
      <c r="CI211" s="629">
        <f t="shared" ref="CI211:CM211" si="501">SUM(CI208:CI210)</f>
        <v>0.99999999999999989</v>
      </c>
      <c r="CJ211" s="630">
        <f t="shared" si="501"/>
        <v>0.99999999999999989</v>
      </c>
      <c r="CK211" s="630">
        <f t="shared" si="501"/>
        <v>0.99999999999999989</v>
      </c>
      <c r="CL211" s="630">
        <f t="shared" si="501"/>
        <v>0.99999999999999989</v>
      </c>
      <c r="CM211" s="631">
        <f t="shared" si="501"/>
        <v>1.0269453256571419</v>
      </c>
      <c r="CN211" s="1076"/>
      <c r="CO211" s="11"/>
      <c r="CP211" s="11"/>
      <c r="CQ211" s="11"/>
      <c r="CR211" s="11"/>
      <c r="CS211" s="11"/>
      <c r="CT211" s="11"/>
      <c r="CU211" s="11"/>
      <c r="CV211" s="11"/>
      <c r="CW211" s="11"/>
      <c r="CX211" s="11"/>
    </row>
    <row r="212" spans="1:102" s="9" customFormat="1" ht="11.25" customHeight="1" x14ac:dyDescent="0.2">
      <c r="A212" s="12"/>
      <c r="B212" s="128"/>
      <c r="C212" s="93"/>
      <c r="D212" s="93"/>
      <c r="E212" s="93"/>
      <c r="F212" s="93"/>
      <c r="G212" s="93"/>
      <c r="H212" s="1077"/>
      <c r="I212" s="93"/>
      <c r="J212" s="93"/>
      <c r="K212" s="93"/>
      <c r="L212" s="93"/>
      <c r="M212" s="93"/>
      <c r="N212" s="1077"/>
      <c r="O212" s="1078"/>
      <c r="P212" s="93"/>
      <c r="Q212" s="93"/>
      <c r="R212" s="93"/>
      <c r="S212" s="93"/>
      <c r="T212" s="1077"/>
      <c r="U212" s="1078"/>
      <c r="V212" s="93"/>
      <c r="W212" s="93"/>
      <c r="X212" s="93"/>
      <c r="Y212" s="93"/>
      <c r="Z212" s="1077"/>
      <c r="AA212" s="93"/>
      <c r="AB212" s="93"/>
      <c r="AC212" s="93"/>
      <c r="AD212" s="93"/>
      <c r="AE212" s="93"/>
      <c r="AF212" s="1077"/>
      <c r="AG212" s="1078"/>
      <c r="AH212" s="93"/>
      <c r="AI212" s="93"/>
      <c r="AJ212" s="93"/>
      <c r="AK212" s="93"/>
      <c r="AL212" s="1077"/>
      <c r="AM212" s="93"/>
      <c r="AN212" s="93"/>
      <c r="AO212" s="93"/>
      <c r="AP212" s="93"/>
      <c r="AQ212" s="93"/>
      <c r="AR212" s="1077"/>
      <c r="AS212" s="93"/>
      <c r="AT212" s="93"/>
      <c r="AU212" s="93"/>
      <c r="AV212" s="93"/>
      <c r="AW212" s="93"/>
      <c r="AX212" s="1077"/>
      <c r="AY212" s="93"/>
      <c r="AZ212" s="93"/>
      <c r="BA212" s="93"/>
      <c r="BB212" s="93"/>
      <c r="BC212" s="93"/>
      <c r="BD212" s="1077"/>
      <c r="BE212" s="93"/>
      <c r="BF212" s="93"/>
      <c r="BG212" s="93"/>
      <c r="BH212" s="93"/>
      <c r="BI212" s="93"/>
      <c r="BJ212" s="1077"/>
      <c r="BK212" s="93"/>
      <c r="BL212" s="93"/>
      <c r="BM212" s="93"/>
      <c r="BN212" s="93"/>
      <c r="BO212" s="93"/>
      <c r="BP212" s="1077"/>
      <c r="BQ212" s="93"/>
      <c r="BR212" s="93"/>
      <c r="BS212" s="93"/>
      <c r="BT212" s="93"/>
      <c r="BU212" s="93"/>
      <c r="BV212" s="1077"/>
      <c r="BW212" s="93"/>
      <c r="BX212" s="93"/>
      <c r="BY212" s="93"/>
      <c r="BZ212" s="93"/>
      <c r="CA212" s="93"/>
      <c r="CB212" s="1077"/>
      <c r="CC212" s="93"/>
      <c r="CD212" s="93"/>
      <c r="CE212" s="93"/>
      <c r="CF212" s="93"/>
      <c r="CG212" s="93"/>
      <c r="CH212" s="1077"/>
      <c r="CI212" s="93"/>
      <c r="CJ212" s="93"/>
      <c r="CK212" s="93"/>
      <c r="CL212" s="93"/>
      <c r="CM212" s="93"/>
      <c r="CN212" s="1076"/>
      <c r="CO212" s="11"/>
      <c r="CP212" s="11"/>
      <c r="CQ212" s="11"/>
      <c r="CR212" s="11"/>
      <c r="CS212" s="11"/>
      <c r="CT212" s="11"/>
      <c r="CU212" s="11"/>
      <c r="CV212" s="11"/>
      <c r="CW212" s="11"/>
      <c r="CX212" s="11"/>
    </row>
    <row r="213" spans="1:102" ht="11.25" customHeight="1" x14ac:dyDescent="0.2">
      <c r="A213" s="100"/>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c r="BC213" s="11"/>
      <c r="BD213" s="11"/>
      <c r="BE213" s="11"/>
      <c r="BF213" s="11"/>
      <c r="BG213" s="11"/>
      <c r="BH213" s="11"/>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1"/>
      <c r="CM213" s="11"/>
    </row>
    <row r="214" spans="1:102" s="31" customFormat="1" ht="11.25" customHeight="1" x14ac:dyDescent="0.2">
      <c r="A214" s="84"/>
      <c r="B214" s="1065" t="s">
        <v>562</v>
      </c>
      <c r="C214" s="1049"/>
      <c r="D214" s="1049"/>
      <c r="E214" s="1049"/>
      <c r="F214" s="1049"/>
      <c r="G214" s="1049"/>
      <c r="H214" s="1066"/>
      <c r="I214" s="1049"/>
      <c r="J214" s="1049"/>
      <c r="K214" s="1049"/>
      <c r="L214" s="1049"/>
      <c r="M214" s="1049"/>
      <c r="N214" s="1066"/>
      <c r="O214" s="1049"/>
      <c r="P214" s="1049"/>
      <c r="Q214" s="1049"/>
      <c r="R214" s="1049"/>
      <c r="S214" s="1049"/>
      <c r="T214" s="1066"/>
      <c r="U214" s="1049"/>
      <c r="V214" s="1049"/>
      <c r="W214" s="1049"/>
      <c r="X214" s="1049"/>
      <c r="Y214" s="1049"/>
      <c r="Z214" s="1066"/>
      <c r="AA214" s="1049"/>
      <c r="AB214" s="1049"/>
      <c r="AC214" s="1049"/>
      <c r="AD214" s="1049"/>
      <c r="AE214" s="1049"/>
      <c r="AF214" s="1066"/>
      <c r="AG214" s="1049"/>
      <c r="AH214" s="1049"/>
      <c r="AI214" s="1049"/>
      <c r="AJ214" s="1049"/>
      <c r="AK214" s="1049"/>
      <c r="AL214" s="1066"/>
      <c r="AM214" s="1049"/>
      <c r="AN214" s="1049"/>
      <c r="AO214" s="1049"/>
      <c r="AP214" s="1049"/>
      <c r="AQ214" s="1049"/>
      <c r="AR214" s="1066"/>
      <c r="AS214" s="1049"/>
      <c r="AT214" s="1049"/>
      <c r="AU214" s="1049"/>
      <c r="AV214" s="1049"/>
      <c r="AW214" s="1049"/>
      <c r="AX214" s="1066"/>
      <c r="AY214" s="1049"/>
      <c r="AZ214" s="1049"/>
      <c r="BA214" s="1049"/>
      <c r="BB214" s="1049"/>
      <c r="BC214" s="1049"/>
      <c r="BD214" s="1066"/>
      <c r="BE214" s="1049"/>
      <c r="BF214" s="1049"/>
      <c r="BG214" s="1049"/>
      <c r="BH214" s="1049"/>
      <c r="BI214" s="1049"/>
      <c r="BJ214" s="1066"/>
      <c r="BK214" s="1049"/>
      <c r="BL214" s="1049"/>
      <c r="BM214" s="1049"/>
      <c r="BN214" s="1049"/>
      <c r="BO214" s="1049"/>
      <c r="BP214" s="1066"/>
      <c r="BQ214" s="1049"/>
      <c r="BR214" s="1049"/>
      <c r="BS214" s="1049"/>
      <c r="BT214" s="1049"/>
      <c r="BU214" s="1049"/>
      <c r="BV214" s="1066"/>
      <c r="BW214" s="1049"/>
      <c r="BX214" s="1049"/>
      <c r="BY214" s="1049"/>
      <c r="BZ214" s="1049"/>
      <c r="CA214" s="1049"/>
      <c r="CB214" s="1066"/>
      <c r="CC214" s="1049"/>
      <c r="CD214" s="1049"/>
      <c r="CE214" s="1049"/>
      <c r="CF214" s="1049"/>
      <c r="CG214" s="1049"/>
      <c r="CH214" s="1066"/>
      <c r="CI214" s="1049"/>
      <c r="CJ214" s="1049"/>
      <c r="CK214" s="1049"/>
      <c r="CL214" s="1049"/>
      <c r="CM214" s="1049"/>
      <c r="CN214" s="11"/>
      <c r="CO214" s="11"/>
      <c r="CP214" s="11"/>
      <c r="CQ214" s="11"/>
      <c r="CR214" s="11"/>
      <c r="CS214" s="11"/>
      <c r="CT214" s="11"/>
      <c r="CU214" s="11"/>
      <c r="CV214" s="11"/>
      <c r="CW214" s="11"/>
      <c r="CX214" s="11"/>
    </row>
    <row r="215" spans="1:102" s="9" customFormat="1" ht="11.25" customHeight="1" x14ac:dyDescent="0.2">
      <c r="A215" s="12"/>
      <c r="B215" s="614" t="s">
        <v>520</v>
      </c>
      <c r="C215" s="772"/>
      <c r="D215" s="773"/>
      <c r="E215" s="773"/>
      <c r="F215" s="773"/>
      <c r="G215" s="774"/>
      <c r="H215" s="585"/>
      <c r="I215" s="772"/>
      <c r="J215" s="773"/>
      <c r="K215" s="773"/>
      <c r="L215" s="773"/>
      <c r="M215" s="774"/>
      <c r="N215" s="585"/>
      <c r="O215" s="772"/>
      <c r="P215" s="773"/>
      <c r="Q215" s="773"/>
      <c r="R215" s="773"/>
      <c r="S215" s="774"/>
      <c r="T215" s="585"/>
      <c r="U215" s="772"/>
      <c r="V215" s="773"/>
      <c r="W215" s="773"/>
      <c r="X215" s="773"/>
      <c r="Y215" s="774"/>
      <c r="Z215" s="585"/>
      <c r="AA215" s="772"/>
      <c r="AB215" s="773"/>
      <c r="AC215" s="773"/>
      <c r="AD215" s="773"/>
      <c r="AE215" s="774"/>
      <c r="AF215" s="585"/>
      <c r="AG215" s="772"/>
      <c r="AH215" s="773"/>
      <c r="AI215" s="773"/>
      <c r="AJ215" s="773"/>
      <c r="AK215" s="774"/>
      <c r="AL215" s="585"/>
      <c r="AM215" s="772"/>
      <c r="AN215" s="773"/>
      <c r="AO215" s="773"/>
      <c r="AP215" s="773"/>
      <c r="AQ215" s="774"/>
      <c r="AR215" s="585"/>
      <c r="AS215" s="772"/>
      <c r="AT215" s="773"/>
      <c r="AU215" s="773"/>
      <c r="AV215" s="773"/>
      <c r="AW215" s="774"/>
      <c r="AX215" s="585"/>
      <c r="AY215" s="772"/>
      <c r="AZ215" s="773"/>
      <c r="BA215" s="773"/>
      <c r="BB215" s="773"/>
      <c r="BC215" s="774"/>
      <c r="BD215" s="585"/>
      <c r="BE215" s="772"/>
      <c r="BF215" s="773"/>
      <c r="BG215" s="773"/>
      <c r="BH215" s="773"/>
      <c r="BI215" s="774"/>
      <c r="BJ215" s="585"/>
      <c r="BK215" s="772"/>
      <c r="BL215" s="773"/>
      <c r="BM215" s="773"/>
      <c r="BN215" s="773"/>
      <c r="BO215" s="774"/>
      <c r="BP215" s="585"/>
      <c r="BQ215" s="772"/>
      <c r="BR215" s="773"/>
      <c r="BS215" s="773"/>
      <c r="BT215" s="773"/>
      <c r="BU215" s="774"/>
      <c r="BV215" s="585"/>
      <c r="BW215" s="772"/>
      <c r="BX215" s="773"/>
      <c r="BY215" s="773"/>
      <c r="BZ215" s="773"/>
      <c r="CA215" s="774"/>
      <c r="CB215" s="585"/>
      <c r="CC215" s="772"/>
      <c r="CD215" s="773"/>
      <c r="CE215" s="773"/>
      <c r="CF215" s="773"/>
      <c r="CG215" s="774"/>
      <c r="CH215" s="585"/>
      <c r="CI215" s="772"/>
      <c r="CJ215" s="773"/>
      <c r="CK215" s="773"/>
      <c r="CL215" s="773"/>
      <c r="CM215" s="774"/>
      <c r="CN215" s="11"/>
      <c r="CO215" s="11"/>
      <c r="CP215" s="11"/>
      <c r="CQ215" s="11"/>
      <c r="CR215" s="11"/>
      <c r="CS215" s="11"/>
      <c r="CT215" s="11"/>
      <c r="CU215" s="11"/>
      <c r="CV215" s="11"/>
      <c r="CW215" s="11"/>
      <c r="CX215" s="11"/>
    </row>
    <row r="216" spans="1:102" ht="11.25" customHeight="1" x14ac:dyDescent="0.2">
      <c r="A216" s="100"/>
      <c r="B216" s="1230" t="s">
        <v>527</v>
      </c>
      <c r="C216" s="1237"/>
      <c r="D216" s="17"/>
      <c r="E216" s="17"/>
      <c r="F216" s="17"/>
      <c r="G216" s="1251">
        <v>6400</v>
      </c>
      <c r="H216" s="11"/>
      <c r="I216" s="1237"/>
      <c r="J216" s="17"/>
      <c r="K216" s="17"/>
      <c r="L216" s="17"/>
      <c r="M216" s="1251">
        <v>6800</v>
      </c>
      <c r="N216" s="11"/>
      <c r="O216" s="1237"/>
      <c r="P216" s="17"/>
      <c r="Q216" s="17"/>
      <c r="R216" s="17"/>
      <c r="S216" s="1251">
        <v>6800</v>
      </c>
      <c r="T216" s="11"/>
      <c r="U216" s="1237"/>
      <c r="V216" s="17"/>
      <c r="W216" s="17"/>
      <c r="X216" s="17"/>
      <c r="Y216" s="1251">
        <v>6800</v>
      </c>
      <c r="Z216" s="11"/>
      <c r="AA216" s="1237"/>
      <c r="AB216" s="17"/>
      <c r="AC216" s="17"/>
      <c r="AD216" s="17"/>
      <c r="AE216" s="1251">
        <v>6800</v>
      </c>
      <c r="AF216" s="11"/>
      <c r="AG216" s="1237"/>
      <c r="AH216" s="17"/>
      <c r="AI216" s="17"/>
      <c r="AJ216" s="17"/>
      <c r="AK216" s="1251">
        <v>6800</v>
      </c>
      <c r="AL216" s="11"/>
      <c r="AM216" s="1237"/>
      <c r="AN216" s="17"/>
      <c r="AO216" s="17"/>
      <c r="AP216" s="17"/>
      <c r="AQ216" s="1251">
        <v>7000</v>
      </c>
      <c r="AR216" s="11"/>
      <c r="AS216" s="1237"/>
      <c r="AT216" s="17"/>
      <c r="AU216" s="17"/>
      <c r="AV216" s="17"/>
      <c r="AW216" s="1251">
        <v>7000</v>
      </c>
      <c r="AX216" s="11"/>
      <c r="AY216" s="1237"/>
      <c r="AZ216" s="17"/>
      <c r="BA216" s="17"/>
      <c r="BB216" s="17"/>
      <c r="BC216" s="1251">
        <v>7000</v>
      </c>
      <c r="BD216" s="11"/>
      <c r="BE216" s="1237"/>
      <c r="BF216" s="17"/>
      <c r="BG216" s="17"/>
      <c r="BH216" s="17"/>
      <c r="BI216" s="1251">
        <v>7500</v>
      </c>
      <c r="BJ216" s="11"/>
      <c r="BK216" s="1237"/>
      <c r="BL216" s="17"/>
      <c r="BM216" s="17"/>
      <c r="BN216" s="17"/>
      <c r="BO216" s="1251">
        <v>7700</v>
      </c>
      <c r="BP216" s="11"/>
      <c r="BQ216" s="1237"/>
      <c r="BR216" s="17"/>
      <c r="BS216" s="17"/>
      <c r="BT216" s="17"/>
      <c r="BU216" s="573"/>
      <c r="BV216" s="11"/>
      <c r="BW216" s="1237"/>
      <c r="BX216" s="17"/>
      <c r="BY216" s="17"/>
      <c r="BZ216" s="17"/>
      <c r="CA216" s="573"/>
      <c r="CB216" s="11"/>
      <c r="CC216" s="1237"/>
      <c r="CD216" s="17"/>
      <c r="CE216" s="17"/>
      <c r="CF216" s="17"/>
      <c r="CG216" s="573"/>
      <c r="CH216" s="11"/>
      <c r="CI216" s="1237"/>
      <c r="CJ216" s="17"/>
      <c r="CK216" s="17"/>
      <c r="CL216" s="17"/>
      <c r="CM216" s="573"/>
      <c r="CN216" s="266"/>
      <c r="CO216" s="455"/>
    </row>
    <row r="217" spans="1:102" ht="11.25" customHeight="1" x14ac:dyDescent="0.2">
      <c r="A217" s="100"/>
      <c r="B217" s="1229" t="s">
        <v>517</v>
      </c>
      <c r="C217" s="1237"/>
      <c r="D217" s="17"/>
      <c r="E217" s="17"/>
      <c r="F217" s="17"/>
      <c r="G217" s="1014">
        <f>+G28/G216</f>
        <v>0.3225984375</v>
      </c>
      <c r="H217" s="248"/>
      <c r="I217" s="1013"/>
      <c r="J217" s="243"/>
      <c r="K217" s="243"/>
      <c r="L217" s="243"/>
      <c r="M217" s="1014">
        <f>+M28/M216</f>
        <v>0.32077735294117643</v>
      </c>
      <c r="N217" s="11"/>
      <c r="O217" s="1237"/>
      <c r="P217" s="17"/>
      <c r="Q217" s="17"/>
      <c r="R217" s="17"/>
      <c r="S217" s="1014">
        <f>+S28/S216</f>
        <v>0.31976602941176463</v>
      </c>
      <c r="T217" s="11"/>
      <c r="U217" s="1237"/>
      <c r="V217" s="17"/>
      <c r="W217" s="17"/>
      <c r="X217" s="17"/>
      <c r="Y217" s="1014">
        <f>+Y28/Y216</f>
        <v>0.31874926470588233</v>
      </c>
      <c r="Z217" s="11"/>
      <c r="AA217" s="1237"/>
      <c r="AB217" s="17"/>
      <c r="AC217" s="17"/>
      <c r="AD217" s="17"/>
      <c r="AE217" s="1014">
        <f>+AE28/AE216</f>
        <v>0.32883176470588238</v>
      </c>
      <c r="AF217" s="11"/>
      <c r="AG217" s="1237"/>
      <c r="AH217" s="17"/>
      <c r="AI217" s="17"/>
      <c r="AJ217" s="17"/>
      <c r="AK217" s="1014">
        <f>+AK28/AK216</f>
        <v>0.33645220588235292</v>
      </c>
      <c r="AL217" s="11"/>
      <c r="AM217" s="1237"/>
      <c r="AN217" s="17"/>
      <c r="AO217" s="17"/>
      <c r="AP217" s="17"/>
      <c r="AQ217" s="1014">
        <f>+AQ28/AQ216</f>
        <v>0.33999571428571423</v>
      </c>
      <c r="AR217" s="11"/>
      <c r="AS217" s="1237"/>
      <c r="AT217" s="17"/>
      <c r="AU217" s="17"/>
      <c r="AV217" s="17"/>
      <c r="AW217" s="1014">
        <f>+AW28*AW184/AW216</f>
        <v>0.34029971428571437</v>
      </c>
      <c r="AX217" s="11"/>
      <c r="AY217" s="1237"/>
      <c r="AZ217" s="17"/>
      <c r="BA217" s="17"/>
      <c r="BB217" s="17"/>
      <c r="BC217" s="1014">
        <f>+(BC28*BC184)/BC216</f>
        <v>0.3450004285714286</v>
      </c>
      <c r="BD217" s="11"/>
      <c r="BE217" s="1237"/>
      <c r="BF217" s="17"/>
      <c r="BG217" s="17"/>
      <c r="BH217" s="17"/>
      <c r="BI217" s="1014">
        <f>+BI28*BI184/BI216</f>
        <v>0.33016453333333334</v>
      </c>
      <c r="BJ217" s="11"/>
      <c r="BK217" s="1237"/>
      <c r="BL217" s="17"/>
      <c r="BM217" s="17"/>
      <c r="BN217" s="17"/>
      <c r="BO217" s="1014">
        <f>+BO28*BO184/BO216</f>
        <v>0.31041805194805194</v>
      </c>
      <c r="BP217" s="11"/>
      <c r="BQ217" s="1237"/>
      <c r="BR217" s="17"/>
      <c r="BS217" s="17"/>
      <c r="BT217" s="17"/>
      <c r="BU217" s="573"/>
      <c r="BV217" s="11"/>
      <c r="BW217" s="1237"/>
      <c r="BX217" s="17"/>
      <c r="BY217" s="17"/>
      <c r="BZ217" s="17"/>
      <c r="CA217" s="573"/>
      <c r="CB217" s="11"/>
      <c r="CC217" s="1237"/>
      <c r="CD217" s="17"/>
      <c r="CE217" s="17"/>
      <c r="CF217" s="17"/>
      <c r="CG217" s="573"/>
      <c r="CH217" s="11"/>
      <c r="CI217" s="1237"/>
      <c r="CJ217" s="17"/>
      <c r="CK217" s="17"/>
      <c r="CL217" s="17"/>
      <c r="CM217" s="573"/>
      <c r="CN217" s="266"/>
      <c r="CO217" s="455"/>
    </row>
    <row r="218" spans="1:102" ht="11.25" customHeight="1" x14ac:dyDescent="0.2">
      <c r="A218" s="100"/>
      <c r="B218" s="1230"/>
      <c r="C218" s="1237"/>
      <c r="D218" s="17"/>
      <c r="E218" s="17"/>
      <c r="F218" s="17"/>
      <c r="G218" s="573"/>
      <c r="H218" s="11"/>
      <c r="I218" s="1237"/>
      <c r="J218" s="17"/>
      <c r="K218" s="17"/>
      <c r="L218" s="17"/>
      <c r="M218" s="573"/>
      <c r="N218" s="11"/>
      <c r="O218" s="1237"/>
      <c r="P218" s="17"/>
      <c r="Q218" s="17"/>
      <c r="R218" s="17"/>
      <c r="S218" s="573"/>
      <c r="T218" s="11"/>
      <c r="U218" s="1237"/>
      <c r="V218" s="17"/>
      <c r="W218" s="17"/>
      <c r="X218" s="17"/>
      <c r="Y218" s="573"/>
      <c r="Z218" s="11"/>
      <c r="AA218" s="1237"/>
      <c r="AB218" s="17"/>
      <c r="AC218" s="17"/>
      <c r="AD218" s="17"/>
      <c r="AE218" s="573"/>
      <c r="AF218" s="11"/>
      <c r="AG218" s="1237"/>
      <c r="AH218" s="17"/>
      <c r="AI218" s="17"/>
      <c r="AJ218" s="17"/>
      <c r="AK218" s="573"/>
      <c r="AL218" s="11"/>
      <c r="AM218" s="1237"/>
      <c r="AN218" s="17"/>
      <c r="AO218" s="17"/>
      <c r="AP218" s="17"/>
      <c r="AQ218" s="573"/>
      <c r="AR218" s="11"/>
      <c r="AS218" s="1237"/>
      <c r="AT218" s="17"/>
      <c r="AU218" s="17"/>
      <c r="AV218" s="17"/>
      <c r="AW218" s="573"/>
      <c r="AX218" s="11"/>
      <c r="AY218" s="1237"/>
      <c r="AZ218" s="17"/>
      <c r="BA218" s="17"/>
      <c r="BB218" s="17"/>
      <c r="BC218" s="573"/>
      <c r="BD218" s="11"/>
      <c r="BE218" s="1237"/>
      <c r="BF218" s="17"/>
      <c r="BG218" s="17"/>
      <c r="BH218" s="17"/>
      <c r="BI218" s="573"/>
      <c r="BJ218" s="11"/>
      <c r="BK218" s="1237"/>
      <c r="BL218" s="17"/>
      <c r="BM218" s="17"/>
      <c r="BN218" s="17"/>
      <c r="BO218" s="573"/>
      <c r="BP218" s="11"/>
      <c r="BQ218" s="1237"/>
      <c r="BR218" s="17"/>
      <c r="BS218" s="17"/>
      <c r="BT218" s="17"/>
      <c r="BU218" s="573"/>
      <c r="BV218" s="11"/>
      <c r="BW218" s="1237"/>
      <c r="BX218" s="17"/>
      <c r="BY218" s="17"/>
      <c r="BZ218" s="17"/>
      <c r="CA218" s="573"/>
      <c r="CB218" s="11"/>
      <c r="CC218" s="1237"/>
      <c r="CD218" s="17"/>
      <c r="CE218" s="17"/>
      <c r="CF218" s="17"/>
      <c r="CG218" s="573"/>
      <c r="CH218" s="11"/>
      <c r="CI218" s="1237"/>
      <c r="CJ218" s="17"/>
      <c r="CK218" s="17"/>
      <c r="CL218" s="17"/>
      <c r="CM218" s="573"/>
      <c r="CN218" s="266"/>
      <c r="CO218" s="455"/>
    </row>
    <row r="219" spans="1:102" ht="11.25" customHeight="1" x14ac:dyDescent="0.2">
      <c r="A219" s="100"/>
      <c r="B219" s="1229" t="s">
        <v>539</v>
      </c>
      <c r="C219" s="1237"/>
      <c r="D219" s="17"/>
      <c r="E219" s="17"/>
      <c r="F219" s="17"/>
      <c r="G219" s="1252">
        <v>0.65</v>
      </c>
      <c r="H219" s="11"/>
      <c r="I219" s="1237"/>
      <c r="J219" s="17"/>
      <c r="K219" s="17"/>
      <c r="L219" s="17"/>
      <c r="M219" s="1252">
        <v>0.65</v>
      </c>
      <c r="N219" s="11"/>
      <c r="O219" s="1237"/>
      <c r="P219" s="17"/>
      <c r="Q219" s="17"/>
      <c r="R219" s="17"/>
      <c r="S219" s="1252">
        <v>0.69</v>
      </c>
      <c r="T219" s="11"/>
      <c r="U219" s="1237"/>
      <c r="V219" s="17"/>
      <c r="W219" s="17"/>
      <c r="X219" s="17"/>
      <c r="Y219" s="1252">
        <v>0.7</v>
      </c>
      <c r="Z219" s="11"/>
      <c r="AA219" s="1237"/>
      <c r="AB219" s="17"/>
      <c r="AC219" s="17"/>
      <c r="AD219" s="17"/>
      <c r="AE219" s="1252">
        <v>0.74</v>
      </c>
      <c r="AF219" s="11"/>
      <c r="AG219" s="1237"/>
      <c r="AH219" s="17"/>
      <c r="AI219" s="17"/>
      <c r="AJ219" s="17"/>
      <c r="AK219" s="1252">
        <v>0.74</v>
      </c>
      <c r="AL219" s="11"/>
      <c r="AM219" s="1237"/>
      <c r="AN219" s="17"/>
      <c r="AO219" s="17"/>
      <c r="AP219" s="17"/>
      <c r="AQ219" s="1252">
        <v>0.77</v>
      </c>
      <c r="AR219" s="11"/>
      <c r="AS219" s="1237"/>
      <c r="AT219" s="17"/>
      <c r="AU219" s="17"/>
      <c r="AV219" s="17"/>
      <c r="AW219" s="1252">
        <v>0.77</v>
      </c>
      <c r="AX219" s="11"/>
      <c r="AY219" s="1237"/>
      <c r="AZ219" s="17"/>
      <c r="BA219" s="17"/>
      <c r="BB219" s="17"/>
      <c r="BC219" s="1252">
        <v>0.78</v>
      </c>
      <c r="BD219" s="11"/>
      <c r="BE219" s="1237"/>
      <c r="BF219" s="17"/>
      <c r="BG219" s="17"/>
      <c r="BH219" s="17"/>
      <c r="BI219" s="1252"/>
      <c r="BJ219" s="11"/>
      <c r="BK219" s="1237"/>
      <c r="BL219" s="17"/>
      <c r="BM219" s="17"/>
      <c r="BN219" s="17"/>
      <c r="BO219" s="1252"/>
      <c r="BP219" s="11"/>
      <c r="BQ219" s="1237"/>
      <c r="BR219" s="17"/>
      <c r="BS219" s="17"/>
      <c r="BT219" s="17"/>
      <c r="BU219" s="573"/>
      <c r="BV219" s="11"/>
      <c r="BW219" s="1237"/>
      <c r="BX219" s="17"/>
      <c r="BY219" s="17"/>
      <c r="BZ219" s="17"/>
      <c r="CA219" s="573"/>
      <c r="CB219" s="11"/>
      <c r="CC219" s="1237"/>
      <c r="CD219" s="17"/>
      <c r="CE219" s="17"/>
      <c r="CF219" s="17"/>
      <c r="CG219" s="573"/>
      <c r="CH219" s="11"/>
      <c r="CI219" s="1237"/>
      <c r="CJ219" s="17"/>
      <c r="CK219" s="17"/>
      <c r="CL219" s="17"/>
      <c r="CM219" s="573"/>
      <c r="CN219" s="456"/>
      <c r="CO219" s="455"/>
    </row>
    <row r="220" spans="1:102" ht="11.25" customHeight="1" x14ac:dyDescent="0.2">
      <c r="A220" s="100"/>
      <c r="B220" s="1229" t="s">
        <v>518</v>
      </c>
      <c r="C220" s="1237"/>
      <c r="D220" s="17"/>
      <c r="E220" s="17"/>
      <c r="F220" s="17"/>
      <c r="G220" s="1178">
        <v>0.3</v>
      </c>
      <c r="H220" s="11"/>
      <c r="I220" s="1237"/>
      <c r="J220" s="17"/>
      <c r="K220" s="17"/>
      <c r="L220" s="17"/>
      <c r="M220" s="1178">
        <v>0.3</v>
      </c>
      <c r="N220" s="11"/>
      <c r="O220" s="1237"/>
      <c r="P220" s="17"/>
      <c r="Q220" s="17"/>
      <c r="R220" s="17"/>
      <c r="S220" s="1178">
        <v>0.3</v>
      </c>
      <c r="T220" s="11"/>
      <c r="U220" s="1237"/>
      <c r="V220" s="17"/>
      <c r="W220" s="17"/>
      <c r="X220" s="17"/>
      <c r="Y220" s="1178">
        <v>0.3</v>
      </c>
      <c r="Z220" s="11"/>
      <c r="AA220" s="1237"/>
      <c r="AB220" s="17"/>
      <c r="AC220" s="17"/>
      <c r="AD220" s="17"/>
      <c r="AE220" s="1178">
        <v>0.4</v>
      </c>
      <c r="AF220" s="11"/>
      <c r="AG220" s="1237"/>
      <c r="AH220" s="17"/>
      <c r="AI220" s="17"/>
      <c r="AJ220" s="17"/>
      <c r="AK220" s="1178">
        <v>0.5</v>
      </c>
      <c r="AL220" s="11"/>
      <c r="AM220" s="1237"/>
      <c r="AN220" s="17"/>
      <c r="AO220" s="17"/>
      <c r="AP220" s="17"/>
      <c r="AQ220" s="1255">
        <v>25000</v>
      </c>
      <c r="AR220" s="11"/>
      <c r="AS220" s="1237"/>
      <c r="AT220" s="17"/>
      <c r="AU220" s="17"/>
      <c r="AV220" s="17"/>
      <c r="AW220" s="1255">
        <v>25000</v>
      </c>
      <c r="AX220" s="11"/>
      <c r="AY220" s="1237"/>
      <c r="AZ220" s="17"/>
      <c r="BA220" s="17"/>
      <c r="BB220" s="17"/>
      <c r="BC220" s="1255">
        <v>30000</v>
      </c>
      <c r="BD220" s="11"/>
      <c r="BE220" s="1237"/>
      <c r="BF220" s="17"/>
      <c r="BG220" s="17"/>
      <c r="BH220" s="17"/>
      <c r="BI220" s="1299"/>
      <c r="BJ220" s="11"/>
      <c r="BK220" s="1237"/>
      <c r="BL220" s="17"/>
      <c r="BM220" s="17"/>
      <c r="BN220" s="17"/>
      <c r="BO220" s="1255"/>
      <c r="BP220" s="11"/>
      <c r="BQ220" s="1237"/>
      <c r="BR220" s="17"/>
      <c r="BS220" s="17"/>
      <c r="BT220" s="17"/>
      <c r="BU220" s="573"/>
      <c r="BV220" s="11"/>
      <c r="BW220" s="1237"/>
      <c r="BX220" s="17"/>
      <c r="BY220" s="17"/>
      <c r="BZ220" s="17"/>
      <c r="CA220" s="573"/>
      <c r="CB220" s="11"/>
      <c r="CC220" s="1237"/>
      <c r="CD220" s="17"/>
      <c r="CE220" s="17"/>
      <c r="CF220" s="17"/>
      <c r="CG220" s="573"/>
      <c r="CH220" s="11"/>
      <c r="CI220" s="1237"/>
      <c r="CJ220" s="17"/>
      <c r="CK220" s="17"/>
      <c r="CL220" s="17"/>
      <c r="CM220" s="573"/>
      <c r="CN220" s="456"/>
      <c r="CO220" s="455"/>
    </row>
    <row r="221" spans="1:102" ht="11.25" customHeight="1" x14ac:dyDescent="0.2">
      <c r="A221" s="100"/>
      <c r="B221" s="1229"/>
      <c r="C221" s="1237"/>
      <c r="D221" s="17"/>
      <c r="E221" s="17"/>
      <c r="F221" s="17"/>
      <c r="G221" s="573"/>
      <c r="H221" s="11"/>
      <c r="I221" s="1237"/>
      <c r="J221" s="17"/>
      <c r="K221" s="17"/>
      <c r="L221" s="17"/>
      <c r="M221" s="573"/>
      <c r="N221" s="11"/>
      <c r="O221" s="1237"/>
      <c r="P221" s="17"/>
      <c r="Q221" s="17"/>
      <c r="R221" s="17"/>
      <c r="S221" s="573"/>
      <c r="T221" s="11"/>
      <c r="U221" s="1237"/>
      <c r="V221" s="17"/>
      <c r="W221" s="17"/>
      <c r="X221" s="17"/>
      <c r="Y221" s="573"/>
      <c r="Z221" s="11"/>
      <c r="AA221" s="1237"/>
      <c r="AB221" s="17"/>
      <c r="AC221" s="17"/>
      <c r="AD221" s="17"/>
      <c r="AE221" s="573"/>
      <c r="AF221" s="11"/>
      <c r="AG221" s="1237"/>
      <c r="AH221" s="17"/>
      <c r="AI221" s="17"/>
      <c r="AJ221" s="17"/>
      <c r="AK221" s="573"/>
      <c r="AL221" s="11"/>
      <c r="AM221" s="1237"/>
      <c r="AN221" s="17"/>
      <c r="AO221" s="17"/>
      <c r="AP221" s="17"/>
      <c r="AQ221" s="573"/>
      <c r="AR221" s="11"/>
      <c r="AS221" s="1237"/>
      <c r="AT221" s="17"/>
      <c r="AU221" s="17"/>
      <c r="AV221" s="17"/>
      <c r="AW221" s="573"/>
      <c r="AX221" s="11"/>
      <c r="AY221" s="1237"/>
      <c r="AZ221" s="17"/>
      <c r="BA221" s="17"/>
      <c r="BB221" s="17"/>
      <c r="BC221" s="573"/>
      <c r="BD221" s="11"/>
      <c r="BE221" s="1237"/>
      <c r="BF221" s="17"/>
      <c r="BG221" s="17"/>
      <c r="BH221" s="17"/>
      <c r="BI221" s="573"/>
      <c r="BJ221" s="11"/>
      <c r="BK221" s="1237"/>
      <c r="BL221" s="17"/>
      <c r="BM221" s="17"/>
      <c r="BN221" s="17"/>
      <c r="BO221" s="573"/>
      <c r="BP221" s="11"/>
      <c r="BQ221" s="1237"/>
      <c r="BR221" s="17"/>
      <c r="BS221" s="17"/>
      <c r="BT221" s="17"/>
      <c r="BU221" s="573"/>
      <c r="BV221" s="11"/>
      <c r="BW221" s="1237"/>
      <c r="BX221" s="17"/>
      <c r="BY221" s="17"/>
      <c r="BZ221" s="17"/>
      <c r="CA221" s="573"/>
      <c r="CB221" s="11"/>
      <c r="CC221" s="1237"/>
      <c r="CD221" s="17"/>
      <c r="CE221" s="17"/>
      <c r="CF221" s="17"/>
      <c r="CG221" s="573"/>
      <c r="CH221" s="11"/>
      <c r="CI221" s="1237"/>
      <c r="CJ221" s="17"/>
      <c r="CK221" s="17"/>
      <c r="CL221" s="17"/>
      <c r="CM221" s="573"/>
      <c r="CN221" s="456"/>
      <c r="CO221" s="455"/>
    </row>
    <row r="222" spans="1:102" ht="11.25" customHeight="1" x14ac:dyDescent="0.2">
      <c r="A222" s="100"/>
      <c r="B222" s="1229" t="s">
        <v>564</v>
      </c>
      <c r="C222" s="1237"/>
      <c r="D222" s="17"/>
      <c r="E222" s="17"/>
      <c r="F222" s="17"/>
      <c r="G222" s="1252">
        <v>0.37</v>
      </c>
      <c r="H222" s="11"/>
      <c r="I222" s="1237"/>
      <c r="J222" s="17"/>
      <c r="K222" s="17"/>
      <c r="L222" s="17"/>
      <c r="M222" s="1252">
        <v>0.36</v>
      </c>
      <c r="N222" s="11"/>
      <c r="O222" s="1237"/>
      <c r="P222" s="17"/>
      <c r="Q222" s="17"/>
      <c r="R222" s="17"/>
      <c r="S222" s="1252">
        <v>0.35</v>
      </c>
      <c r="T222" s="11"/>
      <c r="U222" s="1237"/>
      <c r="V222" s="17"/>
      <c r="W222" s="17"/>
      <c r="X222" s="17"/>
      <c r="Y222" s="1252">
        <v>0.4</v>
      </c>
      <c r="Z222" s="11"/>
      <c r="AA222" s="1237"/>
      <c r="AB222" s="17"/>
      <c r="AC222" s="17"/>
      <c r="AD222" s="17"/>
      <c r="AE222" s="1252">
        <v>0.4</v>
      </c>
      <c r="AF222" s="11"/>
      <c r="AG222" s="1237"/>
      <c r="AH222" s="17"/>
      <c r="AI222" s="17"/>
      <c r="AJ222" s="17"/>
      <c r="AK222" s="1252">
        <v>0.42</v>
      </c>
      <c r="AL222" s="11"/>
      <c r="AM222" s="1237"/>
      <c r="AN222" s="17"/>
      <c r="AO222" s="17"/>
      <c r="AP222" s="17"/>
      <c r="AQ222" s="1252">
        <v>0.49</v>
      </c>
      <c r="AR222" s="11"/>
      <c r="AS222" s="1237"/>
      <c r="AT222" s="17"/>
      <c r="AU222" s="17"/>
      <c r="AV222" s="17"/>
      <c r="AW222" s="1252">
        <v>0.43</v>
      </c>
      <c r="AX222" s="11"/>
      <c r="AY222" s="1237"/>
      <c r="AZ222" s="17"/>
      <c r="BA222" s="17"/>
      <c r="BB222" s="17"/>
      <c r="BC222" s="1252">
        <v>0.47</v>
      </c>
      <c r="BD222" s="11"/>
      <c r="BE222" s="1237"/>
      <c r="BF222" s="17"/>
      <c r="BG222" s="17"/>
      <c r="BH222" s="17"/>
      <c r="BI222" s="1252"/>
      <c r="BJ222" s="11"/>
      <c r="BK222" s="1237"/>
      <c r="BL222" s="17"/>
      <c r="BM222" s="17"/>
      <c r="BN222" s="17"/>
      <c r="BO222" s="1252"/>
      <c r="BP222" s="11"/>
      <c r="BQ222" s="1237"/>
      <c r="BR222" s="17"/>
      <c r="BS222" s="17"/>
      <c r="BT222" s="17"/>
      <c r="BU222" s="573"/>
      <c r="BV222" s="11"/>
      <c r="BW222" s="1237"/>
      <c r="BX222" s="17"/>
      <c r="BY222" s="17"/>
      <c r="BZ222" s="17"/>
      <c r="CA222" s="573"/>
      <c r="CB222" s="11"/>
      <c r="CC222" s="1237"/>
      <c r="CD222" s="17"/>
      <c r="CE222" s="17"/>
      <c r="CF222" s="17"/>
      <c r="CG222" s="573"/>
      <c r="CH222" s="11"/>
      <c r="CI222" s="1237"/>
      <c r="CJ222" s="17"/>
      <c r="CK222" s="17"/>
      <c r="CL222" s="17"/>
      <c r="CM222" s="573"/>
      <c r="CN222" s="456"/>
      <c r="CO222" s="455"/>
    </row>
    <row r="223" spans="1:102" ht="11.25" customHeight="1" x14ac:dyDescent="0.2">
      <c r="A223" s="100"/>
      <c r="B223" s="1229"/>
      <c r="C223" s="1237"/>
      <c r="D223" s="17"/>
      <c r="E223" s="17"/>
      <c r="F223" s="17"/>
      <c r="G223" s="1253"/>
      <c r="H223" s="11"/>
      <c r="I223" s="1237"/>
      <c r="J223" s="17"/>
      <c r="K223" s="17"/>
      <c r="L223" s="17"/>
      <c r="M223" s="1253"/>
      <c r="N223" s="11"/>
      <c r="O223" s="1237"/>
      <c r="P223" s="17"/>
      <c r="Q223" s="17"/>
      <c r="R223" s="17"/>
      <c r="S223" s="1253"/>
      <c r="T223" s="11"/>
      <c r="U223" s="1237"/>
      <c r="V223" s="17"/>
      <c r="W223" s="17"/>
      <c r="X223" s="17"/>
      <c r="Y223" s="1253"/>
      <c r="Z223" s="11"/>
      <c r="AA223" s="1237"/>
      <c r="AB223" s="17"/>
      <c r="AC223" s="17"/>
      <c r="AD223" s="17"/>
      <c r="AE223" s="1253"/>
      <c r="AF223" s="11"/>
      <c r="AG223" s="1237"/>
      <c r="AH223" s="17"/>
      <c r="AI223" s="17"/>
      <c r="AJ223" s="17"/>
      <c r="AK223" s="1253"/>
      <c r="AL223" s="11"/>
      <c r="AM223" s="1237"/>
      <c r="AN223" s="17"/>
      <c r="AO223" s="17"/>
      <c r="AP223" s="17"/>
      <c r="AQ223" s="1253"/>
      <c r="AR223" s="11"/>
      <c r="AS223" s="1237"/>
      <c r="AT223" s="17"/>
      <c r="AU223" s="17"/>
      <c r="AV223" s="17"/>
      <c r="AW223" s="1253"/>
      <c r="AX223" s="11"/>
      <c r="AY223" s="1237"/>
      <c r="AZ223" s="17"/>
      <c r="BA223" s="17"/>
      <c r="BB223" s="17"/>
      <c r="BC223" s="1253"/>
      <c r="BD223" s="11"/>
      <c r="BE223" s="1237"/>
      <c r="BF223" s="17"/>
      <c r="BG223" s="17"/>
      <c r="BH223" s="17"/>
      <c r="BI223" s="1253"/>
      <c r="BJ223" s="11"/>
      <c r="BK223" s="1237"/>
      <c r="BL223" s="17"/>
      <c r="BM223" s="17"/>
      <c r="BN223" s="17"/>
      <c r="BO223" s="1253"/>
      <c r="BP223" s="11"/>
      <c r="BQ223" s="1237"/>
      <c r="BR223" s="17"/>
      <c r="BS223" s="17"/>
      <c r="BT223" s="17"/>
      <c r="BU223" s="573"/>
      <c r="BV223" s="11"/>
      <c r="BW223" s="1237"/>
      <c r="BX223" s="17"/>
      <c r="BY223" s="17"/>
      <c r="BZ223" s="17"/>
      <c r="CA223" s="573"/>
      <c r="CB223" s="11"/>
      <c r="CC223" s="1237"/>
      <c r="CD223" s="17"/>
      <c r="CE223" s="17"/>
      <c r="CF223" s="17"/>
      <c r="CG223" s="573"/>
      <c r="CH223" s="11"/>
      <c r="CI223" s="1237"/>
      <c r="CJ223" s="17"/>
      <c r="CK223" s="17"/>
      <c r="CL223" s="17"/>
      <c r="CM223" s="573"/>
      <c r="CN223" s="456"/>
      <c r="CO223" s="455"/>
    </row>
    <row r="224" spans="1:102" ht="11.25" customHeight="1" x14ac:dyDescent="0.2">
      <c r="A224" s="100"/>
      <c r="B224" s="1229"/>
      <c r="C224" s="1237"/>
      <c r="D224" s="17"/>
      <c r="E224" s="17"/>
      <c r="F224" s="17"/>
      <c r="G224" s="1253"/>
      <c r="H224" s="11"/>
      <c r="I224" s="1237"/>
      <c r="J224" s="17"/>
      <c r="K224" s="17"/>
      <c r="L224" s="17"/>
      <c r="M224" s="1253"/>
      <c r="N224" s="11"/>
      <c r="O224" s="1237"/>
      <c r="P224" s="17"/>
      <c r="Q224" s="17"/>
      <c r="R224" s="17"/>
      <c r="S224" s="1253"/>
      <c r="T224" s="11"/>
      <c r="U224" s="1237"/>
      <c r="V224" s="17"/>
      <c r="W224" s="17"/>
      <c r="X224" s="17"/>
      <c r="Y224" s="1253"/>
      <c r="Z224" s="11"/>
      <c r="AA224" s="1237"/>
      <c r="AB224" s="17"/>
      <c r="AC224" s="17"/>
      <c r="AD224" s="17"/>
      <c r="AE224" s="1253"/>
      <c r="AF224" s="11"/>
      <c r="AG224" s="1237"/>
      <c r="AH224" s="17"/>
      <c r="AI224" s="17"/>
      <c r="AJ224" s="17"/>
      <c r="AK224" s="1253"/>
      <c r="AL224" s="11"/>
      <c r="AM224" s="1237"/>
      <c r="AN224" s="17"/>
      <c r="AO224" s="17"/>
      <c r="AP224" s="17"/>
      <c r="AQ224" s="1253"/>
      <c r="AR224" s="11"/>
      <c r="AS224" s="1237"/>
      <c r="AT224" s="17"/>
      <c r="AU224" s="17"/>
      <c r="AV224" s="17"/>
      <c r="AW224" s="1253"/>
      <c r="AX224" s="11"/>
      <c r="AY224" s="1237"/>
      <c r="AZ224" s="17"/>
      <c r="BA224" s="17"/>
      <c r="BB224" s="17"/>
      <c r="BC224" s="1253"/>
      <c r="BD224" s="11"/>
      <c r="BE224" s="1237"/>
      <c r="BF224" s="17"/>
      <c r="BG224" s="17"/>
      <c r="BH224" s="17"/>
      <c r="BI224" s="1253"/>
      <c r="BJ224" s="11"/>
      <c r="BK224" s="1237"/>
      <c r="BL224" s="17"/>
      <c r="BM224" s="17"/>
      <c r="BN224" s="17"/>
      <c r="BO224" s="1253"/>
      <c r="BP224" s="11"/>
      <c r="BQ224" s="1237"/>
      <c r="BR224" s="17"/>
      <c r="BS224" s="17"/>
      <c r="BT224" s="17"/>
      <c r="BU224" s="573"/>
      <c r="BV224" s="11"/>
      <c r="BW224" s="1237"/>
      <c r="BX224" s="17"/>
      <c r="BY224" s="17"/>
      <c r="BZ224" s="17"/>
      <c r="CA224" s="573"/>
      <c r="CB224" s="11"/>
      <c r="CC224" s="1237"/>
      <c r="CD224" s="17"/>
      <c r="CE224" s="17"/>
      <c r="CF224" s="17"/>
      <c r="CG224" s="573"/>
      <c r="CH224" s="11"/>
      <c r="CI224" s="1237"/>
      <c r="CJ224" s="17"/>
      <c r="CK224" s="17"/>
      <c r="CL224" s="17"/>
      <c r="CM224" s="573"/>
      <c r="CN224" s="456"/>
      <c r="CO224" s="455"/>
    </row>
    <row r="225" spans="1:102" ht="11.25" customHeight="1" x14ac:dyDescent="0.2">
      <c r="A225" s="100"/>
      <c r="B225" s="1229" t="s">
        <v>559</v>
      </c>
      <c r="C225" s="1237"/>
      <c r="D225" s="17"/>
      <c r="E225" s="17"/>
      <c r="F225" s="17"/>
      <c r="G225" s="1254">
        <v>136000</v>
      </c>
      <c r="H225" s="1227"/>
      <c r="I225" s="1244"/>
      <c r="J225" s="1227"/>
      <c r="K225" s="1227"/>
      <c r="L225" s="1227"/>
      <c r="M225" s="1254">
        <v>137597.88594214825</v>
      </c>
      <c r="N225" s="1227"/>
      <c r="O225" s="1244"/>
      <c r="P225" s="1227"/>
      <c r="Q225" s="1227"/>
      <c r="R225" s="1227"/>
      <c r="S225" s="1254">
        <v>138276.85296537756</v>
      </c>
      <c r="T225" s="1227"/>
      <c r="U225" s="1244"/>
      <c r="V225" s="1227"/>
      <c r="W225" s="1227"/>
      <c r="X225" s="1227"/>
      <c r="Y225" s="1254">
        <v>139699.3480600038</v>
      </c>
      <c r="Z225" s="1227"/>
      <c r="AA225" s="1244"/>
      <c r="AB225" s="1227"/>
      <c r="AC225" s="1227"/>
      <c r="AD225" s="1227"/>
      <c r="AE225" s="1254">
        <v>141150.89562630546</v>
      </c>
      <c r="AF225" s="1227"/>
      <c r="AG225" s="1244"/>
      <c r="AH225" s="1227"/>
      <c r="AI225" s="1227"/>
      <c r="AJ225" s="1227"/>
      <c r="AK225" s="1254">
        <v>143225.45730742451</v>
      </c>
      <c r="AL225" s="1227"/>
      <c r="AM225" s="1244"/>
      <c r="AN225" s="1227"/>
      <c r="AO225" s="1227"/>
      <c r="AP225" s="1227"/>
      <c r="AQ225" s="1254">
        <v>143833.40717766946</v>
      </c>
      <c r="AR225" s="1227"/>
      <c r="AS225" s="1244"/>
      <c r="AT225" s="1227"/>
      <c r="AU225" s="1227"/>
      <c r="AV225" s="1227"/>
      <c r="AW225" s="1254">
        <v>144613.51984302804</v>
      </c>
      <c r="AX225" s="1227"/>
      <c r="AY225" s="1244"/>
      <c r="AZ225" s="1227"/>
      <c r="BA225" s="1227"/>
      <c r="BB225" s="1227"/>
      <c r="BC225" s="1254">
        <v>145336.58744224318</v>
      </c>
      <c r="BD225" s="1227"/>
      <c r="BE225" s="1244"/>
      <c r="BF225" s="1227"/>
      <c r="BG225" s="1227"/>
      <c r="BH225" s="1227"/>
      <c r="BI225" s="1254">
        <v>145917.93379201213</v>
      </c>
      <c r="BJ225" s="1227"/>
      <c r="BK225" s="1244"/>
      <c r="BL225" s="1227"/>
      <c r="BM225" s="1227"/>
      <c r="BN225" s="1227"/>
      <c r="BO225" s="1254">
        <v>146355.68759338814</v>
      </c>
      <c r="BP225" s="1227"/>
      <c r="BQ225" s="1244"/>
      <c r="BR225" s="1227"/>
      <c r="BS225" s="1227"/>
      <c r="BT225" s="1227"/>
      <c r="BU225" s="1254">
        <v>146648.39896857494</v>
      </c>
      <c r="BV225" s="1227"/>
      <c r="BW225" s="1244"/>
      <c r="BX225" s="1227"/>
      <c r="BY225" s="1227"/>
      <c r="BZ225" s="1227"/>
      <c r="CA225" s="1254">
        <v>146795.04736754351</v>
      </c>
      <c r="CB225" s="1227"/>
      <c r="CC225" s="1244"/>
      <c r="CD225" s="1227"/>
      <c r="CE225" s="1227"/>
      <c r="CF225" s="1227"/>
      <c r="CG225" s="1254">
        <v>146795.04736754351</v>
      </c>
      <c r="CH225" s="1227"/>
      <c r="CI225" s="1244"/>
      <c r="CJ225" s="1227"/>
      <c r="CK225" s="1227"/>
      <c r="CL225" s="1227"/>
      <c r="CM225" s="1254">
        <v>146795.04736754351</v>
      </c>
      <c r="CN225" s="456"/>
      <c r="CO225" s="455"/>
    </row>
    <row r="226" spans="1:102" ht="11.25" customHeight="1" x14ac:dyDescent="0.2">
      <c r="A226" s="100"/>
      <c r="B226" s="1229" t="s">
        <v>511</v>
      </c>
      <c r="C226" s="1237"/>
      <c r="D226" s="17"/>
      <c r="E226" s="17"/>
      <c r="F226" s="17"/>
      <c r="G226" s="1255">
        <v>120000</v>
      </c>
      <c r="H226" s="11"/>
      <c r="I226" s="1237"/>
      <c r="J226" s="17"/>
      <c r="K226" s="17"/>
      <c r="L226" s="17"/>
      <c r="M226" s="1255">
        <v>120000</v>
      </c>
      <c r="N226" s="11"/>
      <c r="O226" s="1237"/>
      <c r="P226" s="17"/>
      <c r="Q226" s="17"/>
      <c r="R226" s="17"/>
      <c r="S226" s="1255">
        <v>120000</v>
      </c>
      <c r="T226" s="11"/>
      <c r="U226" s="1237"/>
      <c r="V226" s="17"/>
      <c r="W226" s="17"/>
      <c r="X226" s="17"/>
      <c r="Y226" s="1255">
        <v>120000</v>
      </c>
      <c r="Z226" s="11"/>
      <c r="AA226" s="1237"/>
      <c r="AB226" s="17"/>
      <c r="AC226" s="17"/>
      <c r="AD226" s="17"/>
      <c r="AE226" s="1255">
        <v>120000</v>
      </c>
      <c r="AF226" s="11"/>
      <c r="AG226" s="1237"/>
      <c r="AH226" s="17"/>
      <c r="AI226" s="17"/>
      <c r="AJ226" s="17"/>
      <c r="AK226" s="1255">
        <v>120000</v>
      </c>
      <c r="AL226" s="11"/>
      <c r="AM226" s="1237"/>
      <c r="AN226" s="17"/>
      <c r="AO226" s="17"/>
      <c r="AP226" s="17"/>
      <c r="AQ226" s="1255">
        <v>120000</v>
      </c>
      <c r="AR226" s="11"/>
      <c r="AS226" s="1237"/>
      <c r="AT226" s="17"/>
      <c r="AU226" s="17"/>
      <c r="AV226" s="17"/>
      <c r="AW226" s="1255">
        <v>119000</v>
      </c>
      <c r="AX226" s="11"/>
      <c r="AY226" s="1237"/>
      <c r="AZ226" s="17"/>
      <c r="BA226" s="17"/>
      <c r="BB226" s="17"/>
      <c r="BC226" s="1255">
        <v>120000</v>
      </c>
      <c r="BD226" s="11"/>
      <c r="BE226" s="1237"/>
      <c r="BF226" s="17"/>
      <c r="BG226" s="17"/>
      <c r="BH226" s="17"/>
      <c r="BI226" s="1255">
        <v>120000</v>
      </c>
      <c r="BJ226" s="11"/>
      <c r="BK226" s="1237"/>
      <c r="BL226" s="17"/>
      <c r="BM226" s="17"/>
      <c r="BN226" s="17"/>
      <c r="BO226" s="1255">
        <v>114000</v>
      </c>
      <c r="BP226" s="11"/>
      <c r="BQ226" s="1237"/>
      <c r="BR226" s="17"/>
      <c r="BS226" s="17"/>
      <c r="BT226" s="17"/>
      <c r="BU226" s="573"/>
      <c r="BV226" s="11"/>
      <c r="BW226" s="1237"/>
      <c r="BX226" s="17"/>
      <c r="BY226" s="17"/>
      <c r="BZ226" s="17"/>
      <c r="CA226" s="573"/>
      <c r="CB226" s="11"/>
      <c r="CC226" s="1237"/>
      <c r="CD226" s="17"/>
      <c r="CE226" s="17"/>
      <c r="CF226" s="17"/>
      <c r="CG226" s="573"/>
      <c r="CH226" s="11"/>
      <c r="CI226" s="1237"/>
      <c r="CJ226" s="17"/>
      <c r="CK226" s="17"/>
      <c r="CL226" s="17"/>
      <c r="CM226" s="573"/>
      <c r="CN226" s="456"/>
      <c r="CO226" s="455"/>
    </row>
    <row r="227" spans="1:102" ht="11.25" customHeight="1" x14ac:dyDescent="0.2">
      <c r="A227" s="100"/>
      <c r="B227" s="1198" t="s">
        <v>561</v>
      </c>
      <c r="C227" s="1237"/>
      <c r="D227" s="17"/>
      <c r="E227" s="17"/>
      <c r="F227" s="17"/>
      <c r="G227" s="1256">
        <f>+G226/G225</f>
        <v>0.88235294117647056</v>
      </c>
      <c r="H227" s="11"/>
      <c r="I227" s="1237"/>
      <c r="J227" s="17"/>
      <c r="K227" s="17"/>
      <c r="L227" s="17"/>
      <c r="M227" s="1256">
        <f>+M226/M225</f>
        <v>0.87210642211794509</v>
      </c>
      <c r="N227" s="11"/>
      <c r="O227" s="1237"/>
      <c r="P227" s="17"/>
      <c r="Q227" s="17"/>
      <c r="R227" s="17"/>
      <c r="S227" s="1256">
        <f>+S226/S225</f>
        <v>0.86782420503919189</v>
      </c>
      <c r="T227" s="11"/>
      <c r="U227" s="1237"/>
      <c r="V227" s="17"/>
      <c r="W227" s="17"/>
      <c r="X227" s="17"/>
      <c r="Y227" s="1256">
        <f>+Y226/Y225</f>
        <v>0.85898754479840156</v>
      </c>
      <c r="Z227" s="11"/>
      <c r="AA227" s="1237"/>
      <c r="AB227" s="17"/>
      <c r="AC227" s="17"/>
      <c r="AD227" s="17"/>
      <c r="AE227" s="1256">
        <f>+AE226/AE225</f>
        <v>0.85015401048320594</v>
      </c>
      <c r="AF227" s="11"/>
      <c r="AG227" s="1237"/>
      <c r="AH227" s="17"/>
      <c r="AI227" s="17"/>
      <c r="AJ227" s="17"/>
      <c r="AK227" s="1256">
        <f>+AK226/AK225</f>
        <v>0.83783988025555733</v>
      </c>
      <c r="AL227" s="11"/>
      <c r="AM227" s="1237"/>
      <c r="AN227" s="17"/>
      <c r="AO227" s="17"/>
      <c r="AP227" s="17"/>
      <c r="AQ227" s="1256">
        <f>+AQ226/AQ225</f>
        <v>0.83429852879568256</v>
      </c>
      <c r="AR227" s="11"/>
      <c r="AS227" s="1237"/>
      <c r="AT227" s="17"/>
      <c r="AU227" s="17"/>
      <c r="AV227" s="17"/>
      <c r="AW227" s="1256">
        <f>+AW226/AW225</f>
        <v>0.82288295125635247</v>
      </c>
      <c r="AX227" s="11"/>
      <c r="AY227" s="1237"/>
      <c r="AZ227" s="17"/>
      <c r="BA227" s="17"/>
      <c r="BB227" s="17"/>
      <c r="BC227" s="1256">
        <f>+BC226/BC225</f>
        <v>0.82566958610947194</v>
      </c>
      <c r="BD227" s="11"/>
      <c r="BE227" s="1237"/>
      <c r="BF227" s="17"/>
      <c r="BG227" s="17"/>
      <c r="BH227" s="17"/>
      <c r="BI227" s="1256">
        <f>+BI226/BI225</f>
        <v>0.82238006584608769</v>
      </c>
      <c r="BJ227" s="11"/>
      <c r="BK227" s="1237"/>
      <c r="BL227" s="17"/>
      <c r="BM227" s="17"/>
      <c r="BN227" s="17"/>
      <c r="BO227" s="1256">
        <f>+BO226/BO225</f>
        <v>0.77892428968472927</v>
      </c>
      <c r="BP227" s="11"/>
      <c r="BQ227" s="1237"/>
      <c r="BR227" s="17"/>
      <c r="BS227" s="17"/>
      <c r="BT227" s="17"/>
      <c r="BU227" s="573"/>
      <c r="BV227" s="11"/>
      <c r="BW227" s="1237"/>
      <c r="BX227" s="17"/>
      <c r="BY227" s="17"/>
      <c r="BZ227" s="17"/>
      <c r="CA227" s="573"/>
      <c r="CB227" s="11"/>
      <c r="CC227" s="1237"/>
      <c r="CD227" s="17"/>
      <c r="CE227" s="17"/>
      <c r="CF227" s="17"/>
      <c r="CG227" s="573"/>
      <c r="CH227" s="11"/>
      <c r="CI227" s="1237"/>
      <c r="CJ227" s="17"/>
      <c r="CK227" s="17"/>
      <c r="CL227" s="17"/>
      <c r="CM227" s="573"/>
      <c r="CN227" s="456"/>
      <c r="CO227" s="455"/>
    </row>
    <row r="228" spans="1:102" ht="11.25" customHeight="1" x14ac:dyDescent="0.2">
      <c r="A228" s="100"/>
      <c r="B228" s="1229"/>
      <c r="C228" s="1237"/>
      <c r="D228" s="17"/>
      <c r="E228" s="17"/>
      <c r="F228" s="17"/>
      <c r="G228" s="1255"/>
      <c r="H228" s="11"/>
      <c r="I228" s="1237"/>
      <c r="J228" s="17"/>
      <c r="K228" s="17"/>
      <c r="L228" s="17"/>
      <c r="M228" s="1255"/>
      <c r="N228" s="11"/>
      <c r="O228" s="1237"/>
      <c r="P228" s="17"/>
      <c r="Q228" s="17"/>
      <c r="R228" s="17"/>
      <c r="S228" s="1255"/>
      <c r="T228" s="11"/>
      <c r="U228" s="1237"/>
      <c r="V228" s="17"/>
      <c r="W228" s="17"/>
      <c r="X228" s="17"/>
      <c r="Y228" s="1255"/>
      <c r="Z228" s="11"/>
      <c r="AA228" s="1237"/>
      <c r="AB228" s="17"/>
      <c r="AC228" s="17"/>
      <c r="AD228" s="17"/>
      <c r="AE228" s="1255"/>
      <c r="AF228" s="11"/>
      <c r="AG228" s="1237"/>
      <c r="AH228" s="17"/>
      <c r="AI228" s="17"/>
      <c r="AJ228" s="17"/>
      <c r="AK228" s="1255"/>
      <c r="AL228" s="11"/>
      <c r="AM228" s="1237"/>
      <c r="AN228" s="17"/>
      <c r="AO228" s="17"/>
      <c r="AP228" s="17"/>
      <c r="AQ228" s="1255"/>
      <c r="AR228" s="11"/>
      <c r="AS228" s="1237"/>
      <c r="AT228" s="17"/>
      <c r="AU228" s="17"/>
      <c r="AV228" s="17"/>
      <c r="AW228" s="1255"/>
      <c r="AX228" s="11"/>
      <c r="AY228" s="1237"/>
      <c r="AZ228" s="17"/>
      <c r="BA228" s="17"/>
      <c r="BB228" s="17"/>
      <c r="BC228" s="1255"/>
      <c r="BD228" s="11"/>
      <c r="BE228" s="1237"/>
      <c r="BF228" s="17"/>
      <c r="BG228" s="17"/>
      <c r="BH228" s="17"/>
      <c r="BI228" s="1255"/>
      <c r="BJ228" s="11"/>
      <c r="BK228" s="1237"/>
      <c r="BL228" s="17"/>
      <c r="BM228" s="17"/>
      <c r="BN228" s="17"/>
      <c r="BO228" s="1299"/>
      <c r="BP228" s="11"/>
      <c r="BQ228" s="1237"/>
      <c r="BR228" s="17"/>
      <c r="BS228" s="17"/>
      <c r="BT228" s="17"/>
      <c r="BU228" s="573"/>
      <c r="BV228" s="11"/>
      <c r="BW228" s="1237"/>
      <c r="BX228" s="17"/>
      <c r="BY228" s="17"/>
      <c r="BZ228" s="17"/>
      <c r="CA228" s="573"/>
      <c r="CB228" s="11"/>
      <c r="CC228" s="1237"/>
      <c r="CD228" s="17"/>
      <c r="CE228" s="17"/>
      <c r="CF228" s="17"/>
      <c r="CG228" s="573"/>
      <c r="CH228" s="11"/>
      <c r="CI228" s="1237"/>
      <c r="CJ228" s="17"/>
      <c r="CK228" s="17"/>
      <c r="CL228" s="17"/>
      <c r="CM228" s="573"/>
      <c r="CN228" s="456"/>
      <c r="CO228" s="455"/>
    </row>
    <row r="229" spans="1:102" ht="11.25" customHeight="1" x14ac:dyDescent="0.2">
      <c r="A229" s="100"/>
      <c r="B229" s="1229" t="s">
        <v>516</v>
      </c>
      <c r="C229" s="1237"/>
      <c r="D229" s="17"/>
      <c r="E229" s="17"/>
      <c r="F229" s="17"/>
      <c r="G229" s="1257">
        <f>1550</f>
        <v>1550</v>
      </c>
      <c r="H229" s="11"/>
      <c r="I229" s="1237"/>
      <c r="J229" s="17"/>
      <c r="K229" s="17"/>
      <c r="L229" s="17"/>
      <c r="M229" s="1257">
        <f>1450</f>
        <v>1450</v>
      </c>
      <c r="N229" s="11"/>
      <c r="O229" s="1237"/>
      <c r="P229" s="17"/>
      <c r="Q229" s="17"/>
      <c r="R229" s="17"/>
      <c r="S229" s="1257">
        <v>1500</v>
      </c>
      <c r="T229" s="11"/>
      <c r="U229" s="1237"/>
      <c r="V229" s="17"/>
      <c r="W229" s="17"/>
      <c r="X229" s="17"/>
      <c r="Y229" s="1257">
        <v>1500</v>
      </c>
      <c r="Z229" s="11"/>
      <c r="AA229" s="1237"/>
      <c r="AB229" s="17"/>
      <c r="AC229" s="17"/>
      <c r="AD229" s="17"/>
      <c r="AE229" s="1257">
        <v>1500</v>
      </c>
      <c r="AF229" s="11"/>
      <c r="AG229" s="1237"/>
      <c r="AH229" s="17"/>
      <c r="AI229" s="17"/>
      <c r="AJ229" s="17"/>
      <c r="AK229" s="1257">
        <v>1500</v>
      </c>
      <c r="AL229" s="11"/>
      <c r="AM229" s="1237"/>
      <c r="AN229" s="17"/>
      <c r="AO229" s="17"/>
      <c r="AP229" s="17"/>
      <c r="AQ229" s="1257">
        <v>1500</v>
      </c>
      <c r="AR229" s="11"/>
      <c r="AS229" s="1237"/>
      <c r="AT229" s="17"/>
      <c r="AU229" s="17"/>
      <c r="AV229" s="17"/>
      <c r="AW229" s="1257">
        <v>1500</v>
      </c>
      <c r="AX229" s="11"/>
      <c r="AY229" s="1237"/>
      <c r="AZ229" s="17"/>
      <c r="BA229" s="17"/>
      <c r="BB229" s="17"/>
      <c r="BC229" s="1257">
        <v>1300</v>
      </c>
      <c r="BD229" s="11"/>
      <c r="BE229" s="1237"/>
      <c r="BF229" s="17"/>
      <c r="BG229" s="17"/>
      <c r="BH229" s="17"/>
      <c r="BI229" s="1257">
        <f>1200+100+200</f>
        <v>1500</v>
      </c>
      <c r="BJ229" s="1208"/>
      <c r="BK229" s="1237"/>
      <c r="BL229" s="17"/>
      <c r="BM229" s="17"/>
      <c r="BN229" s="17"/>
      <c r="BO229" s="1257">
        <f>850+80+150</f>
        <v>1080</v>
      </c>
      <c r="BP229" s="11"/>
      <c r="BQ229" s="1237"/>
      <c r="BR229" s="17"/>
      <c r="BS229" s="17"/>
      <c r="BT229" s="17"/>
      <c r="BU229" s="573"/>
      <c r="BV229" s="11"/>
      <c r="BW229" s="1237"/>
      <c r="BX229" s="17"/>
      <c r="BY229" s="17"/>
      <c r="BZ229" s="17"/>
      <c r="CA229" s="573"/>
      <c r="CB229" s="11"/>
      <c r="CC229" s="1237"/>
      <c r="CD229" s="17"/>
      <c r="CE229" s="17"/>
      <c r="CF229" s="17"/>
      <c r="CG229" s="573"/>
      <c r="CH229" s="11"/>
      <c r="CI229" s="1237"/>
      <c r="CJ229" s="17"/>
      <c r="CK229" s="17"/>
      <c r="CL229" s="17"/>
      <c r="CM229" s="573"/>
      <c r="CN229" s="456"/>
      <c r="CO229" s="455"/>
    </row>
    <row r="230" spans="1:102" ht="11.25" customHeight="1" x14ac:dyDescent="0.2">
      <c r="A230" s="100"/>
      <c r="B230" s="1198" t="s">
        <v>513</v>
      </c>
      <c r="C230" s="1237"/>
      <c r="D230" s="17"/>
      <c r="E230" s="17"/>
      <c r="F230" s="17"/>
      <c r="G230" s="1258">
        <v>391</v>
      </c>
      <c r="H230" s="11"/>
      <c r="I230" s="1237"/>
      <c r="J230" s="17"/>
      <c r="K230" s="17"/>
      <c r="L230" s="17"/>
      <c r="M230" s="1258">
        <v>391</v>
      </c>
      <c r="N230" s="11"/>
      <c r="O230" s="1237"/>
      <c r="P230" s="17"/>
      <c r="Q230" s="17"/>
      <c r="R230" s="17"/>
      <c r="S230" s="1258">
        <v>279</v>
      </c>
      <c r="T230" s="11"/>
      <c r="U230" s="1237"/>
      <c r="V230" s="17"/>
      <c r="W230" s="17"/>
      <c r="X230" s="17"/>
      <c r="Y230" s="1258">
        <v>269</v>
      </c>
      <c r="Z230" s="11"/>
      <c r="AA230" s="1237"/>
      <c r="AB230" s="17"/>
      <c r="AC230" s="17"/>
      <c r="AD230" s="17"/>
      <c r="AE230" s="1258">
        <v>271</v>
      </c>
      <c r="AF230" s="11"/>
      <c r="AG230" s="1237"/>
      <c r="AH230" s="17"/>
      <c r="AI230" s="17"/>
      <c r="AJ230" s="17"/>
      <c r="AK230" s="1258">
        <v>300</v>
      </c>
      <c r="AL230" s="11"/>
      <c r="AM230" s="1237"/>
      <c r="AN230" s="17"/>
      <c r="AO230" s="17"/>
      <c r="AP230" s="17"/>
      <c r="AQ230" s="1258">
        <v>300</v>
      </c>
      <c r="AR230" s="11"/>
      <c r="AS230" s="1237"/>
      <c r="AT230" s="17"/>
      <c r="AU230" s="17"/>
      <c r="AV230" s="17"/>
      <c r="AW230" s="1258">
        <v>300</v>
      </c>
      <c r="AX230" s="11"/>
      <c r="AY230" s="1237"/>
      <c r="AZ230" s="17"/>
      <c r="BA230" s="17"/>
      <c r="BB230" s="17"/>
      <c r="BC230" s="1258">
        <v>250</v>
      </c>
      <c r="BD230" s="11"/>
      <c r="BE230" s="1237"/>
      <c r="BF230" s="17"/>
      <c r="BG230" s="17"/>
      <c r="BH230" s="17"/>
      <c r="BI230" s="1258">
        <v>200</v>
      </c>
      <c r="BJ230" s="11"/>
      <c r="BK230" s="1237"/>
      <c r="BL230" s="17"/>
      <c r="BM230" s="17"/>
      <c r="BN230" s="17"/>
      <c r="BO230" s="1258">
        <v>150</v>
      </c>
      <c r="BP230" s="11"/>
      <c r="BQ230" s="1237"/>
      <c r="BR230" s="17"/>
      <c r="BS230" s="17"/>
      <c r="BT230" s="17"/>
      <c r="BU230" s="573"/>
      <c r="BV230" s="11"/>
      <c r="BW230" s="1237"/>
      <c r="BX230" s="17"/>
      <c r="BY230" s="17"/>
      <c r="BZ230" s="17"/>
      <c r="CA230" s="573"/>
      <c r="CB230" s="11"/>
      <c r="CC230" s="1237"/>
      <c r="CD230" s="17"/>
      <c r="CE230" s="17"/>
      <c r="CF230" s="17"/>
      <c r="CG230" s="573"/>
      <c r="CH230" s="11"/>
      <c r="CI230" s="1237"/>
      <c r="CJ230" s="17"/>
      <c r="CK230" s="17"/>
      <c r="CL230" s="17"/>
      <c r="CM230" s="573"/>
      <c r="CN230" s="456"/>
      <c r="CO230" s="455"/>
    </row>
    <row r="231" spans="1:102" ht="11.25" customHeight="1" x14ac:dyDescent="0.2">
      <c r="A231" s="100"/>
      <c r="B231" s="1229"/>
      <c r="C231" s="1237"/>
      <c r="D231" s="17"/>
      <c r="E231" s="17"/>
      <c r="F231" s="17"/>
      <c r="G231" s="573"/>
      <c r="H231" s="11"/>
      <c r="I231" s="1237"/>
      <c r="J231" s="17"/>
      <c r="K231" s="17"/>
      <c r="L231" s="17"/>
      <c r="M231" s="573"/>
      <c r="N231" s="11"/>
      <c r="O231" s="1237"/>
      <c r="P231" s="17"/>
      <c r="Q231" s="17"/>
      <c r="R231" s="17"/>
      <c r="S231" s="573"/>
      <c r="T231" s="11"/>
      <c r="U231" s="1237"/>
      <c r="V231" s="17"/>
      <c r="W231" s="17"/>
      <c r="X231" s="17"/>
      <c r="Y231" s="573"/>
      <c r="Z231" s="11"/>
      <c r="AA231" s="1237"/>
      <c r="AB231" s="17"/>
      <c r="AC231" s="17"/>
      <c r="AD231" s="17"/>
      <c r="AE231" s="573"/>
      <c r="AF231" s="11"/>
      <c r="AG231" s="1237"/>
      <c r="AH231" s="17"/>
      <c r="AI231" s="17"/>
      <c r="AJ231" s="17"/>
      <c r="AK231" s="573"/>
      <c r="AL231" s="11"/>
      <c r="AM231" s="1237"/>
      <c r="AN231" s="17"/>
      <c r="AO231" s="17"/>
      <c r="AP231" s="17"/>
      <c r="AQ231" s="573"/>
      <c r="AR231" s="11"/>
      <c r="AS231" s="1237"/>
      <c r="AT231" s="17"/>
      <c r="AU231" s="17"/>
      <c r="AV231" s="17"/>
      <c r="AW231" s="573"/>
      <c r="AX231" s="11"/>
      <c r="AY231" s="1237"/>
      <c r="AZ231" s="17"/>
      <c r="BA231" s="17"/>
      <c r="BB231" s="17"/>
      <c r="BC231" s="573"/>
      <c r="BD231" s="11"/>
      <c r="BE231" s="1237"/>
      <c r="BF231" s="17"/>
      <c r="BG231" s="17"/>
      <c r="BH231" s="17"/>
      <c r="BI231" s="573"/>
      <c r="BJ231" s="11"/>
      <c r="BK231" s="1237"/>
      <c r="BL231" s="17"/>
      <c r="BM231" s="17"/>
      <c r="BN231" s="17"/>
      <c r="BO231" s="573"/>
      <c r="BP231" s="11"/>
      <c r="BQ231" s="1237"/>
      <c r="BR231" s="17"/>
      <c r="BS231" s="17"/>
      <c r="BT231" s="17"/>
      <c r="BU231" s="573"/>
      <c r="BV231" s="11"/>
      <c r="BW231" s="1237"/>
      <c r="BX231" s="17"/>
      <c r="BY231" s="17"/>
      <c r="BZ231" s="17"/>
      <c r="CA231" s="573"/>
      <c r="CB231" s="11"/>
      <c r="CC231" s="1237"/>
      <c r="CD231" s="17"/>
      <c r="CE231" s="17"/>
      <c r="CF231" s="17"/>
      <c r="CG231" s="573"/>
      <c r="CH231" s="11"/>
      <c r="CI231" s="1237"/>
      <c r="CJ231" s="17"/>
      <c r="CK231" s="17"/>
      <c r="CL231" s="17"/>
      <c r="CM231" s="573"/>
      <c r="CN231" s="456"/>
      <c r="CO231" s="455"/>
    </row>
    <row r="232" spans="1:102" ht="11.25" customHeight="1" x14ac:dyDescent="0.2">
      <c r="A232" s="100"/>
      <c r="B232" s="1229" t="s">
        <v>519</v>
      </c>
      <c r="C232" s="1237"/>
      <c r="D232" s="17"/>
      <c r="E232" s="17"/>
      <c r="F232" s="17"/>
      <c r="G232" s="1252">
        <v>0.97</v>
      </c>
      <c r="H232" s="11"/>
      <c r="I232" s="1237"/>
      <c r="J232" s="17"/>
      <c r="K232" s="17"/>
      <c r="L232" s="17"/>
      <c r="M232" s="1252">
        <v>0.98</v>
      </c>
      <c r="N232" s="11"/>
      <c r="O232" s="1237"/>
      <c r="P232" s="17"/>
      <c r="Q232" s="17"/>
      <c r="R232" s="17"/>
      <c r="S232" s="1252">
        <v>0.98</v>
      </c>
      <c r="T232" s="11"/>
      <c r="U232" s="1237"/>
      <c r="V232" s="17"/>
      <c r="W232" s="17"/>
      <c r="X232" s="17"/>
      <c r="Y232" s="1252">
        <v>0.98</v>
      </c>
      <c r="Z232" s="11"/>
      <c r="AA232" s="1237"/>
      <c r="AB232" s="17"/>
      <c r="AC232" s="17"/>
      <c r="AD232" s="17"/>
      <c r="AE232" s="1252">
        <v>0.98</v>
      </c>
      <c r="AF232" s="11"/>
      <c r="AG232" s="1237"/>
      <c r="AH232" s="17"/>
      <c r="AI232" s="17"/>
      <c r="AJ232" s="17"/>
      <c r="AK232" s="1252">
        <v>0.98</v>
      </c>
      <c r="AL232" s="11"/>
      <c r="AM232" s="1237"/>
      <c r="AN232" s="17"/>
      <c r="AO232" s="17"/>
      <c r="AP232" s="17"/>
      <c r="AQ232" s="1252">
        <v>0.98</v>
      </c>
      <c r="AR232" s="11"/>
      <c r="AS232" s="1237"/>
      <c r="AT232" s="17"/>
      <c r="AU232" s="17"/>
      <c r="AV232" s="17"/>
      <c r="AW232" s="1252">
        <v>0.98</v>
      </c>
      <c r="AX232" s="11"/>
      <c r="AY232" s="1237"/>
      <c r="AZ232" s="17"/>
      <c r="BA232" s="17"/>
      <c r="BB232" s="17"/>
      <c r="BC232" s="1252">
        <v>0.98</v>
      </c>
      <c r="BD232" s="11"/>
      <c r="BE232" s="1237"/>
      <c r="BF232" s="17"/>
      <c r="BG232" s="17"/>
      <c r="BH232" s="17"/>
      <c r="BI232" s="1252"/>
      <c r="BJ232" s="11"/>
      <c r="BK232" s="1237"/>
      <c r="BL232" s="17"/>
      <c r="BM232" s="17"/>
      <c r="BN232" s="17"/>
      <c r="BO232" s="1252"/>
      <c r="BP232" s="11"/>
      <c r="BQ232" s="1237"/>
      <c r="BR232" s="17"/>
      <c r="BS232" s="17"/>
      <c r="BT232" s="17"/>
      <c r="BU232" s="573"/>
      <c r="BV232" s="11"/>
      <c r="BW232" s="1237"/>
      <c r="BX232" s="17"/>
      <c r="BY232" s="17"/>
      <c r="BZ232" s="17"/>
      <c r="CA232" s="573"/>
      <c r="CB232" s="11"/>
      <c r="CC232" s="1237"/>
      <c r="CD232" s="17"/>
      <c r="CE232" s="17"/>
      <c r="CF232" s="17"/>
      <c r="CG232" s="573"/>
      <c r="CH232" s="11"/>
      <c r="CI232" s="1237"/>
      <c r="CJ232" s="17"/>
      <c r="CK232" s="17"/>
      <c r="CL232" s="17"/>
      <c r="CM232" s="573"/>
      <c r="CN232" s="456"/>
      <c r="CO232" s="455"/>
    </row>
    <row r="233" spans="1:102" ht="11.25" customHeight="1" x14ac:dyDescent="0.2">
      <c r="A233" s="100"/>
      <c r="B233" s="1229"/>
      <c r="C233" s="1237"/>
      <c r="D233" s="17"/>
      <c r="E233" s="17"/>
      <c r="F233" s="17"/>
      <c r="G233" s="573"/>
      <c r="H233" s="11"/>
      <c r="I233" s="1237"/>
      <c r="J233" s="17"/>
      <c r="K233" s="17"/>
      <c r="L233" s="17"/>
      <c r="M233" s="573"/>
      <c r="N233" s="11"/>
      <c r="O233" s="1237"/>
      <c r="P233" s="17"/>
      <c r="Q233" s="17"/>
      <c r="R233" s="17"/>
      <c r="S233" s="573"/>
      <c r="T233" s="11"/>
      <c r="U233" s="1237"/>
      <c r="V233" s="17"/>
      <c r="W233" s="17"/>
      <c r="X233" s="17"/>
      <c r="Y233" s="573"/>
      <c r="Z233" s="11"/>
      <c r="AA233" s="1237"/>
      <c r="AB233" s="17"/>
      <c r="AC233" s="17"/>
      <c r="AD233" s="17"/>
      <c r="AE233" s="573"/>
      <c r="AF233" s="11"/>
      <c r="AG233" s="1237"/>
      <c r="AH233" s="17"/>
      <c r="AI233" s="17"/>
      <c r="AJ233" s="17"/>
      <c r="AK233" s="573"/>
      <c r="AL233" s="11"/>
      <c r="AM233" s="1237"/>
      <c r="AN233" s="17"/>
      <c r="AO233" s="17"/>
      <c r="AP233" s="17"/>
      <c r="AQ233" s="573"/>
      <c r="AR233" s="11"/>
      <c r="AS233" s="1237"/>
      <c r="AT233" s="17"/>
      <c r="AU233" s="17"/>
      <c r="AV233" s="17"/>
      <c r="AW233" s="573"/>
      <c r="AX233" s="11"/>
      <c r="AY233" s="1237"/>
      <c r="AZ233" s="17"/>
      <c r="BA233" s="17"/>
      <c r="BB233" s="17"/>
      <c r="BC233" s="573"/>
      <c r="BD233" s="11"/>
      <c r="BE233" s="1237"/>
      <c r="BF233" s="17"/>
      <c r="BG233" s="17"/>
      <c r="BH233" s="17"/>
      <c r="BI233" s="573"/>
      <c r="BJ233" s="11"/>
      <c r="BK233" s="1237"/>
      <c r="BL233" s="17"/>
      <c r="BM233" s="17"/>
      <c r="BN233" s="17"/>
      <c r="BO233" s="573"/>
      <c r="BP233" s="11"/>
      <c r="BQ233" s="1237"/>
      <c r="BR233" s="17"/>
      <c r="BS233" s="17"/>
      <c r="BT233" s="17"/>
      <c r="BU233" s="573"/>
      <c r="BV233" s="11"/>
      <c r="BW233" s="1237"/>
      <c r="BX233" s="17"/>
      <c r="BY233" s="17"/>
      <c r="BZ233" s="17"/>
      <c r="CA233" s="573"/>
      <c r="CB233" s="11"/>
      <c r="CC233" s="1237"/>
      <c r="CD233" s="17"/>
      <c r="CE233" s="17"/>
      <c r="CF233" s="17"/>
      <c r="CG233" s="573"/>
      <c r="CH233" s="11"/>
      <c r="CI233" s="1237"/>
      <c r="CJ233" s="17"/>
      <c r="CK233" s="17"/>
      <c r="CL233" s="17"/>
      <c r="CM233" s="573"/>
      <c r="CN233" s="456"/>
      <c r="CO233" s="455"/>
    </row>
    <row r="234" spans="1:102" s="9" customFormat="1" ht="11.25" customHeight="1" x14ac:dyDescent="0.2">
      <c r="A234" s="12"/>
      <c r="B234" s="1233" t="s">
        <v>311</v>
      </c>
      <c r="C234" s="1238"/>
      <c r="D234" s="619"/>
      <c r="E234" s="619"/>
      <c r="F234" s="619"/>
      <c r="G234" s="617"/>
      <c r="H234" s="585"/>
      <c r="I234" s="1238"/>
      <c r="J234" s="619"/>
      <c r="K234" s="619"/>
      <c r="L234" s="619"/>
      <c r="M234" s="617"/>
      <c r="N234" s="585"/>
      <c r="O234" s="1238"/>
      <c r="P234" s="619"/>
      <c r="Q234" s="619"/>
      <c r="R234" s="619"/>
      <c r="S234" s="617"/>
      <c r="T234" s="585"/>
      <c r="U234" s="1238"/>
      <c r="V234" s="619"/>
      <c r="W234" s="619"/>
      <c r="X234" s="619"/>
      <c r="Y234" s="617"/>
      <c r="Z234" s="585"/>
      <c r="AA234" s="1238"/>
      <c r="AB234" s="619"/>
      <c r="AC234" s="619"/>
      <c r="AD234" s="619"/>
      <c r="AE234" s="617"/>
      <c r="AF234" s="585"/>
      <c r="AG234" s="1238"/>
      <c r="AH234" s="619"/>
      <c r="AI234" s="619"/>
      <c r="AJ234" s="619"/>
      <c r="AK234" s="617"/>
      <c r="AL234" s="585"/>
      <c r="AM234" s="1238"/>
      <c r="AN234" s="619"/>
      <c r="AO234" s="619"/>
      <c r="AP234" s="619"/>
      <c r="AQ234" s="617"/>
      <c r="AR234" s="585"/>
      <c r="AS234" s="1238"/>
      <c r="AT234" s="619"/>
      <c r="AU234" s="619"/>
      <c r="AV234" s="619"/>
      <c r="AW234" s="617"/>
      <c r="AX234" s="585"/>
      <c r="AY234" s="1238"/>
      <c r="AZ234" s="619"/>
      <c r="BA234" s="619"/>
      <c r="BB234" s="619"/>
      <c r="BC234" s="617"/>
      <c r="BD234" s="585"/>
      <c r="BE234" s="1238"/>
      <c r="BF234" s="619"/>
      <c r="BG234" s="619"/>
      <c r="BH234" s="619"/>
      <c r="BI234" s="617"/>
      <c r="BJ234" s="585"/>
      <c r="BK234" s="1238"/>
      <c r="BL234" s="619"/>
      <c r="BM234" s="619"/>
      <c r="BN234" s="619"/>
      <c r="BO234" s="617"/>
      <c r="BP234" s="585"/>
      <c r="BQ234" s="1238"/>
      <c r="BR234" s="619"/>
      <c r="BS234" s="619"/>
      <c r="BT234" s="619"/>
      <c r="BU234" s="617"/>
      <c r="BV234" s="585"/>
      <c r="BW234" s="1238"/>
      <c r="BX234" s="619"/>
      <c r="BY234" s="619"/>
      <c r="BZ234" s="619"/>
      <c r="CA234" s="617"/>
      <c r="CB234" s="585"/>
      <c r="CC234" s="1238"/>
      <c r="CD234" s="619"/>
      <c r="CE234" s="619"/>
      <c r="CF234" s="619"/>
      <c r="CG234" s="617"/>
      <c r="CH234" s="585"/>
      <c r="CI234" s="1238"/>
      <c r="CJ234" s="619"/>
      <c r="CK234" s="619"/>
      <c r="CL234" s="619"/>
      <c r="CM234" s="617"/>
      <c r="CN234" s="11"/>
      <c r="CO234" s="11"/>
      <c r="CP234" s="11"/>
      <c r="CQ234" s="11"/>
      <c r="CR234" s="11"/>
      <c r="CS234" s="11"/>
      <c r="CT234" s="11"/>
      <c r="CU234" s="11"/>
      <c r="CV234" s="11"/>
      <c r="CW234" s="11"/>
      <c r="CX234" s="11"/>
    </row>
    <row r="235" spans="1:102" ht="11.25" customHeight="1" x14ac:dyDescent="0.2">
      <c r="A235" s="100"/>
      <c r="B235" s="1230" t="s">
        <v>541</v>
      </c>
      <c r="C235" s="1237"/>
      <c r="D235" s="17"/>
      <c r="E235" s="17"/>
      <c r="F235" s="17"/>
      <c r="G235" s="1251">
        <v>2800</v>
      </c>
      <c r="H235" s="11"/>
      <c r="I235" s="1237"/>
      <c r="J235" s="17"/>
      <c r="K235" s="17"/>
      <c r="L235" s="17"/>
      <c r="M235" s="1251">
        <v>2800</v>
      </c>
      <c r="N235" s="11"/>
      <c r="O235" s="1237"/>
      <c r="P235" s="17"/>
      <c r="Q235" s="17"/>
      <c r="R235" s="17"/>
      <c r="S235" s="1251">
        <v>2900</v>
      </c>
      <c r="T235" s="11"/>
      <c r="U235" s="1237"/>
      <c r="V235" s="17"/>
      <c r="W235" s="17"/>
      <c r="X235" s="17"/>
      <c r="Y235" s="1251">
        <v>3000</v>
      </c>
      <c r="Z235" s="11"/>
      <c r="AA235" s="1237"/>
      <c r="AB235" s="17"/>
      <c r="AC235" s="17"/>
      <c r="AD235" s="17"/>
      <c r="AE235" s="1251">
        <v>3200</v>
      </c>
      <c r="AF235" s="11"/>
      <c r="AG235" s="1237"/>
      <c r="AH235" s="17"/>
      <c r="AI235" s="17"/>
      <c r="AJ235" s="17"/>
      <c r="AK235" s="1251">
        <v>3200</v>
      </c>
      <c r="AL235" s="11"/>
      <c r="AM235" s="1237"/>
      <c r="AN235" s="17"/>
      <c r="AO235" s="17"/>
      <c r="AP235" s="17"/>
      <c r="AQ235" s="1251">
        <v>3300</v>
      </c>
      <c r="AR235" s="11"/>
      <c r="AS235" s="1237"/>
      <c r="AT235" s="17"/>
      <c r="AU235" s="17"/>
      <c r="AV235" s="17"/>
      <c r="AW235" s="1251">
        <v>3300</v>
      </c>
      <c r="AX235" s="11"/>
      <c r="AY235" s="1237"/>
      <c r="AZ235" s="17"/>
      <c r="BA235" s="17"/>
      <c r="BB235" s="17"/>
      <c r="BC235" s="1251">
        <v>3400</v>
      </c>
      <c r="BD235" s="11"/>
      <c r="BE235" s="1237"/>
      <c r="BF235" s="17"/>
      <c r="BG235" s="17"/>
      <c r="BH235" s="17"/>
      <c r="BI235" s="1251"/>
      <c r="BJ235" s="11"/>
      <c r="BK235" s="1237"/>
      <c r="BL235" s="17"/>
      <c r="BM235" s="17"/>
      <c r="BN235" s="17"/>
      <c r="BO235" s="1251"/>
      <c r="BP235" s="11"/>
      <c r="BQ235" s="1237"/>
      <c r="BR235" s="17"/>
      <c r="BS235" s="17"/>
      <c r="BT235" s="17"/>
      <c r="BU235" s="573"/>
      <c r="BV235" s="11"/>
      <c r="BW235" s="1237"/>
      <c r="BX235" s="17"/>
      <c r="BY235" s="17"/>
      <c r="BZ235" s="17"/>
      <c r="CA235" s="573"/>
      <c r="CB235" s="11"/>
      <c r="CC235" s="1237"/>
      <c r="CD235" s="17"/>
      <c r="CE235" s="17"/>
      <c r="CF235" s="17"/>
      <c r="CG235" s="573"/>
      <c r="CH235" s="11"/>
      <c r="CI235" s="1237"/>
      <c r="CJ235" s="17"/>
      <c r="CK235" s="17"/>
      <c r="CL235" s="17"/>
      <c r="CM235" s="573"/>
      <c r="CN235" s="456"/>
      <c r="CO235" s="455"/>
    </row>
    <row r="236" spans="1:102" ht="11.25" customHeight="1" x14ac:dyDescent="0.2">
      <c r="A236" s="100"/>
      <c r="B236" s="1229" t="s">
        <v>517</v>
      </c>
      <c r="C236" s="1237"/>
      <c r="D236" s="17"/>
      <c r="E236" s="17"/>
      <c r="F236" s="17"/>
      <c r="G236" s="1014">
        <f>+G112/G235</f>
        <v>0.14265214285714287</v>
      </c>
      <c r="H236" s="248"/>
      <c r="I236" s="1013"/>
      <c r="J236" s="243"/>
      <c r="K236" s="243"/>
      <c r="L236" s="243"/>
      <c r="M236" s="1014">
        <f>+M112/M235</f>
        <v>0.15943821428571428</v>
      </c>
      <c r="N236" s="11"/>
      <c r="O236" s="1237"/>
      <c r="P236" s="17"/>
      <c r="Q236" s="17"/>
      <c r="R236" s="17"/>
      <c r="S236" s="1014">
        <f>+S112/S235</f>
        <v>0.18987896551724137</v>
      </c>
      <c r="T236" s="11"/>
      <c r="U236" s="1237"/>
      <c r="V236" s="17"/>
      <c r="W236" s="17"/>
      <c r="X236" s="17"/>
      <c r="Y236" s="1014">
        <f>+Y112/Y235</f>
        <v>0.21452799999999997</v>
      </c>
      <c r="Z236" s="11"/>
      <c r="AA236" s="1237"/>
      <c r="AB236" s="17"/>
      <c r="AC236" s="17"/>
      <c r="AD236" s="17"/>
      <c r="AE236" s="1014">
        <f>+AE112/AE235</f>
        <v>0.21090062500000001</v>
      </c>
      <c r="AF236" s="11"/>
      <c r="AG236" s="1237"/>
      <c r="AH236" s="17"/>
      <c r="AI236" s="17"/>
      <c r="AJ236" s="17"/>
      <c r="AK236" s="1014">
        <f>+AK112/AK235</f>
        <v>0.22951437500000002</v>
      </c>
      <c r="AL236" s="11"/>
      <c r="AM236" s="1237"/>
      <c r="AN236" s="17"/>
      <c r="AO236" s="17"/>
      <c r="AP236" s="17"/>
      <c r="AQ236" s="1014">
        <f>+AQ112/AQ235</f>
        <v>0.22886212121212121</v>
      </c>
      <c r="AR236" s="11"/>
      <c r="AS236" s="1237"/>
      <c r="AT236" s="17"/>
      <c r="AU236" s="17"/>
      <c r="AV236" s="17"/>
      <c r="AW236" s="1014">
        <f>+(AW112*AW193)/AW235</f>
        <v>0.23758909090909083</v>
      </c>
      <c r="AX236" s="11"/>
      <c r="AY236" s="1237"/>
      <c r="AZ236" s="17"/>
      <c r="BA236" s="17"/>
      <c r="BB236" s="17"/>
      <c r="BC236" s="1014">
        <f>+BC150*BC193/BC235</f>
        <v>0.23736147058823526</v>
      </c>
      <c r="BD236" s="11"/>
      <c r="BE236" s="1237"/>
      <c r="BF236" s="17"/>
      <c r="BG236" s="17"/>
      <c r="BH236" s="17"/>
      <c r="BI236" s="1014"/>
      <c r="BJ236" s="11"/>
      <c r="BK236" s="1237"/>
      <c r="BL236" s="17"/>
      <c r="BM236" s="17"/>
      <c r="BN236" s="17"/>
      <c r="BO236" s="1014"/>
      <c r="BP236" s="11"/>
      <c r="BQ236" s="1237"/>
      <c r="BR236" s="17"/>
      <c r="BS236" s="17"/>
      <c r="BT236" s="17"/>
      <c r="BU236" s="573"/>
      <c r="BV236" s="11"/>
      <c r="BW236" s="1237"/>
      <c r="BX236" s="17"/>
      <c r="BY236" s="17"/>
      <c r="BZ236" s="17"/>
      <c r="CA236" s="573"/>
      <c r="CB236" s="11"/>
      <c r="CC236" s="1237"/>
      <c r="CD236" s="17"/>
      <c r="CE236" s="17"/>
      <c r="CF236" s="17"/>
      <c r="CG236" s="573"/>
      <c r="CH236" s="11"/>
      <c r="CI236" s="1237"/>
      <c r="CJ236" s="17"/>
      <c r="CK236" s="17"/>
      <c r="CL236" s="17"/>
      <c r="CM236" s="573"/>
      <c r="CN236" s="456"/>
      <c r="CO236" s="455"/>
    </row>
    <row r="237" spans="1:102" ht="11.25" customHeight="1" x14ac:dyDescent="0.2">
      <c r="A237" s="100"/>
      <c r="B237" s="1230"/>
      <c r="C237" s="1237"/>
      <c r="D237" s="17"/>
      <c r="E237" s="17"/>
      <c r="F237" s="17"/>
      <c r="G237" s="573"/>
      <c r="H237" s="11"/>
      <c r="I237" s="1237"/>
      <c r="J237" s="17"/>
      <c r="K237" s="17"/>
      <c r="L237" s="17"/>
      <c r="M237" s="573"/>
      <c r="N237" s="11"/>
      <c r="O237" s="1237"/>
      <c r="P237" s="17"/>
      <c r="Q237" s="17"/>
      <c r="R237" s="17"/>
      <c r="S237" s="573"/>
      <c r="T237" s="11"/>
      <c r="U237" s="1237"/>
      <c r="V237" s="17"/>
      <c r="W237" s="17"/>
      <c r="X237" s="17"/>
      <c r="Y237" s="573"/>
      <c r="Z237" s="11"/>
      <c r="AA237" s="1237"/>
      <c r="AB237" s="17"/>
      <c r="AC237" s="17"/>
      <c r="AD237" s="17"/>
      <c r="AE237" s="573"/>
      <c r="AF237" s="11"/>
      <c r="AG237" s="1237"/>
      <c r="AH237" s="17"/>
      <c r="AI237" s="17"/>
      <c r="AJ237" s="17"/>
      <c r="AK237" s="573"/>
      <c r="AL237" s="11"/>
      <c r="AM237" s="1237"/>
      <c r="AN237" s="17"/>
      <c r="AO237" s="17"/>
      <c r="AP237" s="17"/>
      <c r="AQ237" s="573"/>
      <c r="AR237" s="11"/>
      <c r="AS237" s="1237"/>
      <c r="AT237" s="17"/>
      <c r="AU237" s="17"/>
      <c r="AV237" s="17"/>
      <c r="AW237" s="573"/>
      <c r="AX237" s="11"/>
      <c r="AY237" s="1237"/>
      <c r="AZ237" s="17"/>
      <c r="BA237" s="17"/>
      <c r="BB237" s="17"/>
      <c r="BC237" s="573"/>
      <c r="BD237" s="11"/>
      <c r="BE237" s="1237"/>
      <c r="BF237" s="17"/>
      <c r="BG237" s="17"/>
      <c r="BH237" s="17"/>
      <c r="BI237" s="573"/>
      <c r="BJ237" s="11"/>
      <c r="BK237" s="1237"/>
      <c r="BL237" s="17"/>
      <c r="BM237" s="17"/>
      <c r="BN237" s="17"/>
      <c r="BO237" s="573"/>
      <c r="BP237" s="11"/>
      <c r="BQ237" s="1237"/>
      <c r="BR237" s="17"/>
      <c r="BS237" s="17"/>
      <c r="BT237" s="17"/>
      <c r="BU237" s="573"/>
      <c r="BV237" s="11"/>
      <c r="BW237" s="1237"/>
      <c r="BX237" s="17"/>
      <c r="BY237" s="17"/>
      <c r="BZ237" s="17"/>
      <c r="CA237" s="573"/>
      <c r="CB237" s="11"/>
      <c r="CC237" s="1237"/>
      <c r="CD237" s="17"/>
      <c r="CE237" s="17"/>
      <c r="CF237" s="17"/>
      <c r="CG237" s="573"/>
      <c r="CH237" s="11"/>
      <c r="CI237" s="1237"/>
      <c r="CJ237" s="17"/>
      <c r="CK237" s="17"/>
      <c r="CL237" s="17"/>
      <c r="CM237" s="573"/>
      <c r="CN237" s="456"/>
      <c r="CO237" s="455"/>
    </row>
    <row r="238" spans="1:102" ht="11.25" customHeight="1" x14ac:dyDescent="0.2">
      <c r="A238" s="100"/>
      <c r="B238" s="1234" t="s">
        <v>540</v>
      </c>
      <c r="C238" s="1239"/>
      <c r="D238" s="114"/>
      <c r="E238" s="114"/>
      <c r="F238" s="114"/>
      <c r="G238" s="1257">
        <f>79000*67%</f>
        <v>52930</v>
      </c>
      <c r="H238" s="1209"/>
      <c r="I238" s="1246"/>
      <c r="J238" s="1162"/>
      <c r="K238" s="1162"/>
      <c r="L238" s="1162"/>
      <c r="M238" s="1257">
        <f>79000*67%</f>
        <v>52930</v>
      </c>
      <c r="N238" s="1209"/>
      <c r="O238" s="1246"/>
      <c r="P238" s="1162"/>
      <c r="Q238" s="1162"/>
      <c r="R238" s="1162"/>
      <c r="S238" s="1257">
        <f>79000*67%</f>
        <v>52930</v>
      </c>
      <c r="T238" s="1209"/>
      <c r="U238" s="1246"/>
      <c r="V238" s="1162"/>
      <c r="W238" s="1162"/>
      <c r="X238" s="1162"/>
      <c r="Y238" s="1257">
        <f>79000*67%</f>
        <v>52930</v>
      </c>
      <c r="Z238" s="1209"/>
      <c r="AA238" s="1246"/>
      <c r="AB238" s="1162"/>
      <c r="AC238" s="1162"/>
      <c r="AD238" s="1162"/>
      <c r="AE238" s="1257">
        <f>84000*66%</f>
        <v>55440</v>
      </c>
      <c r="AF238" s="1209"/>
      <c r="AG238" s="1246"/>
      <c r="AH238" s="1162"/>
      <c r="AI238" s="1162"/>
      <c r="AJ238" s="1162"/>
      <c r="AK238" s="1257">
        <v>63000</v>
      </c>
      <c r="AL238" s="1209"/>
      <c r="AM238" s="1246"/>
      <c r="AN238" s="1162"/>
      <c r="AO238" s="1162"/>
      <c r="AP238" s="1162"/>
      <c r="AQ238" s="1257">
        <v>64000</v>
      </c>
      <c r="AR238" s="1209"/>
      <c r="AS238" s="1246"/>
      <c r="AT238" s="1162"/>
      <c r="AU238" s="1162"/>
      <c r="AV238" s="1162"/>
      <c r="AW238" s="1257">
        <v>64000</v>
      </c>
      <c r="AX238" s="31"/>
      <c r="AY238" s="1239"/>
      <c r="AZ238" s="114"/>
      <c r="BA238" s="114"/>
      <c r="BB238" s="114"/>
      <c r="BC238" s="1268">
        <v>65000</v>
      </c>
      <c r="BD238" s="31"/>
      <c r="BE238" s="1239"/>
      <c r="BF238" s="114"/>
      <c r="BG238" s="114"/>
      <c r="BH238" s="114"/>
      <c r="BI238" s="1257">
        <v>66000</v>
      </c>
      <c r="BJ238" s="11"/>
      <c r="BK238" s="1237"/>
      <c r="BL238" s="17"/>
      <c r="BM238" s="17"/>
      <c r="BN238" s="17"/>
      <c r="BO238" s="1257">
        <v>68000</v>
      </c>
      <c r="BP238" s="11"/>
      <c r="BQ238" s="1237"/>
      <c r="BR238" s="17"/>
      <c r="BS238" s="17"/>
      <c r="BT238" s="17"/>
      <c r="BU238" s="573"/>
      <c r="BV238" s="11"/>
      <c r="BW238" s="1237"/>
      <c r="BX238" s="17"/>
      <c r="BY238" s="17"/>
      <c r="BZ238" s="17"/>
      <c r="CA238" s="573"/>
      <c r="CB238" s="11"/>
      <c r="CC238" s="1237"/>
      <c r="CD238" s="17"/>
      <c r="CE238" s="17"/>
      <c r="CF238" s="17"/>
      <c r="CG238" s="573"/>
      <c r="CH238" s="11"/>
      <c r="CI238" s="1237"/>
      <c r="CJ238" s="17"/>
      <c r="CK238" s="17"/>
      <c r="CL238" s="17"/>
      <c r="CM238" s="573"/>
      <c r="CN238" s="456"/>
      <c r="CO238" s="455"/>
    </row>
    <row r="239" spans="1:102" ht="11.25" customHeight="1" x14ac:dyDescent="0.2">
      <c r="A239" s="100"/>
      <c r="B239" s="1234" t="s">
        <v>546</v>
      </c>
      <c r="C239" s="1239"/>
      <c r="D239" s="114"/>
      <c r="E239" s="114"/>
      <c r="F239" s="114"/>
      <c r="G239" s="1259">
        <v>28336</v>
      </c>
      <c r="H239" s="1209"/>
      <c r="I239" s="1246"/>
      <c r="J239" s="1162"/>
      <c r="K239" s="1162"/>
      <c r="L239" s="1162"/>
      <c r="M239" s="1259">
        <v>28547</v>
      </c>
      <c r="N239" s="1209"/>
      <c r="O239" s="1246"/>
      <c r="P239" s="1162"/>
      <c r="Q239" s="1162"/>
      <c r="R239" s="1162"/>
      <c r="S239" s="1259">
        <v>28691</v>
      </c>
      <c r="T239" s="1209"/>
      <c r="U239" s="1246"/>
      <c r="V239" s="1162"/>
      <c r="W239" s="1162"/>
      <c r="X239" s="1162"/>
      <c r="Y239" s="1259">
        <v>29043</v>
      </c>
      <c r="Z239" s="1209"/>
      <c r="AA239" s="1246"/>
      <c r="AB239" s="1162"/>
      <c r="AC239" s="1162"/>
      <c r="AD239" s="1162"/>
      <c r="AE239" s="1259">
        <v>29422</v>
      </c>
      <c r="AF239" s="1209"/>
      <c r="AG239" s="1246"/>
      <c r="AH239" s="1162"/>
      <c r="AI239" s="1162"/>
      <c r="AJ239" s="1162"/>
      <c r="AK239" s="1259">
        <v>30106</v>
      </c>
      <c r="AL239" s="1209"/>
      <c r="AM239" s="1246"/>
      <c r="AN239" s="1162"/>
      <c r="AO239" s="1162"/>
      <c r="AP239" s="1162"/>
      <c r="AQ239" s="1259">
        <v>30347</v>
      </c>
      <c r="AR239" s="1209"/>
      <c r="AS239" s="1246"/>
      <c r="AT239" s="1162"/>
      <c r="AU239" s="1162"/>
      <c r="AV239" s="1162"/>
      <c r="AW239" s="1259">
        <v>30611</v>
      </c>
      <c r="AX239" s="31"/>
      <c r="AY239" s="1239"/>
      <c r="AZ239" s="114"/>
      <c r="BA239" s="114"/>
      <c r="BB239" s="114"/>
      <c r="BC239" s="1259">
        <v>30917.11</v>
      </c>
      <c r="BD239" s="31"/>
      <c r="BE239" s="1239"/>
      <c r="BF239" s="114"/>
      <c r="BG239" s="114"/>
      <c r="BH239" s="114"/>
      <c r="BI239" s="1259">
        <v>31195.363989999998</v>
      </c>
      <c r="BJ239" s="11"/>
      <c r="BK239" s="1237"/>
      <c r="BL239" s="17"/>
      <c r="BM239" s="17"/>
      <c r="BN239" s="17"/>
      <c r="BO239" s="1259">
        <v>31444.926901919996</v>
      </c>
      <c r="BP239" s="11"/>
      <c r="BQ239" s="1237"/>
      <c r="BR239" s="17"/>
      <c r="BS239" s="17"/>
      <c r="BT239" s="17"/>
      <c r="BU239" s="573"/>
      <c r="BV239" s="11"/>
      <c r="BW239" s="1237"/>
      <c r="BX239" s="17"/>
      <c r="BY239" s="17"/>
      <c r="BZ239" s="17"/>
      <c r="CA239" s="573"/>
      <c r="CB239" s="11"/>
      <c r="CC239" s="1237"/>
      <c r="CD239" s="17"/>
      <c r="CE239" s="17"/>
      <c r="CF239" s="17"/>
      <c r="CG239" s="573"/>
      <c r="CH239" s="11"/>
      <c r="CI239" s="1237"/>
      <c r="CJ239" s="17"/>
      <c r="CK239" s="17"/>
      <c r="CL239" s="17"/>
      <c r="CM239" s="573"/>
      <c r="CN239" s="456"/>
      <c r="CO239" s="455"/>
    </row>
    <row r="240" spans="1:102" ht="11.25" customHeight="1" x14ac:dyDescent="0.2">
      <c r="A240" s="100"/>
      <c r="B240" s="1229" t="s">
        <v>535</v>
      </c>
      <c r="C240" s="1237"/>
      <c r="D240" s="17"/>
      <c r="E240" s="17"/>
      <c r="F240" s="17"/>
      <c r="G240" s="573"/>
      <c r="H240" s="11"/>
      <c r="I240" s="1237"/>
      <c r="J240" s="17"/>
      <c r="K240" s="17"/>
      <c r="L240" s="17"/>
      <c r="M240" s="573"/>
      <c r="N240" s="11"/>
      <c r="O240" s="1237"/>
      <c r="P240" s="17"/>
      <c r="Q240" s="17"/>
      <c r="R240" s="17"/>
      <c r="S240" s="573"/>
      <c r="T240" s="11"/>
      <c r="U240" s="1237"/>
      <c r="V240" s="17"/>
      <c r="W240" s="17"/>
      <c r="X240" s="17"/>
      <c r="Y240" s="573"/>
      <c r="Z240" s="11"/>
      <c r="AA240" s="1237"/>
      <c r="AB240" s="17"/>
      <c r="AC240" s="17"/>
      <c r="AD240" s="17"/>
      <c r="AE240" s="573"/>
      <c r="AF240" s="11"/>
      <c r="AG240" s="1237"/>
      <c r="AH240" s="17"/>
      <c r="AI240" s="17"/>
      <c r="AJ240" s="17"/>
      <c r="AK240" s="1257">
        <v>22000</v>
      </c>
      <c r="AL240" s="11"/>
      <c r="AM240" s="1237"/>
      <c r="AN240" s="17"/>
      <c r="AO240" s="17"/>
      <c r="AP240" s="17"/>
      <c r="AQ240" s="1257">
        <v>21000</v>
      </c>
      <c r="AR240" s="11"/>
      <c r="AS240" s="1237"/>
      <c r="AT240" s="17"/>
      <c r="AU240" s="17"/>
      <c r="AV240" s="17"/>
      <c r="AW240" s="1257">
        <v>20000</v>
      </c>
      <c r="AX240" s="11"/>
      <c r="AY240" s="1237"/>
      <c r="AZ240" s="17"/>
      <c r="BA240" s="17"/>
      <c r="BB240" s="17"/>
      <c r="BC240" s="1257">
        <v>21000</v>
      </c>
      <c r="BD240" s="11"/>
      <c r="BE240" s="1237"/>
      <c r="BF240" s="17"/>
      <c r="BG240" s="17"/>
      <c r="BH240" s="17"/>
      <c r="BI240" s="573"/>
      <c r="BJ240" s="11"/>
      <c r="BK240" s="1237"/>
      <c r="BL240" s="17"/>
      <c r="BM240" s="17"/>
      <c r="BN240" s="17"/>
      <c r="BO240" s="573"/>
      <c r="BP240" s="11"/>
      <c r="BQ240" s="1237"/>
      <c r="BR240" s="17"/>
      <c r="BS240" s="17"/>
      <c r="BT240" s="17"/>
      <c r="BU240" s="573"/>
      <c r="BV240" s="11"/>
      <c r="BW240" s="1237"/>
      <c r="BX240" s="17"/>
      <c r="BY240" s="17"/>
      <c r="BZ240" s="17"/>
      <c r="CA240" s="573"/>
      <c r="CB240" s="11"/>
      <c r="CC240" s="1237"/>
      <c r="CD240" s="17"/>
      <c r="CE240" s="17"/>
      <c r="CF240" s="17"/>
      <c r="CG240" s="573"/>
      <c r="CH240" s="11"/>
      <c r="CI240" s="1237"/>
      <c r="CJ240" s="17"/>
      <c r="CK240" s="17"/>
      <c r="CL240" s="17"/>
      <c r="CM240" s="573"/>
      <c r="CN240" s="456"/>
      <c r="CO240" s="455"/>
    </row>
    <row r="241" spans="1:100" ht="11.25" customHeight="1" x14ac:dyDescent="0.2">
      <c r="A241" s="100"/>
      <c r="B241" s="1198" t="s">
        <v>560</v>
      </c>
      <c r="C241" s="1237"/>
      <c r="D241" s="17"/>
      <c r="E241" s="17"/>
      <c r="F241" s="17"/>
      <c r="G241" s="1260">
        <f>+G240/G239</f>
        <v>0</v>
      </c>
      <c r="H241" s="11"/>
      <c r="I241" s="1237"/>
      <c r="J241" s="17"/>
      <c r="K241" s="17"/>
      <c r="L241" s="17"/>
      <c r="M241" s="1260">
        <f>+M240/M239</f>
        <v>0</v>
      </c>
      <c r="N241" s="11"/>
      <c r="O241" s="1237"/>
      <c r="P241" s="17"/>
      <c r="Q241" s="17"/>
      <c r="R241" s="17"/>
      <c r="S241" s="1260">
        <f>+S240/S239</f>
        <v>0</v>
      </c>
      <c r="T241" s="11"/>
      <c r="U241" s="1237"/>
      <c r="V241" s="17"/>
      <c r="W241" s="17"/>
      <c r="X241" s="17"/>
      <c r="Y241" s="1260">
        <f>+Y240/Y239</f>
        <v>0</v>
      </c>
      <c r="Z241" s="11"/>
      <c r="AA241" s="1237"/>
      <c r="AB241" s="17"/>
      <c r="AC241" s="17"/>
      <c r="AD241" s="17"/>
      <c r="AE241" s="1260">
        <f>+AE240/AE239</f>
        <v>0</v>
      </c>
      <c r="AF241" s="11"/>
      <c r="AG241" s="1237"/>
      <c r="AH241" s="17"/>
      <c r="AI241" s="17"/>
      <c r="AJ241" s="17"/>
      <c r="AK241" s="1014">
        <f>+AK240/AK239</f>
        <v>0.73075134524679464</v>
      </c>
      <c r="AL241" s="11"/>
      <c r="AM241" s="1237"/>
      <c r="AN241" s="17"/>
      <c r="AO241" s="17"/>
      <c r="AP241" s="17"/>
      <c r="AQ241" s="1014">
        <f>+AQ240/AQ239</f>
        <v>0.69199591392888915</v>
      </c>
      <c r="AR241" s="11"/>
      <c r="AS241" s="1237"/>
      <c r="AT241" s="17"/>
      <c r="AU241" s="17"/>
      <c r="AV241" s="17"/>
      <c r="AW241" s="1014">
        <f>+AW240/AW239</f>
        <v>0.6533599033027343</v>
      </c>
      <c r="AX241" s="11"/>
      <c r="AY241" s="1237"/>
      <c r="AZ241" s="17"/>
      <c r="BA241" s="17"/>
      <c r="BB241" s="17"/>
      <c r="BC241" s="1014">
        <f>+BC240/BC239</f>
        <v>0.679235543037496</v>
      </c>
      <c r="BD241" s="11"/>
      <c r="BE241" s="1237"/>
      <c r="BF241" s="17"/>
      <c r="BG241" s="17"/>
      <c r="BH241" s="17"/>
      <c r="BI241" s="1014"/>
      <c r="BJ241" s="11"/>
      <c r="BK241" s="1237"/>
      <c r="BL241" s="17"/>
      <c r="BM241" s="17"/>
      <c r="BN241" s="17"/>
      <c r="BO241" s="1014"/>
      <c r="BP241" s="11"/>
      <c r="BQ241" s="1237"/>
      <c r="BR241" s="17"/>
      <c r="BS241" s="17"/>
      <c r="BT241" s="17"/>
      <c r="BU241" s="573"/>
      <c r="BV241" s="11"/>
      <c r="BW241" s="1237"/>
      <c r="BX241" s="17"/>
      <c r="BY241" s="17"/>
      <c r="BZ241" s="17"/>
      <c r="CA241" s="573"/>
      <c r="CB241" s="11"/>
      <c r="CC241" s="1237"/>
      <c r="CD241" s="17"/>
      <c r="CE241" s="17"/>
      <c r="CF241" s="17"/>
      <c r="CG241" s="573"/>
      <c r="CH241" s="11"/>
      <c r="CI241" s="1237"/>
      <c r="CJ241" s="17"/>
      <c r="CK241" s="17"/>
      <c r="CL241" s="17"/>
      <c r="CM241" s="573"/>
      <c r="CN241" s="456"/>
      <c r="CO241" s="455"/>
    </row>
    <row r="242" spans="1:100" ht="11.25" customHeight="1" x14ac:dyDescent="0.2">
      <c r="A242" s="100"/>
      <c r="B242" s="1229"/>
      <c r="C242" s="1237"/>
      <c r="D242" s="17"/>
      <c r="E242" s="17"/>
      <c r="F242" s="17"/>
      <c r="G242" s="573"/>
      <c r="H242" s="11"/>
      <c r="I242" s="1237"/>
      <c r="J242" s="17"/>
      <c r="K242" s="17"/>
      <c r="L242" s="17"/>
      <c r="M242" s="573"/>
      <c r="N242" s="11"/>
      <c r="O242" s="1237"/>
      <c r="P242" s="17"/>
      <c r="Q242" s="17"/>
      <c r="R242" s="17"/>
      <c r="S242" s="573"/>
      <c r="T242" s="11"/>
      <c r="U242" s="1237"/>
      <c r="V242" s="17"/>
      <c r="W242" s="17"/>
      <c r="X242" s="17"/>
      <c r="Y242" s="573"/>
      <c r="Z242" s="11"/>
      <c r="AA242" s="1237"/>
      <c r="AB242" s="17"/>
      <c r="AC242" s="17"/>
      <c r="AD242" s="17"/>
      <c r="AE242" s="573"/>
      <c r="AF242" s="11"/>
      <c r="AG242" s="1237"/>
      <c r="AH242" s="17"/>
      <c r="AI242" s="17"/>
      <c r="AJ242" s="17"/>
      <c r="AK242" s="1257"/>
      <c r="AL242" s="11"/>
      <c r="AM242" s="1237"/>
      <c r="AN242" s="17"/>
      <c r="AO242" s="17"/>
      <c r="AP242" s="17"/>
      <c r="AQ242" s="1257"/>
      <c r="AR242" s="11"/>
      <c r="AS242" s="1237"/>
      <c r="AT242" s="17"/>
      <c r="AU242" s="17"/>
      <c r="AV242" s="17"/>
      <c r="AW242" s="1257"/>
      <c r="AX242" s="11"/>
      <c r="AY242" s="1237"/>
      <c r="AZ242" s="17"/>
      <c r="BA242" s="17"/>
      <c r="BB242" s="17"/>
      <c r="BC242" s="1257"/>
      <c r="BD242" s="11"/>
      <c r="BE242" s="1237"/>
      <c r="BF242" s="17"/>
      <c r="BG242" s="17"/>
      <c r="BH242" s="17"/>
      <c r="BI242" s="573"/>
      <c r="BJ242" s="11"/>
      <c r="BK242" s="1237"/>
      <c r="BL242" s="17"/>
      <c r="BM242" s="17"/>
      <c r="BN242" s="17"/>
      <c r="BO242" s="573"/>
      <c r="BP242" s="11"/>
      <c r="BQ242" s="1237"/>
      <c r="BR242" s="17"/>
      <c r="BS242" s="17"/>
      <c r="BT242" s="17"/>
      <c r="BU242" s="573"/>
      <c r="BV242" s="11"/>
      <c r="BW242" s="1237"/>
      <c r="BX242" s="17"/>
      <c r="BY242" s="17"/>
      <c r="BZ242" s="17"/>
      <c r="CA242" s="573"/>
      <c r="CB242" s="11"/>
      <c r="CC242" s="1237"/>
      <c r="CD242" s="17"/>
      <c r="CE242" s="17"/>
      <c r="CF242" s="17"/>
      <c r="CG242" s="573"/>
      <c r="CH242" s="11"/>
      <c r="CI242" s="1237"/>
      <c r="CJ242" s="17"/>
      <c r="CK242" s="17"/>
      <c r="CL242" s="17"/>
      <c r="CM242" s="573"/>
      <c r="CN242" s="456"/>
      <c r="CO242" s="455"/>
    </row>
    <row r="243" spans="1:100" ht="11.25" customHeight="1" x14ac:dyDescent="0.2">
      <c r="A243" s="100"/>
      <c r="B243" s="1229" t="s">
        <v>512</v>
      </c>
      <c r="C243" s="1237"/>
      <c r="D243" s="17"/>
      <c r="E243" s="17"/>
      <c r="F243" s="17"/>
      <c r="G243" s="1258">
        <v>175</v>
      </c>
      <c r="H243" s="11"/>
      <c r="I243" s="1237"/>
      <c r="J243" s="17"/>
      <c r="K243" s="17"/>
      <c r="L243" s="17"/>
      <c r="M243" s="1258">
        <v>175</v>
      </c>
      <c r="N243" s="11"/>
      <c r="O243" s="1237"/>
      <c r="P243" s="17"/>
      <c r="Q243" s="17"/>
      <c r="R243" s="17"/>
      <c r="S243" s="1258">
        <v>235</v>
      </c>
      <c r="T243" s="11"/>
      <c r="U243" s="1237"/>
      <c r="V243" s="17"/>
      <c r="W243" s="17"/>
      <c r="X243" s="17"/>
      <c r="Y243" s="1258">
        <v>235</v>
      </c>
      <c r="Z243" s="11"/>
      <c r="AA243" s="1237"/>
      <c r="AB243" s="17"/>
      <c r="AC243" s="17"/>
      <c r="AD243" s="17"/>
      <c r="AE243" s="1258">
        <v>230</v>
      </c>
      <c r="AF243" s="11"/>
      <c r="AG243" s="1237"/>
      <c r="AH243" s="17"/>
      <c r="AI243" s="17"/>
      <c r="AJ243" s="17"/>
      <c r="AK243" s="1258">
        <v>214</v>
      </c>
      <c r="AL243" s="11"/>
      <c r="AM243" s="1237"/>
      <c r="AN243" s="17"/>
      <c r="AO243" s="17"/>
      <c r="AP243" s="17"/>
      <c r="AQ243" s="1258">
        <v>209</v>
      </c>
      <c r="AR243" s="11"/>
      <c r="AS243" s="1237"/>
      <c r="AT243" s="17"/>
      <c r="AU243" s="17"/>
      <c r="AV243" s="17"/>
      <c r="AW243" s="1258">
        <v>220</v>
      </c>
      <c r="AX243" s="11"/>
      <c r="AY243" s="1237"/>
      <c r="AZ243" s="17"/>
      <c r="BA243" s="17"/>
      <c r="BB243" s="17"/>
      <c r="BC243" s="1258">
        <v>230</v>
      </c>
      <c r="BD243" s="11"/>
      <c r="BE243" s="1237"/>
      <c r="BF243" s="17"/>
      <c r="BG243" s="17"/>
      <c r="BH243" s="17"/>
      <c r="BI243" s="1258"/>
      <c r="BJ243" s="11"/>
      <c r="BK243" s="1237"/>
      <c r="BL243" s="17"/>
      <c r="BM243" s="17"/>
      <c r="BN243" s="17"/>
      <c r="BO243" s="1258"/>
      <c r="BP243" s="11"/>
      <c r="BQ243" s="1237"/>
      <c r="BR243" s="17"/>
      <c r="BS243" s="17"/>
      <c r="BT243" s="17"/>
      <c r="BU243" s="573"/>
      <c r="BV243" s="11"/>
      <c r="BW243" s="1237"/>
      <c r="BX243" s="17"/>
      <c r="BY243" s="17"/>
      <c r="BZ243" s="17"/>
      <c r="CA243" s="573"/>
      <c r="CB243" s="11"/>
      <c r="CC243" s="1237"/>
      <c r="CD243" s="17"/>
      <c r="CE243" s="17"/>
      <c r="CF243" s="17"/>
      <c r="CG243" s="573"/>
      <c r="CH243" s="11"/>
      <c r="CI243" s="1237"/>
      <c r="CJ243" s="17"/>
      <c r="CK243" s="17"/>
      <c r="CL243" s="17"/>
      <c r="CM243" s="573"/>
      <c r="CN243" s="456"/>
      <c r="CO243" s="455"/>
    </row>
    <row r="244" spans="1:100" ht="11.25" customHeight="1" x14ac:dyDescent="0.2">
      <c r="A244" s="100"/>
      <c r="B244" s="1229" t="s">
        <v>522</v>
      </c>
      <c r="C244" s="1237"/>
      <c r="D244" s="17"/>
      <c r="E244" s="17"/>
      <c r="F244" s="17"/>
      <c r="G244" s="1258"/>
      <c r="H244" s="11"/>
      <c r="I244" s="1237"/>
      <c r="J244" s="17"/>
      <c r="K244" s="17"/>
      <c r="L244" s="17"/>
      <c r="M244" s="1258"/>
      <c r="N244" s="11"/>
      <c r="O244" s="1237"/>
      <c r="P244" s="17"/>
      <c r="Q244" s="17"/>
      <c r="R244" s="17"/>
      <c r="S244" s="1258"/>
      <c r="T244" s="11"/>
      <c r="U244" s="1237"/>
      <c r="V244" s="17"/>
      <c r="W244" s="17"/>
      <c r="X244" s="17"/>
      <c r="Y244" s="1258"/>
      <c r="Z244" s="11"/>
      <c r="AA244" s="1237"/>
      <c r="AB244" s="17"/>
      <c r="AC244" s="17"/>
      <c r="AD244" s="17"/>
      <c r="AE244" s="1258"/>
      <c r="AF244" s="11"/>
      <c r="AG244" s="1237"/>
      <c r="AH244" s="17"/>
      <c r="AI244" s="17"/>
      <c r="AJ244" s="17"/>
      <c r="AK244" s="1258">
        <v>135</v>
      </c>
      <c r="AL244" s="11"/>
      <c r="AM244" s="1237"/>
      <c r="AN244" s="17"/>
      <c r="AO244" s="17"/>
      <c r="AP244" s="17"/>
      <c r="AQ244" s="1258">
        <v>134</v>
      </c>
      <c r="AR244" s="11"/>
      <c r="AS244" s="1237"/>
      <c r="AT244" s="17"/>
      <c r="AU244" s="17"/>
      <c r="AV244" s="17"/>
      <c r="AW244" s="1258">
        <v>127</v>
      </c>
      <c r="AX244" s="11"/>
      <c r="AY244" s="1237"/>
      <c r="AZ244" s="17"/>
      <c r="BA244" s="17"/>
      <c r="BB244" s="17"/>
      <c r="BC244" s="1258">
        <v>115</v>
      </c>
      <c r="BD244" s="11"/>
      <c r="BE244" s="1237"/>
      <c r="BF244" s="17"/>
      <c r="BG244" s="17"/>
      <c r="BH244" s="17"/>
      <c r="BI244" s="1258"/>
      <c r="BJ244" s="11"/>
      <c r="BK244" s="1237"/>
      <c r="BL244" s="17"/>
      <c r="BM244" s="17"/>
      <c r="BN244" s="17"/>
      <c r="BO244" s="1258"/>
      <c r="BP244" s="11"/>
      <c r="BQ244" s="1237"/>
      <c r="BR244" s="17"/>
      <c r="BS244" s="17"/>
      <c r="BT244" s="17"/>
      <c r="BU244" s="573"/>
      <c r="BV244" s="11"/>
      <c r="BW244" s="1237"/>
      <c r="BX244" s="17"/>
      <c r="BY244" s="17"/>
      <c r="BZ244" s="17"/>
      <c r="CA244" s="573"/>
      <c r="CB244" s="11"/>
      <c r="CC244" s="1237"/>
      <c r="CD244" s="17"/>
      <c r="CE244" s="17"/>
      <c r="CF244" s="17"/>
      <c r="CG244" s="573"/>
      <c r="CH244" s="11"/>
      <c r="CI244" s="1237"/>
      <c r="CJ244" s="17"/>
      <c r="CK244" s="17"/>
      <c r="CL244" s="17"/>
      <c r="CM244" s="573"/>
      <c r="CN244" s="456"/>
      <c r="CO244" s="455"/>
    </row>
    <row r="245" spans="1:100" ht="11.25" customHeight="1" x14ac:dyDescent="0.2">
      <c r="A245" s="100"/>
      <c r="B245" s="1229"/>
      <c r="C245" s="1237"/>
      <c r="D245" s="17"/>
      <c r="E245" s="17"/>
      <c r="F245" s="17"/>
      <c r="G245" s="1258"/>
      <c r="H245" s="11"/>
      <c r="I245" s="1237"/>
      <c r="J245" s="17"/>
      <c r="K245" s="17"/>
      <c r="L245" s="17"/>
      <c r="M245" s="1258"/>
      <c r="N245" s="11"/>
      <c r="O245" s="1237"/>
      <c r="P245" s="17"/>
      <c r="Q245" s="17"/>
      <c r="R245" s="17"/>
      <c r="S245" s="1258"/>
      <c r="T245" s="11"/>
      <c r="U245" s="1237"/>
      <c r="V245" s="17"/>
      <c r="W245" s="17"/>
      <c r="X245" s="17"/>
      <c r="Y245" s="1258"/>
      <c r="Z245" s="11"/>
      <c r="AA245" s="1237"/>
      <c r="AB245" s="17"/>
      <c r="AC245" s="17"/>
      <c r="AD245" s="17"/>
      <c r="AE245" s="1258"/>
      <c r="AF245" s="11"/>
      <c r="AG245" s="1237"/>
      <c r="AH245" s="17"/>
      <c r="AI245" s="17"/>
      <c r="AJ245" s="17"/>
      <c r="AK245" s="1258"/>
      <c r="AL245" s="11"/>
      <c r="AM245" s="1237"/>
      <c r="AN245" s="17"/>
      <c r="AO245" s="17"/>
      <c r="AP245" s="17"/>
      <c r="AQ245" s="1258"/>
      <c r="AR245" s="11"/>
      <c r="AS245" s="1237"/>
      <c r="AT245" s="17"/>
      <c r="AU245" s="17"/>
      <c r="AV245" s="17"/>
      <c r="AW245" s="1258"/>
      <c r="AX245" s="11"/>
      <c r="AY245" s="1237"/>
      <c r="AZ245" s="17"/>
      <c r="BA245" s="17"/>
      <c r="BB245" s="17"/>
      <c r="BC245" s="1258"/>
      <c r="BD245" s="11"/>
      <c r="BE245" s="1237"/>
      <c r="BF245" s="17"/>
      <c r="BG245" s="17"/>
      <c r="BH245" s="17"/>
      <c r="BI245" s="1258"/>
      <c r="BJ245" s="11"/>
      <c r="BK245" s="1237"/>
      <c r="BL245" s="17"/>
      <c r="BM245" s="17"/>
      <c r="BN245" s="17"/>
      <c r="BO245" s="1258"/>
      <c r="BP245" s="11"/>
      <c r="BQ245" s="1237"/>
      <c r="BR245" s="17"/>
      <c r="BS245" s="17"/>
      <c r="BT245" s="17"/>
      <c r="BU245" s="573"/>
      <c r="BV245" s="11"/>
      <c r="BW245" s="1237"/>
      <c r="BX245" s="17"/>
      <c r="BY245" s="17"/>
      <c r="BZ245" s="17"/>
      <c r="CA245" s="573"/>
      <c r="CB245" s="11"/>
      <c r="CC245" s="1237"/>
      <c r="CD245" s="17"/>
      <c r="CE245" s="17"/>
      <c r="CF245" s="17"/>
      <c r="CG245" s="573"/>
      <c r="CH245" s="11"/>
      <c r="CI245" s="1237"/>
      <c r="CJ245" s="17"/>
      <c r="CK245" s="17"/>
      <c r="CL245" s="17"/>
      <c r="CM245" s="573"/>
      <c r="CN245" s="456"/>
      <c r="CO245" s="455"/>
    </row>
    <row r="246" spans="1:100" ht="11.25" customHeight="1" x14ac:dyDescent="0.2">
      <c r="A246" s="100"/>
      <c r="B246" s="1229" t="s">
        <v>534</v>
      </c>
      <c r="C246" s="1237"/>
      <c r="D246" s="17"/>
      <c r="E246" s="17"/>
      <c r="F246" s="17"/>
      <c r="G246" s="1258"/>
      <c r="H246" s="11"/>
      <c r="I246" s="1237"/>
      <c r="J246" s="17"/>
      <c r="K246" s="17"/>
      <c r="L246" s="17"/>
      <c r="M246" s="1258"/>
      <c r="N246" s="11"/>
      <c r="O246" s="1237"/>
      <c r="P246" s="17"/>
      <c r="Q246" s="17"/>
      <c r="R246" s="17"/>
      <c r="S246" s="1258"/>
      <c r="T246" s="11"/>
      <c r="U246" s="1237"/>
      <c r="V246" s="17"/>
      <c r="W246" s="17"/>
      <c r="X246" s="17"/>
      <c r="Y246" s="1258"/>
      <c r="Z246" s="11"/>
      <c r="AA246" s="1237"/>
      <c r="AB246" s="17"/>
      <c r="AC246" s="17"/>
      <c r="AD246" s="17"/>
      <c r="AE246" s="1258"/>
      <c r="AF246" s="11"/>
      <c r="AG246" s="1237"/>
      <c r="AH246" s="17"/>
      <c r="AI246" s="17"/>
      <c r="AJ246" s="17"/>
      <c r="AK246" s="1252">
        <v>0.25</v>
      </c>
      <c r="AL246" s="11"/>
      <c r="AM246" s="1237"/>
      <c r="AN246" s="17"/>
      <c r="AO246" s="17"/>
      <c r="AP246" s="17"/>
      <c r="AQ246" s="1267" t="s">
        <v>254</v>
      </c>
      <c r="AR246" s="11"/>
      <c r="AS246" s="1237"/>
      <c r="AT246" s="17"/>
      <c r="AU246" s="17"/>
      <c r="AV246" s="17"/>
      <c r="AW246" s="1252">
        <v>0.36</v>
      </c>
      <c r="AX246" s="11"/>
      <c r="AY246" s="1237"/>
      <c r="AZ246" s="17"/>
      <c r="BA246" s="17"/>
      <c r="BB246" s="17"/>
      <c r="BC246" s="1252">
        <v>0.38</v>
      </c>
      <c r="BD246" s="11"/>
      <c r="BE246" s="1237"/>
      <c r="BF246" s="17"/>
      <c r="BG246" s="17"/>
      <c r="BH246" s="17"/>
      <c r="BI246" s="1258"/>
      <c r="BJ246" s="11"/>
      <c r="BK246" s="1237"/>
      <c r="BL246" s="17"/>
      <c r="BM246" s="17"/>
      <c r="BN246" s="17"/>
      <c r="BO246" s="1258"/>
      <c r="BP246" s="11"/>
      <c r="BQ246" s="1237"/>
      <c r="BR246" s="17"/>
      <c r="BS246" s="17"/>
      <c r="BT246" s="17"/>
      <c r="BU246" s="573"/>
      <c r="BV246" s="11"/>
      <c r="BW246" s="1237"/>
      <c r="BX246" s="17"/>
      <c r="BY246" s="17"/>
      <c r="BZ246" s="17"/>
      <c r="CA246" s="573"/>
      <c r="CB246" s="11"/>
      <c r="CC246" s="1237"/>
      <c r="CD246" s="17"/>
      <c r="CE246" s="17"/>
      <c r="CF246" s="17"/>
      <c r="CG246" s="573"/>
      <c r="CH246" s="11"/>
      <c r="CI246" s="1237"/>
      <c r="CJ246" s="17"/>
      <c r="CK246" s="17"/>
      <c r="CL246" s="17"/>
      <c r="CM246" s="573"/>
      <c r="CN246" s="455"/>
      <c r="CO246" s="455"/>
    </row>
    <row r="247" spans="1:100" s="14" customFormat="1" ht="11.25" customHeight="1" x14ac:dyDescent="0.2">
      <c r="A247" s="100"/>
      <c r="B247" s="1234" t="s">
        <v>515</v>
      </c>
      <c r="C247" s="1240"/>
      <c r="D247" s="24"/>
      <c r="E247" s="24"/>
      <c r="F247" s="24"/>
      <c r="G247" s="1261">
        <v>0.5</v>
      </c>
      <c r="I247" s="1240"/>
      <c r="J247" s="24"/>
      <c r="K247" s="24"/>
      <c r="L247" s="24"/>
      <c r="M247" s="1261">
        <v>0.5</v>
      </c>
      <c r="O247" s="1240"/>
      <c r="P247" s="24"/>
      <c r="Q247" s="24"/>
      <c r="R247" s="24"/>
      <c r="S247" s="1261">
        <v>0.5</v>
      </c>
      <c r="U247" s="1240"/>
      <c r="V247" s="24"/>
      <c r="W247" s="24"/>
      <c r="X247" s="24"/>
      <c r="Y247" s="1261">
        <v>0.5</v>
      </c>
      <c r="AA247" s="1240"/>
      <c r="AB247" s="24"/>
      <c r="AC247" s="24"/>
      <c r="AD247" s="24"/>
      <c r="AE247" s="1261">
        <v>0.5</v>
      </c>
      <c r="AG247" s="1240"/>
      <c r="AH247" s="24"/>
      <c r="AI247" s="24"/>
      <c r="AJ247" s="24"/>
      <c r="AK247" s="1267">
        <v>0.5</v>
      </c>
      <c r="AL247" s="50"/>
      <c r="AM247" s="1248"/>
      <c r="AN247" s="412"/>
      <c r="AO247" s="412"/>
      <c r="AP247" s="412"/>
      <c r="AQ247" s="1267" t="s">
        <v>254</v>
      </c>
      <c r="AR247" s="50"/>
      <c r="AS247" s="1248"/>
      <c r="AT247" s="412"/>
      <c r="AU247" s="412"/>
      <c r="AV247" s="412"/>
      <c r="AW247" s="1267" t="s">
        <v>254</v>
      </c>
      <c r="AX247" s="50"/>
      <c r="AY247" s="1248"/>
      <c r="AZ247" s="412"/>
      <c r="BA247" s="412"/>
      <c r="BB247" s="412"/>
      <c r="BC247" s="1267" t="s">
        <v>254</v>
      </c>
      <c r="BD247" s="50"/>
      <c r="BE247" s="1248"/>
      <c r="BF247" s="412"/>
      <c r="BG247" s="412"/>
      <c r="BH247" s="412"/>
      <c r="BI247" s="1267"/>
      <c r="BJ247" s="50"/>
      <c r="BK247" s="1248"/>
      <c r="BL247" s="412"/>
      <c r="BM247" s="412"/>
      <c r="BN247" s="412"/>
      <c r="BO247" s="1267"/>
      <c r="BQ247" s="1240"/>
      <c r="BR247" s="24"/>
      <c r="BS247" s="24"/>
      <c r="BT247" s="24"/>
      <c r="BU247" s="1264"/>
      <c r="BW247" s="1240"/>
      <c r="BX247" s="24"/>
      <c r="BY247" s="24"/>
      <c r="BZ247" s="24"/>
      <c r="CA247" s="1264"/>
      <c r="CC247" s="1240"/>
      <c r="CD247" s="24"/>
      <c r="CE247" s="24"/>
      <c r="CF247" s="24"/>
      <c r="CG247" s="1264"/>
      <c r="CI247" s="1240"/>
      <c r="CJ247" s="24"/>
      <c r="CK247" s="24"/>
      <c r="CL247" s="24"/>
      <c r="CM247" s="1264"/>
      <c r="CN247" s="24"/>
    </row>
    <row r="248" spans="1:100" s="14" customFormat="1" ht="11.25" customHeight="1" x14ac:dyDescent="0.2">
      <c r="A248" s="100"/>
      <c r="B248" s="1234" t="s">
        <v>514</v>
      </c>
      <c r="C248" s="1240"/>
      <c r="D248" s="24"/>
      <c r="E248" s="24"/>
      <c r="F248" s="24"/>
      <c r="G248" s="1261">
        <v>0.7</v>
      </c>
      <c r="I248" s="1240"/>
      <c r="J248" s="24"/>
      <c r="K248" s="24"/>
      <c r="L248" s="24"/>
      <c r="M248" s="1261">
        <v>0.7</v>
      </c>
      <c r="O248" s="1240"/>
      <c r="P248" s="24"/>
      <c r="Q248" s="24"/>
      <c r="R248" s="24"/>
      <c r="S248" s="1261">
        <v>0.7</v>
      </c>
      <c r="U248" s="1240"/>
      <c r="V248" s="24"/>
      <c r="W248" s="24"/>
      <c r="X248" s="24"/>
      <c r="Y248" s="1261">
        <v>0.7</v>
      </c>
      <c r="AA248" s="1240"/>
      <c r="AB248" s="24"/>
      <c r="AC248" s="24"/>
      <c r="AD248" s="24"/>
      <c r="AE248" s="1261">
        <v>0.7</v>
      </c>
      <c r="AG248" s="1240"/>
      <c r="AH248" s="24"/>
      <c r="AI248" s="24"/>
      <c r="AJ248" s="24"/>
      <c r="AK248" s="1267" t="s">
        <v>254</v>
      </c>
      <c r="AL248" s="50"/>
      <c r="AM248" s="1248"/>
      <c r="AN248" s="412"/>
      <c r="AO248" s="412"/>
      <c r="AP248" s="412"/>
      <c r="AQ248" s="1267" t="s">
        <v>254</v>
      </c>
      <c r="AR248" s="50"/>
      <c r="AS248" s="1248"/>
      <c r="AT248" s="412"/>
      <c r="AU248" s="412"/>
      <c r="AV248" s="412"/>
      <c r="AW248" s="1267" t="s">
        <v>254</v>
      </c>
      <c r="AX248" s="50"/>
      <c r="AY248" s="1248"/>
      <c r="AZ248" s="412"/>
      <c r="BA248" s="412"/>
      <c r="BB248" s="412"/>
      <c r="BC248" s="1267" t="s">
        <v>254</v>
      </c>
      <c r="BD248" s="50"/>
      <c r="BE248" s="1248"/>
      <c r="BF248" s="412"/>
      <c r="BG248" s="412"/>
      <c r="BH248" s="412"/>
      <c r="BI248" s="1267"/>
      <c r="BK248" s="1240"/>
      <c r="BL248" s="24"/>
      <c r="BM248" s="24"/>
      <c r="BN248" s="24"/>
      <c r="BO248" s="1261"/>
      <c r="BQ248" s="1240"/>
      <c r="BR248" s="24"/>
      <c r="BS248" s="24"/>
      <c r="BT248" s="24"/>
      <c r="BU248" s="1264"/>
      <c r="BW248" s="1240"/>
      <c r="BX248" s="24"/>
      <c r="BY248" s="24"/>
      <c r="BZ248" s="24"/>
      <c r="CA248" s="1264"/>
      <c r="CC248" s="1240"/>
      <c r="CD248" s="24"/>
      <c r="CE248" s="24"/>
      <c r="CF248" s="24"/>
      <c r="CG248" s="1264"/>
      <c r="CI248" s="1240"/>
      <c r="CJ248" s="24"/>
      <c r="CK248" s="24"/>
      <c r="CL248" s="24"/>
      <c r="CM248" s="1264"/>
      <c r="CN248" s="24"/>
    </row>
    <row r="249" spans="1:100" s="31" customFormat="1" ht="11.25" customHeight="1" x14ac:dyDescent="0.2">
      <c r="A249" s="84"/>
      <c r="B249" s="1235"/>
      <c r="C249" s="1239"/>
      <c r="D249" s="114"/>
      <c r="E249" s="114"/>
      <c r="F249" s="114"/>
      <c r="G249" s="1262"/>
      <c r="I249" s="1239"/>
      <c r="J249" s="114"/>
      <c r="K249" s="114"/>
      <c r="L249" s="114"/>
      <c r="M249" s="1262"/>
      <c r="O249" s="1239"/>
      <c r="P249" s="114"/>
      <c r="Q249" s="114"/>
      <c r="R249" s="114"/>
      <c r="S249" s="1262"/>
      <c r="U249" s="1239"/>
      <c r="V249" s="114"/>
      <c r="W249" s="114"/>
      <c r="X249" s="114"/>
      <c r="Y249" s="1262"/>
      <c r="AA249" s="1239"/>
      <c r="AB249" s="114"/>
      <c r="AC249" s="114"/>
      <c r="AD249" s="114"/>
      <c r="AE249" s="1262"/>
      <c r="AG249" s="1239"/>
      <c r="AH249" s="114"/>
      <c r="AI249" s="114"/>
      <c r="AJ249" s="114"/>
      <c r="AK249" s="1262"/>
      <c r="AM249" s="1239"/>
      <c r="AN249" s="114"/>
      <c r="AO249" s="114"/>
      <c r="AP249" s="114"/>
      <c r="AQ249" s="1262"/>
      <c r="AS249" s="1239"/>
      <c r="AT249" s="114"/>
      <c r="AU249" s="114"/>
      <c r="AV249" s="114"/>
      <c r="AW249" s="1262"/>
      <c r="AY249" s="1239"/>
      <c r="AZ249" s="114"/>
      <c r="BA249" s="114"/>
      <c r="BB249" s="114"/>
      <c r="BC249" s="1262"/>
      <c r="BE249" s="1239"/>
      <c r="BF249" s="114"/>
      <c r="BG249" s="114"/>
      <c r="BH249" s="114"/>
      <c r="BI249" s="1262"/>
      <c r="BK249" s="1239"/>
      <c r="BL249" s="114"/>
      <c r="BM249" s="114"/>
      <c r="BN249" s="114"/>
      <c r="BO249" s="1262"/>
      <c r="BQ249" s="1239"/>
      <c r="BR249" s="114"/>
      <c r="BS249" s="114"/>
      <c r="BT249" s="114"/>
      <c r="BU249" s="1262"/>
      <c r="BW249" s="1239"/>
      <c r="BX249" s="114"/>
      <c r="BY249" s="114"/>
      <c r="BZ249" s="114"/>
      <c r="CA249" s="1262"/>
      <c r="CC249" s="1239"/>
      <c r="CD249" s="114"/>
      <c r="CE249" s="114"/>
      <c r="CF249" s="114"/>
      <c r="CG249" s="1262"/>
      <c r="CI249" s="1239"/>
      <c r="CJ249" s="114"/>
      <c r="CK249" s="114"/>
      <c r="CL249" s="114"/>
      <c r="CM249" s="1262"/>
      <c r="CO249" s="17"/>
      <c r="CQ249" s="9"/>
      <c r="CR249" s="9"/>
      <c r="CS249" s="9"/>
      <c r="CT249" s="9"/>
      <c r="CU249" s="9"/>
      <c r="CV249" s="9"/>
    </row>
    <row r="250" spans="1:100" ht="11.25" customHeight="1" x14ac:dyDescent="0.2">
      <c r="A250" s="100"/>
      <c r="B250" s="1229" t="s">
        <v>519</v>
      </c>
      <c r="C250" s="1237"/>
      <c r="D250" s="17"/>
      <c r="E250" s="17"/>
      <c r="F250" s="17"/>
      <c r="G250" s="1252">
        <v>0.97</v>
      </c>
      <c r="H250" s="1201"/>
      <c r="I250" s="1247"/>
      <c r="J250" s="1245"/>
      <c r="K250" s="1245"/>
      <c r="L250" s="1245"/>
      <c r="M250" s="1252">
        <v>0.98</v>
      </c>
      <c r="N250" s="1201"/>
      <c r="O250" s="1247"/>
      <c r="P250" s="1245"/>
      <c r="Q250" s="1245"/>
      <c r="R250" s="1245"/>
      <c r="S250" s="1252">
        <v>0.98</v>
      </c>
      <c r="T250" s="1201"/>
      <c r="U250" s="1247"/>
      <c r="V250" s="1245"/>
      <c r="W250" s="1245"/>
      <c r="X250" s="1245"/>
      <c r="Y250" s="1252">
        <v>0.97</v>
      </c>
      <c r="Z250" s="11"/>
      <c r="AA250" s="1237"/>
      <c r="AB250" s="17"/>
      <c r="AC250" s="17"/>
      <c r="AD250" s="17"/>
      <c r="AE250" s="1252">
        <v>0.97</v>
      </c>
      <c r="AF250" s="11"/>
      <c r="AG250" s="1237"/>
      <c r="AH250" s="17"/>
      <c r="AI250" s="17"/>
      <c r="AJ250" s="17"/>
      <c r="AK250" s="1252">
        <v>0.97</v>
      </c>
      <c r="AL250" s="11"/>
      <c r="AM250" s="1237"/>
      <c r="AN250" s="17"/>
      <c r="AO250" s="17"/>
      <c r="AP250" s="17"/>
      <c r="AQ250" s="1252">
        <v>0.97</v>
      </c>
      <c r="AR250" s="11"/>
      <c r="AS250" s="1237"/>
      <c r="AT250" s="17"/>
      <c r="AU250" s="17"/>
      <c r="AV250" s="17"/>
      <c r="AW250" s="1252">
        <v>0.97</v>
      </c>
      <c r="AX250" s="11"/>
      <c r="AY250" s="1237"/>
      <c r="AZ250" s="17"/>
      <c r="BA250" s="17"/>
      <c r="BB250" s="17"/>
      <c r="BC250" s="1252">
        <v>0.97</v>
      </c>
      <c r="BD250" s="11"/>
      <c r="BE250" s="1237"/>
      <c r="BF250" s="17"/>
      <c r="BG250" s="17"/>
      <c r="BH250" s="17"/>
      <c r="BI250" s="1252"/>
      <c r="BJ250" s="11"/>
      <c r="BK250" s="1237"/>
      <c r="BL250" s="17"/>
      <c r="BM250" s="17"/>
      <c r="BN250" s="17"/>
      <c r="BO250" s="1252"/>
      <c r="BP250" s="11"/>
      <c r="BQ250" s="1237"/>
      <c r="BR250" s="17"/>
      <c r="BS250" s="17"/>
      <c r="BT250" s="17"/>
      <c r="BU250" s="573"/>
      <c r="BV250" s="11"/>
      <c r="BW250" s="1237"/>
      <c r="BX250" s="17"/>
      <c r="BY250" s="17"/>
      <c r="BZ250" s="17"/>
      <c r="CA250" s="573"/>
      <c r="CB250" s="11"/>
      <c r="CC250" s="1237"/>
      <c r="CD250" s="17"/>
      <c r="CE250" s="17"/>
      <c r="CF250" s="17"/>
      <c r="CG250" s="573"/>
      <c r="CH250" s="11"/>
      <c r="CI250" s="1237"/>
      <c r="CJ250" s="17"/>
      <c r="CK250" s="17"/>
      <c r="CL250" s="17"/>
      <c r="CM250" s="573"/>
      <c r="CN250" s="456"/>
      <c r="CO250" s="455"/>
    </row>
    <row r="251" spans="1:100" ht="11.25" customHeight="1" x14ac:dyDescent="0.2">
      <c r="A251" s="100"/>
      <c r="B251" s="1229"/>
      <c r="C251" s="1237"/>
      <c r="D251" s="17"/>
      <c r="E251" s="17"/>
      <c r="F251" s="17"/>
      <c r="G251" s="1252"/>
      <c r="H251" s="1201"/>
      <c r="I251" s="1247"/>
      <c r="J251" s="1245"/>
      <c r="K251" s="1245"/>
      <c r="L251" s="1245"/>
      <c r="M251" s="1252"/>
      <c r="N251" s="1201"/>
      <c r="O251" s="1247"/>
      <c r="P251" s="1245"/>
      <c r="Q251" s="1245"/>
      <c r="R251" s="1245"/>
      <c r="S251" s="1252"/>
      <c r="T251" s="1201"/>
      <c r="U251" s="1247"/>
      <c r="V251" s="1245"/>
      <c r="W251" s="1245"/>
      <c r="X251" s="1245"/>
      <c r="Y251" s="1252"/>
      <c r="Z251" s="11"/>
      <c r="AA251" s="1237"/>
      <c r="AB251" s="17"/>
      <c r="AC251" s="17"/>
      <c r="AD251" s="17"/>
      <c r="AE251" s="1252"/>
      <c r="AF251" s="11"/>
      <c r="AG251" s="1237"/>
      <c r="AH251" s="17"/>
      <c r="AI251" s="17"/>
      <c r="AJ251" s="17"/>
      <c r="AK251" s="1252"/>
      <c r="AL251" s="11"/>
      <c r="AM251" s="1237"/>
      <c r="AN251" s="17"/>
      <c r="AO251" s="17"/>
      <c r="AP251" s="17"/>
      <c r="AQ251" s="1252"/>
      <c r="AR251" s="11"/>
      <c r="AS251" s="1237"/>
      <c r="AT251" s="17"/>
      <c r="AU251" s="17"/>
      <c r="AV251" s="17"/>
      <c r="AW251" s="1252"/>
      <c r="AX251" s="11"/>
      <c r="AY251" s="1237"/>
      <c r="AZ251" s="17"/>
      <c r="BA251" s="17"/>
      <c r="BB251" s="17"/>
      <c r="BC251" s="1252"/>
      <c r="BD251" s="11"/>
      <c r="BE251" s="1237"/>
      <c r="BF251" s="17"/>
      <c r="BG251" s="17"/>
      <c r="BH251" s="17"/>
      <c r="BI251" s="1252"/>
      <c r="BJ251" s="11"/>
      <c r="BK251" s="1237"/>
      <c r="BL251" s="17"/>
      <c r="BM251" s="17"/>
      <c r="BN251" s="17"/>
      <c r="BO251" s="1252"/>
      <c r="BP251" s="11"/>
      <c r="BQ251" s="1237"/>
      <c r="BR251" s="17"/>
      <c r="BS251" s="17"/>
      <c r="BT251" s="17"/>
      <c r="BU251" s="573"/>
      <c r="BV251" s="11"/>
      <c r="BW251" s="1237"/>
      <c r="BX251" s="17"/>
      <c r="BY251" s="17"/>
      <c r="BZ251" s="17"/>
      <c r="CA251" s="573"/>
      <c r="CB251" s="11"/>
      <c r="CC251" s="1237"/>
      <c r="CD251" s="17"/>
      <c r="CE251" s="17"/>
      <c r="CF251" s="17"/>
      <c r="CG251" s="573"/>
      <c r="CH251" s="11"/>
      <c r="CI251" s="1237"/>
      <c r="CJ251" s="17"/>
      <c r="CK251" s="17"/>
      <c r="CL251" s="17"/>
      <c r="CM251" s="573"/>
      <c r="CN251" s="456"/>
      <c r="CO251" s="455"/>
    </row>
    <row r="252" spans="1:100" s="31" customFormat="1" ht="11.25" customHeight="1" x14ac:dyDescent="0.2">
      <c r="A252" s="84"/>
      <c r="B252" s="1230" t="s">
        <v>542</v>
      </c>
      <c r="C252" s="1239"/>
      <c r="D252" s="114"/>
      <c r="E252" s="114"/>
      <c r="F252" s="114"/>
      <c r="G252" s="1262"/>
      <c r="I252" s="1239"/>
      <c r="J252" s="114"/>
      <c r="K252" s="114"/>
      <c r="L252" s="114"/>
      <c r="M252" s="1262"/>
      <c r="O252" s="1239"/>
      <c r="P252" s="114"/>
      <c r="Q252" s="114"/>
      <c r="R252" s="114"/>
      <c r="S252" s="1262"/>
      <c r="U252" s="1239"/>
      <c r="V252" s="114"/>
      <c r="W252" s="114"/>
      <c r="X252" s="114"/>
      <c r="Y252" s="1262"/>
      <c r="AA252" s="1239"/>
      <c r="AB252" s="114"/>
      <c r="AC252" s="114"/>
      <c r="AD252" s="114"/>
      <c r="AE252" s="1262"/>
      <c r="AG252" s="1239"/>
      <c r="AH252" s="114"/>
      <c r="AI252" s="114"/>
      <c r="AJ252" s="114"/>
      <c r="AK252" s="1262"/>
      <c r="AM252" s="1239"/>
      <c r="AN252" s="114"/>
      <c r="AO252" s="114"/>
      <c r="AP252" s="114"/>
      <c r="AQ252" s="1262"/>
      <c r="AS252" s="1239"/>
      <c r="AT252" s="114"/>
      <c r="AU252" s="114"/>
      <c r="AV252" s="114"/>
      <c r="AW252" s="1251">
        <v>1000</v>
      </c>
      <c r="AY252" s="1239"/>
      <c r="AZ252" s="114"/>
      <c r="BA252" s="114"/>
      <c r="BB252" s="114"/>
      <c r="BC252" s="1251">
        <v>1000</v>
      </c>
      <c r="BE252" s="1239"/>
      <c r="BF252" s="114"/>
      <c r="BG252" s="114"/>
      <c r="BH252" s="114"/>
      <c r="BI252" s="1251"/>
      <c r="BK252" s="1239"/>
      <c r="BL252" s="114"/>
      <c r="BM252" s="114"/>
      <c r="BN252" s="114"/>
      <c r="BO252" s="1251"/>
      <c r="BQ252" s="1239"/>
      <c r="BR252" s="114"/>
      <c r="BS252" s="114"/>
      <c r="BT252" s="114"/>
      <c r="BU252" s="1262"/>
      <c r="BW252" s="1239"/>
      <c r="BX252" s="114"/>
      <c r="BY252" s="114"/>
      <c r="BZ252" s="114"/>
      <c r="CA252" s="1262"/>
      <c r="CC252" s="1239"/>
      <c r="CD252" s="114"/>
      <c r="CE252" s="114"/>
      <c r="CF252" s="114"/>
      <c r="CG252" s="1262"/>
      <c r="CI252" s="1239"/>
      <c r="CJ252" s="114"/>
      <c r="CK252" s="114"/>
      <c r="CL252" s="114"/>
      <c r="CM252" s="1262"/>
      <c r="CO252" s="17"/>
      <c r="CQ252" s="9"/>
      <c r="CR252" s="9"/>
      <c r="CS252" s="9"/>
      <c r="CT252" s="9"/>
      <c r="CU252" s="9"/>
      <c r="CV252" s="9"/>
    </row>
    <row r="253" spans="1:100" s="31" customFormat="1" ht="11.25" customHeight="1" x14ac:dyDescent="0.2">
      <c r="A253" s="84"/>
      <c r="B253" s="1229" t="s">
        <v>517</v>
      </c>
      <c r="C253" s="1239"/>
      <c r="D253" s="114"/>
      <c r="E253" s="114"/>
      <c r="F253" s="114"/>
      <c r="G253" s="1262"/>
      <c r="I253" s="1239"/>
      <c r="J253" s="114"/>
      <c r="K253" s="114"/>
      <c r="L253" s="114"/>
      <c r="M253" s="1262"/>
      <c r="O253" s="1239"/>
      <c r="P253" s="114"/>
      <c r="Q253" s="114"/>
      <c r="R253" s="114"/>
      <c r="S253" s="1262"/>
      <c r="U253" s="1239"/>
      <c r="V253" s="114"/>
      <c r="W253" s="114"/>
      <c r="X253" s="114"/>
      <c r="Y253" s="1262"/>
      <c r="AA253" s="1239"/>
      <c r="AB253" s="114"/>
      <c r="AC253" s="114"/>
      <c r="AD253" s="114"/>
      <c r="AE253" s="1262"/>
      <c r="AG253" s="1239"/>
      <c r="AH253" s="114"/>
      <c r="AI253" s="114"/>
      <c r="AJ253" s="114"/>
      <c r="AK253" s="1262"/>
      <c r="AM253" s="1239"/>
      <c r="AN253" s="114"/>
      <c r="AO253" s="114"/>
      <c r="AP253" s="114"/>
      <c r="AQ253" s="1262"/>
      <c r="AS253" s="1239"/>
      <c r="AT253" s="114"/>
      <c r="AU253" s="114"/>
      <c r="AV253" s="114"/>
      <c r="AW253" s="1014">
        <f>+AW152*AW196/AW252</f>
        <v>0.41899999999999998</v>
      </c>
      <c r="AY253" s="1239"/>
      <c r="AZ253" s="114"/>
      <c r="BA253" s="114"/>
      <c r="BB253" s="114"/>
      <c r="BC253" s="1014">
        <f>+BC150*BC196/BC252</f>
        <v>0.64954100000000004</v>
      </c>
      <c r="BE253" s="1239"/>
      <c r="BF253" s="114"/>
      <c r="BG253" s="114"/>
      <c r="BH253" s="114"/>
      <c r="BI253" s="1014"/>
      <c r="BK253" s="1239"/>
      <c r="BL253" s="114"/>
      <c r="BM253" s="114"/>
      <c r="BN253" s="114"/>
      <c r="BO253" s="1014"/>
      <c r="BQ253" s="1239"/>
      <c r="BR253" s="114"/>
      <c r="BS253" s="114"/>
      <c r="BT253" s="114"/>
      <c r="BU253" s="1262"/>
      <c r="BW253" s="1239"/>
      <c r="BX253" s="114"/>
      <c r="BY253" s="114"/>
      <c r="BZ253" s="114"/>
      <c r="CA253" s="1262"/>
      <c r="CC253" s="1239"/>
      <c r="CD253" s="114"/>
      <c r="CE253" s="114"/>
      <c r="CF253" s="114"/>
      <c r="CG253" s="1262"/>
      <c r="CI253" s="1239"/>
      <c r="CJ253" s="114"/>
      <c r="CK253" s="114"/>
      <c r="CL253" s="114"/>
      <c r="CM253" s="1262"/>
      <c r="CO253" s="17"/>
      <c r="CQ253" s="9"/>
      <c r="CR253" s="9"/>
      <c r="CS253" s="9"/>
      <c r="CT253" s="9"/>
      <c r="CU253" s="9"/>
      <c r="CV253" s="9"/>
    </row>
    <row r="254" spans="1:100" s="31" customFormat="1" ht="11.25" customHeight="1" x14ac:dyDescent="0.2">
      <c r="A254" s="84"/>
      <c r="B254" s="1230"/>
      <c r="C254" s="1239"/>
      <c r="D254" s="114"/>
      <c r="E254" s="114"/>
      <c r="F254" s="114"/>
      <c r="G254" s="1262"/>
      <c r="I254" s="1239"/>
      <c r="J254" s="114"/>
      <c r="K254" s="114"/>
      <c r="L254" s="114"/>
      <c r="M254" s="1262"/>
      <c r="O254" s="1239"/>
      <c r="P254" s="114"/>
      <c r="Q254" s="114"/>
      <c r="R254" s="114"/>
      <c r="S254" s="1262"/>
      <c r="U254" s="1239"/>
      <c r="V254" s="114"/>
      <c r="W254" s="114"/>
      <c r="X254" s="114"/>
      <c r="Y254" s="1262"/>
      <c r="AA254" s="1239"/>
      <c r="AB254" s="114"/>
      <c r="AC254" s="114"/>
      <c r="AD254" s="114"/>
      <c r="AE254" s="1262"/>
      <c r="AG254" s="1239"/>
      <c r="AH254" s="114"/>
      <c r="AI254" s="114"/>
      <c r="AJ254" s="114"/>
      <c r="AK254" s="1262"/>
      <c r="AM254" s="1239"/>
      <c r="AN254" s="114"/>
      <c r="AO254" s="114"/>
      <c r="AP254" s="114"/>
      <c r="AQ254" s="1262"/>
      <c r="AS254" s="1239"/>
      <c r="AT254" s="114"/>
      <c r="AU254" s="114"/>
      <c r="AV254" s="114"/>
      <c r="AW254" s="573"/>
      <c r="AY254" s="1239"/>
      <c r="AZ254" s="114"/>
      <c r="BA254" s="114"/>
      <c r="BB254" s="114"/>
      <c r="BC254" s="573"/>
      <c r="BE254" s="1239"/>
      <c r="BF254" s="114"/>
      <c r="BG254" s="114"/>
      <c r="BH254" s="114"/>
      <c r="BI254" s="573"/>
      <c r="BK254" s="1239"/>
      <c r="BL254" s="114"/>
      <c r="BM254" s="114"/>
      <c r="BN254" s="114"/>
      <c r="BO254" s="573"/>
      <c r="BQ254" s="1239"/>
      <c r="BR254" s="114"/>
      <c r="BS254" s="114"/>
      <c r="BT254" s="114"/>
      <c r="BU254" s="1262"/>
      <c r="BW254" s="1239"/>
      <c r="BX254" s="114"/>
      <c r="BY254" s="114"/>
      <c r="BZ254" s="114"/>
      <c r="CA254" s="1262"/>
      <c r="CC254" s="1239"/>
      <c r="CD254" s="114"/>
      <c r="CE254" s="114"/>
      <c r="CF254" s="114"/>
      <c r="CG254" s="1262"/>
      <c r="CI254" s="1239"/>
      <c r="CJ254" s="114"/>
      <c r="CK254" s="114"/>
      <c r="CL254" s="114"/>
      <c r="CM254" s="1262"/>
      <c r="CQ254" s="9"/>
      <c r="CR254" s="9"/>
      <c r="CS254" s="9"/>
      <c r="CT254" s="9"/>
      <c r="CU254" s="9"/>
      <c r="CV254" s="9"/>
    </row>
    <row r="255" spans="1:100" s="31" customFormat="1" ht="11.25" customHeight="1" x14ac:dyDescent="0.2">
      <c r="A255" s="84"/>
      <c r="B255" s="1229" t="s">
        <v>532</v>
      </c>
      <c r="C255" s="1239"/>
      <c r="D255" s="114"/>
      <c r="E255" s="114"/>
      <c r="F255" s="114"/>
      <c r="G255" s="1262"/>
      <c r="I255" s="1239"/>
      <c r="J255" s="114"/>
      <c r="K255" s="114"/>
      <c r="L255" s="114"/>
      <c r="M255" s="1262"/>
      <c r="O255" s="1239"/>
      <c r="P255" s="114"/>
      <c r="Q255" s="114"/>
      <c r="R255" s="114"/>
      <c r="S255" s="1262"/>
      <c r="U255" s="1239"/>
      <c r="V255" s="114"/>
      <c r="W255" s="114"/>
      <c r="X255" s="114"/>
      <c r="Y255" s="1262"/>
      <c r="AA255" s="1239"/>
      <c r="AB255" s="114"/>
      <c r="AC255" s="114"/>
      <c r="AD255" s="114"/>
      <c r="AE255" s="1262"/>
      <c r="AG255" s="1239"/>
      <c r="AH255" s="114"/>
      <c r="AI255" s="114"/>
      <c r="AJ255" s="114"/>
      <c r="AK255" s="1262"/>
      <c r="AM255" s="1239"/>
      <c r="AN255" s="114"/>
      <c r="AO255" s="114"/>
      <c r="AP255" s="114"/>
      <c r="AQ255" s="1262"/>
      <c r="AS255" s="1239"/>
      <c r="AT255" s="114"/>
      <c r="AU255" s="114"/>
      <c r="AV255" s="114"/>
      <c r="AW255" s="573"/>
      <c r="AY255" s="1239"/>
      <c r="AZ255" s="114"/>
      <c r="BA255" s="114"/>
      <c r="BB255" s="114"/>
      <c r="BC255" s="573"/>
      <c r="BE255" s="1239"/>
      <c r="BF255" s="114"/>
      <c r="BG255" s="114"/>
      <c r="BH255" s="114"/>
      <c r="BI255" s="573"/>
      <c r="BK255" s="1239"/>
      <c r="BL255" s="114"/>
      <c r="BM255" s="114"/>
      <c r="BN255" s="114"/>
      <c r="BO255" s="573"/>
      <c r="BQ255" s="1239"/>
      <c r="BR255" s="114"/>
      <c r="BS255" s="114"/>
      <c r="BT255" s="114"/>
      <c r="BU255" s="1262"/>
      <c r="BW255" s="1239"/>
      <c r="BX255" s="114"/>
      <c r="BY255" s="114"/>
      <c r="BZ255" s="114"/>
      <c r="CA255" s="1262"/>
      <c r="CC255" s="1239"/>
      <c r="CD255" s="114"/>
      <c r="CE255" s="114"/>
      <c r="CF255" s="114"/>
      <c r="CG255" s="1262"/>
      <c r="CI255" s="1239"/>
      <c r="CJ255" s="114"/>
      <c r="CK255" s="114"/>
      <c r="CL255" s="114"/>
      <c r="CM255" s="1262"/>
      <c r="CQ255" s="9"/>
      <c r="CR255" s="9"/>
      <c r="CS255" s="9"/>
      <c r="CT255" s="9"/>
      <c r="CU255" s="9"/>
      <c r="CV255" s="9"/>
    </row>
    <row r="256" spans="1:100" s="31" customFormat="1" ht="11.25" customHeight="1" x14ac:dyDescent="0.2">
      <c r="A256" s="84"/>
      <c r="B256" s="1229" t="s">
        <v>529</v>
      </c>
      <c r="C256" s="1239"/>
      <c r="D256" s="114"/>
      <c r="E256" s="114"/>
      <c r="F256" s="114"/>
      <c r="G256" s="1262"/>
      <c r="I256" s="1239"/>
      <c r="J256" s="114"/>
      <c r="K256" s="114"/>
      <c r="L256" s="114"/>
      <c r="M256" s="1262"/>
      <c r="O256" s="1239"/>
      <c r="P256" s="114"/>
      <c r="Q256" s="114"/>
      <c r="R256" s="114"/>
      <c r="S256" s="1262"/>
      <c r="U256" s="1239"/>
      <c r="V256" s="114"/>
      <c r="W256" s="114"/>
      <c r="X256" s="114"/>
      <c r="Y256" s="1262"/>
      <c r="AA256" s="1239"/>
      <c r="AB256" s="114"/>
      <c r="AC256" s="114"/>
      <c r="AD256" s="114"/>
      <c r="AE256" s="1262"/>
      <c r="AG256" s="1239"/>
      <c r="AH256" s="114"/>
      <c r="AI256" s="114"/>
      <c r="AJ256" s="114"/>
      <c r="AK256" s="1262"/>
      <c r="AM256" s="1239"/>
      <c r="AN256" s="114"/>
      <c r="AO256" s="114"/>
      <c r="AP256" s="114"/>
      <c r="AQ256" s="1262"/>
      <c r="AS256" s="1239"/>
      <c r="AT256" s="114"/>
      <c r="AU256" s="114"/>
      <c r="AV256" s="114"/>
      <c r="AW256" s="1252">
        <v>0.65</v>
      </c>
      <c r="AY256" s="1239"/>
      <c r="AZ256" s="114"/>
      <c r="BA256" s="114"/>
      <c r="BB256" s="114"/>
      <c r="BC256" s="1252">
        <v>0.66</v>
      </c>
      <c r="BE256" s="1239"/>
      <c r="BF256" s="114"/>
      <c r="BG256" s="114"/>
      <c r="BH256" s="114"/>
      <c r="BI256" s="1252"/>
      <c r="BK256" s="1239"/>
      <c r="BL256" s="114"/>
      <c r="BM256" s="114"/>
      <c r="BN256" s="114"/>
      <c r="BO256" s="1252"/>
      <c r="BQ256" s="1239"/>
      <c r="BR256" s="114"/>
      <c r="BS256" s="114"/>
      <c r="BT256" s="114"/>
      <c r="BU256" s="1262"/>
      <c r="BW256" s="1239"/>
      <c r="BX256" s="114"/>
      <c r="BY256" s="114"/>
      <c r="BZ256" s="114"/>
      <c r="CA256" s="1262"/>
      <c r="CC256" s="1239"/>
      <c r="CD256" s="114"/>
      <c r="CE256" s="114"/>
      <c r="CF256" s="114"/>
      <c r="CG256" s="1262"/>
      <c r="CI256" s="1239"/>
      <c r="CJ256" s="114"/>
      <c r="CK256" s="114"/>
      <c r="CL256" s="114"/>
      <c r="CM256" s="1262"/>
      <c r="CO256" s="17"/>
      <c r="CQ256" s="9"/>
      <c r="CR256" s="9"/>
      <c r="CS256" s="9"/>
      <c r="CT256" s="9"/>
      <c r="CU256" s="9"/>
      <c r="CV256" s="9"/>
    </row>
    <row r="257" spans="1:100" s="31" customFormat="1" ht="11.25" customHeight="1" x14ac:dyDescent="0.2">
      <c r="A257" s="84"/>
      <c r="B257" s="1229" t="s">
        <v>530</v>
      </c>
      <c r="C257" s="1239"/>
      <c r="D257" s="114"/>
      <c r="E257" s="114"/>
      <c r="F257" s="114"/>
      <c r="G257" s="1262"/>
      <c r="I257" s="1239"/>
      <c r="J257" s="114"/>
      <c r="K257" s="114"/>
      <c r="L257" s="114"/>
      <c r="M257" s="1262"/>
      <c r="O257" s="1239"/>
      <c r="P257" s="114"/>
      <c r="Q257" s="114"/>
      <c r="R257" s="114"/>
      <c r="S257" s="1262"/>
      <c r="U257" s="1239"/>
      <c r="V257" s="114"/>
      <c r="W257" s="114"/>
      <c r="X257" s="114"/>
      <c r="Y257" s="1262"/>
      <c r="AA257" s="1239"/>
      <c r="AB257" s="114"/>
      <c r="AC257" s="114"/>
      <c r="AD257" s="114"/>
      <c r="AE257" s="1262"/>
      <c r="AG257" s="1239"/>
      <c r="AH257" s="114"/>
      <c r="AI257" s="114"/>
      <c r="AJ257" s="114"/>
      <c r="AK257" s="1262"/>
      <c r="AM257" s="1239"/>
      <c r="AN257" s="114"/>
      <c r="AO257" s="114"/>
      <c r="AP257" s="114"/>
      <c r="AQ257" s="1262"/>
      <c r="AS257" s="1239"/>
      <c r="AT257" s="114"/>
      <c r="AU257" s="114"/>
      <c r="AV257" s="114"/>
      <c r="AW257" s="1252">
        <v>0.1</v>
      </c>
      <c r="AY257" s="1239"/>
      <c r="AZ257" s="114"/>
      <c r="BA257" s="114"/>
      <c r="BB257" s="114"/>
      <c r="BC257" s="1252">
        <v>0.09</v>
      </c>
      <c r="BE257" s="1239"/>
      <c r="BF257" s="114"/>
      <c r="BG257" s="114"/>
      <c r="BH257" s="114"/>
      <c r="BI257" s="1252"/>
      <c r="BK257" s="1239"/>
      <c r="BL257" s="114"/>
      <c r="BM257" s="114"/>
      <c r="BN257" s="114"/>
      <c r="BO257" s="1252"/>
      <c r="BQ257" s="1239"/>
      <c r="BR257" s="114"/>
      <c r="BS257" s="114"/>
      <c r="BT257" s="114"/>
      <c r="BU257" s="1262"/>
      <c r="BW257" s="1239"/>
      <c r="BX257" s="114"/>
      <c r="BY257" s="114"/>
      <c r="BZ257" s="114"/>
      <c r="CA257" s="1262"/>
      <c r="CC257" s="1239"/>
      <c r="CD257" s="114"/>
      <c r="CE257" s="114"/>
      <c r="CF257" s="114"/>
      <c r="CG257" s="1262"/>
      <c r="CI257" s="1239"/>
      <c r="CJ257" s="114"/>
      <c r="CK257" s="114"/>
      <c r="CL257" s="114"/>
      <c r="CM257" s="1262"/>
      <c r="CO257" s="17"/>
      <c r="CQ257" s="9"/>
      <c r="CR257" s="9"/>
      <c r="CS257" s="9"/>
      <c r="CT257" s="9"/>
      <c r="CU257" s="9"/>
      <c r="CV257" s="9"/>
    </row>
    <row r="258" spans="1:100" s="31" customFormat="1" ht="11.25" customHeight="1" x14ac:dyDescent="0.2">
      <c r="A258" s="84"/>
      <c r="B258" s="1229" t="s">
        <v>531</v>
      </c>
      <c r="C258" s="1239"/>
      <c r="D258" s="114"/>
      <c r="E258" s="114"/>
      <c r="F258" s="114"/>
      <c r="G258" s="1262"/>
      <c r="I258" s="1239"/>
      <c r="J258" s="114"/>
      <c r="K258" s="114"/>
      <c r="L258" s="114"/>
      <c r="M258" s="1262"/>
      <c r="O258" s="1239"/>
      <c r="P258" s="114"/>
      <c r="Q258" s="114"/>
      <c r="R258" s="114"/>
      <c r="S258" s="1262"/>
      <c r="U258" s="1239"/>
      <c r="V258" s="114"/>
      <c r="W258" s="114"/>
      <c r="X258" s="114"/>
      <c r="Y258" s="1262"/>
      <c r="AA258" s="1239"/>
      <c r="AB258" s="114"/>
      <c r="AC258" s="114"/>
      <c r="AD258" s="114"/>
      <c r="AE258" s="1262"/>
      <c r="AG258" s="1239"/>
      <c r="AH258" s="114"/>
      <c r="AI258" s="114"/>
      <c r="AJ258" s="114"/>
      <c r="AK258" s="1262"/>
      <c r="AM258" s="1239"/>
      <c r="AN258" s="114"/>
      <c r="AO258" s="114"/>
      <c r="AP258" s="114"/>
      <c r="AQ258" s="1262"/>
      <c r="AS258" s="1239"/>
      <c r="AT258" s="114"/>
      <c r="AU258" s="114"/>
      <c r="AV258" s="114"/>
      <c r="AW258" s="1252">
        <f>100%-AW257-AW256</f>
        <v>0.25</v>
      </c>
      <c r="AY258" s="1239"/>
      <c r="AZ258" s="114"/>
      <c r="BA258" s="114"/>
      <c r="BB258" s="114"/>
      <c r="BC258" s="1252">
        <f>100%-BC257-BC256</f>
        <v>0.25</v>
      </c>
      <c r="BE258" s="1239"/>
      <c r="BF258" s="114"/>
      <c r="BG258" s="114"/>
      <c r="BH258" s="114"/>
      <c r="BI258" s="1252"/>
      <c r="BK258" s="1239"/>
      <c r="BL258" s="114"/>
      <c r="BM258" s="114"/>
      <c r="BN258" s="114"/>
      <c r="BO258" s="1252"/>
      <c r="BQ258" s="1239"/>
      <c r="BR258" s="114"/>
      <c r="BS258" s="114"/>
      <c r="BT258" s="114"/>
      <c r="BU258" s="1262"/>
      <c r="BW258" s="1239"/>
      <c r="BX258" s="114"/>
      <c r="BY258" s="114"/>
      <c r="BZ258" s="114"/>
      <c r="CA258" s="1262"/>
      <c r="CC258" s="1239"/>
      <c r="CD258" s="114"/>
      <c r="CE258" s="114"/>
      <c r="CF258" s="114"/>
      <c r="CG258" s="1262"/>
      <c r="CI258" s="1239"/>
      <c r="CJ258" s="114"/>
      <c r="CK258" s="114"/>
      <c r="CL258" s="114"/>
      <c r="CM258" s="1262"/>
      <c r="CQ258" s="9"/>
      <c r="CR258" s="9"/>
      <c r="CS258" s="9"/>
      <c r="CT258" s="9"/>
      <c r="CU258" s="9"/>
      <c r="CV258" s="9"/>
    </row>
    <row r="259" spans="1:100" s="31" customFormat="1" ht="11.25" customHeight="1" x14ac:dyDescent="0.2">
      <c r="A259" s="84"/>
      <c r="B259" s="1234"/>
      <c r="C259" s="1239"/>
      <c r="D259" s="114"/>
      <c r="E259" s="114"/>
      <c r="F259" s="114"/>
      <c r="G259" s="1262"/>
      <c r="I259" s="1239"/>
      <c r="J259" s="114"/>
      <c r="K259" s="114"/>
      <c r="L259" s="114"/>
      <c r="M259" s="1262"/>
      <c r="O259" s="1239"/>
      <c r="P259" s="114"/>
      <c r="Q259" s="114"/>
      <c r="R259" s="114"/>
      <c r="S259" s="1262"/>
      <c r="U259" s="1239"/>
      <c r="V259" s="114"/>
      <c r="W259" s="114"/>
      <c r="X259" s="114"/>
      <c r="Y259" s="1262"/>
      <c r="AA259" s="1239"/>
      <c r="AB259" s="114"/>
      <c r="AC259" s="114"/>
      <c r="AD259" s="114"/>
      <c r="AE259" s="1262"/>
      <c r="AG259" s="1239"/>
      <c r="AH259" s="114"/>
      <c r="AI259" s="114"/>
      <c r="AJ259" s="114"/>
      <c r="AK259" s="1262"/>
      <c r="AM259" s="1239"/>
      <c r="AN259" s="114"/>
      <c r="AO259" s="114"/>
      <c r="AP259" s="114"/>
      <c r="AQ259" s="1262"/>
      <c r="AS259" s="1239"/>
      <c r="AT259" s="114"/>
      <c r="AU259" s="114"/>
      <c r="AV259" s="114"/>
      <c r="AW259" s="1267"/>
      <c r="AY259" s="1239"/>
      <c r="AZ259" s="114"/>
      <c r="BA259" s="114"/>
      <c r="BB259" s="114"/>
      <c r="BC259" s="1267"/>
      <c r="BE259" s="1239"/>
      <c r="BF259" s="114"/>
      <c r="BG259" s="114"/>
      <c r="BH259" s="114"/>
      <c r="BI259" s="1267"/>
      <c r="BK259" s="1239"/>
      <c r="BL259" s="114"/>
      <c r="BM259" s="114"/>
      <c r="BN259" s="114"/>
      <c r="BO259" s="1267"/>
      <c r="BQ259" s="1239"/>
      <c r="BR259" s="114"/>
      <c r="BS259" s="114"/>
      <c r="BT259" s="114"/>
      <c r="BU259" s="1262"/>
      <c r="BW259" s="1239"/>
      <c r="BX259" s="114"/>
      <c r="BY259" s="114"/>
      <c r="BZ259" s="114"/>
      <c r="CA259" s="1262"/>
      <c r="CC259" s="1239"/>
      <c r="CD259" s="114"/>
      <c r="CE259" s="114"/>
      <c r="CF259" s="114"/>
      <c r="CG259" s="1262"/>
      <c r="CI259" s="1239"/>
      <c r="CJ259" s="114"/>
      <c r="CK259" s="114"/>
      <c r="CL259" s="114"/>
      <c r="CM259" s="1262"/>
      <c r="CQ259" s="9"/>
      <c r="CR259" s="9"/>
      <c r="CS259" s="9"/>
      <c r="CT259" s="9"/>
      <c r="CU259" s="9"/>
      <c r="CV259" s="9"/>
    </row>
    <row r="260" spans="1:100" s="31" customFormat="1" ht="11.25" customHeight="1" x14ac:dyDescent="0.2">
      <c r="A260" s="84"/>
      <c r="B260" s="1234" t="s">
        <v>533</v>
      </c>
      <c r="C260" s="1239"/>
      <c r="D260" s="114"/>
      <c r="E260" s="114"/>
      <c r="F260" s="114"/>
      <c r="G260" s="1262"/>
      <c r="I260" s="1239"/>
      <c r="J260" s="114"/>
      <c r="K260" s="114"/>
      <c r="L260" s="114"/>
      <c r="M260" s="1262"/>
      <c r="O260" s="1239"/>
      <c r="P260" s="114"/>
      <c r="Q260" s="114"/>
      <c r="R260" s="114"/>
      <c r="S260" s="1262"/>
      <c r="U260" s="1239"/>
      <c r="V260" s="114"/>
      <c r="W260" s="114"/>
      <c r="X260" s="114"/>
      <c r="Y260" s="1262"/>
      <c r="AA260" s="1239"/>
      <c r="AB260" s="114"/>
      <c r="AC260" s="114"/>
      <c r="AD260" s="114"/>
      <c r="AE260" s="1262"/>
      <c r="AG260" s="1239"/>
      <c r="AH260" s="114"/>
      <c r="AI260" s="114"/>
      <c r="AJ260" s="114"/>
      <c r="AK260" s="1262"/>
      <c r="AM260" s="1239"/>
      <c r="AN260" s="114"/>
      <c r="AO260" s="114"/>
      <c r="AP260" s="114"/>
      <c r="AQ260" s="1262"/>
      <c r="AS260" s="1239"/>
      <c r="AT260" s="114"/>
      <c r="AU260" s="114"/>
      <c r="AV260" s="114"/>
      <c r="AW260" s="1268">
        <v>18000</v>
      </c>
      <c r="AY260" s="1239"/>
      <c r="AZ260" s="114"/>
      <c r="BA260" s="114"/>
      <c r="BB260" s="114"/>
      <c r="BC260" s="1268">
        <v>20000</v>
      </c>
      <c r="BE260" s="1239"/>
      <c r="BF260" s="114"/>
      <c r="BG260" s="114"/>
      <c r="BH260" s="114"/>
      <c r="BI260" s="1268">
        <v>20000</v>
      </c>
      <c r="BK260" s="1239"/>
      <c r="BL260" s="114"/>
      <c r="BM260" s="114"/>
      <c r="BN260" s="114"/>
      <c r="BO260" s="1268">
        <v>22000</v>
      </c>
      <c r="BQ260" s="1239"/>
      <c r="BR260" s="114"/>
      <c r="BS260" s="114"/>
      <c r="BT260" s="114"/>
      <c r="BU260" s="1262"/>
      <c r="BW260" s="1239"/>
      <c r="BX260" s="114"/>
      <c r="BY260" s="114"/>
      <c r="BZ260" s="114"/>
      <c r="CA260" s="1262"/>
      <c r="CC260" s="1239"/>
      <c r="CD260" s="114"/>
      <c r="CE260" s="114"/>
      <c r="CF260" s="114"/>
      <c r="CG260" s="1262"/>
      <c r="CI260" s="1239"/>
      <c r="CJ260" s="114"/>
      <c r="CK260" s="114"/>
      <c r="CL260" s="114"/>
      <c r="CM260" s="1262"/>
      <c r="CQ260" s="9"/>
      <c r="CR260" s="9"/>
      <c r="CS260" s="9"/>
      <c r="CT260" s="9"/>
      <c r="CU260" s="9"/>
      <c r="CV260" s="9"/>
    </row>
    <row r="261" spans="1:100" s="9" customFormat="1" ht="11.25" customHeight="1" x14ac:dyDescent="0.2">
      <c r="A261" s="122"/>
      <c r="B261" s="1235"/>
      <c r="C261" s="1241"/>
      <c r="D261" s="16"/>
      <c r="E261" s="16"/>
      <c r="F261" s="16"/>
      <c r="G261" s="1263"/>
      <c r="H261" s="6"/>
      <c r="I261" s="1241"/>
      <c r="J261" s="16"/>
      <c r="K261" s="16"/>
      <c r="L261" s="16"/>
      <c r="M261" s="1263"/>
      <c r="N261" s="6"/>
      <c r="O261" s="1241"/>
      <c r="P261" s="16"/>
      <c r="Q261" s="16"/>
      <c r="R261" s="16"/>
      <c r="S261" s="1263"/>
      <c r="T261" s="6"/>
      <c r="U261" s="1241"/>
      <c r="V261" s="16"/>
      <c r="W261" s="16"/>
      <c r="X261" s="16"/>
      <c r="Y261" s="1263"/>
      <c r="Z261" s="6"/>
      <c r="AA261" s="1241"/>
      <c r="AB261" s="16"/>
      <c r="AC261" s="16"/>
      <c r="AD261" s="16"/>
      <c r="AE261" s="1263"/>
      <c r="AF261" s="6"/>
      <c r="AG261" s="1241"/>
      <c r="AH261" s="16"/>
      <c r="AI261" s="16"/>
      <c r="AJ261" s="16"/>
      <c r="AK261" s="1263"/>
      <c r="AL261" s="6"/>
      <c r="AM261" s="1241"/>
      <c r="AN261" s="16"/>
      <c r="AO261" s="16"/>
      <c r="AP261" s="16"/>
      <c r="AQ261" s="1263"/>
      <c r="AR261" s="6"/>
      <c r="AS261" s="1241"/>
      <c r="AT261" s="16"/>
      <c r="AU261" s="16"/>
      <c r="AV261" s="16"/>
      <c r="AW261" s="1262"/>
      <c r="AX261" s="6"/>
      <c r="AY261" s="1241"/>
      <c r="AZ261" s="16"/>
      <c r="BA261" s="16"/>
      <c r="BB261" s="16"/>
      <c r="BC261" s="1262"/>
      <c r="BD261" s="6"/>
      <c r="BE261" s="1241"/>
      <c r="BF261" s="16"/>
      <c r="BG261" s="16"/>
      <c r="BH261" s="16"/>
      <c r="BI261" s="1262"/>
      <c r="BJ261" s="6"/>
      <c r="BK261" s="1241"/>
      <c r="BL261" s="16"/>
      <c r="BM261" s="16"/>
      <c r="BN261" s="16"/>
      <c r="BO261" s="1262"/>
      <c r="BP261" s="6"/>
      <c r="BQ261" s="1241"/>
      <c r="BR261" s="16"/>
      <c r="BS261" s="16"/>
      <c r="BT261" s="16"/>
      <c r="BU261" s="1263"/>
      <c r="BV261" s="6"/>
      <c r="BW261" s="1241"/>
      <c r="BX261" s="16"/>
      <c r="BY261" s="16"/>
      <c r="BZ261" s="16"/>
      <c r="CA261" s="1263"/>
      <c r="CB261" s="6"/>
      <c r="CC261" s="1241"/>
      <c r="CD261" s="16"/>
      <c r="CE261" s="16"/>
      <c r="CF261" s="16"/>
      <c r="CG261" s="1263"/>
      <c r="CH261" s="6"/>
      <c r="CI261" s="1241"/>
      <c r="CJ261" s="16"/>
      <c r="CK261" s="16"/>
      <c r="CL261" s="16"/>
      <c r="CM261" s="1263"/>
    </row>
    <row r="262" spans="1:100" s="9" customFormat="1" ht="11.25" customHeight="1" x14ac:dyDescent="0.2">
      <c r="A262" s="122"/>
      <c r="B262" s="1229" t="s">
        <v>537</v>
      </c>
      <c r="C262" s="1241"/>
      <c r="D262" s="16"/>
      <c r="E262" s="16"/>
      <c r="F262" s="16"/>
      <c r="G262" s="1263"/>
      <c r="H262" s="6"/>
      <c r="I262" s="1241"/>
      <c r="J262" s="16"/>
      <c r="K262" s="16"/>
      <c r="L262" s="16"/>
      <c r="M262" s="1263"/>
      <c r="N262" s="6"/>
      <c r="O262" s="1241"/>
      <c r="P262" s="16"/>
      <c r="Q262" s="16"/>
      <c r="R262" s="16"/>
      <c r="S262" s="1263"/>
      <c r="T262" s="6"/>
      <c r="U262" s="1241"/>
      <c r="V262" s="16"/>
      <c r="W262" s="16"/>
      <c r="X262" s="16"/>
      <c r="Y262" s="1263"/>
      <c r="Z262" s="6"/>
      <c r="AA262" s="1241"/>
      <c r="AB262" s="16"/>
      <c r="AC262" s="16"/>
      <c r="AD262" s="16"/>
      <c r="AE262" s="1263"/>
      <c r="AF262" s="6"/>
      <c r="AG262" s="1241"/>
      <c r="AH262" s="16"/>
      <c r="AI262" s="16"/>
      <c r="AJ262" s="16"/>
      <c r="AK262" s="1263"/>
      <c r="AL262" s="6"/>
      <c r="AM262" s="1241"/>
      <c r="AN262" s="16"/>
      <c r="AO262" s="16"/>
      <c r="AP262" s="16"/>
      <c r="AQ262" s="1263"/>
      <c r="AR262" s="6"/>
      <c r="AS262" s="1241"/>
      <c r="AT262" s="16"/>
      <c r="AU262" s="16"/>
      <c r="AV262" s="16"/>
      <c r="AW262" s="1252">
        <v>0.9</v>
      </c>
      <c r="AX262" s="6"/>
      <c r="AY262" s="1241"/>
      <c r="AZ262" s="16"/>
      <c r="BA262" s="16"/>
      <c r="BB262" s="16"/>
      <c r="BC262" s="1252">
        <v>0.9</v>
      </c>
      <c r="BD262" s="6"/>
      <c r="BE262" s="1241"/>
      <c r="BF262" s="16"/>
      <c r="BG262" s="16"/>
      <c r="BH262" s="16"/>
      <c r="BI262" s="1252"/>
      <c r="BJ262" s="6"/>
      <c r="BK262" s="1241"/>
      <c r="BL262" s="16"/>
      <c r="BM262" s="16"/>
      <c r="BN262" s="16"/>
      <c r="BO262" s="1252"/>
      <c r="BP262" s="6"/>
      <c r="BQ262" s="1241"/>
      <c r="BR262" s="16"/>
      <c r="BS262" s="16"/>
      <c r="BT262" s="16"/>
      <c r="BU262" s="1263"/>
      <c r="BV262" s="6"/>
      <c r="BW262" s="1241"/>
      <c r="BX262" s="16"/>
      <c r="BY262" s="16"/>
      <c r="BZ262" s="16"/>
      <c r="CA262" s="1263"/>
      <c r="CB262" s="6"/>
      <c r="CC262" s="1241"/>
      <c r="CD262" s="16"/>
      <c r="CE262" s="16"/>
      <c r="CF262" s="16"/>
      <c r="CG262" s="1263"/>
      <c r="CH262" s="6"/>
      <c r="CI262" s="1241"/>
      <c r="CJ262" s="16"/>
      <c r="CK262" s="16"/>
      <c r="CL262" s="16"/>
      <c r="CM262" s="1263"/>
    </row>
    <row r="263" spans="1:100" s="31" customFormat="1" ht="11.25" customHeight="1" x14ac:dyDescent="0.2">
      <c r="A263" s="84"/>
      <c r="B263" s="1235"/>
      <c r="C263" s="1239"/>
      <c r="D263" s="114"/>
      <c r="E263" s="114"/>
      <c r="F263" s="114"/>
      <c r="G263" s="1262"/>
      <c r="I263" s="1239"/>
      <c r="J263" s="114"/>
      <c r="K263" s="114"/>
      <c r="L263" s="114"/>
      <c r="M263" s="1262"/>
      <c r="O263" s="1239"/>
      <c r="P263" s="114"/>
      <c r="Q263" s="114"/>
      <c r="R263" s="114"/>
      <c r="S263" s="1262"/>
      <c r="U263" s="1239"/>
      <c r="V263" s="114"/>
      <c r="W263" s="114"/>
      <c r="X263" s="114"/>
      <c r="Y263" s="1262"/>
      <c r="AA263" s="1239"/>
      <c r="AB263" s="114"/>
      <c r="AC263" s="114"/>
      <c r="AD263" s="114"/>
      <c r="AE263" s="1262"/>
      <c r="AG263" s="1239"/>
      <c r="AH263" s="114"/>
      <c r="AI263" s="114"/>
      <c r="AJ263" s="114"/>
      <c r="AK263" s="1262"/>
      <c r="AM263" s="1239"/>
      <c r="AN263" s="114"/>
      <c r="AO263" s="114"/>
      <c r="AP263" s="114"/>
      <c r="AQ263" s="1262"/>
      <c r="AS263" s="1239"/>
      <c r="AT263" s="114"/>
      <c r="AU263" s="114"/>
      <c r="AV263" s="114"/>
      <c r="AW263" s="1262"/>
      <c r="AY263" s="1239"/>
      <c r="AZ263" s="114"/>
      <c r="BA263" s="114"/>
      <c r="BB263" s="114"/>
      <c r="BC263" s="1262"/>
      <c r="BE263" s="1239"/>
      <c r="BF263" s="114"/>
      <c r="BG263" s="114"/>
      <c r="BH263" s="114"/>
      <c r="BI263" s="1262"/>
      <c r="BK263" s="1239"/>
      <c r="BL263" s="114"/>
      <c r="BM263" s="114"/>
      <c r="BN263" s="114"/>
      <c r="BO263" s="1262"/>
      <c r="BQ263" s="1239"/>
      <c r="BR263" s="114"/>
      <c r="BS263" s="114"/>
      <c r="BT263" s="114"/>
      <c r="BU263" s="1262"/>
      <c r="BW263" s="1239"/>
      <c r="BX263" s="114"/>
      <c r="BY263" s="114"/>
      <c r="BZ263" s="114"/>
      <c r="CA263" s="1262"/>
      <c r="CC263" s="1239"/>
      <c r="CD263" s="114"/>
      <c r="CE263" s="114"/>
      <c r="CF263" s="114"/>
      <c r="CG263" s="1262"/>
      <c r="CI263" s="1239"/>
      <c r="CJ263" s="114"/>
      <c r="CK263" s="114"/>
      <c r="CL263" s="114"/>
      <c r="CM263" s="1262"/>
      <c r="CQ263" s="9"/>
      <c r="CR263" s="9"/>
      <c r="CS263" s="9"/>
      <c r="CT263" s="9"/>
      <c r="CU263" s="9"/>
      <c r="CV263" s="9"/>
    </row>
    <row r="264" spans="1:100" s="31" customFormat="1" x14ac:dyDescent="0.2">
      <c r="B264" s="1229" t="s">
        <v>536</v>
      </c>
      <c r="C264" s="1239"/>
      <c r="D264" s="114"/>
      <c r="E264" s="114"/>
      <c r="F264" s="114"/>
      <c r="G264" s="1262"/>
      <c r="H264" s="114"/>
      <c r="I264" s="1239"/>
      <c r="J264" s="114"/>
      <c r="K264" s="114"/>
      <c r="L264" s="114"/>
      <c r="M264" s="1262"/>
      <c r="N264" s="114"/>
      <c r="O264" s="1239"/>
      <c r="P264" s="114"/>
      <c r="Q264" s="114"/>
      <c r="R264" s="114"/>
      <c r="S264" s="1262"/>
      <c r="T264" s="114"/>
      <c r="U264" s="1239"/>
      <c r="V264" s="114"/>
      <c r="W264" s="114"/>
      <c r="X264" s="114"/>
      <c r="Y264" s="1262"/>
      <c r="Z264" s="114"/>
      <c r="AA264" s="1239"/>
      <c r="AB264" s="114"/>
      <c r="AC264" s="114"/>
      <c r="AD264" s="114"/>
      <c r="AE264" s="1262"/>
      <c r="AF264" s="114"/>
      <c r="AG264" s="1239"/>
      <c r="AH264" s="114"/>
      <c r="AI264" s="114"/>
      <c r="AJ264" s="114"/>
      <c r="AK264" s="1262"/>
      <c r="AL264" s="114"/>
      <c r="AM264" s="1239"/>
      <c r="AN264" s="114"/>
      <c r="AO264" s="114"/>
      <c r="AP264" s="114"/>
      <c r="AQ264" s="1262"/>
      <c r="AR264" s="114"/>
      <c r="AS264" s="1239"/>
      <c r="AT264" s="114"/>
      <c r="AU264" s="114"/>
      <c r="AV264" s="114"/>
      <c r="AW264" s="1257">
        <v>1000</v>
      </c>
      <c r="AX264" s="114"/>
      <c r="AY264" s="1239"/>
      <c r="AZ264" s="114"/>
      <c r="BA264" s="114"/>
      <c r="BB264" s="114"/>
      <c r="BC264" s="1257">
        <v>1000</v>
      </c>
      <c r="BD264" s="114"/>
      <c r="BE264" s="1239"/>
      <c r="BF264" s="114"/>
      <c r="BG264" s="114"/>
      <c r="BH264" s="114"/>
      <c r="BI264" s="1257"/>
      <c r="BJ264" s="114"/>
      <c r="BK264" s="1239"/>
      <c r="BL264" s="114"/>
      <c r="BM264" s="114"/>
      <c r="BN264" s="114"/>
      <c r="BO264" s="1257"/>
      <c r="BP264" s="114"/>
      <c r="BQ264" s="1239"/>
      <c r="BR264" s="114"/>
      <c r="BS264" s="114"/>
      <c r="BT264" s="114"/>
      <c r="BU264" s="1262"/>
      <c r="BV264" s="114"/>
      <c r="BW264" s="1239"/>
      <c r="BX264" s="114"/>
      <c r="BY264" s="114"/>
      <c r="BZ264" s="114"/>
      <c r="CA264" s="1262"/>
      <c r="CB264" s="114"/>
      <c r="CC264" s="1239"/>
      <c r="CD264" s="114"/>
      <c r="CE264" s="114"/>
      <c r="CF264" s="114"/>
      <c r="CG264" s="1262"/>
      <c r="CH264" s="114"/>
      <c r="CI264" s="1239"/>
      <c r="CJ264" s="114"/>
      <c r="CK264" s="114"/>
      <c r="CL264" s="114"/>
      <c r="CM264" s="1262"/>
      <c r="CO264" s="17"/>
      <c r="CQ264" s="9"/>
      <c r="CR264" s="9"/>
      <c r="CS264" s="9"/>
      <c r="CT264" s="9"/>
      <c r="CU264" s="9"/>
      <c r="CV264" s="9"/>
    </row>
    <row r="265" spans="1:100" x14ac:dyDescent="0.2">
      <c r="A265" s="84"/>
      <c r="B265" s="1229" t="s">
        <v>538</v>
      </c>
      <c r="C265" s="1240"/>
      <c r="D265" s="24"/>
      <c r="E265" s="24"/>
      <c r="F265" s="24"/>
      <c r="G265" s="1264"/>
      <c r="I265" s="1240"/>
      <c r="J265" s="24"/>
      <c r="K265" s="24"/>
      <c r="L265" s="24"/>
      <c r="M265" s="1264"/>
      <c r="O265" s="1240"/>
      <c r="P265" s="24"/>
      <c r="Q265" s="24"/>
      <c r="R265" s="24"/>
      <c r="S265" s="1264"/>
      <c r="U265" s="1240"/>
      <c r="V265" s="24"/>
      <c r="W265" s="24"/>
      <c r="X265" s="24"/>
      <c r="Y265" s="1264"/>
      <c r="AA265" s="1240"/>
      <c r="AB265" s="24"/>
      <c r="AC265" s="24"/>
      <c r="AD265" s="24"/>
      <c r="AE265" s="1264"/>
      <c r="AG265" s="1240"/>
      <c r="AH265" s="24"/>
      <c r="AI265" s="24"/>
      <c r="AJ265" s="24"/>
      <c r="AK265" s="1264"/>
      <c r="AM265" s="1240"/>
      <c r="AN265" s="24"/>
      <c r="AO265" s="24"/>
      <c r="AP265" s="24"/>
      <c r="AQ265" s="1264"/>
      <c r="AS265" s="1240"/>
      <c r="AT265" s="24"/>
      <c r="AU265" s="24"/>
      <c r="AV265" s="24"/>
      <c r="AW265" s="1269">
        <v>11</v>
      </c>
      <c r="AY265" s="1240"/>
      <c r="AZ265" s="24"/>
      <c r="BA265" s="24"/>
      <c r="BB265" s="24"/>
      <c r="BC265" s="1269">
        <v>11</v>
      </c>
      <c r="BE265" s="1240"/>
      <c r="BF265" s="24"/>
      <c r="BG265" s="24"/>
      <c r="BH265" s="24"/>
      <c r="BI265" s="1269"/>
      <c r="BK265" s="1240"/>
      <c r="BL265" s="24"/>
      <c r="BM265" s="24"/>
      <c r="BN265" s="24"/>
      <c r="BO265" s="1269"/>
      <c r="BQ265" s="1240"/>
      <c r="BR265" s="24"/>
      <c r="BS265" s="24"/>
      <c r="BT265" s="24"/>
      <c r="BU265" s="1264"/>
      <c r="BW265" s="1240"/>
      <c r="BX265" s="24"/>
      <c r="BY265" s="24"/>
      <c r="BZ265" s="24"/>
      <c r="CA265" s="1264"/>
      <c r="CC265" s="1240"/>
      <c r="CD265" s="24"/>
      <c r="CE265" s="24"/>
      <c r="CF265" s="24"/>
      <c r="CG265" s="1264"/>
      <c r="CI265" s="1240"/>
      <c r="CJ265" s="24"/>
      <c r="CK265" s="24"/>
      <c r="CL265" s="24"/>
      <c r="CM265" s="1264"/>
      <c r="CO265" s="17"/>
    </row>
    <row r="266" spans="1:100" x14ac:dyDescent="0.2">
      <c r="A266" s="84"/>
      <c r="B266" s="1234"/>
      <c r="C266" s="1240"/>
      <c r="D266" s="24"/>
      <c r="E266" s="24"/>
      <c r="F266" s="24"/>
      <c r="G266" s="1264"/>
      <c r="I266" s="1240"/>
      <c r="J266" s="24"/>
      <c r="K266" s="24"/>
      <c r="L266" s="24"/>
      <c r="M266" s="1264"/>
      <c r="O266" s="1240"/>
      <c r="P266" s="24"/>
      <c r="Q266" s="24"/>
      <c r="R266" s="24"/>
      <c r="S266" s="1264"/>
      <c r="U266" s="1240"/>
      <c r="V266" s="24"/>
      <c r="W266" s="24"/>
      <c r="X266" s="24"/>
      <c r="Y266" s="1264"/>
      <c r="AA266" s="1240"/>
      <c r="AB266" s="24"/>
      <c r="AC266" s="24"/>
      <c r="AD266" s="24"/>
      <c r="AE266" s="1264"/>
      <c r="AG266" s="1240"/>
      <c r="AH266" s="24"/>
      <c r="AI266" s="24"/>
      <c r="AJ266" s="24"/>
      <c r="AK266" s="1264"/>
      <c r="AM266" s="1240"/>
      <c r="AN266" s="24"/>
      <c r="AO266" s="24"/>
      <c r="AP266" s="24"/>
      <c r="AQ266" s="1264"/>
      <c r="AS266" s="1240"/>
      <c r="AT266" s="24"/>
      <c r="AU266" s="24"/>
      <c r="AV266" s="24"/>
      <c r="AW266" s="1264"/>
      <c r="AY266" s="1240"/>
      <c r="AZ266" s="24"/>
      <c r="BA266" s="24"/>
      <c r="BB266" s="24"/>
      <c r="BC266" s="1264"/>
      <c r="BE266" s="1240"/>
      <c r="BF266" s="24"/>
      <c r="BG266" s="24"/>
      <c r="BH266" s="24"/>
      <c r="BI266" s="1264"/>
      <c r="BK266" s="1240"/>
      <c r="BL266" s="24"/>
      <c r="BM266" s="24"/>
      <c r="BN266" s="24"/>
      <c r="BO266" s="1264"/>
      <c r="BQ266" s="1240"/>
      <c r="BR266" s="24"/>
      <c r="BS266" s="24"/>
      <c r="BT266" s="24"/>
      <c r="BU266" s="1264"/>
      <c r="BW266" s="1240"/>
      <c r="BX266" s="24"/>
      <c r="BY266" s="24"/>
      <c r="BZ266" s="24"/>
      <c r="CA266" s="1264"/>
      <c r="CC266" s="1240"/>
      <c r="CD266" s="24"/>
      <c r="CE266" s="24"/>
      <c r="CF266" s="24"/>
      <c r="CG266" s="1264"/>
      <c r="CI266" s="1240"/>
      <c r="CJ266" s="24"/>
      <c r="CK266" s="24"/>
      <c r="CL266" s="24"/>
      <c r="CM266" s="1264"/>
      <c r="CO266" s="18"/>
    </row>
    <row r="267" spans="1:100" x14ac:dyDescent="0.2">
      <c r="A267" s="84"/>
      <c r="B267" s="1229" t="s">
        <v>519</v>
      </c>
      <c r="C267" s="1240"/>
      <c r="D267" s="24"/>
      <c r="E267" s="24"/>
      <c r="F267" s="24"/>
      <c r="G267" s="1264"/>
      <c r="I267" s="1240"/>
      <c r="J267" s="24"/>
      <c r="K267" s="24"/>
      <c r="L267" s="24"/>
      <c r="M267" s="1264"/>
      <c r="O267" s="1240"/>
      <c r="P267" s="24"/>
      <c r="Q267" s="24"/>
      <c r="R267" s="24"/>
      <c r="S267" s="1264"/>
      <c r="U267" s="1240"/>
      <c r="V267" s="24"/>
      <c r="W267" s="24"/>
      <c r="X267" s="24"/>
      <c r="Y267" s="1264"/>
      <c r="AA267" s="1240"/>
      <c r="AB267" s="24"/>
      <c r="AC267" s="24"/>
      <c r="AD267" s="24"/>
      <c r="AE267" s="1264"/>
      <c r="AG267" s="1240"/>
      <c r="AH267" s="24"/>
      <c r="AI267" s="24"/>
      <c r="AJ267" s="24"/>
      <c r="AK267" s="1264"/>
      <c r="AM267" s="1240"/>
      <c r="AN267" s="24"/>
      <c r="AO267" s="24"/>
      <c r="AP267" s="24"/>
      <c r="AQ267" s="1264"/>
      <c r="AS267" s="1240"/>
      <c r="AT267" s="24"/>
      <c r="AU267" s="24"/>
      <c r="AV267" s="24"/>
      <c r="AW267" s="1252">
        <v>0.97</v>
      </c>
      <c r="AY267" s="1240"/>
      <c r="AZ267" s="24"/>
      <c r="BA267" s="24"/>
      <c r="BB267" s="24"/>
      <c r="BC267" s="1252">
        <v>0.99</v>
      </c>
      <c r="BE267" s="1240"/>
      <c r="BF267" s="24"/>
      <c r="BG267" s="24"/>
      <c r="BH267" s="24"/>
      <c r="BI267" s="1252"/>
      <c r="BK267" s="1240"/>
      <c r="BL267" s="24"/>
      <c r="BM267" s="24"/>
      <c r="BN267" s="24"/>
      <c r="BO267" s="1252"/>
      <c r="BQ267" s="1240"/>
      <c r="BR267" s="24"/>
      <c r="BS267" s="24"/>
      <c r="BT267" s="24"/>
      <c r="BU267" s="1264"/>
      <c r="BW267" s="1240"/>
      <c r="BX267" s="24"/>
      <c r="BY267" s="24"/>
      <c r="BZ267" s="24"/>
      <c r="CA267" s="1264"/>
      <c r="CC267" s="1240"/>
      <c r="CD267" s="24"/>
      <c r="CE267" s="24"/>
      <c r="CF267" s="24"/>
      <c r="CG267" s="1264"/>
      <c r="CI267" s="1240"/>
      <c r="CJ267" s="24"/>
      <c r="CK267" s="24"/>
      <c r="CL267" s="24"/>
      <c r="CM267" s="1264"/>
      <c r="CO267" s="17"/>
    </row>
    <row r="268" spans="1:100" x14ac:dyDescent="0.2">
      <c r="A268" s="84"/>
      <c r="B268" s="1234"/>
      <c r="C268" s="1240"/>
      <c r="D268" s="24"/>
      <c r="E268" s="24"/>
      <c r="F268" s="24"/>
      <c r="G268" s="1264"/>
      <c r="I268" s="1240"/>
      <c r="J268" s="24"/>
      <c r="K268" s="24"/>
      <c r="L268" s="24"/>
      <c r="M268" s="1264"/>
      <c r="O268" s="1240"/>
      <c r="P268" s="24"/>
      <c r="Q268" s="24"/>
      <c r="R268" s="24"/>
      <c r="S268" s="1264"/>
      <c r="U268" s="1240"/>
      <c r="V268" s="24"/>
      <c r="W268" s="24"/>
      <c r="X268" s="24"/>
      <c r="Y268" s="1264"/>
      <c r="AA268" s="1240"/>
      <c r="AB268" s="24"/>
      <c r="AC268" s="24"/>
      <c r="AD268" s="24"/>
      <c r="AE268" s="1264"/>
      <c r="AG268" s="1240"/>
      <c r="AH268" s="24"/>
      <c r="AI268" s="24"/>
      <c r="AJ268" s="24"/>
      <c r="AK268" s="1264"/>
      <c r="AM268" s="1240"/>
      <c r="AN268" s="24"/>
      <c r="AO268" s="24"/>
      <c r="AP268" s="24"/>
      <c r="AQ268" s="1264"/>
      <c r="AS268" s="1240"/>
      <c r="AT268" s="24"/>
      <c r="AU268" s="24"/>
      <c r="AV268" s="24"/>
      <c r="AW268" s="1264"/>
      <c r="AY268" s="1240"/>
      <c r="AZ268" s="24"/>
      <c r="BA268" s="24"/>
      <c r="BB268" s="24"/>
      <c r="BC268" s="1264"/>
      <c r="BE268" s="1240"/>
      <c r="BF268" s="24"/>
      <c r="BG268" s="24"/>
      <c r="BH268" s="24"/>
      <c r="BI268" s="1264"/>
      <c r="BK268" s="1240"/>
      <c r="BL268" s="24"/>
      <c r="BM268" s="24"/>
      <c r="BN268" s="24"/>
      <c r="BO268" s="1264"/>
      <c r="BQ268" s="1240"/>
      <c r="BR268" s="24"/>
      <c r="BS268" s="24"/>
      <c r="BT268" s="24"/>
      <c r="BU268" s="1264"/>
      <c r="BW268" s="1240"/>
      <c r="BX268" s="24"/>
      <c r="BY268" s="24"/>
      <c r="BZ268" s="24"/>
      <c r="CA268" s="1264"/>
      <c r="CC268" s="1240"/>
      <c r="CD268" s="24"/>
      <c r="CE268" s="24"/>
      <c r="CF268" s="24"/>
      <c r="CG268" s="1264"/>
      <c r="CI268" s="1240"/>
      <c r="CJ268" s="24"/>
      <c r="CK268" s="24"/>
      <c r="CL268" s="24"/>
      <c r="CM268" s="1264"/>
      <c r="CO268" s="17"/>
    </row>
    <row r="269" spans="1:100" x14ac:dyDescent="0.2">
      <c r="A269" s="84"/>
      <c r="B269" s="1236" t="s">
        <v>543</v>
      </c>
      <c r="C269" s="1240"/>
      <c r="D269" s="24"/>
      <c r="E269" s="24"/>
      <c r="F269" s="24"/>
      <c r="G269" s="1264"/>
      <c r="I269" s="1240"/>
      <c r="J269" s="24"/>
      <c r="K269" s="24"/>
      <c r="L269" s="24"/>
      <c r="M269" s="1264"/>
      <c r="O269" s="1240"/>
      <c r="P269" s="24"/>
      <c r="Q269" s="24"/>
      <c r="R269" s="24"/>
      <c r="S269" s="1264"/>
      <c r="U269" s="1240"/>
      <c r="V269" s="24"/>
      <c r="W269" s="24"/>
      <c r="X269" s="24"/>
      <c r="Y269" s="1264"/>
      <c r="AA269" s="1240"/>
      <c r="AB269" s="24"/>
      <c r="AC269" s="24"/>
      <c r="AD269" s="24"/>
      <c r="AE269" s="1264"/>
      <c r="AG269" s="1240"/>
      <c r="AH269" s="24"/>
      <c r="AI269" s="24"/>
      <c r="AJ269" s="24"/>
      <c r="AK269" s="1264"/>
      <c r="AM269" s="1240"/>
      <c r="AN269" s="24"/>
      <c r="AO269" s="24"/>
      <c r="AP269" s="24"/>
      <c r="AQ269" s="1264"/>
      <c r="AS269" s="1240"/>
      <c r="AT269" s="24"/>
      <c r="AU269" s="24"/>
      <c r="AV269" s="24"/>
      <c r="AW269" s="1264"/>
      <c r="AY269" s="1240"/>
      <c r="AZ269" s="24"/>
      <c r="BA269" s="24"/>
      <c r="BB269" s="24"/>
      <c r="BC269" s="1264"/>
      <c r="BE269" s="1240"/>
      <c r="BF269" s="24"/>
      <c r="BG269" s="24"/>
      <c r="BH269" s="24"/>
      <c r="BI269" s="1269">
        <v>14000</v>
      </c>
      <c r="BK269" s="1240"/>
      <c r="BL269" s="24"/>
      <c r="BM269" s="24"/>
      <c r="BN269" s="24"/>
      <c r="BO269" s="1269">
        <v>14000</v>
      </c>
      <c r="BQ269" s="1240"/>
      <c r="BR269" s="24"/>
      <c r="BS269" s="24"/>
      <c r="BT269" s="24"/>
      <c r="BU269" s="1264"/>
      <c r="BW269" s="1240"/>
      <c r="BX269" s="24"/>
      <c r="BY269" s="24"/>
      <c r="BZ269" s="24"/>
      <c r="CA269" s="1264"/>
      <c r="CC269" s="1240"/>
      <c r="CD269" s="24"/>
      <c r="CE269" s="24"/>
      <c r="CF269" s="24"/>
      <c r="CG269" s="1264"/>
      <c r="CI269" s="1240"/>
      <c r="CJ269" s="24"/>
      <c r="CK269" s="24"/>
      <c r="CL269" s="24"/>
      <c r="CM269" s="1264"/>
      <c r="CO269" s="17"/>
    </row>
    <row r="270" spans="1:100" x14ac:dyDescent="0.2">
      <c r="A270" s="84"/>
      <c r="B270" s="1229" t="s">
        <v>517</v>
      </c>
      <c r="C270" s="1239"/>
      <c r="D270" s="114"/>
      <c r="E270" s="114"/>
      <c r="F270" s="114"/>
      <c r="G270" s="1262"/>
      <c r="H270" s="31"/>
      <c r="I270" s="1239"/>
      <c r="J270" s="114"/>
      <c r="K270" s="114"/>
      <c r="L270" s="114"/>
      <c r="M270" s="1262"/>
      <c r="N270" s="31"/>
      <c r="O270" s="1239"/>
      <c r="P270" s="114"/>
      <c r="Q270" s="114"/>
      <c r="R270" s="114"/>
      <c r="S270" s="1262"/>
      <c r="T270" s="31"/>
      <c r="U270" s="1239"/>
      <c r="V270" s="114"/>
      <c r="W270" s="114"/>
      <c r="X270" s="114"/>
      <c r="Y270" s="1262"/>
      <c r="Z270" s="31"/>
      <c r="AA270" s="1239"/>
      <c r="AB270" s="114"/>
      <c r="AC270" s="114"/>
      <c r="AD270" s="114"/>
      <c r="AE270" s="1262"/>
      <c r="AF270" s="31"/>
      <c r="AG270" s="1239"/>
      <c r="AH270" s="114"/>
      <c r="AI270" s="114"/>
      <c r="AJ270" s="114"/>
      <c r="AK270" s="1262"/>
      <c r="AL270" s="31"/>
      <c r="AM270" s="1239"/>
      <c r="AN270" s="114"/>
      <c r="AO270" s="114"/>
      <c r="AP270" s="114"/>
      <c r="AQ270" s="1262"/>
      <c r="AR270" s="31"/>
      <c r="AS270" s="1239"/>
      <c r="AT270" s="114"/>
      <c r="AU270" s="114"/>
      <c r="AV270" s="114"/>
      <c r="AW270" s="1014"/>
      <c r="AX270" s="31"/>
      <c r="AY270" s="1239"/>
      <c r="AZ270" s="114"/>
      <c r="BA270" s="114"/>
      <c r="BB270" s="114"/>
      <c r="BC270" s="1014"/>
      <c r="BD270" s="31"/>
      <c r="BE270" s="1239"/>
      <c r="BF270" s="114"/>
      <c r="BG270" s="114"/>
      <c r="BH270" s="114"/>
      <c r="BI270" s="1014">
        <f>+BI150/BI269</f>
        <v>0.20444635714285717</v>
      </c>
      <c r="BK270" s="1240"/>
      <c r="BL270" s="24"/>
      <c r="BM270" s="24"/>
      <c r="BN270" s="24"/>
      <c r="BO270" s="1014">
        <f>+BO150/BO269</f>
        <v>0.22570185714285715</v>
      </c>
      <c r="BQ270" s="1240"/>
      <c r="BR270" s="24"/>
      <c r="BS270" s="24"/>
      <c r="BT270" s="24"/>
      <c r="BU270" s="1264"/>
      <c r="BW270" s="1240"/>
      <c r="BX270" s="24"/>
      <c r="BY270" s="24"/>
      <c r="BZ270" s="24"/>
      <c r="CA270" s="1264"/>
      <c r="CC270" s="1240"/>
      <c r="CD270" s="24"/>
      <c r="CE270" s="24"/>
      <c r="CF270" s="24"/>
      <c r="CG270" s="1264"/>
      <c r="CI270" s="1240"/>
      <c r="CJ270" s="24"/>
      <c r="CK270" s="24"/>
      <c r="CL270" s="24"/>
      <c r="CM270" s="1264"/>
      <c r="CO270" s="17"/>
    </row>
    <row r="271" spans="1:100" x14ac:dyDescent="0.2">
      <c r="A271" s="84"/>
      <c r="B271" s="1234"/>
      <c r="C271" s="1239"/>
      <c r="D271" s="114"/>
      <c r="E271" s="114"/>
      <c r="F271" s="114"/>
      <c r="G271" s="1262"/>
      <c r="H271" s="31"/>
      <c r="I271" s="1239"/>
      <c r="J271" s="114"/>
      <c r="K271" s="114"/>
      <c r="L271" s="114"/>
      <c r="M271" s="1262"/>
      <c r="N271" s="31"/>
      <c r="O271" s="1239"/>
      <c r="P271" s="114"/>
      <c r="Q271" s="114"/>
      <c r="R271" s="114"/>
      <c r="S271" s="1262"/>
      <c r="T271" s="31"/>
      <c r="U271" s="1239"/>
      <c r="V271" s="114"/>
      <c r="W271" s="114"/>
      <c r="X271" s="114"/>
      <c r="Y271" s="1262"/>
      <c r="Z271" s="31"/>
      <c r="AA271" s="1239"/>
      <c r="AB271" s="114"/>
      <c r="AC271" s="114"/>
      <c r="AD271" s="114"/>
      <c r="AE271" s="1262"/>
      <c r="AF271" s="31"/>
      <c r="AG271" s="1239"/>
      <c r="AH271" s="114"/>
      <c r="AI271" s="114"/>
      <c r="AJ271" s="114"/>
      <c r="AK271" s="1262"/>
      <c r="AL271" s="31"/>
      <c r="AM271" s="1239"/>
      <c r="AN271" s="114"/>
      <c r="AO271" s="114"/>
      <c r="AP271" s="114"/>
      <c r="AQ271" s="1262"/>
      <c r="AR271" s="31"/>
      <c r="AS271" s="1239"/>
      <c r="AT271" s="114"/>
      <c r="AU271" s="114"/>
      <c r="AV271" s="114"/>
      <c r="AW271" s="1267"/>
      <c r="AX271" s="31"/>
      <c r="AY271" s="1239"/>
      <c r="AZ271" s="114"/>
      <c r="BA271" s="114"/>
      <c r="BB271" s="114"/>
      <c r="BC271" s="1267"/>
      <c r="BD271" s="31"/>
      <c r="BE271" s="1239"/>
      <c r="BF271" s="114"/>
      <c r="BG271" s="114"/>
      <c r="BH271" s="114"/>
      <c r="BI271" s="1267"/>
      <c r="BK271" s="1240"/>
      <c r="BL271" s="24"/>
      <c r="BM271" s="24"/>
      <c r="BN271" s="24"/>
      <c r="BO271" s="1267"/>
      <c r="BQ271" s="1240"/>
      <c r="BR271" s="24"/>
      <c r="BS271" s="24"/>
      <c r="BT271" s="24"/>
      <c r="BU271" s="1264"/>
      <c r="BW271" s="1240"/>
      <c r="BX271" s="24"/>
      <c r="BY271" s="24"/>
      <c r="BZ271" s="24"/>
      <c r="CA271" s="1264"/>
      <c r="CC271" s="1240"/>
      <c r="CD271" s="24"/>
      <c r="CE271" s="24"/>
      <c r="CF271" s="24"/>
      <c r="CG271" s="1264"/>
      <c r="CI271" s="1240"/>
      <c r="CJ271" s="24"/>
      <c r="CK271" s="24"/>
      <c r="CL271" s="24"/>
      <c r="CM271" s="1264"/>
    </row>
    <row r="272" spans="1:100" x14ac:dyDescent="0.2">
      <c r="A272" s="31"/>
      <c r="B272" s="1229" t="s">
        <v>547</v>
      </c>
      <c r="C272" s="1239"/>
      <c r="D272" s="114"/>
      <c r="E272" s="114"/>
      <c r="F272" s="114"/>
      <c r="G272" s="1262"/>
      <c r="H272" s="31"/>
      <c r="I272" s="1239"/>
      <c r="J272" s="114"/>
      <c r="K272" s="114"/>
      <c r="L272" s="114"/>
      <c r="M272" s="1262"/>
      <c r="N272" s="31"/>
      <c r="O272" s="1239"/>
      <c r="P272" s="114"/>
      <c r="Q272" s="114"/>
      <c r="R272" s="114"/>
      <c r="S272" s="1262"/>
      <c r="T272" s="31"/>
      <c r="U272" s="1239"/>
      <c r="V272" s="114"/>
      <c r="W272" s="114"/>
      <c r="X272" s="114"/>
      <c r="Y272" s="1262"/>
      <c r="Z272" s="31"/>
      <c r="AA272" s="1239"/>
      <c r="AB272" s="114"/>
      <c r="AC272" s="114"/>
      <c r="AD272" s="114"/>
      <c r="AE272" s="1262"/>
      <c r="AF272" s="31"/>
      <c r="AG272" s="1239"/>
      <c r="AH272" s="114"/>
      <c r="AI272" s="114"/>
      <c r="AJ272" s="114"/>
      <c r="AK272" s="1262"/>
      <c r="AL272" s="31"/>
      <c r="AM272" s="1239"/>
      <c r="AN272" s="114"/>
      <c r="AO272" s="114"/>
      <c r="AP272" s="114"/>
      <c r="AQ272" s="1262"/>
      <c r="AR272" s="31"/>
      <c r="AS272" s="1239"/>
      <c r="AT272" s="114"/>
      <c r="AU272" s="114"/>
      <c r="AV272" s="114"/>
      <c r="AW272" s="1272"/>
      <c r="AX272" s="31"/>
      <c r="AY272" s="1239"/>
      <c r="AZ272" s="114"/>
      <c r="BA272" s="114"/>
      <c r="BB272" s="114"/>
      <c r="BC272" s="1272"/>
      <c r="BD272" s="31"/>
      <c r="BE272" s="1239"/>
      <c r="BF272" s="114"/>
      <c r="BG272" s="114"/>
      <c r="BH272" s="114"/>
      <c r="BI272" s="1272">
        <v>50000</v>
      </c>
      <c r="BK272" s="1237"/>
      <c r="BL272" s="17"/>
      <c r="BM272" s="17"/>
      <c r="BN272" s="17"/>
      <c r="BO272" s="1272">
        <v>50000</v>
      </c>
      <c r="BQ272" s="1237"/>
      <c r="BR272" s="17"/>
      <c r="BS272" s="17"/>
      <c r="BT272" s="17"/>
      <c r="BU272" s="573"/>
      <c r="BW272" s="1237"/>
      <c r="BX272" s="17"/>
      <c r="BY272" s="17"/>
      <c r="BZ272" s="17"/>
      <c r="CA272" s="573"/>
      <c r="CC272" s="1237"/>
      <c r="CD272" s="17"/>
      <c r="CE272" s="17"/>
      <c r="CF272" s="17"/>
      <c r="CG272" s="573"/>
      <c r="CI272" s="1237"/>
      <c r="CJ272" s="17"/>
      <c r="CK272" s="17"/>
      <c r="CL272" s="17"/>
      <c r="CM272" s="573"/>
      <c r="CO272" s="18"/>
    </row>
    <row r="273" spans="1:102" x14ac:dyDescent="0.2">
      <c r="A273" s="84"/>
      <c r="B273" s="1235"/>
      <c r="C273" s="1241"/>
      <c r="D273" s="16"/>
      <c r="E273" s="16"/>
      <c r="F273" s="16"/>
      <c r="G273" s="1263"/>
      <c r="H273" s="6"/>
      <c r="I273" s="1241"/>
      <c r="J273" s="16"/>
      <c r="K273" s="16"/>
      <c r="L273" s="16"/>
      <c r="M273" s="1263"/>
      <c r="N273" s="6"/>
      <c r="O273" s="1241"/>
      <c r="P273" s="16"/>
      <c r="Q273" s="16"/>
      <c r="R273" s="16"/>
      <c r="S273" s="1263"/>
      <c r="T273" s="6"/>
      <c r="U273" s="1241"/>
      <c r="V273" s="16"/>
      <c r="W273" s="16"/>
      <c r="X273" s="16"/>
      <c r="Y273" s="1263"/>
      <c r="Z273" s="6"/>
      <c r="AA273" s="1241"/>
      <c r="AB273" s="16"/>
      <c r="AC273" s="16"/>
      <c r="AD273" s="16"/>
      <c r="AE273" s="1263"/>
      <c r="AF273" s="6"/>
      <c r="AG273" s="1241"/>
      <c r="AH273" s="16"/>
      <c r="AI273" s="16"/>
      <c r="AJ273" s="16"/>
      <c r="AK273" s="1263"/>
      <c r="AL273" s="6"/>
      <c r="AM273" s="1241"/>
      <c r="AN273" s="16"/>
      <c r="AO273" s="16"/>
      <c r="AP273" s="16"/>
      <c r="AQ273" s="1263"/>
      <c r="AR273" s="6"/>
      <c r="AS273" s="1241"/>
      <c r="AT273" s="16"/>
      <c r="AU273" s="16"/>
      <c r="AV273" s="16"/>
      <c r="AW273" s="1262"/>
      <c r="AX273" s="6"/>
      <c r="AY273" s="1241"/>
      <c r="AZ273" s="16"/>
      <c r="BA273" s="16"/>
      <c r="BB273" s="16"/>
      <c r="BC273" s="1262"/>
      <c r="BD273" s="6"/>
      <c r="BE273" s="1241"/>
      <c r="BF273" s="16"/>
      <c r="BG273" s="16"/>
      <c r="BH273" s="16"/>
      <c r="BI273" s="1262"/>
      <c r="BK273" s="1240"/>
      <c r="BL273" s="24"/>
      <c r="BM273" s="24"/>
      <c r="BN273" s="24"/>
      <c r="BO273" s="1264"/>
      <c r="BQ273" s="1240"/>
      <c r="BR273" s="24"/>
      <c r="BS273" s="24"/>
      <c r="BT273" s="24"/>
      <c r="BU273" s="1264"/>
      <c r="BW273" s="1240"/>
      <c r="BX273" s="24"/>
      <c r="BY273" s="24"/>
      <c r="BZ273" s="24"/>
      <c r="CA273" s="1264"/>
      <c r="CC273" s="1240"/>
      <c r="CD273" s="24"/>
      <c r="CE273" s="24"/>
      <c r="CF273" s="24"/>
      <c r="CG273" s="1264"/>
      <c r="CI273" s="1240"/>
      <c r="CJ273" s="24"/>
      <c r="CK273" s="24"/>
      <c r="CL273" s="24"/>
      <c r="CM273" s="1264"/>
    </row>
    <row r="274" spans="1:102" ht="11.25" customHeight="1" x14ac:dyDescent="0.2">
      <c r="A274" s="100"/>
      <c r="B274" s="1229" t="s">
        <v>521</v>
      </c>
      <c r="C274" s="1237"/>
      <c r="D274" s="17"/>
      <c r="E274" s="17"/>
      <c r="F274" s="17"/>
      <c r="G274" s="1258"/>
      <c r="H274" s="11"/>
      <c r="I274" s="1237"/>
      <c r="J274" s="17"/>
      <c r="K274" s="17"/>
      <c r="L274" s="17"/>
      <c r="M274" s="1258"/>
      <c r="N274" s="11"/>
      <c r="O274" s="1237"/>
      <c r="P274" s="17"/>
      <c r="Q274" s="17"/>
      <c r="R274" s="17"/>
      <c r="S274" s="1257">
        <v>45000</v>
      </c>
      <c r="T274" s="1209"/>
      <c r="U274" s="1246"/>
      <c r="V274" s="1162"/>
      <c r="W274" s="1162"/>
      <c r="X274" s="1162"/>
      <c r="Y274" s="1257">
        <v>50000</v>
      </c>
      <c r="Z274" s="11"/>
      <c r="AA274" s="1237"/>
      <c r="AB274" s="17"/>
      <c r="AC274" s="17"/>
      <c r="AD274" s="17"/>
      <c r="AE274" s="1257">
        <v>80000</v>
      </c>
      <c r="AF274" s="11"/>
      <c r="AG274" s="1237"/>
      <c r="AH274" s="17"/>
      <c r="AI274" s="17"/>
      <c r="AJ274" s="17"/>
      <c r="AK274" s="1257">
        <v>80000</v>
      </c>
      <c r="AL274" s="11"/>
      <c r="AM274" s="1237"/>
      <c r="AN274" s="17"/>
      <c r="AO274" s="17"/>
      <c r="AP274" s="17"/>
      <c r="AQ274" s="1257">
        <v>80000</v>
      </c>
      <c r="AR274" s="11"/>
      <c r="AS274" s="1237"/>
      <c r="AT274" s="17"/>
      <c r="AU274" s="17"/>
      <c r="AV274" s="17"/>
      <c r="AW274" s="1257">
        <v>80000</v>
      </c>
      <c r="AX274" s="11"/>
      <c r="AY274" s="1237"/>
      <c r="AZ274" s="17"/>
      <c r="BA274" s="17"/>
      <c r="BB274" s="17"/>
      <c r="BC274" s="1257">
        <v>80000</v>
      </c>
      <c r="BD274" s="11"/>
      <c r="BE274" s="1237"/>
      <c r="BF274" s="17"/>
      <c r="BG274" s="17"/>
      <c r="BH274" s="17"/>
      <c r="BI274" s="1255">
        <v>100000</v>
      </c>
      <c r="BJ274" s="11"/>
      <c r="BK274" s="1237"/>
      <c r="BL274" s="17"/>
      <c r="BM274" s="17"/>
      <c r="BN274" s="17"/>
      <c r="BO274" s="1255">
        <v>100000</v>
      </c>
      <c r="BP274" s="11"/>
      <c r="BQ274" s="1237"/>
      <c r="BR274" s="17"/>
      <c r="BS274" s="17"/>
      <c r="BT274" s="17"/>
      <c r="BU274" s="573"/>
      <c r="BV274" s="11"/>
      <c r="BW274" s="1237"/>
      <c r="BX274" s="17"/>
      <c r="BY274" s="17"/>
      <c r="BZ274" s="17"/>
      <c r="CA274" s="573"/>
      <c r="CB274" s="11"/>
      <c r="CC274" s="1237"/>
      <c r="CD274" s="17"/>
      <c r="CE274" s="17"/>
      <c r="CF274" s="17"/>
      <c r="CG274" s="573"/>
      <c r="CH274" s="11"/>
      <c r="CI274" s="1237"/>
      <c r="CJ274" s="17"/>
      <c r="CK274" s="17"/>
      <c r="CL274" s="17"/>
      <c r="CM274" s="573"/>
      <c r="CN274" s="266"/>
      <c r="CO274" s="455"/>
    </row>
    <row r="275" spans="1:102" ht="11.25" customHeight="1" x14ac:dyDescent="0.2">
      <c r="A275" s="100"/>
      <c r="B275" s="1229"/>
      <c r="C275" s="1237"/>
      <c r="D275" s="17"/>
      <c r="E275" s="17"/>
      <c r="F275" s="17"/>
      <c r="G275" s="573"/>
      <c r="H275" s="11"/>
      <c r="I275" s="1237"/>
      <c r="J275" s="17"/>
      <c r="K275" s="17"/>
      <c r="L275" s="17"/>
      <c r="M275" s="573"/>
      <c r="N275" s="11"/>
      <c r="O275" s="1237"/>
      <c r="P275" s="17"/>
      <c r="Q275" s="17"/>
      <c r="R275" s="17"/>
      <c r="S275" s="573"/>
      <c r="T275" s="11"/>
      <c r="U275" s="1237"/>
      <c r="V275" s="17"/>
      <c r="W275" s="17"/>
      <c r="X275" s="17"/>
      <c r="Y275" s="573"/>
      <c r="Z275" s="11"/>
      <c r="AA275" s="1237"/>
      <c r="AB275" s="17"/>
      <c r="AC275" s="17"/>
      <c r="AD275" s="17"/>
      <c r="AE275" s="573"/>
      <c r="AF275" s="11"/>
      <c r="AG275" s="1237"/>
      <c r="AH275" s="17"/>
      <c r="AI275" s="17"/>
      <c r="AJ275" s="17"/>
      <c r="AK275" s="573"/>
      <c r="AL275" s="11"/>
      <c r="AM275" s="1237"/>
      <c r="AN275" s="17"/>
      <c r="AO275" s="17"/>
      <c r="AP275" s="17"/>
      <c r="AQ275" s="573"/>
      <c r="AR275" s="11"/>
      <c r="AS275" s="1237"/>
      <c r="AT275" s="17"/>
      <c r="AU275" s="17"/>
      <c r="AV275" s="17"/>
      <c r="AW275" s="573"/>
      <c r="AX275" s="11"/>
      <c r="AY275" s="1237"/>
      <c r="AZ275" s="17"/>
      <c r="BA275" s="17"/>
      <c r="BB275" s="17"/>
      <c r="BC275" s="573"/>
      <c r="BD275" s="11"/>
      <c r="BE275" s="1237"/>
      <c r="BF275" s="17"/>
      <c r="BG275" s="17"/>
      <c r="BH275" s="17"/>
      <c r="BI275" s="573"/>
      <c r="BJ275" s="11"/>
      <c r="BK275" s="1237"/>
      <c r="BL275" s="17"/>
      <c r="BM275" s="17"/>
      <c r="BN275" s="17"/>
      <c r="BO275" s="573"/>
      <c r="BP275" s="11"/>
      <c r="BQ275" s="1237"/>
      <c r="BR275" s="17"/>
      <c r="BS275" s="17"/>
      <c r="BT275" s="17"/>
      <c r="BU275" s="573"/>
      <c r="BV275" s="11"/>
      <c r="BW275" s="1237"/>
      <c r="BX275" s="17"/>
      <c r="BY275" s="17"/>
      <c r="BZ275" s="17"/>
      <c r="CA275" s="573"/>
      <c r="CB275" s="11"/>
      <c r="CC275" s="1237"/>
      <c r="CD275" s="17"/>
      <c r="CE275" s="17"/>
      <c r="CF275" s="17"/>
      <c r="CG275" s="573"/>
      <c r="CH275" s="11"/>
      <c r="CI275" s="1237"/>
      <c r="CJ275" s="17"/>
      <c r="CK275" s="17"/>
      <c r="CL275" s="17"/>
      <c r="CM275" s="573"/>
    </row>
    <row r="276" spans="1:102" s="9" customFormat="1" ht="11.25" customHeight="1" x14ac:dyDescent="0.2">
      <c r="A276" s="12"/>
      <c r="B276" s="1233" t="s">
        <v>369</v>
      </c>
      <c r="C276" s="1238"/>
      <c r="D276" s="619"/>
      <c r="E276" s="619"/>
      <c r="F276" s="619"/>
      <c r="G276" s="617"/>
      <c r="H276" s="585"/>
      <c r="I276" s="1238"/>
      <c r="J276" s="619"/>
      <c r="K276" s="619"/>
      <c r="L276" s="619"/>
      <c r="M276" s="617"/>
      <c r="N276" s="585"/>
      <c r="O276" s="1238"/>
      <c r="P276" s="619"/>
      <c r="Q276" s="619"/>
      <c r="R276" s="619"/>
      <c r="S276" s="617"/>
      <c r="T276" s="585"/>
      <c r="U276" s="1238"/>
      <c r="V276" s="619"/>
      <c r="W276" s="619"/>
      <c r="X276" s="619"/>
      <c r="Y276" s="617"/>
      <c r="Z276" s="585"/>
      <c r="AA276" s="1238"/>
      <c r="AB276" s="619"/>
      <c r="AC276" s="619"/>
      <c r="AD276" s="619"/>
      <c r="AE276" s="617"/>
      <c r="AF276" s="585"/>
      <c r="AG276" s="1238"/>
      <c r="AH276" s="619"/>
      <c r="AI276" s="619"/>
      <c r="AJ276" s="619"/>
      <c r="AK276" s="617"/>
      <c r="AL276" s="585"/>
      <c r="AM276" s="1238"/>
      <c r="AN276" s="619"/>
      <c r="AO276" s="619"/>
      <c r="AP276" s="619"/>
      <c r="AQ276" s="617"/>
      <c r="AR276" s="585"/>
      <c r="AS276" s="1238"/>
      <c r="AT276" s="619"/>
      <c r="AU276" s="619"/>
      <c r="AV276" s="619"/>
      <c r="AW276" s="617"/>
      <c r="AX276" s="585"/>
      <c r="AY276" s="1238"/>
      <c r="AZ276" s="619"/>
      <c r="BA276" s="619"/>
      <c r="BB276" s="619"/>
      <c r="BC276" s="617"/>
      <c r="BD276" s="585"/>
      <c r="BE276" s="1238"/>
      <c r="BF276" s="619"/>
      <c r="BG276" s="619"/>
      <c r="BH276" s="619"/>
      <c r="BI276" s="617"/>
      <c r="BJ276" s="585"/>
      <c r="BK276" s="1238"/>
      <c r="BL276" s="619"/>
      <c r="BM276" s="619"/>
      <c r="BN276" s="619"/>
      <c r="BO276" s="617"/>
      <c r="BP276" s="585"/>
      <c r="BQ276" s="1238"/>
      <c r="BR276" s="619"/>
      <c r="BS276" s="619"/>
      <c r="BT276" s="619"/>
      <c r="BU276" s="617"/>
      <c r="BV276" s="585"/>
      <c r="BW276" s="1238"/>
      <c r="BX276" s="619"/>
      <c r="BY276" s="619"/>
      <c r="BZ276" s="619"/>
      <c r="CA276" s="617"/>
      <c r="CB276" s="585"/>
      <c r="CC276" s="1238"/>
      <c r="CD276" s="619"/>
      <c r="CE276" s="619"/>
      <c r="CF276" s="619"/>
      <c r="CG276" s="617"/>
      <c r="CH276" s="585"/>
      <c r="CI276" s="1238"/>
      <c r="CJ276" s="619"/>
      <c r="CK276" s="619"/>
      <c r="CL276" s="619"/>
      <c r="CM276" s="617"/>
      <c r="CN276" s="11"/>
      <c r="CO276" s="11"/>
      <c r="CP276" s="11"/>
      <c r="CQ276" s="11"/>
      <c r="CR276" s="11"/>
      <c r="CS276" s="11"/>
      <c r="CT276" s="11"/>
      <c r="CU276" s="11"/>
      <c r="CV276" s="11"/>
      <c r="CW276" s="11"/>
      <c r="CX276" s="11"/>
    </row>
    <row r="277" spans="1:102" x14ac:dyDescent="0.2">
      <c r="A277" s="84"/>
      <c r="B277" s="1271" t="s">
        <v>545</v>
      </c>
      <c r="C277" s="1242"/>
      <c r="D277" s="1243"/>
      <c r="E277" s="1243"/>
      <c r="F277" s="1243"/>
      <c r="G277" s="1265"/>
      <c r="H277" s="114"/>
      <c r="I277" s="1242"/>
      <c r="J277" s="1243"/>
      <c r="K277" s="1243"/>
      <c r="L277" s="1243"/>
      <c r="M277" s="1266">
        <f>+M260+M226+M240</f>
        <v>120000</v>
      </c>
      <c r="N277" s="114"/>
      <c r="O277" s="1242"/>
      <c r="P277" s="1243"/>
      <c r="Q277" s="1243"/>
      <c r="R277" s="1243"/>
      <c r="S277" s="1266">
        <f>+S260+S226+S240</f>
        <v>120000</v>
      </c>
      <c r="T277" s="114"/>
      <c r="U277" s="1242"/>
      <c r="V277" s="1243"/>
      <c r="W277" s="1243"/>
      <c r="X277" s="1243"/>
      <c r="Y277" s="1266">
        <f>+Y260+Y226+Y240</f>
        <v>120000</v>
      </c>
      <c r="Z277" s="114"/>
      <c r="AA277" s="1242"/>
      <c r="AB277" s="1243"/>
      <c r="AC277" s="1243"/>
      <c r="AD277" s="1243"/>
      <c r="AE277" s="1266">
        <f>+AE260+AE226+AE240</f>
        <v>120000</v>
      </c>
      <c r="AF277" s="114"/>
      <c r="AG277" s="1242"/>
      <c r="AH277" s="1243"/>
      <c r="AI277" s="1243"/>
      <c r="AJ277" s="1243"/>
      <c r="AK277" s="1266">
        <f>+AK260+AK226+AK240</f>
        <v>142000</v>
      </c>
      <c r="AL277" s="114"/>
      <c r="AM277" s="1242"/>
      <c r="AN277" s="1243"/>
      <c r="AO277" s="1243"/>
      <c r="AP277" s="1243"/>
      <c r="AQ277" s="1266">
        <f>+AQ260+AQ226+AQ240</f>
        <v>141000</v>
      </c>
      <c r="AR277" s="114"/>
      <c r="AS277" s="1242"/>
      <c r="AT277" s="1243"/>
      <c r="AU277" s="1243"/>
      <c r="AV277" s="1243"/>
      <c r="AW277" s="1266">
        <f>+AW260+AW226+AW240</f>
        <v>157000</v>
      </c>
      <c r="AX277" s="114"/>
      <c r="AY277" s="1242"/>
      <c r="AZ277" s="1243"/>
      <c r="BA277" s="1243"/>
      <c r="BB277" s="1243"/>
      <c r="BC277" s="1266">
        <f>+BC260+BC226+BC240</f>
        <v>161000</v>
      </c>
      <c r="BD277" s="114"/>
      <c r="BE277" s="1242"/>
      <c r="BF277" s="1243"/>
      <c r="BG277" s="1243"/>
      <c r="BH277" s="1243"/>
      <c r="BI277" s="1266">
        <f>+BI272+BI226</f>
        <v>170000</v>
      </c>
      <c r="BK277" s="1249"/>
      <c r="BL277" s="1250"/>
      <c r="BM277" s="1250"/>
      <c r="BN277" s="1250"/>
      <c r="BO277" s="1266">
        <f>+BO272+BO226</f>
        <v>164000</v>
      </c>
      <c r="BQ277" s="1249"/>
      <c r="BR277" s="1250"/>
      <c r="BS277" s="1250"/>
      <c r="BT277" s="1250"/>
      <c r="BU277" s="1270"/>
      <c r="BW277" s="1249"/>
      <c r="BX277" s="1250"/>
      <c r="BY277" s="1250"/>
      <c r="BZ277" s="1250"/>
      <c r="CA277" s="1270"/>
      <c r="CC277" s="1249"/>
      <c r="CD277" s="1250"/>
      <c r="CE277" s="1250"/>
      <c r="CF277" s="1250"/>
      <c r="CG277" s="1270"/>
      <c r="CI277" s="1249"/>
      <c r="CJ277" s="1250"/>
      <c r="CK277" s="1250"/>
      <c r="CL277" s="1250"/>
      <c r="CM277" s="1270"/>
    </row>
    <row r="278" spans="1:102" x14ac:dyDescent="0.2">
      <c r="A278" s="12"/>
      <c r="B278" s="11"/>
      <c r="AW278" s="1200"/>
      <c r="BC278" s="1200"/>
      <c r="BI278" s="1200"/>
    </row>
    <row r="280" spans="1:102" x14ac:dyDescent="0.2">
      <c r="B280" s="11"/>
      <c r="AW280" s="1207"/>
      <c r="BC280" s="1207"/>
      <c r="BI280" s="1207"/>
    </row>
    <row r="284" spans="1:102" x14ac:dyDescent="0.2">
      <c r="BN284" s="1202"/>
    </row>
    <row r="302" spans="1:91" x14ac:dyDescent="0.2">
      <c r="A302" s="9"/>
      <c r="B302" s="11"/>
      <c r="C302" s="11"/>
      <c r="D302" s="11"/>
      <c r="E302" s="11"/>
      <c r="F302" s="11"/>
      <c r="G302" s="11"/>
      <c r="I302" s="11"/>
      <c r="J302" s="11"/>
      <c r="K302" s="11"/>
      <c r="L302" s="11"/>
      <c r="M302" s="11"/>
      <c r="O302" s="17"/>
      <c r="P302" s="11"/>
      <c r="Q302" s="11"/>
      <c r="R302" s="11"/>
      <c r="S302" s="11"/>
      <c r="U302" s="17"/>
      <c r="V302" s="11"/>
      <c r="W302" s="11"/>
      <c r="X302" s="11"/>
      <c r="Y302" s="11"/>
      <c r="AA302" s="11"/>
      <c r="AB302" s="11"/>
      <c r="AC302" s="11"/>
      <c r="AD302" s="11"/>
      <c r="AE302" s="11"/>
      <c r="AG302" s="17"/>
      <c r="AH302" s="11"/>
      <c r="AI302" s="11"/>
      <c r="AJ302" s="11"/>
      <c r="AK302" s="11"/>
      <c r="AM302" s="465">
        <v>8.531341409687343E-2</v>
      </c>
      <c r="AN302" s="465">
        <v>-7.6905875021450072</v>
      </c>
      <c r="AO302" s="465">
        <v>-7.1964637827650506</v>
      </c>
      <c r="AP302" s="465">
        <v>7.8767340099282421</v>
      </c>
      <c r="AQ302" s="11"/>
      <c r="AS302" s="11"/>
      <c r="AT302" s="11"/>
      <c r="AU302" s="11"/>
      <c r="AV302" s="11"/>
      <c r="AW302" s="11"/>
      <c r="AY302" s="11"/>
      <c r="AZ302" s="11"/>
      <c r="BA302" s="11"/>
      <c r="BB302" s="11"/>
      <c r="BC302" s="11"/>
      <c r="BE302" s="11"/>
      <c r="BF302" s="11"/>
      <c r="BG302" s="11"/>
      <c r="BH302" s="11"/>
      <c r="BI302" s="11"/>
      <c r="BK302" s="11"/>
      <c r="BL302" s="11"/>
      <c r="BM302" s="11"/>
      <c r="BN302" s="11"/>
      <c r="BO302" s="11"/>
      <c r="BQ302" s="11"/>
      <c r="BR302" s="11"/>
      <c r="BS302" s="11"/>
      <c r="BT302" s="11"/>
      <c r="BU302" s="11"/>
      <c r="BW302" s="11"/>
      <c r="BX302" s="11"/>
      <c r="BY302" s="11"/>
      <c r="BZ302" s="11"/>
      <c r="CA302" s="11"/>
      <c r="CC302" s="11"/>
      <c r="CD302" s="11"/>
      <c r="CE302" s="11"/>
      <c r="CF302" s="11"/>
      <c r="CG302" s="11"/>
      <c r="CI302" s="11"/>
      <c r="CJ302" s="11"/>
      <c r="CK302" s="11"/>
      <c r="CL302" s="11"/>
      <c r="CM302" s="11"/>
    </row>
    <row r="303" spans="1:91" ht="12" customHeight="1" x14ac:dyDescent="0.2"/>
    <row r="308" ht="6.75" customHeight="1" x14ac:dyDescent="0.2"/>
    <row r="330" spans="2:93" x14ac:dyDescent="0.2">
      <c r="B330" s="85"/>
      <c r="C330" s="115"/>
      <c r="D330" s="115"/>
      <c r="E330" s="115"/>
      <c r="F330" s="115"/>
      <c r="G330" s="141"/>
      <c r="I330" s="115"/>
      <c r="J330" s="115"/>
      <c r="K330" s="115"/>
      <c r="L330" s="115"/>
      <c r="M330" s="141"/>
      <c r="O330" s="115"/>
      <c r="P330" s="115"/>
      <c r="Q330" s="115"/>
      <c r="R330" s="115"/>
      <c r="S330" s="141"/>
      <c r="U330" s="115"/>
      <c r="V330" s="115"/>
      <c r="W330" s="115"/>
      <c r="X330" s="115"/>
      <c r="Y330" s="141"/>
      <c r="AA330" s="115"/>
      <c r="AB330" s="115"/>
      <c r="AC330" s="115"/>
      <c r="AD330" s="115"/>
      <c r="AE330" s="141"/>
      <c r="AG330" s="115"/>
      <c r="AH330" s="115"/>
      <c r="AI330" s="115"/>
      <c r="AJ330" s="115"/>
      <c r="AK330" s="141"/>
      <c r="AM330" s="115"/>
      <c r="AN330" s="115"/>
      <c r="AO330" s="115"/>
      <c r="AP330" s="115"/>
      <c r="AQ330" s="141"/>
      <c r="AS330" s="115"/>
      <c r="AT330" s="115"/>
      <c r="AU330" s="115"/>
      <c r="AV330" s="115"/>
      <c r="AW330" s="141"/>
      <c r="AY330" s="993"/>
      <c r="AZ330" s="993"/>
      <c r="BA330" s="993"/>
      <c r="BB330" s="993"/>
      <c r="BC330" s="993"/>
      <c r="BE330" s="993"/>
      <c r="BF330" s="993"/>
      <c r="BG330" s="993"/>
      <c r="BH330" s="993"/>
      <c r="BI330" s="993"/>
      <c r="BK330" s="17"/>
      <c r="BL330" s="17"/>
      <c r="BM330" s="17"/>
      <c r="BN330" s="17"/>
      <c r="BO330" s="17"/>
      <c r="BQ330" s="17"/>
      <c r="BR330" s="17"/>
      <c r="BS330" s="17"/>
      <c r="BT330" s="17"/>
      <c r="BU330" s="17"/>
      <c r="BW330" s="17"/>
      <c r="BX330" s="17"/>
      <c r="BY330" s="17"/>
      <c r="BZ330" s="17"/>
      <c r="CA330" s="17"/>
      <c r="CC330" s="17"/>
      <c r="CD330" s="17"/>
      <c r="CE330" s="17"/>
      <c r="CF330" s="17"/>
      <c r="CG330" s="17"/>
      <c r="CI330" s="17"/>
      <c r="CJ330" s="17"/>
      <c r="CK330" s="17"/>
      <c r="CL330" s="17"/>
      <c r="CM330" s="17"/>
      <c r="CN330" s="17"/>
      <c r="CO330" s="17"/>
    </row>
    <row r="341" spans="2:91" x14ac:dyDescent="0.2">
      <c r="B341" s="119"/>
      <c r="C341" s="120"/>
      <c r="D341" s="120"/>
      <c r="E341" s="120"/>
      <c r="F341" s="120"/>
      <c r="G341" s="120"/>
      <c r="H341" s="994"/>
      <c r="I341" s="120"/>
      <c r="J341" s="120"/>
      <c r="K341" s="120"/>
      <c r="L341" s="120"/>
      <c r="M341" s="120"/>
      <c r="N341" s="994"/>
      <c r="O341" s="120"/>
      <c r="P341" s="120"/>
      <c r="Q341" s="120"/>
      <c r="R341" s="120"/>
      <c r="S341" s="120"/>
      <c r="T341" s="994"/>
      <c r="U341" s="120"/>
      <c r="V341" s="120"/>
      <c r="W341" s="120"/>
      <c r="X341" s="120"/>
      <c r="Y341" s="120"/>
      <c r="Z341" s="994"/>
      <c r="AA341" s="120"/>
      <c r="AB341" s="120"/>
      <c r="AC341" s="120"/>
      <c r="AD341" s="120"/>
      <c r="AE341" s="120"/>
      <c r="AF341" s="994"/>
      <c r="AG341" s="120"/>
      <c r="AH341" s="120"/>
      <c r="AI341" s="120"/>
      <c r="AJ341" s="120"/>
      <c r="AK341" s="120"/>
      <c r="AL341" s="994"/>
      <c r="AM341" s="120"/>
      <c r="AN341" s="120"/>
      <c r="AO341" s="120"/>
      <c r="AP341" s="120"/>
      <c r="AQ341" s="120"/>
      <c r="AR341" s="994"/>
      <c r="AS341" s="120"/>
      <c r="AT341" s="120"/>
      <c r="AU341" s="120"/>
      <c r="AV341" s="120"/>
      <c r="AW341" s="120"/>
      <c r="AX341" s="994"/>
      <c r="AY341" s="120"/>
      <c r="AZ341" s="120"/>
      <c r="BA341" s="120"/>
      <c r="BB341" s="120"/>
      <c r="BC341" s="120"/>
      <c r="BD341" s="994"/>
      <c r="BJ341" s="994"/>
      <c r="BK341" s="120"/>
      <c r="BL341" s="120"/>
      <c r="BM341" s="120"/>
      <c r="BN341" s="120"/>
      <c r="BO341" s="120"/>
      <c r="BP341" s="994"/>
      <c r="BQ341" s="120"/>
      <c r="BR341" s="120"/>
      <c r="BS341" s="120"/>
      <c r="BT341" s="120"/>
      <c r="BU341" s="120"/>
      <c r="BV341" s="994"/>
      <c r="BW341" s="120"/>
      <c r="BX341" s="120"/>
      <c r="BY341" s="120"/>
      <c r="BZ341" s="120"/>
      <c r="CA341" s="120"/>
      <c r="CB341" s="994"/>
      <c r="CC341" s="120"/>
      <c r="CD341" s="120"/>
      <c r="CE341" s="120"/>
      <c r="CF341" s="120"/>
      <c r="CG341" s="120"/>
      <c r="CH341" s="994"/>
      <c r="CI341" s="120"/>
      <c r="CJ341" s="120"/>
      <c r="CK341" s="120"/>
      <c r="CL341" s="120"/>
      <c r="CM341" s="120"/>
    </row>
    <row r="342" spans="2:91" x14ac:dyDescent="0.2">
      <c r="BC342" s="55"/>
      <c r="BE342" s="120"/>
      <c r="BF342" s="120"/>
      <c r="BG342" s="120"/>
      <c r="BH342" s="120"/>
      <c r="BI342" s="120"/>
      <c r="BK342" s="120"/>
    </row>
  </sheetData>
  <mergeCells count="15">
    <mergeCell ref="C4:F4"/>
    <mergeCell ref="I4:L4"/>
    <mergeCell ref="O4:R4"/>
    <mergeCell ref="U4:X4"/>
    <mergeCell ref="AA4:AD4"/>
    <mergeCell ref="AG4:AJ4"/>
    <mergeCell ref="AM4:AP4"/>
    <mergeCell ref="AS4:AV4"/>
    <mergeCell ref="AY4:BB4"/>
    <mergeCell ref="BE4:BH4"/>
    <mergeCell ref="CI4:CL4"/>
    <mergeCell ref="BK4:BN4"/>
    <mergeCell ref="BQ4:BT4"/>
    <mergeCell ref="BW4:BZ4"/>
    <mergeCell ref="CC4:CF4"/>
  </mergeCells>
  <phoneticPr fontId="11" type="noConversion"/>
  <printOptions horizontalCentered="1" verticalCentered="1"/>
  <pageMargins left="0" right="0" top="0" bottom="0" header="0" footer="0"/>
  <pageSetup paperSize="5" scale="28" orientation="landscape" r:id="rId1"/>
  <headerFooter alignWithMargins="0"/>
  <ignoredErrors>
    <ignoredError sqref="BT8 BT37:BT55 BT15:BT22 BT10:BT12 BT24:BT27"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70C0"/>
    <pageSetUpPr fitToPage="1"/>
  </sheetPr>
  <dimension ref="A1:BS97"/>
  <sheetViews>
    <sheetView zoomScaleNormal="100" zoomScaleSheetLayoutView="100" workbookViewId="0">
      <pane xSplit="1" ySplit="4" topLeftCell="B5" activePane="bottomRight" state="frozen"/>
      <selection pane="topRight" activeCell="B1" sqref="B1"/>
      <selection pane="bottomLeft" activeCell="A5" sqref="A5"/>
      <selection pane="bottomRight" sqref="A1:XFD1048576"/>
    </sheetView>
  </sheetViews>
  <sheetFormatPr defaultRowHeight="12.75" outlineLevelRow="1" outlineLevelCol="1" x14ac:dyDescent="0.2"/>
  <cols>
    <col min="1" max="1" width="22.85546875" style="293" customWidth="1"/>
    <col min="2" max="8" width="6.7109375" style="293" hidden="1" customWidth="1" outlineLevel="1"/>
    <col min="9" max="9" width="6.7109375" style="293" hidden="1" customWidth="1" outlineLevel="1" collapsed="1"/>
    <col min="10" max="10" width="6.7109375" style="293" hidden="1" customWidth="1" outlineLevel="1"/>
    <col min="11" max="14" width="6.7109375" style="293" hidden="1" customWidth="1" outlineLevel="1" collapsed="1"/>
    <col min="15" max="15" width="6.7109375" style="293" hidden="1" customWidth="1" outlineLevel="1"/>
    <col min="16" max="18" width="6.7109375" style="293" hidden="1" customWidth="1" outlineLevel="1" collapsed="1"/>
    <col min="19" max="19" width="6.7109375" style="293" hidden="1" customWidth="1" outlineLevel="1"/>
    <col min="20" max="21" width="6.7109375" style="293" hidden="1" customWidth="1" outlineLevel="1" collapsed="1"/>
    <col min="22" max="22" width="6.7109375" style="293" hidden="1" customWidth="1" outlineLevel="1"/>
    <col min="23" max="25" width="6.7109375" style="293" hidden="1" customWidth="1" outlineLevel="1" collapsed="1"/>
    <col min="26" max="27" width="6.7109375" style="293" hidden="1" customWidth="1" outlineLevel="1"/>
    <col min="28" max="29" width="6.7109375" style="293" hidden="1" customWidth="1" outlineLevel="1" collapsed="1"/>
    <col min="30" max="37" width="6.7109375" style="293" hidden="1" customWidth="1" outlineLevel="1"/>
    <col min="38" max="38" width="6.7109375" style="293" customWidth="1" collapsed="1"/>
    <col min="39" max="53" width="6.7109375" style="293" customWidth="1"/>
    <col min="54" max="60" width="6" style="293" customWidth="1"/>
    <col min="61" max="65" width="6.28515625" style="293" customWidth="1"/>
    <col min="66" max="66" width="6.7109375" style="293" customWidth="1"/>
    <col min="67" max="68" width="6" style="293" bestFit="1" customWidth="1"/>
    <col min="69" max="69" width="6" style="293" customWidth="1"/>
    <col min="70" max="71" width="6" style="293" bestFit="1" customWidth="1"/>
    <col min="72" max="258" width="9.140625" style="293"/>
    <col min="259" max="259" width="1.28515625" style="293" customWidth="1"/>
    <col min="260" max="260" width="15.28515625" style="293" customWidth="1"/>
    <col min="261" max="290" width="6.85546875" style="293" customWidth="1"/>
    <col min="291" max="302" width="6.5703125" style="293" customWidth="1"/>
    <col min="303" max="303" width="6" style="293" customWidth="1"/>
    <col min="304" max="304" width="7.140625" style="293" customWidth="1"/>
    <col min="305" max="316" width="6" style="293" customWidth="1"/>
    <col min="317" max="321" width="6.28515625" style="293" customWidth="1"/>
    <col min="322" max="322" width="6.7109375" style="293" customWidth="1"/>
    <col min="323" max="324" width="6" style="293" bestFit="1" customWidth="1"/>
    <col min="325" max="325" width="6" style="293" customWidth="1"/>
    <col min="326" max="327" width="6" style="293" bestFit="1" customWidth="1"/>
    <col min="328" max="514" width="9.140625" style="293"/>
    <col min="515" max="515" width="1.28515625" style="293" customWidth="1"/>
    <col min="516" max="516" width="15.28515625" style="293" customWidth="1"/>
    <col min="517" max="546" width="6.85546875" style="293" customWidth="1"/>
    <col min="547" max="558" width="6.5703125" style="293" customWidth="1"/>
    <col min="559" max="559" width="6" style="293" customWidth="1"/>
    <col min="560" max="560" width="7.140625" style="293" customWidth="1"/>
    <col min="561" max="572" width="6" style="293" customWidth="1"/>
    <col min="573" max="577" width="6.28515625" style="293" customWidth="1"/>
    <col min="578" max="578" width="6.7109375" style="293" customWidth="1"/>
    <col min="579" max="580" width="6" style="293" bestFit="1" customWidth="1"/>
    <col min="581" max="581" width="6" style="293" customWidth="1"/>
    <col min="582" max="583" width="6" style="293" bestFit="1" customWidth="1"/>
    <col min="584" max="770" width="9.140625" style="293"/>
    <col min="771" max="771" width="1.28515625" style="293" customWidth="1"/>
    <col min="772" max="772" width="15.28515625" style="293" customWidth="1"/>
    <col min="773" max="802" width="6.85546875" style="293" customWidth="1"/>
    <col min="803" max="814" width="6.5703125" style="293" customWidth="1"/>
    <col min="815" max="815" width="6" style="293" customWidth="1"/>
    <col min="816" max="816" width="7.140625" style="293" customWidth="1"/>
    <col min="817" max="828" width="6" style="293" customWidth="1"/>
    <col min="829" max="833" width="6.28515625" style="293" customWidth="1"/>
    <col min="834" max="834" width="6.7109375" style="293" customWidth="1"/>
    <col min="835" max="836" width="6" style="293" bestFit="1" customWidth="1"/>
    <col min="837" max="837" width="6" style="293" customWidth="1"/>
    <col min="838" max="839" width="6" style="293" bestFit="1" customWidth="1"/>
    <col min="840" max="1026" width="9.140625" style="293"/>
    <col min="1027" max="1027" width="1.28515625" style="293" customWidth="1"/>
    <col min="1028" max="1028" width="15.28515625" style="293" customWidth="1"/>
    <col min="1029" max="1058" width="6.85546875" style="293" customWidth="1"/>
    <col min="1059" max="1070" width="6.5703125" style="293" customWidth="1"/>
    <col min="1071" max="1071" width="6" style="293" customWidth="1"/>
    <col min="1072" max="1072" width="7.140625" style="293" customWidth="1"/>
    <col min="1073" max="1084" width="6" style="293" customWidth="1"/>
    <col min="1085" max="1089" width="6.28515625" style="293" customWidth="1"/>
    <col min="1090" max="1090" width="6.7109375" style="293" customWidth="1"/>
    <col min="1091" max="1092" width="6" style="293" bestFit="1" customWidth="1"/>
    <col min="1093" max="1093" width="6" style="293" customWidth="1"/>
    <col min="1094" max="1095" width="6" style="293" bestFit="1" customWidth="1"/>
    <col min="1096" max="1282" width="9.140625" style="293"/>
    <col min="1283" max="1283" width="1.28515625" style="293" customWidth="1"/>
    <col min="1284" max="1284" width="15.28515625" style="293" customWidth="1"/>
    <col min="1285" max="1314" width="6.85546875" style="293" customWidth="1"/>
    <col min="1315" max="1326" width="6.5703125" style="293" customWidth="1"/>
    <col min="1327" max="1327" width="6" style="293" customWidth="1"/>
    <col min="1328" max="1328" width="7.140625" style="293" customWidth="1"/>
    <col min="1329" max="1340" width="6" style="293" customWidth="1"/>
    <col min="1341" max="1345" width="6.28515625" style="293" customWidth="1"/>
    <col min="1346" max="1346" width="6.7109375" style="293" customWidth="1"/>
    <col min="1347" max="1348" width="6" style="293" bestFit="1" customWidth="1"/>
    <col min="1349" max="1349" width="6" style="293" customWidth="1"/>
    <col min="1350" max="1351" width="6" style="293" bestFit="1" customWidth="1"/>
    <col min="1352" max="1538" width="9.140625" style="293"/>
    <col min="1539" max="1539" width="1.28515625" style="293" customWidth="1"/>
    <col min="1540" max="1540" width="15.28515625" style="293" customWidth="1"/>
    <col min="1541" max="1570" width="6.85546875" style="293" customWidth="1"/>
    <col min="1571" max="1582" width="6.5703125" style="293" customWidth="1"/>
    <col min="1583" max="1583" width="6" style="293" customWidth="1"/>
    <col min="1584" max="1584" width="7.140625" style="293" customWidth="1"/>
    <col min="1585" max="1596" width="6" style="293" customWidth="1"/>
    <col min="1597" max="1601" width="6.28515625" style="293" customWidth="1"/>
    <col min="1602" max="1602" width="6.7109375" style="293" customWidth="1"/>
    <col min="1603" max="1604" width="6" style="293" bestFit="1" customWidth="1"/>
    <col min="1605" max="1605" width="6" style="293" customWidth="1"/>
    <col min="1606" max="1607" width="6" style="293" bestFit="1" customWidth="1"/>
    <col min="1608" max="1794" width="9.140625" style="293"/>
    <col min="1795" max="1795" width="1.28515625" style="293" customWidth="1"/>
    <col min="1796" max="1796" width="15.28515625" style="293" customWidth="1"/>
    <col min="1797" max="1826" width="6.85546875" style="293" customWidth="1"/>
    <col min="1827" max="1838" width="6.5703125" style="293" customWidth="1"/>
    <col min="1839" max="1839" width="6" style="293" customWidth="1"/>
    <col min="1840" max="1840" width="7.140625" style="293" customWidth="1"/>
    <col min="1841" max="1852" width="6" style="293" customWidth="1"/>
    <col min="1853" max="1857" width="6.28515625" style="293" customWidth="1"/>
    <col min="1858" max="1858" width="6.7109375" style="293" customWidth="1"/>
    <col min="1859" max="1860" width="6" style="293" bestFit="1" customWidth="1"/>
    <col min="1861" max="1861" width="6" style="293" customWidth="1"/>
    <col min="1862" max="1863" width="6" style="293" bestFit="1" customWidth="1"/>
    <col min="1864" max="2050" width="9.140625" style="293"/>
    <col min="2051" max="2051" width="1.28515625" style="293" customWidth="1"/>
    <col min="2052" max="2052" width="15.28515625" style="293" customWidth="1"/>
    <col min="2053" max="2082" width="6.85546875" style="293" customWidth="1"/>
    <col min="2083" max="2094" width="6.5703125" style="293" customWidth="1"/>
    <col min="2095" max="2095" width="6" style="293" customWidth="1"/>
    <col min="2096" max="2096" width="7.140625" style="293" customWidth="1"/>
    <col min="2097" max="2108" width="6" style="293" customWidth="1"/>
    <col min="2109" max="2113" width="6.28515625" style="293" customWidth="1"/>
    <col min="2114" max="2114" width="6.7109375" style="293" customWidth="1"/>
    <col min="2115" max="2116" width="6" style="293" bestFit="1" customWidth="1"/>
    <col min="2117" max="2117" width="6" style="293" customWidth="1"/>
    <col min="2118" max="2119" width="6" style="293" bestFit="1" customWidth="1"/>
    <col min="2120" max="2306" width="9.140625" style="293"/>
    <col min="2307" max="2307" width="1.28515625" style="293" customWidth="1"/>
    <col min="2308" max="2308" width="15.28515625" style="293" customWidth="1"/>
    <col min="2309" max="2338" width="6.85546875" style="293" customWidth="1"/>
    <col min="2339" max="2350" width="6.5703125" style="293" customWidth="1"/>
    <col min="2351" max="2351" width="6" style="293" customWidth="1"/>
    <col min="2352" max="2352" width="7.140625" style="293" customWidth="1"/>
    <col min="2353" max="2364" width="6" style="293" customWidth="1"/>
    <col min="2365" max="2369" width="6.28515625" style="293" customWidth="1"/>
    <col min="2370" max="2370" width="6.7109375" style="293" customWidth="1"/>
    <col min="2371" max="2372" width="6" style="293" bestFit="1" customWidth="1"/>
    <col min="2373" max="2373" width="6" style="293" customWidth="1"/>
    <col min="2374" max="2375" width="6" style="293" bestFit="1" customWidth="1"/>
    <col min="2376" max="2562" width="9.140625" style="293"/>
    <col min="2563" max="2563" width="1.28515625" style="293" customWidth="1"/>
    <col min="2564" max="2564" width="15.28515625" style="293" customWidth="1"/>
    <col min="2565" max="2594" width="6.85546875" style="293" customWidth="1"/>
    <col min="2595" max="2606" width="6.5703125" style="293" customWidth="1"/>
    <col min="2607" max="2607" width="6" style="293" customWidth="1"/>
    <col min="2608" max="2608" width="7.140625" style="293" customWidth="1"/>
    <col min="2609" max="2620" width="6" style="293" customWidth="1"/>
    <col min="2621" max="2625" width="6.28515625" style="293" customWidth="1"/>
    <col min="2626" max="2626" width="6.7109375" style="293" customWidth="1"/>
    <col min="2627" max="2628" width="6" style="293" bestFit="1" customWidth="1"/>
    <col min="2629" max="2629" width="6" style="293" customWidth="1"/>
    <col min="2630" max="2631" width="6" style="293" bestFit="1" customWidth="1"/>
    <col min="2632" max="2818" width="9.140625" style="293"/>
    <col min="2819" max="2819" width="1.28515625" style="293" customWidth="1"/>
    <col min="2820" max="2820" width="15.28515625" style="293" customWidth="1"/>
    <col min="2821" max="2850" width="6.85546875" style="293" customWidth="1"/>
    <col min="2851" max="2862" width="6.5703125" style="293" customWidth="1"/>
    <col min="2863" max="2863" width="6" style="293" customWidth="1"/>
    <col min="2864" max="2864" width="7.140625" style="293" customWidth="1"/>
    <col min="2865" max="2876" width="6" style="293" customWidth="1"/>
    <col min="2877" max="2881" width="6.28515625" style="293" customWidth="1"/>
    <col min="2882" max="2882" width="6.7109375" style="293" customWidth="1"/>
    <col min="2883" max="2884" width="6" style="293" bestFit="1" customWidth="1"/>
    <col min="2885" max="2885" width="6" style="293" customWidth="1"/>
    <col min="2886" max="2887" width="6" style="293" bestFit="1" customWidth="1"/>
    <col min="2888" max="3074" width="9.140625" style="293"/>
    <col min="3075" max="3075" width="1.28515625" style="293" customWidth="1"/>
    <col min="3076" max="3076" width="15.28515625" style="293" customWidth="1"/>
    <col min="3077" max="3106" width="6.85546875" style="293" customWidth="1"/>
    <col min="3107" max="3118" width="6.5703125" style="293" customWidth="1"/>
    <col min="3119" max="3119" width="6" style="293" customWidth="1"/>
    <col min="3120" max="3120" width="7.140625" style="293" customWidth="1"/>
    <col min="3121" max="3132" width="6" style="293" customWidth="1"/>
    <col min="3133" max="3137" width="6.28515625" style="293" customWidth="1"/>
    <col min="3138" max="3138" width="6.7109375" style="293" customWidth="1"/>
    <col min="3139" max="3140" width="6" style="293" bestFit="1" customWidth="1"/>
    <col min="3141" max="3141" width="6" style="293" customWidth="1"/>
    <col min="3142" max="3143" width="6" style="293" bestFit="1" customWidth="1"/>
    <col min="3144" max="3330" width="9.140625" style="293"/>
    <col min="3331" max="3331" width="1.28515625" style="293" customWidth="1"/>
    <col min="3332" max="3332" width="15.28515625" style="293" customWidth="1"/>
    <col min="3333" max="3362" width="6.85546875" style="293" customWidth="1"/>
    <col min="3363" max="3374" width="6.5703125" style="293" customWidth="1"/>
    <col min="3375" max="3375" width="6" style="293" customWidth="1"/>
    <col min="3376" max="3376" width="7.140625" style="293" customWidth="1"/>
    <col min="3377" max="3388" width="6" style="293" customWidth="1"/>
    <col min="3389" max="3393" width="6.28515625" style="293" customWidth="1"/>
    <col min="3394" max="3394" width="6.7109375" style="293" customWidth="1"/>
    <col min="3395" max="3396" width="6" style="293" bestFit="1" customWidth="1"/>
    <col min="3397" max="3397" width="6" style="293" customWidth="1"/>
    <col min="3398" max="3399" width="6" style="293" bestFit="1" customWidth="1"/>
    <col min="3400" max="3586" width="9.140625" style="293"/>
    <col min="3587" max="3587" width="1.28515625" style="293" customWidth="1"/>
    <col min="3588" max="3588" width="15.28515625" style="293" customWidth="1"/>
    <col min="3589" max="3618" width="6.85546875" style="293" customWidth="1"/>
    <col min="3619" max="3630" width="6.5703125" style="293" customWidth="1"/>
    <col min="3631" max="3631" width="6" style="293" customWidth="1"/>
    <col min="3632" max="3632" width="7.140625" style="293" customWidth="1"/>
    <col min="3633" max="3644" width="6" style="293" customWidth="1"/>
    <col min="3645" max="3649" width="6.28515625" style="293" customWidth="1"/>
    <col min="3650" max="3650" width="6.7109375" style="293" customWidth="1"/>
    <col min="3651" max="3652" width="6" style="293" bestFit="1" customWidth="1"/>
    <col min="3653" max="3653" width="6" style="293" customWidth="1"/>
    <col min="3654" max="3655" width="6" style="293" bestFit="1" customWidth="1"/>
    <col min="3656" max="3842" width="9.140625" style="293"/>
    <col min="3843" max="3843" width="1.28515625" style="293" customWidth="1"/>
    <col min="3844" max="3844" width="15.28515625" style="293" customWidth="1"/>
    <col min="3845" max="3874" width="6.85546875" style="293" customWidth="1"/>
    <col min="3875" max="3886" width="6.5703125" style="293" customWidth="1"/>
    <col min="3887" max="3887" width="6" style="293" customWidth="1"/>
    <col min="3888" max="3888" width="7.140625" style="293" customWidth="1"/>
    <col min="3889" max="3900" width="6" style="293" customWidth="1"/>
    <col min="3901" max="3905" width="6.28515625" style="293" customWidth="1"/>
    <col min="3906" max="3906" width="6.7109375" style="293" customWidth="1"/>
    <col min="3907" max="3908" width="6" style="293" bestFit="1" customWidth="1"/>
    <col min="3909" max="3909" width="6" style="293" customWidth="1"/>
    <col min="3910" max="3911" width="6" style="293" bestFit="1" customWidth="1"/>
    <col min="3912" max="4098" width="9.140625" style="293"/>
    <col min="4099" max="4099" width="1.28515625" style="293" customWidth="1"/>
    <col min="4100" max="4100" width="15.28515625" style="293" customWidth="1"/>
    <col min="4101" max="4130" width="6.85546875" style="293" customWidth="1"/>
    <col min="4131" max="4142" width="6.5703125" style="293" customWidth="1"/>
    <col min="4143" max="4143" width="6" style="293" customWidth="1"/>
    <col min="4144" max="4144" width="7.140625" style="293" customWidth="1"/>
    <col min="4145" max="4156" width="6" style="293" customWidth="1"/>
    <col min="4157" max="4161" width="6.28515625" style="293" customWidth="1"/>
    <col min="4162" max="4162" width="6.7109375" style="293" customWidth="1"/>
    <col min="4163" max="4164" width="6" style="293" bestFit="1" customWidth="1"/>
    <col min="4165" max="4165" width="6" style="293" customWidth="1"/>
    <col min="4166" max="4167" width="6" style="293" bestFit="1" customWidth="1"/>
    <col min="4168" max="4354" width="9.140625" style="293"/>
    <col min="4355" max="4355" width="1.28515625" style="293" customWidth="1"/>
    <col min="4356" max="4356" width="15.28515625" style="293" customWidth="1"/>
    <col min="4357" max="4386" width="6.85546875" style="293" customWidth="1"/>
    <col min="4387" max="4398" width="6.5703125" style="293" customWidth="1"/>
    <col min="4399" max="4399" width="6" style="293" customWidth="1"/>
    <col min="4400" max="4400" width="7.140625" style="293" customWidth="1"/>
    <col min="4401" max="4412" width="6" style="293" customWidth="1"/>
    <col min="4413" max="4417" width="6.28515625" style="293" customWidth="1"/>
    <col min="4418" max="4418" width="6.7109375" style="293" customWidth="1"/>
    <col min="4419" max="4420" width="6" style="293" bestFit="1" customWidth="1"/>
    <col min="4421" max="4421" width="6" style="293" customWidth="1"/>
    <col min="4422" max="4423" width="6" style="293" bestFit="1" customWidth="1"/>
    <col min="4424" max="4610" width="9.140625" style="293"/>
    <col min="4611" max="4611" width="1.28515625" style="293" customWidth="1"/>
    <col min="4612" max="4612" width="15.28515625" style="293" customWidth="1"/>
    <col min="4613" max="4642" width="6.85546875" style="293" customWidth="1"/>
    <col min="4643" max="4654" width="6.5703125" style="293" customWidth="1"/>
    <col min="4655" max="4655" width="6" style="293" customWidth="1"/>
    <col min="4656" max="4656" width="7.140625" style="293" customWidth="1"/>
    <col min="4657" max="4668" width="6" style="293" customWidth="1"/>
    <col min="4669" max="4673" width="6.28515625" style="293" customWidth="1"/>
    <col min="4674" max="4674" width="6.7109375" style="293" customWidth="1"/>
    <col min="4675" max="4676" width="6" style="293" bestFit="1" customWidth="1"/>
    <col min="4677" max="4677" width="6" style="293" customWidth="1"/>
    <col min="4678" max="4679" width="6" style="293" bestFit="1" customWidth="1"/>
    <col min="4680" max="4866" width="9.140625" style="293"/>
    <col min="4867" max="4867" width="1.28515625" style="293" customWidth="1"/>
    <col min="4868" max="4868" width="15.28515625" style="293" customWidth="1"/>
    <col min="4869" max="4898" width="6.85546875" style="293" customWidth="1"/>
    <col min="4899" max="4910" width="6.5703125" style="293" customWidth="1"/>
    <col min="4911" max="4911" width="6" style="293" customWidth="1"/>
    <col min="4912" max="4912" width="7.140625" style="293" customWidth="1"/>
    <col min="4913" max="4924" width="6" style="293" customWidth="1"/>
    <col min="4925" max="4929" width="6.28515625" style="293" customWidth="1"/>
    <col min="4930" max="4930" width="6.7109375" style="293" customWidth="1"/>
    <col min="4931" max="4932" width="6" style="293" bestFit="1" customWidth="1"/>
    <col min="4933" max="4933" width="6" style="293" customWidth="1"/>
    <col min="4934" max="4935" width="6" style="293" bestFit="1" customWidth="1"/>
    <col min="4936" max="5122" width="9.140625" style="293"/>
    <col min="5123" max="5123" width="1.28515625" style="293" customWidth="1"/>
    <col min="5124" max="5124" width="15.28515625" style="293" customWidth="1"/>
    <col min="5125" max="5154" width="6.85546875" style="293" customWidth="1"/>
    <col min="5155" max="5166" width="6.5703125" style="293" customWidth="1"/>
    <col min="5167" max="5167" width="6" style="293" customWidth="1"/>
    <col min="5168" max="5168" width="7.140625" style="293" customWidth="1"/>
    <col min="5169" max="5180" width="6" style="293" customWidth="1"/>
    <col min="5181" max="5185" width="6.28515625" style="293" customWidth="1"/>
    <col min="5186" max="5186" width="6.7109375" style="293" customWidth="1"/>
    <col min="5187" max="5188" width="6" style="293" bestFit="1" customWidth="1"/>
    <col min="5189" max="5189" width="6" style="293" customWidth="1"/>
    <col min="5190" max="5191" width="6" style="293" bestFit="1" customWidth="1"/>
    <col min="5192" max="5378" width="9.140625" style="293"/>
    <col min="5379" max="5379" width="1.28515625" style="293" customWidth="1"/>
    <col min="5380" max="5380" width="15.28515625" style="293" customWidth="1"/>
    <col min="5381" max="5410" width="6.85546875" style="293" customWidth="1"/>
    <col min="5411" max="5422" width="6.5703125" style="293" customWidth="1"/>
    <col min="5423" max="5423" width="6" style="293" customWidth="1"/>
    <col min="5424" max="5424" width="7.140625" style="293" customWidth="1"/>
    <col min="5425" max="5436" width="6" style="293" customWidth="1"/>
    <col min="5437" max="5441" width="6.28515625" style="293" customWidth="1"/>
    <col min="5442" max="5442" width="6.7109375" style="293" customWidth="1"/>
    <col min="5443" max="5444" width="6" style="293" bestFit="1" customWidth="1"/>
    <col min="5445" max="5445" width="6" style="293" customWidth="1"/>
    <col min="5446" max="5447" width="6" style="293" bestFit="1" customWidth="1"/>
    <col min="5448" max="5634" width="9.140625" style="293"/>
    <col min="5635" max="5635" width="1.28515625" style="293" customWidth="1"/>
    <col min="5636" max="5636" width="15.28515625" style="293" customWidth="1"/>
    <col min="5637" max="5666" width="6.85546875" style="293" customWidth="1"/>
    <col min="5667" max="5678" width="6.5703125" style="293" customWidth="1"/>
    <col min="5679" max="5679" width="6" style="293" customWidth="1"/>
    <col min="5680" max="5680" width="7.140625" style="293" customWidth="1"/>
    <col min="5681" max="5692" width="6" style="293" customWidth="1"/>
    <col min="5693" max="5697" width="6.28515625" style="293" customWidth="1"/>
    <col min="5698" max="5698" width="6.7109375" style="293" customWidth="1"/>
    <col min="5699" max="5700" width="6" style="293" bestFit="1" customWidth="1"/>
    <col min="5701" max="5701" width="6" style="293" customWidth="1"/>
    <col min="5702" max="5703" width="6" style="293" bestFit="1" customWidth="1"/>
    <col min="5704" max="5890" width="9.140625" style="293"/>
    <col min="5891" max="5891" width="1.28515625" style="293" customWidth="1"/>
    <col min="5892" max="5892" width="15.28515625" style="293" customWidth="1"/>
    <col min="5893" max="5922" width="6.85546875" style="293" customWidth="1"/>
    <col min="5923" max="5934" width="6.5703125" style="293" customWidth="1"/>
    <col min="5935" max="5935" width="6" style="293" customWidth="1"/>
    <col min="5936" max="5936" width="7.140625" style="293" customWidth="1"/>
    <col min="5937" max="5948" width="6" style="293" customWidth="1"/>
    <col min="5949" max="5953" width="6.28515625" style="293" customWidth="1"/>
    <col min="5954" max="5954" width="6.7109375" style="293" customWidth="1"/>
    <col min="5955" max="5956" width="6" style="293" bestFit="1" customWidth="1"/>
    <col min="5957" max="5957" width="6" style="293" customWidth="1"/>
    <col min="5958" max="5959" width="6" style="293" bestFit="1" customWidth="1"/>
    <col min="5960" max="6146" width="9.140625" style="293"/>
    <col min="6147" max="6147" width="1.28515625" style="293" customWidth="1"/>
    <col min="6148" max="6148" width="15.28515625" style="293" customWidth="1"/>
    <col min="6149" max="6178" width="6.85546875" style="293" customWidth="1"/>
    <col min="6179" max="6190" width="6.5703125" style="293" customWidth="1"/>
    <col min="6191" max="6191" width="6" style="293" customWidth="1"/>
    <col min="6192" max="6192" width="7.140625" style="293" customWidth="1"/>
    <col min="6193" max="6204" width="6" style="293" customWidth="1"/>
    <col min="6205" max="6209" width="6.28515625" style="293" customWidth="1"/>
    <col min="6210" max="6210" width="6.7109375" style="293" customWidth="1"/>
    <col min="6211" max="6212" width="6" style="293" bestFit="1" customWidth="1"/>
    <col min="6213" max="6213" width="6" style="293" customWidth="1"/>
    <col min="6214" max="6215" width="6" style="293" bestFit="1" customWidth="1"/>
    <col min="6216" max="6402" width="9.140625" style="293"/>
    <col min="6403" max="6403" width="1.28515625" style="293" customWidth="1"/>
    <col min="6404" max="6404" width="15.28515625" style="293" customWidth="1"/>
    <col min="6405" max="6434" width="6.85546875" style="293" customWidth="1"/>
    <col min="6435" max="6446" width="6.5703125" style="293" customWidth="1"/>
    <col min="6447" max="6447" width="6" style="293" customWidth="1"/>
    <col min="6448" max="6448" width="7.140625" style="293" customWidth="1"/>
    <col min="6449" max="6460" width="6" style="293" customWidth="1"/>
    <col min="6461" max="6465" width="6.28515625" style="293" customWidth="1"/>
    <col min="6466" max="6466" width="6.7109375" style="293" customWidth="1"/>
    <col min="6467" max="6468" width="6" style="293" bestFit="1" customWidth="1"/>
    <col min="6469" max="6469" width="6" style="293" customWidth="1"/>
    <col min="6470" max="6471" width="6" style="293" bestFit="1" customWidth="1"/>
    <col min="6472" max="6658" width="9.140625" style="293"/>
    <col min="6659" max="6659" width="1.28515625" style="293" customWidth="1"/>
    <col min="6660" max="6660" width="15.28515625" style="293" customWidth="1"/>
    <col min="6661" max="6690" width="6.85546875" style="293" customWidth="1"/>
    <col min="6691" max="6702" width="6.5703125" style="293" customWidth="1"/>
    <col min="6703" max="6703" width="6" style="293" customWidth="1"/>
    <col min="6704" max="6704" width="7.140625" style="293" customWidth="1"/>
    <col min="6705" max="6716" width="6" style="293" customWidth="1"/>
    <col min="6717" max="6721" width="6.28515625" style="293" customWidth="1"/>
    <col min="6722" max="6722" width="6.7109375" style="293" customWidth="1"/>
    <col min="6723" max="6724" width="6" style="293" bestFit="1" customWidth="1"/>
    <col min="6725" max="6725" width="6" style="293" customWidth="1"/>
    <col min="6726" max="6727" width="6" style="293" bestFit="1" customWidth="1"/>
    <col min="6728" max="6914" width="9.140625" style="293"/>
    <col min="6915" max="6915" width="1.28515625" style="293" customWidth="1"/>
    <col min="6916" max="6916" width="15.28515625" style="293" customWidth="1"/>
    <col min="6917" max="6946" width="6.85546875" style="293" customWidth="1"/>
    <col min="6947" max="6958" width="6.5703125" style="293" customWidth="1"/>
    <col min="6959" max="6959" width="6" style="293" customWidth="1"/>
    <col min="6960" max="6960" width="7.140625" style="293" customWidth="1"/>
    <col min="6961" max="6972" width="6" style="293" customWidth="1"/>
    <col min="6973" max="6977" width="6.28515625" style="293" customWidth="1"/>
    <col min="6978" max="6978" width="6.7109375" style="293" customWidth="1"/>
    <col min="6979" max="6980" width="6" style="293" bestFit="1" customWidth="1"/>
    <col min="6981" max="6981" width="6" style="293" customWidth="1"/>
    <col min="6982" max="6983" width="6" style="293" bestFit="1" customWidth="1"/>
    <col min="6984" max="7170" width="9.140625" style="293"/>
    <col min="7171" max="7171" width="1.28515625" style="293" customWidth="1"/>
    <col min="7172" max="7172" width="15.28515625" style="293" customWidth="1"/>
    <col min="7173" max="7202" width="6.85546875" style="293" customWidth="1"/>
    <col min="7203" max="7214" width="6.5703125" style="293" customWidth="1"/>
    <col min="7215" max="7215" width="6" style="293" customWidth="1"/>
    <col min="7216" max="7216" width="7.140625" style="293" customWidth="1"/>
    <col min="7217" max="7228" width="6" style="293" customWidth="1"/>
    <col min="7229" max="7233" width="6.28515625" style="293" customWidth="1"/>
    <col min="7234" max="7234" width="6.7109375" style="293" customWidth="1"/>
    <col min="7235" max="7236" width="6" style="293" bestFit="1" customWidth="1"/>
    <col min="7237" max="7237" width="6" style="293" customWidth="1"/>
    <col min="7238" max="7239" width="6" style="293" bestFit="1" customWidth="1"/>
    <col min="7240" max="7426" width="9.140625" style="293"/>
    <col min="7427" max="7427" width="1.28515625" style="293" customWidth="1"/>
    <col min="7428" max="7428" width="15.28515625" style="293" customWidth="1"/>
    <col min="7429" max="7458" width="6.85546875" style="293" customWidth="1"/>
    <col min="7459" max="7470" width="6.5703125" style="293" customWidth="1"/>
    <col min="7471" max="7471" width="6" style="293" customWidth="1"/>
    <col min="7472" max="7472" width="7.140625" style="293" customWidth="1"/>
    <col min="7473" max="7484" width="6" style="293" customWidth="1"/>
    <col min="7485" max="7489" width="6.28515625" style="293" customWidth="1"/>
    <col min="7490" max="7490" width="6.7109375" style="293" customWidth="1"/>
    <col min="7491" max="7492" width="6" style="293" bestFit="1" customWidth="1"/>
    <col min="7493" max="7493" width="6" style="293" customWidth="1"/>
    <col min="7494" max="7495" width="6" style="293" bestFit="1" customWidth="1"/>
    <col min="7496" max="7682" width="9.140625" style="293"/>
    <col min="7683" max="7683" width="1.28515625" style="293" customWidth="1"/>
    <col min="7684" max="7684" width="15.28515625" style="293" customWidth="1"/>
    <col min="7685" max="7714" width="6.85546875" style="293" customWidth="1"/>
    <col min="7715" max="7726" width="6.5703125" style="293" customWidth="1"/>
    <col min="7727" max="7727" width="6" style="293" customWidth="1"/>
    <col min="7728" max="7728" width="7.140625" style="293" customWidth="1"/>
    <col min="7729" max="7740" width="6" style="293" customWidth="1"/>
    <col min="7741" max="7745" width="6.28515625" style="293" customWidth="1"/>
    <col min="7746" max="7746" width="6.7109375" style="293" customWidth="1"/>
    <col min="7747" max="7748" width="6" style="293" bestFit="1" customWidth="1"/>
    <col min="7749" max="7749" width="6" style="293" customWidth="1"/>
    <col min="7750" max="7751" width="6" style="293" bestFit="1" customWidth="1"/>
    <col min="7752" max="7938" width="9.140625" style="293"/>
    <col min="7939" max="7939" width="1.28515625" style="293" customWidth="1"/>
    <col min="7940" max="7940" width="15.28515625" style="293" customWidth="1"/>
    <col min="7941" max="7970" width="6.85546875" style="293" customWidth="1"/>
    <col min="7971" max="7982" width="6.5703125" style="293" customWidth="1"/>
    <col min="7983" max="7983" width="6" style="293" customWidth="1"/>
    <col min="7984" max="7984" width="7.140625" style="293" customWidth="1"/>
    <col min="7985" max="7996" width="6" style="293" customWidth="1"/>
    <col min="7997" max="8001" width="6.28515625" style="293" customWidth="1"/>
    <col min="8002" max="8002" width="6.7109375" style="293" customWidth="1"/>
    <col min="8003" max="8004" width="6" style="293" bestFit="1" customWidth="1"/>
    <col min="8005" max="8005" width="6" style="293" customWidth="1"/>
    <col min="8006" max="8007" width="6" style="293" bestFit="1" customWidth="1"/>
    <col min="8008" max="8194" width="9.140625" style="293"/>
    <col min="8195" max="8195" width="1.28515625" style="293" customWidth="1"/>
    <col min="8196" max="8196" width="15.28515625" style="293" customWidth="1"/>
    <col min="8197" max="8226" width="6.85546875" style="293" customWidth="1"/>
    <col min="8227" max="8238" width="6.5703125" style="293" customWidth="1"/>
    <col min="8239" max="8239" width="6" style="293" customWidth="1"/>
    <col min="8240" max="8240" width="7.140625" style="293" customWidth="1"/>
    <col min="8241" max="8252" width="6" style="293" customWidth="1"/>
    <col min="8253" max="8257" width="6.28515625" style="293" customWidth="1"/>
    <col min="8258" max="8258" width="6.7109375" style="293" customWidth="1"/>
    <col min="8259" max="8260" width="6" style="293" bestFit="1" customWidth="1"/>
    <col min="8261" max="8261" width="6" style="293" customWidth="1"/>
    <col min="8262" max="8263" width="6" style="293" bestFit="1" customWidth="1"/>
    <col min="8264" max="8450" width="9.140625" style="293"/>
    <col min="8451" max="8451" width="1.28515625" style="293" customWidth="1"/>
    <col min="8452" max="8452" width="15.28515625" style="293" customWidth="1"/>
    <col min="8453" max="8482" width="6.85546875" style="293" customWidth="1"/>
    <col min="8483" max="8494" width="6.5703125" style="293" customWidth="1"/>
    <col min="8495" max="8495" width="6" style="293" customWidth="1"/>
    <col min="8496" max="8496" width="7.140625" style="293" customWidth="1"/>
    <col min="8497" max="8508" width="6" style="293" customWidth="1"/>
    <col min="8509" max="8513" width="6.28515625" style="293" customWidth="1"/>
    <col min="8514" max="8514" width="6.7109375" style="293" customWidth="1"/>
    <col min="8515" max="8516" width="6" style="293" bestFit="1" customWidth="1"/>
    <col min="8517" max="8517" width="6" style="293" customWidth="1"/>
    <col min="8518" max="8519" width="6" style="293" bestFit="1" customWidth="1"/>
    <col min="8520" max="8706" width="9.140625" style="293"/>
    <col min="8707" max="8707" width="1.28515625" style="293" customWidth="1"/>
    <col min="8708" max="8708" width="15.28515625" style="293" customWidth="1"/>
    <col min="8709" max="8738" width="6.85546875" style="293" customWidth="1"/>
    <col min="8739" max="8750" width="6.5703125" style="293" customWidth="1"/>
    <col min="8751" max="8751" width="6" style="293" customWidth="1"/>
    <col min="8752" max="8752" width="7.140625" style="293" customWidth="1"/>
    <col min="8753" max="8764" width="6" style="293" customWidth="1"/>
    <col min="8765" max="8769" width="6.28515625" style="293" customWidth="1"/>
    <col min="8770" max="8770" width="6.7109375" style="293" customWidth="1"/>
    <col min="8771" max="8772" width="6" style="293" bestFit="1" customWidth="1"/>
    <col min="8773" max="8773" width="6" style="293" customWidth="1"/>
    <col min="8774" max="8775" width="6" style="293" bestFit="1" customWidth="1"/>
    <col min="8776" max="8962" width="9.140625" style="293"/>
    <col min="8963" max="8963" width="1.28515625" style="293" customWidth="1"/>
    <col min="8964" max="8964" width="15.28515625" style="293" customWidth="1"/>
    <col min="8965" max="8994" width="6.85546875" style="293" customWidth="1"/>
    <col min="8995" max="9006" width="6.5703125" style="293" customWidth="1"/>
    <col min="9007" max="9007" width="6" style="293" customWidth="1"/>
    <col min="9008" max="9008" width="7.140625" style="293" customWidth="1"/>
    <col min="9009" max="9020" width="6" style="293" customWidth="1"/>
    <col min="9021" max="9025" width="6.28515625" style="293" customWidth="1"/>
    <col min="9026" max="9026" width="6.7109375" style="293" customWidth="1"/>
    <col min="9027" max="9028" width="6" style="293" bestFit="1" customWidth="1"/>
    <col min="9029" max="9029" width="6" style="293" customWidth="1"/>
    <col min="9030" max="9031" width="6" style="293" bestFit="1" customWidth="1"/>
    <col min="9032" max="9218" width="9.140625" style="293"/>
    <col min="9219" max="9219" width="1.28515625" style="293" customWidth="1"/>
    <col min="9220" max="9220" width="15.28515625" style="293" customWidth="1"/>
    <col min="9221" max="9250" width="6.85546875" style="293" customWidth="1"/>
    <col min="9251" max="9262" width="6.5703125" style="293" customWidth="1"/>
    <col min="9263" max="9263" width="6" style="293" customWidth="1"/>
    <col min="9264" max="9264" width="7.140625" style="293" customWidth="1"/>
    <col min="9265" max="9276" width="6" style="293" customWidth="1"/>
    <col min="9277" max="9281" width="6.28515625" style="293" customWidth="1"/>
    <col min="9282" max="9282" width="6.7109375" style="293" customWidth="1"/>
    <col min="9283" max="9284" width="6" style="293" bestFit="1" customWidth="1"/>
    <col min="9285" max="9285" width="6" style="293" customWidth="1"/>
    <col min="9286" max="9287" width="6" style="293" bestFit="1" customWidth="1"/>
    <col min="9288" max="9474" width="9.140625" style="293"/>
    <col min="9475" max="9475" width="1.28515625" style="293" customWidth="1"/>
    <col min="9476" max="9476" width="15.28515625" style="293" customWidth="1"/>
    <col min="9477" max="9506" width="6.85546875" style="293" customWidth="1"/>
    <col min="9507" max="9518" width="6.5703125" style="293" customWidth="1"/>
    <col min="9519" max="9519" width="6" style="293" customWidth="1"/>
    <col min="9520" max="9520" width="7.140625" style="293" customWidth="1"/>
    <col min="9521" max="9532" width="6" style="293" customWidth="1"/>
    <col min="9533" max="9537" width="6.28515625" style="293" customWidth="1"/>
    <col min="9538" max="9538" width="6.7109375" style="293" customWidth="1"/>
    <col min="9539" max="9540" width="6" style="293" bestFit="1" customWidth="1"/>
    <col min="9541" max="9541" width="6" style="293" customWidth="1"/>
    <col min="9542" max="9543" width="6" style="293" bestFit="1" customWidth="1"/>
    <col min="9544" max="9730" width="9.140625" style="293"/>
    <col min="9731" max="9731" width="1.28515625" style="293" customWidth="1"/>
    <col min="9732" max="9732" width="15.28515625" style="293" customWidth="1"/>
    <col min="9733" max="9762" width="6.85546875" style="293" customWidth="1"/>
    <col min="9763" max="9774" width="6.5703125" style="293" customWidth="1"/>
    <col min="9775" max="9775" width="6" style="293" customWidth="1"/>
    <col min="9776" max="9776" width="7.140625" style="293" customWidth="1"/>
    <col min="9777" max="9788" width="6" style="293" customWidth="1"/>
    <col min="9789" max="9793" width="6.28515625" style="293" customWidth="1"/>
    <col min="9794" max="9794" width="6.7109375" style="293" customWidth="1"/>
    <col min="9795" max="9796" width="6" style="293" bestFit="1" customWidth="1"/>
    <col min="9797" max="9797" width="6" style="293" customWidth="1"/>
    <col min="9798" max="9799" width="6" style="293" bestFit="1" customWidth="1"/>
    <col min="9800" max="9986" width="9.140625" style="293"/>
    <col min="9987" max="9987" width="1.28515625" style="293" customWidth="1"/>
    <col min="9988" max="9988" width="15.28515625" style="293" customWidth="1"/>
    <col min="9989" max="10018" width="6.85546875" style="293" customWidth="1"/>
    <col min="10019" max="10030" width="6.5703125" style="293" customWidth="1"/>
    <col min="10031" max="10031" width="6" style="293" customWidth="1"/>
    <col min="10032" max="10032" width="7.140625" style="293" customWidth="1"/>
    <col min="10033" max="10044" width="6" style="293" customWidth="1"/>
    <col min="10045" max="10049" width="6.28515625" style="293" customWidth="1"/>
    <col min="10050" max="10050" width="6.7109375" style="293" customWidth="1"/>
    <col min="10051" max="10052" width="6" style="293" bestFit="1" customWidth="1"/>
    <col min="10053" max="10053" width="6" style="293" customWidth="1"/>
    <col min="10054" max="10055" width="6" style="293" bestFit="1" customWidth="1"/>
    <col min="10056" max="10242" width="9.140625" style="293"/>
    <col min="10243" max="10243" width="1.28515625" style="293" customWidth="1"/>
    <col min="10244" max="10244" width="15.28515625" style="293" customWidth="1"/>
    <col min="10245" max="10274" width="6.85546875" style="293" customWidth="1"/>
    <col min="10275" max="10286" width="6.5703125" style="293" customWidth="1"/>
    <col min="10287" max="10287" width="6" style="293" customWidth="1"/>
    <col min="10288" max="10288" width="7.140625" style="293" customWidth="1"/>
    <col min="10289" max="10300" width="6" style="293" customWidth="1"/>
    <col min="10301" max="10305" width="6.28515625" style="293" customWidth="1"/>
    <col min="10306" max="10306" width="6.7109375" style="293" customWidth="1"/>
    <col min="10307" max="10308" width="6" style="293" bestFit="1" customWidth="1"/>
    <col min="10309" max="10309" width="6" style="293" customWidth="1"/>
    <col min="10310" max="10311" width="6" style="293" bestFit="1" customWidth="1"/>
    <col min="10312" max="10498" width="9.140625" style="293"/>
    <col min="10499" max="10499" width="1.28515625" style="293" customWidth="1"/>
    <col min="10500" max="10500" width="15.28515625" style="293" customWidth="1"/>
    <col min="10501" max="10530" width="6.85546875" style="293" customWidth="1"/>
    <col min="10531" max="10542" width="6.5703125" style="293" customWidth="1"/>
    <col min="10543" max="10543" width="6" style="293" customWidth="1"/>
    <col min="10544" max="10544" width="7.140625" style="293" customWidth="1"/>
    <col min="10545" max="10556" width="6" style="293" customWidth="1"/>
    <col min="10557" max="10561" width="6.28515625" style="293" customWidth="1"/>
    <col min="10562" max="10562" width="6.7109375" style="293" customWidth="1"/>
    <col min="10563" max="10564" width="6" style="293" bestFit="1" customWidth="1"/>
    <col min="10565" max="10565" width="6" style="293" customWidth="1"/>
    <col min="10566" max="10567" width="6" style="293" bestFit="1" customWidth="1"/>
    <col min="10568" max="10754" width="9.140625" style="293"/>
    <col min="10755" max="10755" width="1.28515625" style="293" customWidth="1"/>
    <col min="10756" max="10756" width="15.28515625" style="293" customWidth="1"/>
    <col min="10757" max="10786" width="6.85546875" style="293" customWidth="1"/>
    <col min="10787" max="10798" width="6.5703125" style="293" customWidth="1"/>
    <col min="10799" max="10799" width="6" style="293" customWidth="1"/>
    <col min="10800" max="10800" width="7.140625" style="293" customWidth="1"/>
    <col min="10801" max="10812" width="6" style="293" customWidth="1"/>
    <col min="10813" max="10817" width="6.28515625" style="293" customWidth="1"/>
    <col min="10818" max="10818" width="6.7109375" style="293" customWidth="1"/>
    <col min="10819" max="10820" width="6" style="293" bestFit="1" customWidth="1"/>
    <col min="10821" max="10821" width="6" style="293" customWidth="1"/>
    <col min="10822" max="10823" width="6" style="293" bestFit="1" customWidth="1"/>
    <col min="10824" max="11010" width="9.140625" style="293"/>
    <col min="11011" max="11011" width="1.28515625" style="293" customWidth="1"/>
    <col min="11012" max="11012" width="15.28515625" style="293" customWidth="1"/>
    <col min="11013" max="11042" width="6.85546875" style="293" customWidth="1"/>
    <col min="11043" max="11054" width="6.5703125" style="293" customWidth="1"/>
    <col min="11055" max="11055" width="6" style="293" customWidth="1"/>
    <col min="11056" max="11056" width="7.140625" style="293" customWidth="1"/>
    <col min="11057" max="11068" width="6" style="293" customWidth="1"/>
    <col min="11069" max="11073" width="6.28515625" style="293" customWidth="1"/>
    <col min="11074" max="11074" width="6.7109375" style="293" customWidth="1"/>
    <col min="11075" max="11076" width="6" style="293" bestFit="1" customWidth="1"/>
    <col min="11077" max="11077" width="6" style="293" customWidth="1"/>
    <col min="11078" max="11079" width="6" style="293" bestFit="1" customWidth="1"/>
    <col min="11080" max="11266" width="9.140625" style="293"/>
    <col min="11267" max="11267" width="1.28515625" style="293" customWidth="1"/>
    <col min="11268" max="11268" width="15.28515625" style="293" customWidth="1"/>
    <col min="11269" max="11298" width="6.85546875" style="293" customWidth="1"/>
    <col min="11299" max="11310" width="6.5703125" style="293" customWidth="1"/>
    <col min="11311" max="11311" width="6" style="293" customWidth="1"/>
    <col min="11312" max="11312" width="7.140625" style="293" customWidth="1"/>
    <col min="11313" max="11324" width="6" style="293" customWidth="1"/>
    <col min="11325" max="11329" width="6.28515625" style="293" customWidth="1"/>
    <col min="11330" max="11330" width="6.7109375" style="293" customWidth="1"/>
    <col min="11331" max="11332" width="6" style="293" bestFit="1" customWidth="1"/>
    <col min="11333" max="11333" width="6" style="293" customWidth="1"/>
    <col min="11334" max="11335" width="6" style="293" bestFit="1" customWidth="1"/>
    <col min="11336" max="11522" width="9.140625" style="293"/>
    <col min="11523" max="11523" width="1.28515625" style="293" customWidth="1"/>
    <col min="11524" max="11524" width="15.28515625" style="293" customWidth="1"/>
    <col min="11525" max="11554" width="6.85546875" style="293" customWidth="1"/>
    <col min="11555" max="11566" width="6.5703125" style="293" customWidth="1"/>
    <col min="11567" max="11567" width="6" style="293" customWidth="1"/>
    <col min="11568" max="11568" width="7.140625" style="293" customWidth="1"/>
    <col min="11569" max="11580" width="6" style="293" customWidth="1"/>
    <col min="11581" max="11585" width="6.28515625" style="293" customWidth="1"/>
    <col min="11586" max="11586" width="6.7109375" style="293" customWidth="1"/>
    <col min="11587" max="11588" width="6" style="293" bestFit="1" customWidth="1"/>
    <col min="11589" max="11589" width="6" style="293" customWidth="1"/>
    <col min="11590" max="11591" width="6" style="293" bestFit="1" customWidth="1"/>
    <col min="11592" max="11778" width="9.140625" style="293"/>
    <col min="11779" max="11779" width="1.28515625" style="293" customWidth="1"/>
    <col min="11780" max="11780" width="15.28515625" style="293" customWidth="1"/>
    <col min="11781" max="11810" width="6.85546875" style="293" customWidth="1"/>
    <col min="11811" max="11822" width="6.5703125" style="293" customWidth="1"/>
    <col min="11823" max="11823" width="6" style="293" customWidth="1"/>
    <col min="11824" max="11824" width="7.140625" style="293" customWidth="1"/>
    <col min="11825" max="11836" width="6" style="293" customWidth="1"/>
    <col min="11837" max="11841" width="6.28515625" style="293" customWidth="1"/>
    <col min="11842" max="11842" width="6.7109375" style="293" customWidth="1"/>
    <col min="11843" max="11844" width="6" style="293" bestFit="1" customWidth="1"/>
    <col min="11845" max="11845" width="6" style="293" customWidth="1"/>
    <col min="11846" max="11847" width="6" style="293" bestFit="1" customWidth="1"/>
    <col min="11848" max="12034" width="9.140625" style="293"/>
    <col min="12035" max="12035" width="1.28515625" style="293" customWidth="1"/>
    <col min="12036" max="12036" width="15.28515625" style="293" customWidth="1"/>
    <col min="12037" max="12066" width="6.85546875" style="293" customWidth="1"/>
    <col min="12067" max="12078" width="6.5703125" style="293" customWidth="1"/>
    <col min="12079" max="12079" width="6" style="293" customWidth="1"/>
    <col min="12080" max="12080" width="7.140625" style="293" customWidth="1"/>
    <col min="12081" max="12092" width="6" style="293" customWidth="1"/>
    <col min="12093" max="12097" width="6.28515625" style="293" customWidth="1"/>
    <col min="12098" max="12098" width="6.7109375" style="293" customWidth="1"/>
    <col min="12099" max="12100" width="6" style="293" bestFit="1" customWidth="1"/>
    <col min="12101" max="12101" width="6" style="293" customWidth="1"/>
    <col min="12102" max="12103" width="6" style="293" bestFit="1" customWidth="1"/>
    <col min="12104" max="12290" width="9.140625" style="293"/>
    <col min="12291" max="12291" width="1.28515625" style="293" customWidth="1"/>
    <col min="12292" max="12292" width="15.28515625" style="293" customWidth="1"/>
    <col min="12293" max="12322" width="6.85546875" style="293" customWidth="1"/>
    <col min="12323" max="12334" width="6.5703125" style="293" customWidth="1"/>
    <col min="12335" max="12335" width="6" style="293" customWidth="1"/>
    <col min="12336" max="12336" width="7.140625" style="293" customWidth="1"/>
    <col min="12337" max="12348" width="6" style="293" customWidth="1"/>
    <col min="12349" max="12353" width="6.28515625" style="293" customWidth="1"/>
    <col min="12354" max="12354" width="6.7109375" style="293" customWidth="1"/>
    <col min="12355" max="12356" width="6" style="293" bestFit="1" customWidth="1"/>
    <col min="12357" max="12357" width="6" style="293" customWidth="1"/>
    <col min="12358" max="12359" width="6" style="293" bestFit="1" customWidth="1"/>
    <col min="12360" max="12546" width="9.140625" style="293"/>
    <col min="12547" max="12547" width="1.28515625" style="293" customWidth="1"/>
    <col min="12548" max="12548" width="15.28515625" style="293" customWidth="1"/>
    <col min="12549" max="12578" width="6.85546875" style="293" customWidth="1"/>
    <col min="12579" max="12590" width="6.5703125" style="293" customWidth="1"/>
    <col min="12591" max="12591" width="6" style="293" customWidth="1"/>
    <col min="12592" max="12592" width="7.140625" style="293" customWidth="1"/>
    <col min="12593" max="12604" width="6" style="293" customWidth="1"/>
    <col min="12605" max="12609" width="6.28515625" style="293" customWidth="1"/>
    <col min="12610" max="12610" width="6.7109375" style="293" customWidth="1"/>
    <col min="12611" max="12612" width="6" style="293" bestFit="1" customWidth="1"/>
    <col min="12613" max="12613" width="6" style="293" customWidth="1"/>
    <col min="12614" max="12615" width="6" style="293" bestFit="1" customWidth="1"/>
    <col min="12616" max="12802" width="9.140625" style="293"/>
    <col min="12803" max="12803" width="1.28515625" style="293" customWidth="1"/>
    <col min="12804" max="12804" width="15.28515625" style="293" customWidth="1"/>
    <col min="12805" max="12834" width="6.85546875" style="293" customWidth="1"/>
    <col min="12835" max="12846" width="6.5703125" style="293" customWidth="1"/>
    <col min="12847" max="12847" width="6" style="293" customWidth="1"/>
    <col min="12848" max="12848" width="7.140625" style="293" customWidth="1"/>
    <col min="12849" max="12860" width="6" style="293" customWidth="1"/>
    <col min="12861" max="12865" width="6.28515625" style="293" customWidth="1"/>
    <col min="12866" max="12866" width="6.7109375" style="293" customWidth="1"/>
    <col min="12867" max="12868" width="6" style="293" bestFit="1" customWidth="1"/>
    <col min="12869" max="12869" width="6" style="293" customWidth="1"/>
    <col min="12870" max="12871" width="6" style="293" bestFit="1" customWidth="1"/>
    <col min="12872" max="13058" width="9.140625" style="293"/>
    <col min="13059" max="13059" width="1.28515625" style="293" customWidth="1"/>
    <col min="13060" max="13060" width="15.28515625" style="293" customWidth="1"/>
    <col min="13061" max="13090" width="6.85546875" style="293" customWidth="1"/>
    <col min="13091" max="13102" width="6.5703125" style="293" customWidth="1"/>
    <col min="13103" max="13103" width="6" style="293" customWidth="1"/>
    <col min="13104" max="13104" width="7.140625" style="293" customWidth="1"/>
    <col min="13105" max="13116" width="6" style="293" customWidth="1"/>
    <col min="13117" max="13121" width="6.28515625" style="293" customWidth="1"/>
    <col min="13122" max="13122" width="6.7109375" style="293" customWidth="1"/>
    <col min="13123" max="13124" width="6" style="293" bestFit="1" customWidth="1"/>
    <col min="13125" max="13125" width="6" style="293" customWidth="1"/>
    <col min="13126" max="13127" width="6" style="293" bestFit="1" customWidth="1"/>
    <col min="13128" max="13314" width="9.140625" style="293"/>
    <col min="13315" max="13315" width="1.28515625" style="293" customWidth="1"/>
    <col min="13316" max="13316" width="15.28515625" style="293" customWidth="1"/>
    <col min="13317" max="13346" width="6.85546875" style="293" customWidth="1"/>
    <col min="13347" max="13358" width="6.5703125" style="293" customWidth="1"/>
    <col min="13359" max="13359" width="6" style="293" customWidth="1"/>
    <col min="13360" max="13360" width="7.140625" style="293" customWidth="1"/>
    <col min="13361" max="13372" width="6" style="293" customWidth="1"/>
    <col min="13373" max="13377" width="6.28515625" style="293" customWidth="1"/>
    <col min="13378" max="13378" width="6.7109375" style="293" customWidth="1"/>
    <col min="13379" max="13380" width="6" style="293" bestFit="1" customWidth="1"/>
    <col min="13381" max="13381" width="6" style="293" customWidth="1"/>
    <col min="13382" max="13383" width="6" style="293" bestFit="1" customWidth="1"/>
    <col min="13384" max="13570" width="9.140625" style="293"/>
    <col min="13571" max="13571" width="1.28515625" style="293" customWidth="1"/>
    <col min="13572" max="13572" width="15.28515625" style="293" customWidth="1"/>
    <col min="13573" max="13602" width="6.85546875" style="293" customWidth="1"/>
    <col min="13603" max="13614" width="6.5703125" style="293" customWidth="1"/>
    <col min="13615" max="13615" width="6" style="293" customWidth="1"/>
    <col min="13616" max="13616" width="7.140625" style="293" customWidth="1"/>
    <col min="13617" max="13628" width="6" style="293" customWidth="1"/>
    <col min="13629" max="13633" width="6.28515625" style="293" customWidth="1"/>
    <col min="13634" max="13634" width="6.7109375" style="293" customWidth="1"/>
    <col min="13635" max="13636" width="6" style="293" bestFit="1" customWidth="1"/>
    <col min="13637" max="13637" width="6" style="293" customWidth="1"/>
    <col min="13638" max="13639" width="6" style="293" bestFit="1" customWidth="1"/>
    <col min="13640" max="13826" width="9.140625" style="293"/>
    <col min="13827" max="13827" width="1.28515625" style="293" customWidth="1"/>
    <col min="13828" max="13828" width="15.28515625" style="293" customWidth="1"/>
    <col min="13829" max="13858" width="6.85546875" style="293" customWidth="1"/>
    <col min="13859" max="13870" width="6.5703125" style="293" customWidth="1"/>
    <col min="13871" max="13871" width="6" style="293" customWidth="1"/>
    <col min="13872" max="13872" width="7.140625" style="293" customWidth="1"/>
    <col min="13873" max="13884" width="6" style="293" customWidth="1"/>
    <col min="13885" max="13889" width="6.28515625" style="293" customWidth="1"/>
    <col min="13890" max="13890" width="6.7109375" style="293" customWidth="1"/>
    <col min="13891" max="13892" width="6" style="293" bestFit="1" customWidth="1"/>
    <col min="13893" max="13893" width="6" style="293" customWidth="1"/>
    <col min="13894" max="13895" width="6" style="293" bestFit="1" customWidth="1"/>
    <col min="13896" max="14082" width="9.140625" style="293"/>
    <col min="14083" max="14083" width="1.28515625" style="293" customWidth="1"/>
    <col min="14084" max="14084" width="15.28515625" style="293" customWidth="1"/>
    <col min="14085" max="14114" width="6.85546875" style="293" customWidth="1"/>
    <col min="14115" max="14126" width="6.5703125" style="293" customWidth="1"/>
    <col min="14127" max="14127" width="6" style="293" customWidth="1"/>
    <col min="14128" max="14128" width="7.140625" style="293" customWidth="1"/>
    <col min="14129" max="14140" width="6" style="293" customWidth="1"/>
    <col min="14141" max="14145" width="6.28515625" style="293" customWidth="1"/>
    <col min="14146" max="14146" width="6.7109375" style="293" customWidth="1"/>
    <col min="14147" max="14148" width="6" style="293" bestFit="1" customWidth="1"/>
    <col min="14149" max="14149" width="6" style="293" customWidth="1"/>
    <col min="14150" max="14151" width="6" style="293" bestFit="1" customWidth="1"/>
    <col min="14152" max="14338" width="9.140625" style="293"/>
    <col min="14339" max="14339" width="1.28515625" style="293" customWidth="1"/>
    <col min="14340" max="14340" width="15.28515625" style="293" customWidth="1"/>
    <col min="14341" max="14370" width="6.85546875" style="293" customWidth="1"/>
    <col min="14371" max="14382" width="6.5703125" style="293" customWidth="1"/>
    <col min="14383" max="14383" width="6" style="293" customWidth="1"/>
    <col min="14384" max="14384" width="7.140625" style="293" customWidth="1"/>
    <col min="14385" max="14396" width="6" style="293" customWidth="1"/>
    <col min="14397" max="14401" width="6.28515625" style="293" customWidth="1"/>
    <col min="14402" max="14402" width="6.7109375" style="293" customWidth="1"/>
    <col min="14403" max="14404" width="6" style="293" bestFit="1" customWidth="1"/>
    <col min="14405" max="14405" width="6" style="293" customWidth="1"/>
    <col min="14406" max="14407" width="6" style="293" bestFit="1" customWidth="1"/>
    <col min="14408" max="14594" width="9.140625" style="293"/>
    <col min="14595" max="14595" width="1.28515625" style="293" customWidth="1"/>
    <col min="14596" max="14596" width="15.28515625" style="293" customWidth="1"/>
    <col min="14597" max="14626" width="6.85546875" style="293" customWidth="1"/>
    <col min="14627" max="14638" width="6.5703125" style="293" customWidth="1"/>
    <col min="14639" max="14639" width="6" style="293" customWidth="1"/>
    <col min="14640" max="14640" width="7.140625" style="293" customWidth="1"/>
    <col min="14641" max="14652" width="6" style="293" customWidth="1"/>
    <col min="14653" max="14657" width="6.28515625" style="293" customWidth="1"/>
    <col min="14658" max="14658" width="6.7109375" style="293" customWidth="1"/>
    <col min="14659" max="14660" width="6" style="293" bestFit="1" customWidth="1"/>
    <col min="14661" max="14661" width="6" style="293" customWidth="1"/>
    <col min="14662" max="14663" width="6" style="293" bestFit="1" customWidth="1"/>
    <col min="14664" max="14850" width="9.140625" style="293"/>
    <col min="14851" max="14851" width="1.28515625" style="293" customWidth="1"/>
    <col min="14852" max="14852" width="15.28515625" style="293" customWidth="1"/>
    <col min="14853" max="14882" width="6.85546875" style="293" customWidth="1"/>
    <col min="14883" max="14894" width="6.5703125" style="293" customWidth="1"/>
    <col min="14895" max="14895" width="6" style="293" customWidth="1"/>
    <col min="14896" max="14896" width="7.140625" style="293" customWidth="1"/>
    <col min="14897" max="14908" width="6" style="293" customWidth="1"/>
    <col min="14909" max="14913" width="6.28515625" style="293" customWidth="1"/>
    <col min="14914" max="14914" width="6.7109375" style="293" customWidth="1"/>
    <col min="14915" max="14916" width="6" style="293" bestFit="1" customWidth="1"/>
    <col min="14917" max="14917" width="6" style="293" customWidth="1"/>
    <col min="14918" max="14919" width="6" style="293" bestFit="1" customWidth="1"/>
    <col min="14920" max="15106" width="9.140625" style="293"/>
    <col min="15107" max="15107" width="1.28515625" style="293" customWidth="1"/>
    <col min="15108" max="15108" width="15.28515625" style="293" customWidth="1"/>
    <col min="15109" max="15138" width="6.85546875" style="293" customWidth="1"/>
    <col min="15139" max="15150" width="6.5703125" style="293" customWidth="1"/>
    <col min="15151" max="15151" width="6" style="293" customWidth="1"/>
    <col min="15152" max="15152" width="7.140625" style="293" customWidth="1"/>
    <col min="15153" max="15164" width="6" style="293" customWidth="1"/>
    <col min="15165" max="15169" width="6.28515625" style="293" customWidth="1"/>
    <col min="15170" max="15170" width="6.7109375" style="293" customWidth="1"/>
    <col min="15171" max="15172" width="6" style="293" bestFit="1" customWidth="1"/>
    <col min="15173" max="15173" width="6" style="293" customWidth="1"/>
    <col min="15174" max="15175" width="6" style="293" bestFit="1" customWidth="1"/>
    <col min="15176" max="15362" width="9.140625" style="293"/>
    <col min="15363" max="15363" width="1.28515625" style="293" customWidth="1"/>
    <col min="15364" max="15364" width="15.28515625" style="293" customWidth="1"/>
    <col min="15365" max="15394" width="6.85546875" style="293" customWidth="1"/>
    <col min="15395" max="15406" width="6.5703125" style="293" customWidth="1"/>
    <col min="15407" max="15407" width="6" style="293" customWidth="1"/>
    <col min="15408" max="15408" width="7.140625" style="293" customWidth="1"/>
    <col min="15409" max="15420" width="6" style="293" customWidth="1"/>
    <col min="15421" max="15425" width="6.28515625" style="293" customWidth="1"/>
    <col min="15426" max="15426" width="6.7109375" style="293" customWidth="1"/>
    <col min="15427" max="15428" width="6" style="293" bestFit="1" customWidth="1"/>
    <col min="15429" max="15429" width="6" style="293" customWidth="1"/>
    <col min="15430" max="15431" width="6" style="293" bestFit="1" customWidth="1"/>
    <col min="15432" max="15618" width="9.140625" style="293"/>
    <col min="15619" max="15619" width="1.28515625" style="293" customWidth="1"/>
    <col min="15620" max="15620" width="15.28515625" style="293" customWidth="1"/>
    <col min="15621" max="15650" width="6.85546875" style="293" customWidth="1"/>
    <col min="15651" max="15662" width="6.5703125" style="293" customWidth="1"/>
    <col min="15663" max="15663" width="6" style="293" customWidth="1"/>
    <col min="15664" max="15664" width="7.140625" style="293" customWidth="1"/>
    <col min="15665" max="15676" width="6" style="293" customWidth="1"/>
    <col min="15677" max="15681" width="6.28515625" style="293" customWidth="1"/>
    <col min="15682" max="15682" width="6.7109375" style="293" customWidth="1"/>
    <col min="15683" max="15684" width="6" style="293" bestFit="1" customWidth="1"/>
    <col min="15685" max="15685" width="6" style="293" customWidth="1"/>
    <col min="15686" max="15687" width="6" style="293" bestFit="1" customWidth="1"/>
    <col min="15688" max="15874" width="9.140625" style="293"/>
    <col min="15875" max="15875" width="1.28515625" style="293" customWidth="1"/>
    <col min="15876" max="15876" width="15.28515625" style="293" customWidth="1"/>
    <col min="15877" max="15906" width="6.85546875" style="293" customWidth="1"/>
    <col min="15907" max="15918" width="6.5703125" style="293" customWidth="1"/>
    <col min="15919" max="15919" width="6" style="293" customWidth="1"/>
    <col min="15920" max="15920" width="7.140625" style="293" customWidth="1"/>
    <col min="15921" max="15932" width="6" style="293" customWidth="1"/>
    <col min="15933" max="15937" width="6.28515625" style="293" customWidth="1"/>
    <col min="15938" max="15938" width="6.7109375" style="293" customWidth="1"/>
    <col min="15939" max="15940" width="6" style="293" bestFit="1" customWidth="1"/>
    <col min="15941" max="15941" width="6" style="293" customWidth="1"/>
    <col min="15942" max="15943" width="6" style="293" bestFit="1" customWidth="1"/>
    <col min="15944" max="16130" width="9.140625" style="293"/>
    <col min="16131" max="16131" width="1.28515625" style="293" customWidth="1"/>
    <col min="16132" max="16132" width="15.28515625" style="293" customWidth="1"/>
    <col min="16133" max="16162" width="6.85546875" style="293" customWidth="1"/>
    <col min="16163" max="16174" width="6.5703125" style="293" customWidth="1"/>
    <col min="16175" max="16175" width="6" style="293" customWidth="1"/>
    <col min="16176" max="16176" width="7.140625" style="293" customWidth="1"/>
    <col min="16177" max="16188" width="6" style="293" customWidth="1"/>
    <col min="16189" max="16193" width="6.28515625" style="293" customWidth="1"/>
    <col min="16194" max="16194" width="6.7109375" style="293" customWidth="1"/>
    <col min="16195" max="16196" width="6" style="293" bestFit="1" customWidth="1"/>
    <col min="16197" max="16197" width="6" style="293" customWidth="1"/>
    <col min="16198" max="16199" width="6" style="293" bestFit="1" customWidth="1"/>
    <col min="16200" max="16384" width="9.140625" style="293"/>
  </cols>
  <sheetData>
    <row r="1" spans="1:71" x14ac:dyDescent="0.2">
      <c r="B1" s="294"/>
      <c r="C1" s="295"/>
      <c r="D1" s="295"/>
      <c r="E1" s="295"/>
      <c r="F1" s="295"/>
      <c r="G1" s="295"/>
      <c r="H1" s="295"/>
      <c r="I1" s="295"/>
      <c r="J1" s="295"/>
      <c r="K1" s="296"/>
      <c r="L1" s="295"/>
      <c r="M1" s="295"/>
      <c r="N1" s="296"/>
      <c r="O1" s="295"/>
      <c r="P1" s="295"/>
      <c r="Q1" s="295"/>
      <c r="R1" s="295"/>
      <c r="S1" s="295"/>
      <c r="T1" s="296"/>
      <c r="U1" s="295"/>
      <c r="V1" s="296"/>
      <c r="W1" s="295"/>
      <c r="X1" s="295"/>
      <c r="Y1" s="295"/>
      <c r="Z1" s="297"/>
      <c r="AA1" s="298"/>
      <c r="AB1" s="295"/>
      <c r="AC1" s="295"/>
      <c r="AD1" s="295"/>
      <c r="AE1" s="295"/>
      <c r="AF1" s="297"/>
      <c r="AG1" s="299"/>
      <c r="AH1" s="299"/>
      <c r="AI1" s="299"/>
      <c r="AJ1" s="299"/>
      <c r="AK1" s="299"/>
      <c r="AL1" s="299"/>
      <c r="AM1" s="299"/>
      <c r="AN1" s="299"/>
      <c r="AO1" s="299"/>
      <c r="AP1" s="299"/>
      <c r="AQ1" s="299"/>
      <c r="AR1" s="299"/>
      <c r="AS1" s="299"/>
      <c r="AT1" s="299"/>
      <c r="AU1" s="299"/>
      <c r="AV1" s="299"/>
      <c r="AW1" s="299"/>
      <c r="AX1" s="299"/>
      <c r="AY1" s="299"/>
      <c r="AZ1" s="299"/>
      <c r="BA1" s="299"/>
    </row>
    <row r="2" spans="1:71" x14ac:dyDescent="0.2">
      <c r="A2" s="1228" t="s">
        <v>359</v>
      </c>
      <c r="B2" s="295"/>
      <c r="C2" s="295"/>
      <c r="D2" s="295"/>
      <c r="E2" s="295"/>
      <c r="F2" s="295"/>
      <c r="G2" s="295"/>
      <c r="H2" s="295"/>
      <c r="I2" s="295"/>
      <c r="J2" s="295"/>
      <c r="K2" s="295"/>
      <c r="L2" s="295"/>
      <c r="M2" s="295"/>
      <c r="N2" s="296"/>
      <c r="O2" s="295"/>
      <c r="P2" s="295"/>
      <c r="Q2" s="295"/>
      <c r="R2" s="295"/>
      <c r="S2" s="295"/>
      <c r="T2" s="295"/>
      <c r="U2" s="295"/>
      <c r="V2" s="295"/>
      <c r="W2" s="295"/>
      <c r="X2" s="295"/>
      <c r="Y2" s="295"/>
      <c r="Z2" s="295"/>
      <c r="AA2" s="295"/>
      <c r="AB2" s="295"/>
      <c r="AC2" s="295"/>
      <c r="AD2" s="295"/>
      <c r="AE2" s="295"/>
    </row>
    <row r="3" spans="1:71" x14ac:dyDescent="0.2">
      <c r="A3" s="300" t="s">
        <v>441</v>
      </c>
      <c r="B3" s="295"/>
      <c r="C3" s="295"/>
      <c r="D3" s="295"/>
      <c r="E3" s="295"/>
      <c r="F3" s="295"/>
      <c r="G3" s="295"/>
      <c r="H3" s="295"/>
      <c r="I3" s="295"/>
      <c r="J3" s="295"/>
      <c r="K3" s="295"/>
      <c r="L3" s="295"/>
      <c r="M3" s="295"/>
      <c r="N3" s="296"/>
      <c r="O3" s="295"/>
      <c r="P3" s="295"/>
      <c r="Q3" s="295"/>
      <c r="R3" s="295"/>
      <c r="S3" s="295"/>
      <c r="T3" s="295"/>
      <c r="U3" s="295"/>
      <c r="V3" s="295"/>
      <c r="W3" s="295"/>
      <c r="X3" s="295"/>
      <c r="Y3" s="295"/>
      <c r="Z3" s="295"/>
      <c r="AA3" s="295"/>
      <c r="AB3" s="295"/>
      <c r="AC3" s="295"/>
      <c r="AD3" s="295"/>
      <c r="AE3" s="295"/>
    </row>
    <row r="4" spans="1:71" x14ac:dyDescent="0.2">
      <c r="A4" s="301"/>
      <c r="B4" s="388" t="s">
        <v>381</v>
      </c>
      <c r="C4" s="378" t="s">
        <v>382</v>
      </c>
      <c r="D4" s="378" t="s">
        <v>383</v>
      </c>
      <c r="E4" s="378" t="s">
        <v>384</v>
      </c>
      <c r="F4" s="302" t="s">
        <v>385</v>
      </c>
      <c r="G4" s="301" t="s">
        <v>386</v>
      </c>
      <c r="H4" s="301" t="s">
        <v>387</v>
      </c>
      <c r="I4" s="301" t="s">
        <v>388</v>
      </c>
      <c r="J4" s="302" t="s">
        <v>389</v>
      </c>
      <c r="K4" s="301" t="s">
        <v>390</v>
      </c>
      <c r="L4" s="301" t="s">
        <v>391</v>
      </c>
      <c r="M4" s="301" t="s">
        <v>392</v>
      </c>
      <c r="N4" s="302" t="s">
        <v>393</v>
      </c>
      <c r="O4" s="301" t="s">
        <v>394</v>
      </c>
      <c r="P4" s="301" t="s">
        <v>395</v>
      </c>
      <c r="Q4" s="301" t="s">
        <v>396</v>
      </c>
      <c r="R4" s="302" t="s">
        <v>397</v>
      </c>
      <c r="S4" s="301" t="s">
        <v>398</v>
      </c>
      <c r="T4" s="301" t="s">
        <v>399</v>
      </c>
      <c r="U4" s="301" t="s">
        <v>400</v>
      </c>
      <c r="V4" s="302" t="s">
        <v>401</v>
      </c>
      <c r="W4" s="301" t="s">
        <v>402</v>
      </c>
      <c r="X4" s="301" t="s">
        <v>403</v>
      </c>
      <c r="Y4" s="301" t="s">
        <v>404</v>
      </c>
      <c r="Z4" s="302" t="s">
        <v>405</v>
      </c>
      <c r="AA4" s="301" t="s">
        <v>406</v>
      </c>
      <c r="AB4" s="301" t="s">
        <v>377</v>
      </c>
      <c r="AC4" s="301" t="s">
        <v>378</v>
      </c>
      <c r="AD4" s="302" t="s">
        <v>379</v>
      </c>
      <c r="AE4" s="301" t="s">
        <v>407</v>
      </c>
      <c r="AF4" s="301" t="s">
        <v>408</v>
      </c>
      <c r="AG4" s="301" t="s">
        <v>409</v>
      </c>
      <c r="AH4" s="302" t="s">
        <v>410</v>
      </c>
      <c r="AI4" s="301" t="s">
        <v>411</v>
      </c>
      <c r="AJ4" s="301" t="s">
        <v>412</v>
      </c>
      <c r="AK4" s="301" t="s">
        <v>413</v>
      </c>
      <c r="AL4" s="302" t="s">
        <v>414</v>
      </c>
      <c r="AM4" s="301" t="s">
        <v>415</v>
      </c>
      <c r="AN4" s="301" t="s">
        <v>416</v>
      </c>
      <c r="AO4" s="301" t="s">
        <v>417</v>
      </c>
      <c r="AP4" s="302" t="s">
        <v>418</v>
      </c>
      <c r="AQ4" s="301" t="s">
        <v>419</v>
      </c>
      <c r="AR4" s="301" t="s">
        <v>420</v>
      </c>
      <c r="AS4" s="301" t="s">
        <v>421</v>
      </c>
      <c r="AT4" s="302" t="s">
        <v>422</v>
      </c>
      <c r="AU4" s="301" t="s">
        <v>423</v>
      </c>
      <c r="AV4" s="301" t="s">
        <v>424</v>
      </c>
      <c r="AW4" s="301" t="s">
        <v>442</v>
      </c>
      <c r="AX4" s="302" t="s">
        <v>451</v>
      </c>
      <c r="AY4" s="301" t="s">
        <v>452</v>
      </c>
      <c r="AZ4" s="301" t="s">
        <v>453</v>
      </c>
      <c r="BA4" s="301" t="s">
        <v>454</v>
      </c>
      <c r="BB4" s="302" t="s">
        <v>566</v>
      </c>
      <c r="BC4" s="301" t="s">
        <v>567</v>
      </c>
      <c r="BD4" s="301" t="s">
        <v>568</v>
      </c>
      <c r="BE4" s="301" t="s">
        <v>569</v>
      </c>
      <c r="BF4" s="303"/>
      <c r="BG4" s="303"/>
      <c r="BH4" s="303"/>
      <c r="BI4" s="303"/>
      <c r="BJ4" s="303"/>
      <c r="BK4" s="303"/>
      <c r="BL4" s="303"/>
      <c r="BM4" s="303"/>
      <c r="BN4" s="303"/>
      <c r="BO4" s="303"/>
      <c r="BP4" s="303"/>
      <c r="BQ4" s="303"/>
      <c r="BR4" s="303"/>
      <c r="BS4" s="303"/>
    </row>
    <row r="5" spans="1:71" x14ac:dyDescent="0.2">
      <c r="A5" s="349" t="s">
        <v>307</v>
      </c>
      <c r="B5" s="1309" t="s">
        <v>160</v>
      </c>
      <c r="C5" s="377" t="s">
        <v>160</v>
      </c>
      <c r="D5" s="377" t="s">
        <v>160</v>
      </c>
      <c r="E5" s="377" t="s">
        <v>160</v>
      </c>
      <c r="F5" s="376">
        <f>RevBuild!I33</f>
        <v>5.7000000000000002E-2</v>
      </c>
      <c r="G5" s="377">
        <f>RevBuild!J33</f>
        <v>4.3999999999999997E-2</v>
      </c>
      <c r="H5" s="377">
        <f>RevBuild!K33</f>
        <v>8.8999999999999996E-2</v>
      </c>
      <c r="I5" s="377">
        <f>RevBuild!L33</f>
        <v>3.759222261336264E-2</v>
      </c>
      <c r="J5" s="376">
        <f>RevBuild!O33</f>
        <v>0.04</v>
      </c>
      <c r="K5" s="377">
        <f>RevBuild!P33</f>
        <v>4.0000000000000001E-3</v>
      </c>
      <c r="L5" s="377">
        <f>RevBuild!Q33</f>
        <v>-1.237107610669096E-2</v>
      </c>
      <c r="M5" s="377">
        <f>RevBuild!R33</f>
        <v>-3.4251732750768482E-2</v>
      </c>
      <c r="N5" s="376">
        <f>RevBuild!U33</f>
        <v>-1.2E-2</v>
      </c>
      <c r="O5" s="377">
        <f>RevBuild!V33</f>
        <v>1E-3</v>
      </c>
      <c r="P5" s="377">
        <f>RevBuild!W33</f>
        <v>-1.9999999999999992E-3</v>
      </c>
      <c r="Q5" s="377">
        <f>RevBuild!X33</f>
        <v>-3.425327103329226E-3</v>
      </c>
      <c r="R5" s="376">
        <f>RevBuild!AA33</f>
        <v>6.2E-2</v>
      </c>
      <c r="S5" s="377">
        <f>RevBuild!AB33</f>
        <v>4.8000000000000001E-2</v>
      </c>
      <c r="T5" s="377">
        <f>RevBuild!AC33</f>
        <v>-2.5999999999999999E-2</v>
      </c>
      <c r="U5" s="377">
        <f>RevBuild!AD33</f>
        <v>1.7228101976377037E-2</v>
      </c>
      <c r="V5" s="376">
        <f>RevBuild!AG33</f>
        <v>-1.7000000000000001E-2</v>
      </c>
      <c r="W5" s="377">
        <f>RevBuild!AH33</f>
        <v>-2.1999999999999999E-2</v>
      </c>
      <c r="X5" s="377">
        <f>RevBuild!AI33</f>
        <v>8.5999999999999993E-2</v>
      </c>
      <c r="Y5" s="377">
        <f>RevBuild!AJ33</f>
        <v>3.9962398799553323E-2</v>
      </c>
      <c r="Z5" s="376">
        <f>RevBuild!AM33</f>
        <v>6.4000000000000001E-2</v>
      </c>
      <c r="AA5" s="377">
        <f>RevBuild!AN33</f>
        <v>-3.0000000000000001E-3</v>
      </c>
      <c r="AB5" s="377">
        <f>RevBuild!AO33</f>
        <v>3.5000000000000003E-2</v>
      </c>
      <c r="AC5" s="377">
        <f>RevBuild!AP33</f>
        <v>5.1750264668654886E-2</v>
      </c>
      <c r="AD5" s="376">
        <f>RevBuild!AS33</f>
        <v>-2.3E-2</v>
      </c>
      <c r="AE5" s="377">
        <f>RevBuild!AT33</f>
        <v>2.5000000000000001E-2</v>
      </c>
      <c r="AF5" s="377">
        <f>RevBuild!AU33</f>
        <v>2.5000000000000001E-2</v>
      </c>
      <c r="AG5" s="377">
        <f>RevBuild!AV33</f>
        <v>-6.9727821520249285E-3</v>
      </c>
      <c r="AH5" s="376">
        <f>RevBuild!AY33</f>
        <v>2.5443721322982969E-3</v>
      </c>
      <c r="AI5" s="377">
        <f>RevBuild!AZ33</f>
        <v>7.4752337261922319E-2</v>
      </c>
      <c r="AJ5" s="377">
        <f>RevBuild!BA33</f>
        <v>-2.607526267008323E-2</v>
      </c>
      <c r="AK5" s="377">
        <f>RevBuild!BB33</f>
        <v>0.10270798975030832</v>
      </c>
      <c r="AL5" s="376">
        <f>RevBuild!BE33</f>
        <v>2.090496321430018E-2</v>
      </c>
      <c r="AM5" s="377">
        <f>RevBuild!BF33</f>
        <v>3.0427469812836217E-2</v>
      </c>
      <c r="AN5" s="377">
        <f>RevBuild!BG33</f>
        <v>7.3440373042061385E-2</v>
      </c>
      <c r="AO5" s="377">
        <f>RevBuild!BH33</f>
        <v>-5.2428928978317611E-3</v>
      </c>
      <c r="AP5" s="376">
        <f>RevBuild!BK33</f>
        <v>2.079857315989616E-2</v>
      </c>
      <c r="AQ5" s="377">
        <f>RevBuild!BL33</f>
        <v>1.6222922161504262E-4</v>
      </c>
      <c r="AR5" s="377">
        <f>RevBuild!BM33</f>
        <v>-1.976000351289342E-2</v>
      </c>
      <c r="AS5" s="377">
        <f>RevBuild!BN33</f>
        <v>-8.2584768569978734E-2</v>
      </c>
      <c r="AT5" s="376">
        <f>RevBuild!BQ33</f>
        <v>-4.254329297746598E-2</v>
      </c>
      <c r="AU5" s="377">
        <f>RevBuild!BR33</f>
        <v>-7.4630492907524382E-2</v>
      </c>
      <c r="AV5" s="377">
        <f>RevBuild!BS33</f>
        <v>-8.1255692168667973E-2</v>
      </c>
      <c r="AW5" s="377">
        <f>RevBuild!BT33</f>
        <v>-2.3107237184427015E-2</v>
      </c>
      <c r="AX5" s="376">
        <f>RevBuild!BW33</f>
        <v>-4.6663460593245658E-2</v>
      </c>
      <c r="AY5" s="377">
        <f>RevBuild!BX33</f>
        <v>-4.0404963603850926E-3</v>
      </c>
      <c r="AZ5" s="377">
        <f>RevBuild!BY33</f>
        <v>9.5377043903806524E-3</v>
      </c>
      <c r="BA5" s="377">
        <f>RevBuild!BZ33</f>
        <v>7.7942623601148188E-3</v>
      </c>
      <c r="BB5" s="376">
        <f>RevBuild!CC33</f>
        <v>8.7449429351335196E-3</v>
      </c>
      <c r="BC5" s="377">
        <f>RevBuild!CD33</f>
        <v>8.0590813021839628E-3</v>
      </c>
      <c r="BD5" s="377">
        <f>RevBuild!CE33</f>
        <v>1.4818273966331397E-2</v>
      </c>
      <c r="BE5" s="377">
        <f>RevBuild!CF33</f>
        <v>1.4668252292640212E-2</v>
      </c>
      <c r="BF5" s="303"/>
      <c r="BG5" s="303"/>
      <c r="BH5" s="303"/>
      <c r="BI5" s="303"/>
      <c r="BJ5" s="303"/>
      <c r="BK5" s="303"/>
      <c r="BL5" s="303"/>
      <c r="BM5" s="303"/>
      <c r="BN5" s="303"/>
      <c r="BO5" s="303"/>
      <c r="BP5" s="303"/>
      <c r="BQ5" s="303"/>
      <c r="BR5" s="303"/>
      <c r="BS5" s="303"/>
    </row>
    <row r="6" spans="1:71" x14ac:dyDescent="0.2">
      <c r="A6" s="308" t="s">
        <v>308</v>
      </c>
      <c r="B6" s="1301" t="s">
        <v>160</v>
      </c>
      <c r="C6" s="1302" t="s">
        <v>160</v>
      </c>
      <c r="D6" s="1302" t="s">
        <v>160</v>
      </c>
      <c r="E6" s="1302" t="s">
        <v>160</v>
      </c>
      <c r="F6" s="1303" t="s">
        <v>160</v>
      </c>
      <c r="G6" s="1302" t="s">
        <v>160</v>
      </c>
      <c r="H6" s="1302" t="s">
        <v>160</v>
      </c>
      <c r="I6" s="1302" t="s">
        <v>160</v>
      </c>
      <c r="J6" s="1303" t="s">
        <v>160</v>
      </c>
      <c r="K6" s="1302" t="s">
        <v>160</v>
      </c>
      <c r="L6" s="1302" t="s">
        <v>160</v>
      </c>
      <c r="M6" s="1302" t="s">
        <v>160</v>
      </c>
      <c r="N6" s="1303" t="s">
        <v>160</v>
      </c>
      <c r="O6" s="1302" t="s">
        <v>160</v>
      </c>
      <c r="P6" s="1302" t="s">
        <v>160</v>
      </c>
      <c r="Q6" s="1302" t="s">
        <v>160</v>
      </c>
      <c r="R6" s="1303" t="s">
        <v>160</v>
      </c>
      <c r="S6" s="1302" t="s">
        <v>160</v>
      </c>
      <c r="T6" s="1302" t="s">
        <v>160</v>
      </c>
      <c r="U6" s="1302" t="s">
        <v>160</v>
      </c>
      <c r="V6" s="1303" t="s">
        <v>160</v>
      </c>
      <c r="W6" s="1302" t="s">
        <v>160</v>
      </c>
      <c r="X6" s="1302" t="s">
        <v>160</v>
      </c>
      <c r="Y6" s="1302" t="s">
        <v>160</v>
      </c>
      <c r="Z6" s="1303" t="s">
        <v>160</v>
      </c>
      <c r="AA6" s="1302" t="s">
        <v>160</v>
      </c>
      <c r="AB6" s="1302" t="s">
        <v>160</v>
      </c>
      <c r="AC6" s="1302" t="s">
        <v>160</v>
      </c>
      <c r="AD6" s="1303" t="s">
        <v>160</v>
      </c>
      <c r="AE6" s="1302" t="s">
        <v>160</v>
      </c>
      <c r="AF6" s="1302" t="s">
        <v>160</v>
      </c>
      <c r="AG6" s="1302" t="s">
        <v>160</v>
      </c>
      <c r="AH6" s="1303">
        <f>RevBuild!AY12</f>
        <v>2.5000000000000001E-2</v>
      </c>
      <c r="AI6" s="1302">
        <f>RevBuild!AZ12</f>
        <v>3.1E-2</v>
      </c>
      <c r="AJ6" s="1302">
        <f>RevBuild!BA12</f>
        <v>0.04</v>
      </c>
      <c r="AK6" s="1302">
        <f>RevBuild!BB12</f>
        <v>3.3000000000000002E-2</v>
      </c>
      <c r="AL6" s="1303">
        <f>RevBuild!BE12</f>
        <v>3.7999999999999992E-2</v>
      </c>
      <c r="AM6" s="1302">
        <f>RevBuild!BF12</f>
        <v>3.3000000000000002E-2</v>
      </c>
      <c r="AN6" s="1302">
        <f>RevBuild!BG12</f>
        <v>5.0999999999999997E-2</v>
      </c>
      <c r="AO6" s="1302">
        <f>RevBuild!BH12</f>
        <v>3.3000000000000002E-2</v>
      </c>
      <c r="AP6" s="1303">
        <f>RevBuild!BK12</f>
        <v>-1.0000000000000009E-3</v>
      </c>
      <c r="AQ6" s="1302">
        <f>RevBuild!BL12</f>
        <v>-2.5000000000000001E-2</v>
      </c>
      <c r="AR6" s="1302">
        <f>RevBuild!BM12</f>
        <v>-2.8000000000000004E-2</v>
      </c>
      <c r="AS6" s="1302">
        <f>RevBuild!BN12</f>
        <v>-4.2999999999999997E-2</v>
      </c>
      <c r="AT6" s="1303">
        <f>RevBuild!BQ12</f>
        <v>-1.4208187221075863E-3</v>
      </c>
      <c r="AU6" s="1302">
        <f>RevBuild!BR12</f>
        <v>-3.5299999999999998E-2</v>
      </c>
      <c r="AV6" s="1302">
        <f>RevBuild!BS12</f>
        <v>-7.3999999999999996E-2</v>
      </c>
      <c r="AW6" s="1302">
        <f>RevBuild!BT12</f>
        <v>-7.0000000000000007E-2</v>
      </c>
      <c r="AX6" s="1303">
        <f>RevBuild!BW12</f>
        <v>-0.1</v>
      </c>
      <c r="AY6" s="1302">
        <f>RevBuild!BX12</f>
        <v>-0.05</v>
      </c>
      <c r="AZ6" s="1302">
        <f>RevBuild!BY12</f>
        <v>0</v>
      </c>
      <c r="BA6" s="1302">
        <f>RevBuild!BZ12</f>
        <v>0.01</v>
      </c>
      <c r="BB6" s="1303">
        <f>RevBuild!CC12</f>
        <v>0.01</v>
      </c>
      <c r="BC6" s="1302">
        <f>RevBuild!CD12</f>
        <v>0.01</v>
      </c>
      <c r="BD6" s="1302">
        <f>RevBuild!CE12</f>
        <v>0.01</v>
      </c>
      <c r="BE6" s="1302">
        <f>RevBuild!CF12</f>
        <v>0.01</v>
      </c>
      <c r="BF6" s="303"/>
      <c r="BG6" s="303"/>
      <c r="BH6" s="303"/>
      <c r="BI6" s="303"/>
      <c r="BJ6" s="303"/>
      <c r="BK6" s="303"/>
      <c r="BL6" s="303"/>
      <c r="BM6" s="303"/>
      <c r="BN6" s="303"/>
      <c r="BO6" s="303"/>
      <c r="BP6" s="303"/>
      <c r="BQ6" s="303"/>
      <c r="BR6" s="303"/>
      <c r="BS6" s="303"/>
    </row>
    <row r="7" spans="1:71" x14ac:dyDescent="0.2">
      <c r="A7" s="308" t="s">
        <v>309</v>
      </c>
      <c r="B7" s="1301" t="s">
        <v>160</v>
      </c>
      <c r="C7" s="1302" t="s">
        <v>160</v>
      </c>
      <c r="D7" s="1302" t="s">
        <v>160</v>
      </c>
      <c r="E7" s="1302" t="s">
        <v>160</v>
      </c>
      <c r="F7" s="1303" t="s">
        <v>160</v>
      </c>
      <c r="G7" s="1302" t="s">
        <v>160</v>
      </c>
      <c r="H7" s="1302" t="s">
        <v>160</v>
      </c>
      <c r="I7" s="1302" t="s">
        <v>160</v>
      </c>
      <c r="J7" s="1303" t="s">
        <v>160</v>
      </c>
      <c r="K7" s="1302" t="s">
        <v>160</v>
      </c>
      <c r="L7" s="1302" t="s">
        <v>160</v>
      </c>
      <c r="M7" s="1302" t="s">
        <v>160</v>
      </c>
      <c r="N7" s="1303" t="s">
        <v>160</v>
      </c>
      <c r="O7" s="1302" t="s">
        <v>160</v>
      </c>
      <c r="P7" s="1302" t="s">
        <v>160</v>
      </c>
      <c r="Q7" s="1302" t="s">
        <v>160</v>
      </c>
      <c r="R7" s="1303" t="s">
        <v>160</v>
      </c>
      <c r="S7" s="1302" t="s">
        <v>160</v>
      </c>
      <c r="T7" s="1302" t="s">
        <v>160</v>
      </c>
      <c r="U7" s="1302" t="s">
        <v>160</v>
      </c>
      <c r="V7" s="1303" t="s">
        <v>160</v>
      </c>
      <c r="W7" s="1302" t="s">
        <v>160</v>
      </c>
      <c r="X7" s="1302" t="s">
        <v>160</v>
      </c>
      <c r="Y7" s="1302" t="s">
        <v>160</v>
      </c>
      <c r="Z7" s="1303" t="s">
        <v>160</v>
      </c>
      <c r="AA7" s="1302" t="s">
        <v>160</v>
      </c>
      <c r="AB7" s="1302" t="s">
        <v>160</v>
      </c>
      <c r="AC7" s="1302" t="s">
        <v>160</v>
      </c>
      <c r="AD7" s="1303" t="s">
        <v>160</v>
      </c>
      <c r="AE7" s="1302" t="s">
        <v>160</v>
      </c>
      <c r="AF7" s="1302" t="s">
        <v>160</v>
      </c>
      <c r="AG7" s="1302" t="s">
        <v>160</v>
      </c>
      <c r="AH7" s="1303">
        <f>RevBuild!AY19</f>
        <v>-7.2999999999999995E-2</v>
      </c>
      <c r="AI7" s="1302">
        <f>RevBuild!AZ19</f>
        <v>0.16200000000000001</v>
      </c>
      <c r="AJ7" s="1302">
        <f>RevBuild!BA19</f>
        <v>-0.13200000000000001</v>
      </c>
      <c r="AK7" s="1302">
        <f>RevBuild!BB19</f>
        <v>0.23300000000000001</v>
      </c>
      <c r="AL7" s="1303">
        <f>RevBuild!BE19</f>
        <v>-2.8999999999999998E-2</v>
      </c>
      <c r="AM7" s="1302">
        <f>RevBuild!BF19</f>
        <v>2.2000000000000002E-2</v>
      </c>
      <c r="AN7" s="1302">
        <f>RevBuild!BG19</f>
        <v>6.8000000000000005E-2</v>
      </c>
      <c r="AO7" s="1302">
        <f>RevBuild!BH19</f>
        <v>-6.9000000000000006E-2</v>
      </c>
      <c r="AP7" s="1303">
        <f>RevBuild!BK19</f>
        <v>7.400000000000001E-2</v>
      </c>
      <c r="AQ7" s="1302">
        <f>RevBuild!BL19</f>
        <v>4.2000000000000003E-2</v>
      </c>
      <c r="AR7" s="1302">
        <f>RevBuild!BM19</f>
        <v>-0.01</v>
      </c>
      <c r="AS7" s="1302">
        <f>RevBuild!BN19</f>
        <v>-0.16899999999999998</v>
      </c>
      <c r="AT7" s="1303">
        <f>RevBuild!BQ19</f>
        <v>-0.151</v>
      </c>
      <c r="AU7" s="1302">
        <f>RevBuild!BR19</f>
        <v>-0.16839999999999999</v>
      </c>
      <c r="AV7" s="1302">
        <f>RevBuild!BS19</f>
        <v>-0.106</v>
      </c>
      <c r="AW7" s="1302">
        <f>RevBuild!BT19</f>
        <v>0.05</v>
      </c>
      <c r="AX7" s="1303">
        <f>RevBuild!BW19</f>
        <v>0.05</v>
      </c>
      <c r="AY7" s="1302">
        <f>RevBuild!BX19</f>
        <v>7.0000000000000007E-2</v>
      </c>
      <c r="AZ7" s="1302">
        <f>RevBuild!BY19</f>
        <v>0.02</v>
      </c>
      <c r="BA7" s="1302">
        <f>RevBuild!BZ19</f>
        <v>0</v>
      </c>
      <c r="BB7" s="1303">
        <f>RevBuild!CC19</f>
        <v>0</v>
      </c>
      <c r="BC7" s="1302">
        <f>RevBuild!CD19</f>
        <v>0</v>
      </c>
      <c r="BD7" s="1302">
        <f>RevBuild!CE19</f>
        <v>0.02</v>
      </c>
      <c r="BE7" s="1302">
        <f>RevBuild!CF19</f>
        <v>0.02</v>
      </c>
      <c r="BF7" s="303"/>
      <c r="BG7" s="303"/>
      <c r="BH7" s="303"/>
      <c r="BI7" s="303"/>
      <c r="BJ7" s="303"/>
      <c r="BK7" s="303"/>
      <c r="BL7" s="303"/>
      <c r="BM7" s="303"/>
      <c r="BN7" s="303"/>
      <c r="BO7" s="303"/>
      <c r="BP7" s="303"/>
      <c r="BQ7" s="303"/>
      <c r="BR7" s="303"/>
      <c r="BS7" s="303"/>
    </row>
    <row r="8" spans="1:71" x14ac:dyDescent="0.2">
      <c r="A8" s="308" t="s">
        <v>310</v>
      </c>
      <c r="B8" s="1301" t="s">
        <v>160</v>
      </c>
      <c r="C8" s="1302" t="s">
        <v>160</v>
      </c>
      <c r="D8" s="1302" t="s">
        <v>160</v>
      </c>
      <c r="E8" s="1302" t="s">
        <v>160</v>
      </c>
      <c r="F8" s="1303" t="s">
        <v>160</v>
      </c>
      <c r="G8" s="1302" t="s">
        <v>160</v>
      </c>
      <c r="H8" s="1302" t="s">
        <v>160</v>
      </c>
      <c r="I8" s="1302" t="s">
        <v>160</v>
      </c>
      <c r="J8" s="1303" t="s">
        <v>160</v>
      </c>
      <c r="K8" s="1302" t="s">
        <v>160</v>
      </c>
      <c r="L8" s="1302" t="s">
        <v>160</v>
      </c>
      <c r="M8" s="1302" t="s">
        <v>160</v>
      </c>
      <c r="N8" s="1303" t="s">
        <v>160</v>
      </c>
      <c r="O8" s="1302" t="s">
        <v>160</v>
      </c>
      <c r="P8" s="1302" t="s">
        <v>160</v>
      </c>
      <c r="Q8" s="1302" t="s">
        <v>160</v>
      </c>
      <c r="R8" s="1303" t="s">
        <v>160</v>
      </c>
      <c r="S8" s="1302" t="s">
        <v>160</v>
      </c>
      <c r="T8" s="1302" t="s">
        <v>160</v>
      </c>
      <c r="U8" s="1302" t="s">
        <v>160</v>
      </c>
      <c r="V8" s="1303" t="s">
        <v>160</v>
      </c>
      <c r="W8" s="1302" t="s">
        <v>160</v>
      </c>
      <c r="X8" s="1302" t="s">
        <v>160</v>
      </c>
      <c r="Y8" s="1302" t="s">
        <v>160</v>
      </c>
      <c r="Z8" s="1303" t="s">
        <v>160</v>
      </c>
      <c r="AA8" s="1302" t="s">
        <v>160</v>
      </c>
      <c r="AB8" s="1302" t="s">
        <v>160</v>
      </c>
      <c r="AC8" s="1302" t="s">
        <v>160</v>
      </c>
      <c r="AD8" s="1303" t="s">
        <v>160</v>
      </c>
      <c r="AE8" s="1302" t="s">
        <v>160</v>
      </c>
      <c r="AF8" s="1302" t="s">
        <v>160</v>
      </c>
      <c r="AG8" s="1302" t="s">
        <v>160</v>
      </c>
      <c r="AH8" s="1303">
        <f>RevBuild!AY26</f>
        <v>7.8E-2</v>
      </c>
      <c r="AI8" s="1302">
        <f>RevBuild!AZ26</f>
        <v>6.8000000000000005E-2</v>
      </c>
      <c r="AJ8" s="1302">
        <f>RevBuild!BA26</f>
        <v>6.5000000000000002E-2</v>
      </c>
      <c r="AK8" s="1302">
        <f>RevBuild!BB26</f>
        <v>0.06</v>
      </c>
      <c r="AL8" s="1303">
        <f>RevBuild!BE26</f>
        <v>4.8000000000000015E-2</v>
      </c>
      <c r="AM8" s="1302">
        <f>RevBuild!BF26</f>
        <v>4.2000000000000003E-2</v>
      </c>
      <c r="AN8" s="1302">
        <f>RevBuild!BG26</f>
        <v>0.19900000000000001</v>
      </c>
      <c r="AO8" s="1302">
        <f>RevBuild!BH26</f>
        <v>3.6000000000000004E-2</v>
      </c>
      <c r="AP8" s="1303">
        <f>RevBuild!BK26</f>
        <v>2.3E-2</v>
      </c>
      <c r="AQ8" s="1302">
        <f>RevBuild!BL26</f>
        <v>2E-3</v>
      </c>
      <c r="AR8" s="1302">
        <f>RevBuild!BM26</f>
        <v>-1.3000000000000001E-2</v>
      </c>
      <c r="AS8" s="1302">
        <f>RevBuild!BN26</f>
        <v>2E-3</v>
      </c>
      <c r="AT8" s="1303">
        <f>RevBuild!BQ26</f>
        <v>-5.0000000000000001E-3</v>
      </c>
      <c r="AU8" s="1302">
        <f>RevBuild!BR26</f>
        <v>1.4999999999999999E-2</v>
      </c>
      <c r="AV8" s="1302">
        <f>RevBuild!BS26</f>
        <v>-3.4000000000000002E-2</v>
      </c>
      <c r="AW8" s="1302">
        <f>RevBuild!BT26</f>
        <v>0</v>
      </c>
      <c r="AX8" s="1303">
        <f>RevBuild!BW26</f>
        <v>0.02</v>
      </c>
      <c r="AY8" s="1302">
        <f>RevBuild!BX26</f>
        <v>0.02</v>
      </c>
      <c r="AZ8" s="1302">
        <f>RevBuild!BY26</f>
        <v>0.02</v>
      </c>
      <c r="BA8" s="1302">
        <f>RevBuild!BZ26</f>
        <v>0.02</v>
      </c>
      <c r="BB8" s="1303">
        <f>RevBuild!CC26</f>
        <v>0.02</v>
      </c>
      <c r="BC8" s="1302">
        <f>RevBuild!CD26</f>
        <v>0.02</v>
      </c>
      <c r="BD8" s="1302">
        <f>RevBuild!CE26</f>
        <v>0.02</v>
      </c>
      <c r="BE8" s="1302">
        <f>RevBuild!CF26</f>
        <v>0.02</v>
      </c>
      <c r="BF8" s="303"/>
      <c r="BG8" s="303"/>
      <c r="BH8" s="303"/>
      <c r="BI8" s="303"/>
      <c r="BJ8" s="303"/>
      <c r="BK8" s="303"/>
      <c r="BL8" s="303"/>
      <c r="BM8" s="303"/>
      <c r="BN8" s="303"/>
      <c r="BO8" s="303"/>
      <c r="BP8" s="303"/>
      <c r="BQ8" s="303"/>
      <c r="BR8" s="303"/>
      <c r="BS8" s="303"/>
    </row>
    <row r="9" spans="1:71" x14ac:dyDescent="0.2">
      <c r="A9" s="369" t="s">
        <v>311</v>
      </c>
      <c r="B9" s="1310" t="s">
        <v>160</v>
      </c>
      <c r="C9" s="372" t="s">
        <v>160</v>
      </c>
      <c r="D9" s="372" t="s">
        <v>160</v>
      </c>
      <c r="E9" s="372" t="s">
        <v>160</v>
      </c>
      <c r="F9" s="371" t="s">
        <v>160</v>
      </c>
      <c r="G9" s="372" t="s">
        <v>160</v>
      </c>
      <c r="H9" s="372" t="s">
        <v>160</v>
      </c>
      <c r="I9" s="372" t="s">
        <v>160</v>
      </c>
      <c r="J9" s="371" t="s">
        <v>160</v>
      </c>
      <c r="K9" s="372" t="s">
        <v>160</v>
      </c>
      <c r="L9" s="372" t="s">
        <v>160</v>
      </c>
      <c r="M9" s="372" t="s">
        <v>160</v>
      </c>
      <c r="N9" s="371" t="s">
        <v>160</v>
      </c>
      <c r="O9" s="372" t="s">
        <v>160</v>
      </c>
      <c r="P9" s="372" t="s">
        <v>160</v>
      </c>
      <c r="Q9" s="372" t="s">
        <v>160</v>
      </c>
      <c r="R9" s="371" t="s">
        <v>160</v>
      </c>
      <c r="S9" s="372" t="s">
        <v>160</v>
      </c>
      <c r="T9" s="372" t="s">
        <v>160</v>
      </c>
      <c r="U9" s="372" t="s">
        <v>160</v>
      </c>
      <c r="V9" s="371">
        <f>+RevBuild!AG117</f>
        <v>0</v>
      </c>
      <c r="W9" s="372">
        <f>+RevBuild!AH117</f>
        <v>4.4000000000000004E-2</v>
      </c>
      <c r="X9" s="372">
        <f>+RevBuild!AI117</f>
        <v>1.5000000000000013E-2</v>
      </c>
      <c r="Y9" s="372">
        <f>+RevBuild!AJ117</f>
        <v>0.21697517165643701</v>
      </c>
      <c r="Z9" s="371">
        <f>+RevBuild!AM117</f>
        <v>3.7000000000000005E-2</v>
      </c>
      <c r="AA9" s="372">
        <f>+RevBuild!AN117</f>
        <v>5.9000000000000004E-2</v>
      </c>
      <c r="AB9" s="372">
        <f>+RevBuild!AO117</f>
        <v>4.0000000000000001E-3</v>
      </c>
      <c r="AC9" s="372">
        <f>+RevBuild!AP117</f>
        <v>-1.7246790361445778E-2</v>
      </c>
      <c r="AD9" s="371">
        <f>+RevBuild!AS117</f>
        <v>4.4999999999999998E-2</v>
      </c>
      <c r="AE9" s="372">
        <f>+RevBuild!AT117</f>
        <v>3.1000000000000028E-2</v>
      </c>
      <c r="AF9" s="372">
        <f>+RevBuild!AU117</f>
        <v>6.9000000000000061E-2</v>
      </c>
      <c r="AG9" s="372">
        <f>+RevBuild!AV117</f>
        <v>7.705556534121083E-5</v>
      </c>
      <c r="AH9" s="371">
        <f>RevBuild!AY83</f>
        <v>7.0000000000000007E-2</v>
      </c>
      <c r="AI9" s="372">
        <f>RevBuild!AZ83</f>
        <v>6.4000000000000001E-2</v>
      </c>
      <c r="AJ9" s="372">
        <f>RevBuild!BA83</f>
        <v>6.5000000000000002E-2</v>
      </c>
      <c r="AK9" s="372">
        <f>RevBuild!BB83</f>
        <v>0.08</v>
      </c>
      <c r="AL9" s="371">
        <f>RevBuild!BE83</f>
        <v>2.4885260160497136E-2</v>
      </c>
      <c r="AM9" s="372">
        <f>RevBuild!BF83</f>
        <v>3.2169275965935995E-2</v>
      </c>
      <c r="AN9" s="372">
        <f>RevBuild!BG83</f>
        <v>6.1776849755043717E-2</v>
      </c>
      <c r="AO9" s="372">
        <f>RevBuild!BH83</f>
        <v>8.1843530974968104E-2</v>
      </c>
      <c r="AP9" s="371">
        <f>RevBuild!BK83</f>
        <v>4.5288844189004862E-2</v>
      </c>
      <c r="AQ9" s="372">
        <f>RevBuild!BL83</f>
        <v>7.8791980920727173E-2</v>
      </c>
      <c r="AR9" s="372">
        <f>RevBuild!BM83</f>
        <v>4.9449022492607075E-2</v>
      </c>
      <c r="AS9" s="372">
        <f>RevBuild!BN83</f>
        <v>8.5798285317615741E-2</v>
      </c>
      <c r="AT9" s="371">
        <f>RevBuild!BQ83</f>
        <v>3.4000000000000002E-2</v>
      </c>
      <c r="AU9" s="372">
        <f>RevBuild!BR83</f>
        <v>1.7024839372306862E-2</v>
      </c>
      <c r="AV9" s="372">
        <f>RevBuild!BS83</f>
        <v>2.5999999999999999E-2</v>
      </c>
      <c r="AW9" s="372">
        <f>RevBuild!BT83</f>
        <v>4.4794264941900447E-4</v>
      </c>
      <c r="AX9" s="371">
        <f>RevBuild!BW83</f>
        <v>4.0000000000000036E-2</v>
      </c>
      <c r="AY9" s="372">
        <f>RevBuild!BX83</f>
        <v>5.9545668135452257E-2</v>
      </c>
      <c r="AZ9" s="372">
        <f>RevBuild!BY83</f>
        <v>4.0000000000000036E-2</v>
      </c>
      <c r="BA9" s="372">
        <f>RevBuild!BZ83</f>
        <v>5.9542181989199472E-2</v>
      </c>
      <c r="BB9" s="371">
        <f>RevBuild!CC83</f>
        <v>3.4770562117979242E-2</v>
      </c>
      <c r="BC9" s="372">
        <f>RevBuild!CD83</f>
        <v>3.4794860053094956E-2</v>
      </c>
      <c r="BD9" s="372">
        <f>RevBuild!CE83</f>
        <v>3.5046548667890143E-2</v>
      </c>
      <c r="BE9" s="372">
        <f>RevBuild!CF83</f>
        <v>3.5035819430363047E-2</v>
      </c>
      <c r="BF9" s="303"/>
      <c r="BG9" s="303"/>
      <c r="BH9" s="303"/>
      <c r="BI9" s="303"/>
      <c r="BJ9" s="303"/>
      <c r="BK9" s="303"/>
      <c r="BL9" s="303"/>
      <c r="BM9" s="303"/>
      <c r="BN9" s="303"/>
      <c r="BO9" s="303"/>
      <c r="BP9" s="303"/>
      <c r="BQ9" s="303"/>
      <c r="BR9" s="303"/>
      <c r="BS9" s="303"/>
    </row>
    <row r="10" spans="1:71" x14ac:dyDescent="0.2">
      <c r="A10" s="305" t="s">
        <v>308</v>
      </c>
      <c r="B10" s="1304" t="s">
        <v>160</v>
      </c>
      <c r="C10" s="1305" t="s">
        <v>160</v>
      </c>
      <c r="D10" s="1305" t="s">
        <v>160</v>
      </c>
      <c r="E10" s="1305" t="s">
        <v>160</v>
      </c>
      <c r="F10" s="1306" t="s">
        <v>160</v>
      </c>
      <c r="G10" s="1305" t="s">
        <v>160</v>
      </c>
      <c r="H10" s="1305" t="s">
        <v>160</v>
      </c>
      <c r="I10" s="1305" t="s">
        <v>160</v>
      </c>
      <c r="J10" s="1306" t="s">
        <v>160</v>
      </c>
      <c r="K10" s="1305" t="s">
        <v>160</v>
      </c>
      <c r="L10" s="1305" t="s">
        <v>160</v>
      </c>
      <c r="M10" s="1305" t="s">
        <v>160</v>
      </c>
      <c r="N10" s="1306" t="s">
        <v>160</v>
      </c>
      <c r="O10" s="1305" t="s">
        <v>160</v>
      </c>
      <c r="P10" s="1305" t="s">
        <v>160</v>
      </c>
      <c r="Q10" s="1305" t="s">
        <v>160</v>
      </c>
      <c r="R10" s="1306" t="s">
        <v>160</v>
      </c>
      <c r="S10" s="1305" t="s">
        <v>160</v>
      </c>
      <c r="T10" s="1305" t="s">
        <v>160</v>
      </c>
      <c r="U10" s="1305" t="s">
        <v>160</v>
      </c>
      <c r="V10" s="1306" t="s">
        <v>160</v>
      </c>
      <c r="W10" s="1305" t="s">
        <v>160</v>
      </c>
      <c r="X10" s="1305" t="s">
        <v>160</v>
      </c>
      <c r="Y10" s="1305" t="s">
        <v>160</v>
      </c>
      <c r="Z10" s="1306" t="s">
        <v>160</v>
      </c>
      <c r="AA10" s="1305" t="s">
        <v>160</v>
      </c>
      <c r="AB10" s="1305" t="s">
        <v>160</v>
      </c>
      <c r="AC10" s="1305" t="s">
        <v>160</v>
      </c>
      <c r="AD10" s="1306" t="s">
        <v>160</v>
      </c>
      <c r="AE10" s="1305" t="s">
        <v>160</v>
      </c>
      <c r="AF10" s="1305" t="s">
        <v>160</v>
      </c>
      <c r="AG10" s="1305" t="s">
        <v>160</v>
      </c>
      <c r="AH10" s="1306" t="s">
        <v>160</v>
      </c>
      <c r="AI10" s="1305" t="s">
        <v>160</v>
      </c>
      <c r="AJ10" s="1305" t="s">
        <v>160</v>
      </c>
      <c r="AK10" s="1305" t="s">
        <v>160</v>
      </c>
      <c r="AL10" s="1307">
        <f>RevBuild!BE41</f>
        <v>1.5000000000000069E-2</v>
      </c>
      <c r="AM10" s="1308">
        <f>RevBuild!BF41</f>
        <v>2.2999999999999687E-2</v>
      </c>
      <c r="AN10" s="1308">
        <f>RevBuild!BG41</f>
        <v>5.7499999999999885E-2</v>
      </c>
      <c r="AO10" s="1308">
        <f>RevBuild!BH41</f>
        <v>8.6000000000000076E-2</v>
      </c>
      <c r="AP10" s="1307">
        <f>RevBuild!BK41</f>
        <v>4.6999999999999986E-2</v>
      </c>
      <c r="AQ10" s="1308">
        <f>RevBuild!BL41</f>
        <v>0.08</v>
      </c>
      <c r="AR10" s="1308">
        <f>RevBuild!BM41</f>
        <v>0.05</v>
      </c>
      <c r="AS10" s="1308">
        <f>RevBuild!BN41</f>
        <v>9.5000000000000001E-2</v>
      </c>
      <c r="AT10" s="1307">
        <f>RevBuild!BQ41</f>
        <v>3.7999999999999999E-2</v>
      </c>
      <c r="AU10" s="1308">
        <f>RevBuild!BR41</f>
        <v>1.7999999999999999E-2</v>
      </c>
      <c r="AV10" s="1308">
        <f>RevBuild!BS41</f>
        <v>2.9000000000000001E-2</v>
      </c>
      <c r="AW10" s="1308">
        <f>RevBuild!BT41</f>
        <v>0</v>
      </c>
      <c r="AX10" s="1307">
        <f>RevBuild!BW41</f>
        <v>0.04</v>
      </c>
      <c r="AY10" s="1308">
        <f>RevBuild!BX41</f>
        <v>0.06</v>
      </c>
      <c r="AZ10" s="1308">
        <f>RevBuild!BY41</f>
        <v>0.04</v>
      </c>
      <c r="BA10" s="1308">
        <f>RevBuild!BZ41</f>
        <v>0.06</v>
      </c>
      <c r="BB10" s="1307">
        <f>RevBuild!CC41</f>
        <v>3.5000000000000003E-2</v>
      </c>
      <c r="BC10" s="1308">
        <f>RevBuild!CD41</f>
        <v>3.5000000000000003E-2</v>
      </c>
      <c r="BD10" s="1308">
        <f>RevBuild!CE41</f>
        <v>3.5000000000000003E-2</v>
      </c>
      <c r="BE10" s="1308">
        <f>RevBuild!CF41</f>
        <v>3.5000000000000003E-2</v>
      </c>
      <c r="BF10" s="303"/>
      <c r="BG10" s="303"/>
      <c r="BH10" s="303"/>
      <c r="BI10" s="303"/>
      <c r="BJ10" s="303"/>
      <c r="BK10" s="303"/>
      <c r="BL10" s="303"/>
      <c r="BM10" s="303"/>
      <c r="BN10" s="303"/>
      <c r="BO10" s="303"/>
      <c r="BP10" s="303"/>
      <c r="BQ10" s="303"/>
      <c r="BR10" s="303"/>
      <c r="BS10" s="303"/>
    </row>
    <row r="11" spans="1:71" x14ac:dyDescent="0.2">
      <c r="A11" s="305" t="s">
        <v>309</v>
      </c>
      <c r="B11" s="1304" t="s">
        <v>160</v>
      </c>
      <c r="C11" s="1305" t="s">
        <v>160</v>
      </c>
      <c r="D11" s="1305" t="s">
        <v>160</v>
      </c>
      <c r="E11" s="1305" t="s">
        <v>160</v>
      </c>
      <c r="F11" s="1306" t="s">
        <v>160</v>
      </c>
      <c r="G11" s="1305" t="s">
        <v>160</v>
      </c>
      <c r="H11" s="1305" t="s">
        <v>160</v>
      </c>
      <c r="I11" s="1305" t="s">
        <v>160</v>
      </c>
      <c r="J11" s="1306" t="s">
        <v>160</v>
      </c>
      <c r="K11" s="1305" t="s">
        <v>160</v>
      </c>
      <c r="L11" s="1305" t="s">
        <v>160</v>
      </c>
      <c r="M11" s="1305" t="s">
        <v>160</v>
      </c>
      <c r="N11" s="1306" t="s">
        <v>160</v>
      </c>
      <c r="O11" s="1305" t="s">
        <v>160</v>
      </c>
      <c r="P11" s="1305" t="s">
        <v>160</v>
      </c>
      <c r="Q11" s="1305" t="s">
        <v>160</v>
      </c>
      <c r="R11" s="1306" t="s">
        <v>160</v>
      </c>
      <c r="S11" s="1305" t="s">
        <v>160</v>
      </c>
      <c r="T11" s="1305" t="s">
        <v>160</v>
      </c>
      <c r="U11" s="1305" t="s">
        <v>160</v>
      </c>
      <c r="V11" s="1306" t="s">
        <v>160</v>
      </c>
      <c r="W11" s="1305" t="s">
        <v>160</v>
      </c>
      <c r="X11" s="1305" t="s">
        <v>160</v>
      </c>
      <c r="Y11" s="1305" t="s">
        <v>160</v>
      </c>
      <c r="Z11" s="1306" t="s">
        <v>160</v>
      </c>
      <c r="AA11" s="1305" t="s">
        <v>160</v>
      </c>
      <c r="AB11" s="1305" t="s">
        <v>160</v>
      </c>
      <c r="AC11" s="1305" t="s">
        <v>160</v>
      </c>
      <c r="AD11" s="1306" t="s">
        <v>160</v>
      </c>
      <c r="AE11" s="1305" t="s">
        <v>160</v>
      </c>
      <c r="AF11" s="1305" t="s">
        <v>160</v>
      </c>
      <c r="AG11" s="1305" t="s">
        <v>160</v>
      </c>
      <c r="AH11" s="1306" t="s">
        <v>160</v>
      </c>
      <c r="AI11" s="1305" t="s">
        <v>160</v>
      </c>
      <c r="AJ11" s="1305" t="s">
        <v>160</v>
      </c>
      <c r="AK11" s="1305" t="s">
        <v>160</v>
      </c>
      <c r="AL11" s="1307">
        <f>RevBuild!BE48</f>
        <v>0.29099999999999998</v>
      </c>
      <c r="AM11" s="1308">
        <f>RevBuild!BF48</f>
        <v>0.309</v>
      </c>
      <c r="AN11" s="1308">
        <f>RevBuild!BG48</f>
        <v>8.900000000000001E-2</v>
      </c>
      <c r="AO11" s="1308">
        <f>RevBuild!BH48</f>
        <v>-0.17899999999999999</v>
      </c>
      <c r="AP11" s="1307">
        <f>RevBuild!BK48</f>
        <v>2.8000000000000004E-2</v>
      </c>
      <c r="AQ11" s="1308">
        <f>RevBuild!BL48</f>
        <v>0.10200000000000001</v>
      </c>
      <c r="AR11" s="1308">
        <f>RevBuild!BM48</f>
        <v>0.13399999999999998</v>
      </c>
      <c r="AS11" s="1308">
        <f>RevBuild!BN48</f>
        <v>1.3000000000000001E-2</v>
      </c>
      <c r="AT11" s="1307">
        <f>RevBuild!BQ48</f>
        <v>-9.6000000000000002E-2</v>
      </c>
      <c r="AU11" s="1308">
        <f>RevBuild!BR48</f>
        <v>-2.2000000000000002E-2</v>
      </c>
      <c r="AV11" s="1308">
        <f>RevBuild!BS48</f>
        <v>-0.16400000000000001</v>
      </c>
      <c r="AW11" s="1308">
        <f>RevBuild!BT48</f>
        <v>0.02</v>
      </c>
      <c r="AX11" s="1307">
        <f>RevBuild!BW48</f>
        <v>0.04</v>
      </c>
      <c r="AY11" s="1308">
        <f>RevBuild!BX48</f>
        <v>0.04</v>
      </c>
      <c r="AZ11" s="1308">
        <f>RevBuild!BY48</f>
        <v>0.04</v>
      </c>
      <c r="BA11" s="1308">
        <f>RevBuild!BZ48</f>
        <v>0.04</v>
      </c>
      <c r="BB11" s="1307">
        <f>RevBuild!CC48</f>
        <v>3.5000000000000003E-2</v>
      </c>
      <c r="BC11" s="1308">
        <f>RevBuild!CD48</f>
        <v>3.5000000000000003E-2</v>
      </c>
      <c r="BD11" s="1308">
        <f>RevBuild!CE48</f>
        <v>3.5000000000000003E-2</v>
      </c>
      <c r="BE11" s="1308">
        <f>RevBuild!CF48</f>
        <v>3.5000000000000003E-2</v>
      </c>
      <c r="BF11" s="303"/>
      <c r="BG11" s="303"/>
      <c r="BH11" s="303"/>
      <c r="BI11" s="303"/>
      <c r="BJ11" s="303"/>
      <c r="BK11" s="303"/>
      <c r="BL11" s="303"/>
      <c r="BM11" s="303"/>
      <c r="BN11" s="303"/>
      <c r="BO11" s="303"/>
      <c r="BP11" s="303"/>
      <c r="BQ11" s="303"/>
      <c r="BR11" s="303"/>
      <c r="BS11" s="303"/>
    </row>
    <row r="12" spans="1:71" x14ac:dyDescent="0.2">
      <c r="A12" s="305" t="s">
        <v>310</v>
      </c>
      <c r="B12" s="1304" t="s">
        <v>160</v>
      </c>
      <c r="C12" s="1305" t="s">
        <v>160</v>
      </c>
      <c r="D12" s="1305" t="s">
        <v>160</v>
      </c>
      <c r="E12" s="1305" t="s">
        <v>160</v>
      </c>
      <c r="F12" s="1306" t="s">
        <v>160</v>
      </c>
      <c r="G12" s="1305" t="s">
        <v>160</v>
      </c>
      <c r="H12" s="1305" t="s">
        <v>160</v>
      </c>
      <c r="I12" s="1305" t="s">
        <v>160</v>
      </c>
      <c r="J12" s="1306" t="s">
        <v>160</v>
      </c>
      <c r="K12" s="1305" t="s">
        <v>160</v>
      </c>
      <c r="L12" s="1305" t="s">
        <v>160</v>
      </c>
      <c r="M12" s="1305" t="s">
        <v>160</v>
      </c>
      <c r="N12" s="1306" t="s">
        <v>160</v>
      </c>
      <c r="O12" s="1305" t="s">
        <v>160</v>
      </c>
      <c r="P12" s="1305" t="s">
        <v>160</v>
      </c>
      <c r="Q12" s="1305" t="s">
        <v>160</v>
      </c>
      <c r="R12" s="1306" t="s">
        <v>160</v>
      </c>
      <c r="S12" s="1305" t="s">
        <v>160</v>
      </c>
      <c r="T12" s="1305" t="s">
        <v>160</v>
      </c>
      <c r="U12" s="1305" t="s">
        <v>160</v>
      </c>
      <c r="V12" s="1306" t="s">
        <v>160</v>
      </c>
      <c r="W12" s="1305" t="s">
        <v>160</v>
      </c>
      <c r="X12" s="1305" t="s">
        <v>160</v>
      </c>
      <c r="Y12" s="1305" t="s">
        <v>160</v>
      </c>
      <c r="Z12" s="1306" t="s">
        <v>160</v>
      </c>
      <c r="AA12" s="1305" t="s">
        <v>160</v>
      </c>
      <c r="AB12" s="1305" t="s">
        <v>160</v>
      </c>
      <c r="AC12" s="1305" t="s">
        <v>160</v>
      </c>
      <c r="AD12" s="1306" t="s">
        <v>160</v>
      </c>
      <c r="AE12" s="1305" t="s">
        <v>160</v>
      </c>
      <c r="AF12" s="1305" t="s">
        <v>160</v>
      </c>
      <c r="AG12" s="1305" t="s">
        <v>160</v>
      </c>
      <c r="AH12" s="1306" t="s">
        <v>160</v>
      </c>
      <c r="AI12" s="1305" t="s">
        <v>160</v>
      </c>
      <c r="AJ12" s="1305" t="s">
        <v>160</v>
      </c>
      <c r="AK12" s="1305" t="s">
        <v>160</v>
      </c>
      <c r="AL12" s="1306">
        <f>RevBuild!BE55</f>
        <v>0.22100000000000003</v>
      </c>
      <c r="AM12" s="1305">
        <f>RevBuild!BF55</f>
        <v>0.14600000000000002</v>
      </c>
      <c r="AN12" s="1305">
        <f>RevBuild!BG55</f>
        <v>0.19900000000000001</v>
      </c>
      <c r="AO12" s="1305">
        <f>RevBuild!BH55</f>
        <v>0.41</v>
      </c>
      <c r="AP12" s="1306">
        <f>RevBuild!BK55</f>
        <v>-2.7999999999999997E-2</v>
      </c>
      <c r="AQ12" s="1305">
        <f>RevBuild!BL55</f>
        <v>-6.0999999999999999E-2</v>
      </c>
      <c r="AR12" s="1305">
        <f>RevBuild!BM55</f>
        <v>-0.19700000000000004</v>
      </c>
      <c r="AS12" s="1305">
        <f>RevBuild!BN55</f>
        <v>-0.44600000000000001</v>
      </c>
      <c r="AT12" s="1306">
        <f>RevBuild!BQ55</f>
        <v>-0.19600000000000001</v>
      </c>
      <c r="AU12" s="1305">
        <f>RevBuild!BR55</f>
        <v>-2.5000000000000001E-2</v>
      </c>
      <c r="AV12" s="1305">
        <f>RevBuild!BS55</f>
        <v>0.40799999999999997</v>
      </c>
      <c r="AW12" s="1305">
        <f>RevBuild!BT55</f>
        <v>0.02</v>
      </c>
      <c r="AX12" s="1306">
        <f>RevBuild!BW55</f>
        <v>0.04</v>
      </c>
      <c r="AY12" s="1305">
        <f>RevBuild!BX55</f>
        <v>0.04</v>
      </c>
      <c r="AZ12" s="1305">
        <f>RevBuild!BY55</f>
        <v>0.04</v>
      </c>
      <c r="BA12" s="1305">
        <f>RevBuild!BZ55</f>
        <v>0.04</v>
      </c>
      <c r="BB12" s="1306">
        <f>RevBuild!CC55</f>
        <v>0.01</v>
      </c>
      <c r="BC12" s="1305">
        <f>RevBuild!CD55</f>
        <v>0.01</v>
      </c>
      <c r="BD12" s="1305">
        <f>RevBuild!CE55</f>
        <v>0.04</v>
      </c>
      <c r="BE12" s="1305">
        <f>RevBuild!CF55</f>
        <v>0.04</v>
      </c>
      <c r="BF12" s="303"/>
      <c r="BG12" s="303"/>
      <c r="BH12" s="303"/>
      <c r="BI12" s="303"/>
      <c r="BJ12" s="303"/>
      <c r="BK12" s="303"/>
      <c r="BL12" s="303"/>
      <c r="BM12" s="303"/>
      <c r="BN12" s="303"/>
      <c r="BO12" s="303"/>
      <c r="BP12" s="303"/>
      <c r="BQ12" s="303"/>
      <c r="BR12" s="303"/>
      <c r="BS12" s="303"/>
    </row>
    <row r="13" spans="1:71" outlineLevel="1" x14ac:dyDescent="0.2">
      <c r="A13" s="305" t="s">
        <v>556</v>
      </c>
      <c r="B13" s="1224"/>
      <c r="C13" s="306"/>
      <c r="D13" s="306"/>
      <c r="E13" s="306"/>
      <c r="F13" s="307"/>
      <c r="G13" s="306"/>
      <c r="H13" s="306"/>
      <c r="I13" s="306"/>
      <c r="J13" s="307"/>
      <c r="K13" s="306"/>
      <c r="L13" s="306"/>
      <c r="M13" s="306"/>
      <c r="N13" s="307"/>
      <c r="O13" s="306"/>
      <c r="P13" s="306"/>
      <c r="Q13" s="306"/>
      <c r="R13" s="307"/>
      <c r="S13" s="306"/>
      <c r="T13" s="306"/>
      <c r="U13" s="306"/>
      <c r="V13" s="307"/>
      <c r="W13" s="306"/>
      <c r="X13" s="306"/>
      <c r="Y13" s="306"/>
      <c r="Z13" s="307"/>
      <c r="AA13" s="306"/>
      <c r="AB13" s="306"/>
      <c r="AC13" s="306"/>
      <c r="AD13" s="307"/>
      <c r="AE13" s="306"/>
      <c r="AF13" s="306"/>
      <c r="AG13" s="306"/>
      <c r="AH13" s="318" t="s">
        <v>160</v>
      </c>
      <c r="AI13" s="319" t="s">
        <v>160</v>
      </c>
      <c r="AJ13" s="319" t="s">
        <v>160</v>
      </c>
      <c r="AK13" s="319" t="s">
        <v>160</v>
      </c>
      <c r="AL13" s="318">
        <f>+RevBuild!BE63</f>
        <v>0.02</v>
      </c>
      <c r="AM13" s="319">
        <f>+RevBuild!BF63</f>
        <v>3.3000000000000002E-2</v>
      </c>
      <c r="AN13" s="319">
        <f>+RevBuild!BG63</f>
        <v>6.2E-2</v>
      </c>
      <c r="AO13" s="319">
        <f>+RevBuild!BH63</f>
        <v>5.7000000000000002E-2</v>
      </c>
      <c r="AP13" s="318">
        <f>+RevBuild!BK63</f>
        <v>8.7000000000000008E-2</v>
      </c>
      <c r="AQ13" s="319">
        <f>+RevBuild!BL63</f>
        <v>7.8E-2</v>
      </c>
      <c r="AR13" s="319">
        <f>+RevBuild!BM63</f>
        <v>5.5000000000000007E-2</v>
      </c>
      <c r="AS13" s="319">
        <f>+RevBuild!BN63</f>
        <v>5.3000000000000005E-2</v>
      </c>
      <c r="AT13" s="318">
        <f>+RevBuild!BQ63</f>
        <v>0.06</v>
      </c>
      <c r="AU13" s="319">
        <f>+RevBuild!BR63</f>
        <v>3.2000000000000001E-2</v>
      </c>
      <c r="AV13" s="319">
        <f>+RevBuild!BS63</f>
        <v>3.9999999999999966E-3</v>
      </c>
      <c r="AW13" s="319">
        <f>+RevBuild!BT63</f>
        <v>0.04</v>
      </c>
      <c r="AX13" s="318">
        <f>+RevBuild!BW63</f>
        <v>0.04</v>
      </c>
      <c r="AY13" s="319">
        <f>+RevBuild!BX63</f>
        <v>0.06</v>
      </c>
      <c r="AZ13" s="319">
        <f>+RevBuild!BY63</f>
        <v>0.04</v>
      </c>
      <c r="BA13" s="319">
        <f>+RevBuild!BZ63</f>
        <v>0.06</v>
      </c>
      <c r="BB13" s="318">
        <f>+RevBuild!CC63</f>
        <v>0.04</v>
      </c>
      <c r="BC13" s="319">
        <f>+RevBuild!CD63</f>
        <v>0.04</v>
      </c>
      <c r="BD13" s="319">
        <f>+RevBuild!CE63</f>
        <v>0.04</v>
      </c>
      <c r="BE13" s="319">
        <f>+RevBuild!CF63</f>
        <v>0.04</v>
      </c>
      <c r="BF13" s="303"/>
      <c r="BG13" s="303"/>
      <c r="BH13" s="303"/>
      <c r="BI13" s="303"/>
      <c r="BJ13" s="303"/>
      <c r="BK13" s="303"/>
      <c r="BL13" s="303"/>
      <c r="BM13" s="303"/>
      <c r="BN13" s="303"/>
      <c r="BO13" s="303"/>
      <c r="BP13" s="303"/>
      <c r="BQ13" s="303"/>
      <c r="BR13" s="303"/>
      <c r="BS13" s="303"/>
    </row>
    <row r="14" spans="1:71" outlineLevel="1" x14ac:dyDescent="0.2">
      <c r="A14" s="305" t="s">
        <v>557</v>
      </c>
      <c r="B14" s="1224"/>
      <c r="C14" s="306"/>
      <c r="D14" s="306"/>
      <c r="E14" s="306"/>
      <c r="F14" s="307"/>
      <c r="G14" s="306"/>
      <c r="H14" s="306"/>
      <c r="I14" s="306"/>
      <c r="J14" s="307"/>
      <c r="K14" s="306"/>
      <c r="L14" s="306"/>
      <c r="M14" s="306"/>
      <c r="N14" s="307"/>
      <c r="O14" s="306"/>
      <c r="P14" s="306"/>
      <c r="Q14" s="306"/>
      <c r="R14" s="307"/>
      <c r="S14" s="306"/>
      <c r="T14" s="306"/>
      <c r="U14" s="306"/>
      <c r="V14" s="307"/>
      <c r="W14" s="306"/>
      <c r="X14" s="306"/>
      <c r="Y14" s="306"/>
      <c r="Z14" s="307"/>
      <c r="AA14" s="306"/>
      <c r="AB14" s="306"/>
      <c r="AC14" s="306"/>
      <c r="AD14" s="307"/>
      <c r="AE14" s="306"/>
      <c r="AF14" s="306"/>
      <c r="AG14" s="306"/>
      <c r="AH14" s="318" t="s">
        <v>160</v>
      </c>
      <c r="AI14" s="319" t="s">
        <v>160</v>
      </c>
      <c r="AJ14" s="319" t="s">
        <v>160</v>
      </c>
      <c r="AK14" s="319" t="s">
        <v>160</v>
      </c>
      <c r="AL14" s="318">
        <f>+RevBuild!BE65</f>
        <v>5.0999999999999997E-2</v>
      </c>
      <c r="AM14" s="319">
        <f>+RevBuild!BF65</f>
        <v>0.05</v>
      </c>
      <c r="AN14" s="319">
        <f>+RevBuild!BG65</f>
        <v>0.113</v>
      </c>
      <c r="AO14" s="319">
        <f>+RevBuild!BH65</f>
        <v>0.105</v>
      </c>
      <c r="AP14" s="318">
        <f>+RevBuild!BK65</f>
        <v>0.11700000000000001</v>
      </c>
      <c r="AQ14" s="319">
        <f>+RevBuild!BL65</f>
        <v>0.158</v>
      </c>
      <c r="AR14" s="319">
        <f>+RevBuild!BM65</f>
        <v>0.128</v>
      </c>
      <c r="AS14" s="319">
        <f>+RevBuild!BN65</f>
        <v>0.106</v>
      </c>
      <c r="AT14" s="318"/>
      <c r="AU14" s="319"/>
      <c r="AV14" s="319"/>
      <c r="AW14" s="319"/>
      <c r="AX14" s="318"/>
      <c r="AY14" s="319"/>
      <c r="AZ14" s="319"/>
      <c r="BA14" s="319"/>
      <c r="BB14" s="318"/>
      <c r="BC14" s="319"/>
      <c r="BD14" s="319"/>
      <c r="BE14" s="319"/>
      <c r="BF14" s="303"/>
      <c r="BG14" s="303"/>
      <c r="BH14" s="303"/>
      <c r="BI14" s="303"/>
      <c r="BJ14" s="303"/>
      <c r="BK14" s="303"/>
      <c r="BL14" s="303"/>
      <c r="BM14" s="303"/>
      <c r="BN14" s="303"/>
      <c r="BO14" s="303"/>
      <c r="BP14" s="303"/>
      <c r="BQ14" s="303"/>
      <c r="BR14" s="303"/>
      <c r="BS14" s="303"/>
    </row>
    <row r="15" spans="1:71" outlineLevel="1" x14ac:dyDescent="0.2">
      <c r="A15" s="305" t="s">
        <v>555</v>
      </c>
      <c r="B15" s="1224"/>
      <c r="C15" s="306"/>
      <c r="D15" s="306"/>
      <c r="E15" s="306"/>
      <c r="F15" s="307"/>
      <c r="G15" s="306"/>
      <c r="H15" s="306"/>
      <c r="I15" s="306"/>
      <c r="J15" s="307"/>
      <c r="K15" s="306"/>
      <c r="L15" s="306"/>
      <c r="M15" s="306"/>
      <c r="N15" s="307"/>
      <c r="O15" s="306"/>
      <c r="P15" s="306"/>
      <c r="Q15" s="306"/>
      <c r="R15" s="307"/>
      <c r="S15" s="306"/>
      <c r="T15" s="306"/>
      <c r="U15" s="306"/>
      <c r="V15" s="307"/>
      <c r="W15" s="306"/>
      <c r="X15" s="306"/>
      <c r="Y15" s="306"/>
      <c r="Z15" s="307"/>
      <c r="AA15" s="306"/>
      <c r="AB15" s="306"/>
      <c r="AC15" s="306"/>
      <c r="AD15" s="307"/>
      <c r="AE15" s="306"/>
      <c r="AF15" s="306"/>
      <c r="AG15" s="306"/>
      <c r="AH15" s="318"/>
      <c r="AI15" s="319"/>
      <c r="AJ15" s="319"/>
      <c r="AK15" s="319"/>
      <c r="AL15" s="318" t="s">
        <v>160</v>
      </c>
      <c r="AM15" s="319" t="s">
        <v>160</v>
      </c>
      <c r="AN15" s="319" t="s">
        <v>160</v>
      </c>
      <c r="AO15" s="319" t="s">
        <v>160</v>
      </c>
      <c r="AP15" s="318">
        <f>+RevBuild!BK76</f>
        <v>0.03</v>
      </c>
      <c r="AQ15" s="319">
        <f>+RevBuild!BL76</f>
        <v>4.9000000000000002E-2</v>
      </c>
      <c r="AR15" s="319">
        <f>+RevBuild!BM76</f>
        <v>1.2999999999999999E-2</v>
      </c>
      <c r="AS15" s="319">
        <f>+RevBuild!BN76</f>
        <v>8.8999999999999996E-2</v>
      </c>
      <c r="AT15" s="318">
        <f>+RevBuild!BQ76</f>
        <v>0.06</v>
      </c>
      <c r="AU15" s="319">
        <f>+RevBuild!BR76</f>
        <v>4.2000000000000003E-2</v>
      </c>
      <c r="AV15" s="319">
        <f>+RevBuild!BS76</f>
        <v>8.7999999999999995E-2</v>
      </c>
      <c r="AW15" s="319">
        <f>+RevBuild!BT76</f>
        <v>0.02</v>
      </c>
      <c r="AX15" s="318">
        <f>+RevBuild!BW76</f>
        <v>0.03</v>
      </c>
      <c r="AY15" s="319">
        <f>+RevBuild!BX76</f>
        <v>0.03</v>
      </c>
      <c r="AZ15" s="319">
        <f>+RevBuild!BY76</f>
        <v>0.03</v>
      </c>
      <c r="BA15" s="319">
        <f>+RevBuild!BZ76</f>
        <v>0.03</v>
      </c>
      <c r="BB15" s="318">
        <f>+RevBuild!CC76</f>
        <v>0.03</v>
      </c>
      <c r="BC15" s="319">
        <f>+RevBuild!CD76</f>
        <v>0.03</v>
      </c>
      <c r="BD15" s="319">
        <f>+RevBuild!CE76</f>
        <v>0.03</v>
      </c>
      <c r="BE15" s="319">
        <f>+RevBuild!CF76</f>
        <v>0.03</v>
      </c>
      <c r="BF15" s="303"/>
      <c r="BG15" s="303"/>
      <c r="BH15" s="303"/>
      <c r="BI15" s="303"/>
      <c r="BJ15" s="303"/>
      <c r="BK15" s="303"/>
      <c r="BL15" s="303"/>
      <c r="BM15" s="303"/>
      <c r="BN15" s="303"/>
      <c r="BO15" s="303"/>
      <c r="BP15" s="303"/>
      <c r="BQ15" s="303"/>
      <c r="BR15" s="303"/>
      <c r="BS15" s="303"/>
    </row>
    <row r="16" spans="1:71" x14ac:dyDescent="0.2">
      <c r="A16" s="349" t="s">
        <v>427</v>
      </c>
      <c r="B16" s="1311" t="s">
        <v>160</v>
      </c>
      <c r="C16" s="374" t="s">
        <v>160</v>
      </c>
      <c r="D16" s="374" t="s">
        <v>160</v>
      </c>
      <c r="E16" s="374" t="s">
        <v>160</v>
      </c>
      <c r="F16" s="373" t="s">
        <v>160</v>
      </c>
      <c r="G16" s="374" t="s">
        <v>160</v>
      </c>
      <c r="H16" s="374" t="s">
        <v>160</v>
      </c>
      <c r="I16" s="374" t="s">
        <v>160</v>
      </c>
      <c r="J16" s="373" t="s">
        <v>160</v>
      </c>
      <c r="K16" s="374" t="s">
        <v>160</v>
      </c>
      <c r="L16" s="374" t="s">
        <v>160</v>
      </c>
      <c r="M16" s="374" t="s">
        <v>160</v>
      </c>
      <c r="N16" s="373" t="s">
        <v>160</v>
      </c>
      <c r="O16" s="374" t="s">
        <v>160</v>
      </c>
      <c r="P16" s="374" t="s">
        <v>160</v>
      </c>
      <c r="Q16" s="374" t="s">
        <v>160</v>
      </c>
      <c r="R16" s="373" t="s">
        <v>160</v>
      </c>
      <c r="S16" s="374" t="s">
        <v>160</v>
      </c>
      <c r="T16" s="374" t="s">
        <v>160</v>
      </c>
      <c r="U16" s="374" t="s">
        <v>160</v>
      </c>
      <c r="V16" s="373" t="s">
        <v>160</v>
      </c>
      <c r="W16" s="374" t="s">
        <v>160</v>
      </c>
      <c r="X16" s="374" t="s">
        <v>160</v>
      </c>
      <c r="Y16" s="374" t="s">
        <v>160</v>
      </c>
      <c r="Z16" s="373" t="s">
        <v>160</v>
      </c>
      <c r="AA16" s="374" t="s">
        <v>160</v>
      </c>
      <c r="AB16" s="374" t="s">
        <v>160</v>
      </c>
      <c r="AC16" s="374" t="s">
        <v>160</v>
      </c>
      <c r="AD16" s="373" t="s">
        <v>160</v>
      </c>
      <c r="AE16" s="374" t="s">
        <v>160</v>
      </c>
      <c r="AF16" s="374" t="s">
        <v>160</v>
      </c>
      <c r="AG16" s="374" t="s">
        <v>160</v>
      </c>
      <c r="AH16" s="373" t="s">
        <v>160</v>
      </c>
      <c r="AI16" s="374" t="s">
        <v>160</v>
      </c>
      <c r="AJ16" s="374" t="s">
        <v>160</v>
      </c>
      <c r="AK16" s="374" t="s">
        <v>160</v>
      </c>
      <c r="AL16" s="373">
        <f>RevBuild!BE87</f>
        <v>6.8902065017378833E-2</v>
      </c>
      <c r="AM16" s="374">
        <f>RevBuild!BF87</f>
        <v>0.47475301866081243</v>
      </c>
      <c r="AN16" s="374">
        <f>RevBuild!BG87</f>
        <v>0.32791888166962013</v>
      </c>
      <c r="AO16" s="374">
        <f>RevBuild!BH87</f>
        <v>5.8387033782464348E-2</v>
      </c>
      <c r="AP16" s="373">
        <f>RevBuild!BK87</f>
        <v>0.41449885233358841</v>
      </c>
      <c r="AQ16" s="374">
        <f>RevBuild!BL87</f>
        <v>-0.28976553777446967</v>
      </c>
      <c r="AR16" s="374">
        <f>RevBuild!BM87</f>
        <v>-0.37000518941359639</v>
      </c>
      <c r="AS16" s="374">
        <f>RevBuild!BN87</f>
        <v>-5.4243542435424286E-2</v>
      </c>
      <c r="AT16" s="373">
        <f>RevBuild!BQ87</f>
        <v>-0.37985125084516558</v>
      </c>
      <c r="AU16" s="374">
        <f>RevBuild!BR87</f>
        <v>-0.1066862293020332</v>
      </c>
      <c r="AV16" s="374">
        <f>RevBuild!BS87</f>
        <v>-0.70840197693574947</v>
      </c>
      <c r="AW16" s="374">
        <f>RevBuild!BT87</f>
        <v>-0.5</v>
      </c>
      <c r="AX16" s="373">
        <f>RevBuild!BW87</f>
        <v>-0.02</v>
      </c>
      <c r="AY16" s="374">
        <f>RevBuild!BX87</f>
        <v>-0.02</v>
      </c>
      <c r="AZ16" s="374">
        <f>RevBuild!BY87</f>
        <v>-0.02</v>
      </c>
      <c r="BA16" s="374">
        <f>RevBuild!BZ87</f>
        <v>-0.02</v>
      </c>
      <c r="BB16" s="373">
        <f>RevBuild!CC87</f>
        <v>0.02</v>
      </c>
      <c r="BC16" s="374">
        <f>RevBuild!CD87</f>
        <v>0.02</v>
      </c>
      <c r="BD16" s="374">
        <f>RevBuild!CE87</f>
        <v>0.02</v>
      </c>
      <c r="BE16" s="374">
        <f>RevBuild!CF87</f>
        <v>0.02</v>
      </c>
      <c r="BF16" s="303"/>
      <c r="BG16" s="303"/>
      <c r="BH16" s="303"/>
      <c r="BI16" s="303"/>
      <c r="BJ16" s="303"/>
      <c r="BK16" s="303"/>
      <c r="BL16" s="303"/>
      <c r="BM16" s="303"/>
      <c r="BN16" s="303"/>
      <c r="BO16" s="303"/>
      <c r="BP16" s="303"/>
      <c r="BQ16" s="303"/>
      <c r="BR16" s="303"/>
      <c r="BS16" s="303"/>
    </row>
    <row r="17" spans="1:71" x14ac:dyDescent="0.2">
      <c r="A17" s="309" t="s">
        <v>425</v>
      </c>
      <c r="B17" s="394" t="s">
        <v>160</v>
      </c>
      <c r="C17" s="320" t="s">
        <v>160</v>
      </c>
      <c r="D17" s="320" t="s">
        <v>160</v>
      </c>
      <c r="E17" s="320" t="s">
        <v>160</v>
      </c>
      <c r="F17" s="321">
        <f>RevBuild!I159</f>
        <v>6.9934785991505682E-2</v>
      </c>
      <c r="G17" s="320">
        <f>RevBuild!J159</f>
        <v>6.9066203064212378E-2</v>
      </c>
      <c r="H17" s="320">
        <f>RevBuild!K159</f>
        <v>9.5087727309885614E-2</v>
      </c>
      <c r="I17" s="320">
        <f>RevBuild!L159</f>
        <v>5.4255435010545937E-2</v>
      </c>
      <c r="J17" s="321">
        <f>RevBuild!O159</f>
        <v>6.02892773484002E-2</v>
      </c>
      <c r="K17" s="320">
        <f>RevBuild!P159</f>
        <v>2.3281949131526966E-2</v>
      </c>
      <c r="L17" s="320">
        <f>RevBuild!Q159</f>
        <v>3.5578583324967203E-2</v>
      </c>
      <c r="M17" s="320">
        <f>RevBuild!R159</f>
        <v>1.3884707883472007E-2</v>
      </c>
      <c r="N17" s="321">
        <f>RevBuild!U159</f>
        <v>6.5032996844832297E-2</v>
      </c>
      <c r="O17" s="320">
        <f>RevBuild!V159</f>
        <v>7.3337323443863539E-2</v>
      </c>
      <c r="P17" s="320">
        <f>RevBuild!W159</f>
        <v>2.4610547419740052E-2</v>
      </c>
      <c r="Q17" s="320">
        <f>RevBuild!X159</f>
        <v>2.2225647660421257E-2</v>
      </c>
      <c r="R17" s="321">
        <f>RevBuild!AA159</f>
        <v>5.4999999999999993E-2</v>
      </c>
      <c r="S17" s="320">
        <f>RevBuild!AB159</f>
        <v>2.7000000000000003E-2</v>
      </c>
      <c r="T17" s="320">
        <f>RevBuild!AC159</f>
        <v>-1.7000000000000001E-2</v>
      </c>
      <c r="U17" s="320">
        <f>RevBuild!AD159</f>
        <v>5.6144585991963175E-2</v>
      </c>
      <c r="V17" s="321">
        <f>RevBuild!AG159</f>
        <v>-8.0000000000000002E-3</v>
      </c>
      <c r="W17" s="320">
        <f>RevBuild!AH159</f>
        <v>-0.01</v>
      </c>
      <c r="X17" s="320">
        <f>RevBuild!AI159</f>
        <v>7.8E-2</v>
      </c>
      <c r="Y17" s="320">
        <f>RevBuild!AJ159</f>
        <v>4.8961135795596626E-2</v>
      </c>
      <c r="Z17" s="321">
        <f>RevBuild!AM159</f>
        <v>4.7E-2</v>
      </c>
      <c r="AA17" s="320">
        <f>RevBuild!AN159</f>
        <v>7.0000000000000001E-3</v>
      </c>
      <c r="AB17" s="320">
        <f>RevBuild!AO159</f>
        <v>1.5999999999999997E-2</v>
      </c>
      <c r="AC17" s="320">
        <f>RevBuild!AP159</f>
        <v>3.0164541712679453E-2</v>
      </c>
      <c r="AD17" s="321">
        <f>RevBuild!AS159</f>
        <v>-1.1000000000000001E-2</v>
      </c>
      <c r="AE17" s="320">
        <f>RevBuild!AT159</f>
        <v>1.8999999999999989E-2</v>
      </c>
      <c r="AF17" s="320">
        <f>RevBuild!AU159</f>
        <v>2.6999999999999996E-2</v>
      </c>
      <c r="AG17" s="320">
        <f>RevBuild!AV159</f>
        <v>-2.410263717791794E-3</v>
      </c>
      <c r="AH17" s="321">
        <f>RevBuild!AY159</f>
        <v>3.6272186066149154E-2</v>
      </c>
      <c r="AI17" s="320">
        <f>RevBuild!AZ159</f>
        <v>6.937616863096116E-2</v>
      </c>
      <c r="AJ17" s="320">
        <f>RevBuild!BA159</f>
        <v>1.9462368664958388E-2</v>
      </c>
      <c r="AK17" s="320">
        <f>RevBuild!BB159</f>
        <v>6.7000000000000004E-2</v>
      </c>
      <c r="AL17" s="321">
        <f>RevBuild!BE159</f>
        <v>2.2324727676270306E-2</v>
      </c>
      <c r="AM17" s="320">
        <f>RevBuild!BF159</f>
        <v>3.0814448692522978E-2</v>
      </c>
      <c r="AN17" s="320">
        <f>RevBuild!BG159</f>
        <v>6.8552011312000116E-2</v>
      </c>
      <c r="AO17" s="320">
        <f>RevBuild!BH159</f>
        <v>2.4759986126421718E-2</v>
      </c>
      <c r="AP17" s="321">
        <f>RevBuild!BK159</f>
        <v>5.8000000000000024E-2</v>
      </c>
      <c r="AQ17" s="320">
        <f>RevBuild!BL159</f>
        <v>4.1000000000000002E-2</v>
      </c>
      <c r="AR17" s="320">
        <f>RevBuild!BM159</f>
        <v>1.4E-2</v>
      </c>
      <c r="AS17" s="320">
        <f>RevBuild!BN159</f>
        <v>8.4656383059217959E-3</v>
      </c>
      <c r="AT17" s="321">
        <f>RevBuild!BQ159</f>
        <v>-1.0999999999999999E-2</v>
      </c>
      <c r="AU17" s="320">
        <f>RevBuild!BR159</f>
        <v>-2.247525843633064E-2</v>
      </c>
      <c r="AV17" s="320">
        <f>RevBuild!BS159</f>
        <v>-2.7E-2</v>
      </c>
      <c r="AW17" s="320">
        <f>RevBuild!BT159</f>
        <v>-9.4548425225185057E-3</v>
      </c>
      <c r="AX17" s="321">
        <f>RevBuild!BW159</f>
        <v>5.2419533553406169E-3</v>
      </c>
      <c r="AY17" s="320">
        <f>RevBuild!BX159</f>
        <v>3.3775427804843328E-2</v>
      </c>
      <c r="AZ17" s="320">
        <f>RevBuild!BY159</f>
        <v>2.7127474691358944E-2</v>
      </c>
      <c r="BA17" s="320">
        <f>RevBuild!BZ159</f>
        <v>3.7949831240595096E-2</v>
      </c>
      <c r="BB17" s="321">
        <f>RevBuild!CC159</f>
        <v>2.4711763603385131E-2</v>
      </c>
      <c r="BC17" s="320">
        <f>RevBuild!CD159</f>
        <v>2.4299961089672854E-2</v>
      </c>
      <c r="BD17" s="320">
        <f>RevBuild!CE159</f>
        <v>2.6631516733483598E-2</v>
      </c>
      <c r="BE17" s="320">
        <f>RevBuild!CF159</f>
        <v>2.6746868984921447E-2</v>
      </c>
      <c r="BF17" s="303"/>
      <c r="BG17" s="303"/>
      <c r="BH17" s="303"/>
      <c r="BI17" s="303"/>
      <c r="BJ17" s="303"/>
      <c r="BK17" s="303"/>
      <c r="BL17" s="303"/>
      <c r="BM17" s="303"/>
      <c r="BN17" s="303"/>
      <c r="BO17" s="303"/>
      <c r="BP17" s="303"/>
      <c r="BQ17" s="303"/>
      <c r="BR17" s="303"/>
      <c r="BS17" s="303"/>
    </row>
    <row r="18" spans="1:71" s="303" customFormat="1" x14ac:dyDescent="0.2">
      <c r="A18" s="311"/>
      <c r="B18" s="311"/>
      <c r="C18" s="311"/>
      <c r="D18" s="311"/>
      <c r="E18" s="311"/>
      <c r="F18" s="311"/>
      <c r="G18" s="311"/>
      <c r="H18" s="311"/>
      <c r="I18" s="311"/>
      <c r="J18" s="311"/>
      <c r="K18" s="311"/>
      <c r="L18" s="311"/>
      <c r="M18" s="311"/>
      <c r="N18" s="311"/>
      <c r="O18" s="311"/>
      <c r="P18" s="311"/>
      <c r="Q18" s="311"/>
      <c r="R18" s="311"/>
      <c r="S18" s="311"/>
      <c r="T18" s="311"/>
      <c r="U18" s="311"/>
      <c r="V18" s="311"/>
      <c r="W18" s="311"/>
      <c r="X18" s="311"/>
      <c r="Y18" s="311"/>
      <c r="Z18" s="311"/>
      <c r="AA18" s="311"/>
      <c r="AB18" s="311"/>
      <c r="AC18" s="311"/>
      <c r="AD18" s="311"/>
      <c r="AE18" s="311"/>
      <c r="AF18" s="311"/>
      <c r="AG18" s="311"/>
      <c r="AH18" s="311"/>
      <c r="AI18" s="312"/>
      <c r="AJ18" s="312"/>
      <c r="AK18" s="312"/>
      <c r="AL18" s="312"/>
      <c r="AM18" s="311"/>
      <c r="AN18" s="311"/>
      <c r="AO18" s="311"/>
      <c r="AP18" s="311"/>
      <c r="AQ18" s="311"/>
      <c r="AR18" s="311"/>
      <c r="AS18" s="311"/>
      <c r="AT18" s="311"/>
      <c r="AU18" s="311"/>
      <c r="AV18" s="311"/>
      <c r="AW18" s="311"/>
      <c r="AX18" s="311"/>
      <c r="AY18" s="311"/>
      <c r="AZ18" s="311"/>
      <c r="BA18" s="311"/>
      <c r="BB18" s="311"/>
      <c r="BC18" s="311"/>
      <c r="BD18" s="311"/>
      <c r="BE18" s="311"/>
    </row>
    <row r="19" spans="1:71" s="303" customFormat="1" x14ac:dyDescent="0.2">
      <c r="A19" s="313" t="s">
        <v>443</v>
      </c>
      <c r="B19" s="299"/>
      <c r="C19" s="299"/>
      <c r="D19" s="314"/>
      <c r="E19" s="314"/>
      <c r="F19" s="314"/>
      <c r="G19" s="314"/>
      <c r="H19" s="314"/>
      <c r="I19" s="314"/>
      <c r="J19" s="314"/>
      <c r="K19" s="314"/>
      <c r="L19" s="314"/>
      <c r="M19" s="314"/>
      <c r="N19" s="314"/>
      <c r="O19" s="311"/>
      <c r="P19" s="311"/>
      <c r="Q19" s="311"/>
      <c r="R19" s="311"/>
      <c r="S19" s="311"/>
      <c r="T19" s="311"/>
      <c r="U19" s="311"/>
      <c r="V19" s="311"/>
      <c r="W19" s="311"/>
      <c r="X19" s="311"/>
      <c r="Y19" s="311"/>
      <c r="Z19" s="311"/>
      <c r="AA19" s="311"/>
      <c r="AB19" s="311"/>
      <c r="AC19" s="311"/>
      <c r="AD19" s="311"/>
      <c r="AE19" s="311"/>
      <c r="AF19" s="311"/>
      <c r="AG19" s="311"/>
      <c r="AH19" s="311"/>
      <c r="AI19" s="311"/>
      <c r="AJ19" s="311"/>
      <c r="AK19" s="311"/>
      <c r="AL19" s="311"/>
      <c r="AM19" s="311"/>
      <c r="AN19" s="311"/>
      <c r="AO19" s="311"/>
      <c r="AP19" s="311"/>
      <c r="AQ19" s="311"/>
      <c r="AR19" s="311"/>
      <c r="AS19" s="311"/>
      <c r="AT19" s="311"/>
      <c r="AU19" s="311"/>
      <c r="AV19" s="311"/>
      <c r="AW19" s="311"/>
      <c r="AX19" s="311"/>
      <c r="AY19" s="311"/>
      <c r="AZ19" s="311"/>
      <c r="BA19" s="311"/>
      <c r="BB19" s="311"/>
      <c r="BC19" s="311"/>
      <c r="BD19" s="311"/>
      <c r="BE19" s="311"/>
    </row>
    <row r="20" spans="1:71" x14ac:dyDescent="0.2">
      <c r="A20" s="301"/>
      <c r="B20" s="389"/>
      <c r="C20" s="301"/>
      <c r="D20" s="301"/>
      <c r="E20" s="301"/>
      <c r="F20" s="302" t="str">
        <f t="shared" ref="F20:BA20" si="0">F4</f>
        <v>1Q08</v>
      </c>
      <c r="G20" s="301" t="str">
        <f t="shared" si="0"/>
        <v>2Q08</v>
      </c>
      <c r="H20" s="301" t="str">
        <f t="shared" si="0"/>
        <v>3Q08</v>
      </c>
      <c r="I20" s="301" t="str">
        <f t="shared" si="0"/>
        <v>4Q08</v>
      </c>
      <c r="J20" s="302" t="str">
        <f t="shared" si="0"/>
        <v>1Q09</v>
      </c>
      <c r="K20" s="301" t="str">
        <f t="shared" si="0"/>
        <v>2Q09</v>
      </c>
      <c r="L20" s="301" t="str">
        <f t="shared" si="0"/>
        <v>3Q09</v>
      </c>
      <c r="M20" s="301" t="str">
        <f t="shared" si="0"/>
        <v>4Q09</v>
      </c>
      <c r="N20" s="302" t="str">
        <f t="shared" si="0"/>
        <v>1Q10</v>
      </c>
      <c r="O20" s="301" t="str">
        <f t="shared" si="0"/>
        <v>2Q10</v>
      </c>
      <c r="P20" s="301" t="str">
        <f t="shared" si="0"/>
        <v>3Q10</v>
      </c>
      <c r="Q20" s="301" t="str">
        <f t="shared" si="0"/>
        <v>4Q10</v>
      </c>
      <c r="R20" s="302" t="str">
        <f t="shared" si="0"/>
        <v>1Q11</v>
      </c>
      <c r="S20" s="301" t="str">
        <f t="shared" si="0"/>
        <v>2Q11</v>
      </c>
      <c r="T20" s="301" t="str">
        <f t="shared" si="0"/>
        <v>3Q11</v>
      </c>
      <c r="U20" s="301" t="str">
        <f t="shared" si="0"/>
        <v>4Q11</v>
      </c>
      <c r="V20" s="302" t="str">
        <f t="shared" si="0"/>
        <v>1Q12</v>
      </c>
      <c r="W20" s="301" t="str">
        <f t="shared" si="0"/>
        <v>2Q12</v>
      </c>
      <c r="X20" s="301" t="str">
        <f t="shared" si="0"/>
        <v>3Q12</v>
      </c>
      <c r="Y20" s="301" t="str">
        <f t="shared" si="0"/>
        <v>4Q12</v>
      </c>
      <c r="Z20" s="302" t="str">
        <f t="shared" si="0"/>
        <v>1Q13</v>
      </c>
      <c r="AA20" s="301" t="str">
        <f t="shared" si="0"/>
        <v>2Q13</v>
      </c>
      <c r="AB20" s="301" t="str">
        <f t="shared" si="0"/>
        <v>3Q13</v>
      </c>
      <c r="AC20" s="301" t="str">
        <f t="shared" si="0"/>
        <v>4Q13</v>
      </c>
      <c r="AD20" s="302" t="str">
        <f t="shared" si="0"/>
        <v>1Q14</v>
      </c>
      <c r="AE20" s="301" t="str">
        <f t="shared" si="0"/>
        <v>2Q14</v>
      </c>
      <c r="AF20" s="301" t="str">
        <f t="shared" si="0"/>
        <v>3Q14</v>
      </c>
      <c r="AG20" s="301" t="str">
        <f t="shared" si="0"/>
        <v>4Q14</v>
      </c>
      <c r="AH20" s="302" t="str">
        <f t="shared" si="0"/>
        <v>1Q15</v>
      </c>
      <c r="AI20" s="301" t="str">
        <f t="shared" si="0"/>
        <v>2Q15</v>
      </c>
      <c r="AJ20" s="301" t="str">
        <f t="shared" si="0"/>
        <v>3Q15</v>
      </c>
      <c r="AK20" s="301" t="str">
        <f t="shared" si="0"/>
        <v>4Q15</v>
      </c>
      <c r="AL20" s="302" t="str">
        <f t="shared" si="0"/>
        <v>1Q16</v>
      </c>
      <c r="AM20" s="301" t="str">
        <f t="shared" si="0"/>
        <v>2Q16</v>
      </c>
      <c r="AN20" s="301" t="str">
        <f t="shared" si="0"/>
        <v>3Q16</v>
      </c>
      <c r="AO20" s="301" t="str">
        <f t="shared" si="0"/>
        <v>4Q16</v>
      </c>
      <c r="AP20" s="302" t="str">
        <f t="shared" si="0"/>
        <v>1Q17</v>
      </c>
      <c r="AQ20" s="301" t="str">
        <f t="shared" si="0"/>
        <v>2Q17</v>
      </c>
      <c r="AR20" s="301" t="str">
        <f t="shared" si="0"/>
        <v>3Q17</v>
      </c>
      <c r="AS20" s="301" t="str">
        <f t="shared" si="0"/>
        <v>4Q17</v>
      </c>
      <c r="AT20" s="302" t="str">
        <f t="shared" si="0"/>
        <v>1Q18</v>
      </c>
      <c r="AU20" s="301" t="str">
        <f t="shared" si="0"/>
        <v>2Q18</v>
      </c>
      <c r="AV20" s="301" t="str">
        <f t="shared" si="0"/>
        <v>3Q18</v>
      </c>
      <c r="AW20" s="301" t="str">
        <f t="shared" si="0"/>
        <v>4Q18E</v>
      </c>
      <c r="AX20" s="302" t="str">
        <f t="shared" si="0"/>
        <v>1Q19E</v>
      </c>
      <c r="AY20" s="301" t="str">
        <f t="shared" si="0"/>
        <v>2Q19E</v>
      </c>
      <c r="AZ20" s="301" t="str">
        <f t="shared" si="0"/>
        <v>3Q19E</v>
      </c>
      <c r="BA20" s="301" t="str">
        <f t="shared" si="0"/>
        <v>4Q19E</v>
      </c>
      <c r="BB20" s="302" t="s">
        <v>566</v>
      </c>
      <c r="BC20" s="301" t="s">
        <v>567</v>
      </c>
      <c r="BD20" s="301" t="s">
        <v>568</v>
      </c>
      <c r="BE20" s="301" t="s">
        <v>569</v>
      </c>
      <c r="BF20" s="303"/>
      <c r="BG20" s="303"/>
      <c r="BH20" s="303"/>
      <c r="BI20" s="303"/>
      <c r="BJ20" s="303"/>
      <c r="BK20" s="303"/>
      <c r="BL20" s="303"/>
      <c r="BM20" s="303"/>
      <c r="BN20" s="303"/>
      <c r="BO20" s="303"/>
      <c r="BP20" s="303"/>
      <c r="BQ20" s="303"/>
      <c r="BR20" s="303"/>
      <c r="BS20" s="303"/>
    </row>
    <row r="21" spans="1:71" x14ac:dyDescent="0.2">
      <c r="A21" s="349" t="str">
        <f t="shared" ref="A21:A28" si="1">A5</f>
        <v>Dental</v>
      </c>
      <c r="B21" s="390"/>
      <c r="C21" s="375"/>
      <c r="D21" s="375"/>
      <c r="E21" s="375"/>
      <c r="F21" s="376" t="str">
        <f t="shared" ref="F21:O28" si="2">IFERROR(F5+B5,"NM")</f>
        <v>NM</v>
      </c>
      <c r="G21" s="377" t="str">
        <f t="shared" si="2"/>
        <v>NM</v>
      </c>
      <c r="H21" s="377" t="str">
        <f t="shared" si="2"/>
        <v>NM</v>
      </c>
      <c r="I21" s="377" t="str">
        <f t="shared" si="2"/>
        <v>NM</v>
      </c>
      <c r="J21" s="376">
        <f t="shared" si="2"/>
        <v>9.7000000000000003E-2</v>
      </c>
      <c r="K21" s="377">
        <f t="shared" si="2"/>
        <v>4.8000000000000001E-2</v>
      </c>
      <c r="L21" s="377">
        <f t="shared" si="2"/>
        <v>7.6628923893309039E-2</v>
      </c>
      <c r="M21" s="377">
        <f t="shared" si="2"/>
        <v>3.3404898625941579E-3</v>
      </c>
      <c r="N21" s="376">
        <f t="shared" si="2"/>
        <v>2.8000000000000001E-2</v>
      </c>
      <c r="O21" s="377">
        <f t="shared" si="2"/>
        <v>5.0000000000000001E-3</v>
      </c>
      <c r="P21" s="377">
        <f t="shared" ref="P21:Y28" si="3">IFERROR(P5+L5,"NM")</f>
        <v>-1.4371076106690958E-2</v>
      </c>
      <c r="Q21" s="377">
        <f t="shared" si="3"/>
        <v>-3.7677059854097708E-2</v>
      </c>
      <c r="R21" s="376">
        <f t="shared" si="3"/>
        <v>0.05</v>
      </c>
      <c r="S21" s="377">
        <f t="shared" si="3"/>
        <v>4.9000000000000002E-2</v>
      </c>
      <c r="T21" s="377">
        <f t="shared" si="3"/>
        <v>-2.7999999999999997E-2</v>
      </c>
      <c r="U21" s="377">
        <f t="shared" si="3"/>
        <v>1.3802774873047811E-2</v>
      </c>
      <c r="V21" s="376">
        <f t="shared" si="3"/>
        <v>4.4999999999999998E-2</v>
      </c>
      <c r="W21" s="377">
        <f t="shared" si="3"/>
        <v>2.6000000000000002E-2</v>
      </c>
      <c r="X21" s="377">
        <f t="shared" si="3"/>
        <v>0.06</v>
      </c>
      <c r="Y21" s="377">
        <f t="shared" si="3"/>
        <v>5.719050077593036E-2</v>
      </c>
      <c r="Z21" s="376">
        <f t="shared" ref="Z21:AI28" si="4">IFERROR(Z5+V5,"NM")</f>
        <v>4.7E-2</v>
      </c>
      <c r="AA21" s="377">
        <f t="shared" si="4"/>
        <v>-2.4999999999999998E-2</v>
      </c>
      <c r="AB21" s="377">
        <f t="shared" si="4"/>
        <v>0.121</v>
      </c>
      <c r="AC21" s="377">
        <f t="shared" si="4"/>
        <v>9.1712663468208208E-2</v>
      </c>
      <c r="AD21" s="376">
        <f t="shared" si="4"/>
        <v>4.1000000000000002E-2</v>
      </c>
      <c r="AE21" s="377">
        <f t="shared" si="4"/>
        <v>2.2000000000000002E-2</v>
      </c>
      <c r="AF21" s="377">
        <f t="shared" si="4"/>
        <v>6.0000000000000005E-2</v>
      </c>
      <c r="AG21" s="377">
        <f t="shared" si="4"/>
        <v>4.4777482516629954E-2</v>
      </c>
      <c r="AH21" s="376">
        <f t="shared" si="4"/>
        <v>-2.0455627867701703E-2</v>
      </c>
      <c r="AI21" s="377">
        <f t="shared" si="4"/>
        <v>9.9752337261922314E-2</v>
      </c>
      <c r="AJ21" s="377">
        <f t="shared" ref="AJ21:AS28" si="5">IFERROR(AJ5+AF5,"NM")</f>
        <v>-1.0752626700832289E-3</v>
      </c>
      <c r="AK21" s="377">
        <f t="shared" si="5"/>
        <v>9.5735207598283384E-2</v>
      </c>
      <c r="AL21" s="376">
        <f t="shared" si="5"/>
        <v>2.3449335346598477E-2</v>
      </c>
      <c r="AM21" s="377">
        <f t="shared" si="5"/>
        <v>0.10517980707475853</v>
      </c>
      <c r="AN21" s="377">
        <f t="shared" si="5"/>
        <v>4.7365110371978159E-2</v>
      </c>
      <c r="AO21" s="377">
        <f t="shared" si="5"/>
        <v>9.7465096852476549E-2</v>
      </c>
      <c r="AP21" s="376">
        <f t="shared" si="5"/>
        <v>4.170353637419634E-2</v>
      </c>
      <c r="AQ21" s="377">
        <f t="shared" si="5"/>
        <v>3.0589699034451259E-2</v>
      </c>
      <c r="AR21" s="377">
        <f t="shared" si="5"/>
        <v>5.3680369529167965E-2</v>
      </c>
      <c r="AS21" s="377">
        <f t="shared" si="5"/>
        <v>-8.78276614678105E-2</v>
      </c>
      <c r="AT21" s="376">
        <f t="shared" ref="AT21:BA31" si="6">IFERROR(AT5+AP5,"NM")</f>
        <v>-2.174471981756982E-2</v>
      </c>
      <c r="AU21" s="377">
        <f t="shared" si="6"/>
        <v>-7.4468263685909336E-2</v>
      </c>
      <c r="AV21" s="377">
        <f t="shared" si="6"/>
        <v>-0.10101569568156139</v>
      </c>
      <c r="AW21" s="377">
        <f t="shared" si="6"/>
        <v>-0.10569200575440575</v>
      </c>
      <c r="AX21" s="376">
        <f t="shared" si="6"/>
        <v>-8.9206753570711644E-2</v>
      </c>
      <c r="AY21" s="377">
        <f t="shared" si="6"/>
        <v>-7.8670989267909469E-2</v>
      </c>
      <c r="AZ21" s="377">
        <f t="shared" si="6"/>
        <v>-7.171798777828732E-2</v>
      </c>
      <c r="BA21" s="377">
        <f t="shared" si="6"/>
        <v>-1.5312974824312195E-2</v>
      </c>
      <c r="BB21" s="376">
        <f t="shared" ref="BB21:BB29" si="7">IFERROR(BB5+AX5,"NM")</f>
        <v>-3.791851765811214E-2</v>
      </c>
      <c r="BC21" s="377">
        <f t="shared" ref="BC21:BC29" si="8">IFERROR(BC5+AY5,"NM")</f>
        <v>4.0185849417988702E-3</v>
      </c>
      <c r="BD21" s="377">
        <f t="shared" ref="BD21:BD29" si="9">IFERROR(BD5+AZ5,"NM")</f>
        <v>2.4355978356712049E-2</v>
      </c>
      <c r="BE21" s="377">
        <f t="shared" ref="BE21:BE29" si="10">IFERROR(BE5+BA5,"NM")</f>
        <v>2.246251465275503E-2</v>
      </c>
    </row>
    <row r="22" spans="1:71" x14ac:dyDescent="0.2">
      <c r="A22" s="308" t="str">
        <f t="shared" si="1"/>
        <v>Consumable Revenue</v>
      </c>
      <c r="B22" s="391"/>
      <c r="C22" s="303"/>
      <c r="D22" s="303"/>
      <c r="E22" s="303"/>
      <c r="F22" s="315" t="str">
        <f t="shared" si="2"/>
        <v>NM</v>
      </c>
      <c r="G22" s="316" t="str">
        <f t="shared" si="2"/>
        <v>NM</v>
      </c>
      <c r="H22" s="316" t="str">
        <f t="shared" si="2"/>
        <v>NM</v>
      </c>
      <c r="I22" s="316" t="str">
        <f t="shared" si="2"/>
        <v>NM</v>
      </c>
      <c r="J22" s="315" t="str">
        <f t="shared" si="2"/>
        <v>NM</v>
      </c>
      <c r="K22" s="316" t="str">
        <f t="shared" si="2"/>
        <v>NM</v>
      </c>
      <c r="L22" s="316" t="str">
        <f t="shared" si="2"/>
        <v>NM</v>
      </c>
      <c r="M22" s="316" t="str">
        <f t="shared" si="2"/>
        <v>NM</v>
      </c>
      <c r="N22" s="315" t="str">
        <f t="shared" si="2"/>
        <v>NM</v>
      </c>
      <c r="O22" s="316" t="str">
        <f t="shared" si="2"/>
        <v>NM</v>
      </c>
      <c r="P22" s="316" t="str">
        <f t="shared" si="3"/>
        <v>NM</v>
      </c>
      <c r="Q22" s="316" t="str">
        <f t="shared" si="3"/>
        <v>NM</v>
      </c>
      <c r="R22" s="315" t="str">
        <f t="shared" si="3"/>
        <v>NM</v>
      </c>
      <c r="S22" s="316" t="str">
        <f t="shared" si="3"/>
        <v>NM</v>
      </c>
      <c r="T22" s="316" t="str">
        <f t="shared" si="3"/>
        <v>NM</v>
      </c>
      <c r="U22" s="316" t="str">
        <f t="shared" si="3"/>
        <v>NM</v>
      </c>
      <c r="V22" s="315" t="str">
        <f t="shared" si="3"/>
        <v>NM</v>
      </c>
      <c r="W22" s="316" t="str">
        <f t="shared" si="3"/>
        <v>NM</v>
      </c>
      <c r="X22" s="316" t="str">
        <f t="shared" si="3"/>
        <v>NM</v>
      </c>
      <c r="Y22" s="316" t="str">
        <f t="shared" si="3"/>
        <v>NM</v>
      </c>
      <c r="Z22" s="315" t="str">
        <f t="shared" si="4"/>
        <v>NM</v>
      </c>
      <c r="AA22" s="316" t="str">
        <f t="shared" si="4"/>
        <v>NM</v>
      </c>
      <c r="AB22" s="316" t="str">
        <f t="shared" si="4"/>
        <v>NM</v>
      </c>
      <c r="AC22" s="316" t="str">
        <f t="shared" si="4"/>
        <v>NM</v>
      </c>
      <c r="AD22" s="315" t="str">
        <f t="shared" si="4"/>
        <v>NM</v>
      </c>
      <c r="AE22" s="316" t="str">
        <f t="shared" si="4"/>
        <v>NM</v>
      </c>
      <c r="AF22" s="316" t="str">
        <f t="shared" si="4"/>
        <v>NM</v>
      </c>
      <c r="AG22" s="316" t="str">
        <f t="shared" si="4"/>
        <v>NM</v>
      </c>
      <c r="AH22" s="315" t="str">
        <f t="shared" si="4"/>
        <v>NM</v>
      </c>
      <c r="AI22" s="316" t="str">
        <f t="shared" si="4"/>
        <v>NM</v>
      </c>
      <c r="AJ22" s="316" t="str">
        <f t="shared" si="5"/>
        <v>NM</v>
      </c>
      <c r="AK22" s="316" t="str">
        <f t="shared" si="5"/>
        <v>NM</v>
      </c>
      <c r="AL22" s="315">
        <f t="shared" si="5"/>
        <v>6.3E-2</v>
      </c>
      <c r="AM22" s="316">
        <f t="shared" si="5"/>
        <v>6.4000000000000001E-2</v>
      </c>
      <c r="AN22" s="316">
        <f t="shared" si="5"/>
        <v>9.0999999999999998E-2</v>
      </c>
      <c r="AO22" s="316">
        <f t="shared" si="5"/>
        <v>6.6000000000000003E-2</v>
      </c>
      <c r="AP22" s="315">
        <f t="shared" si="5"/>
        <v>3.6999999999999991E-2</v>
      </c>
      <c r="AQ22" s="316">
        <f t="shared" si="5"/>
        <v>8.0000000000000002E-3</v>
      </c>
      <c r="AR22" s="316">
        <f t="shared" si="5"/>
        <v>2.2999999999999993E-2</v>
      </c>
      <c r="AS22" s="316">
        <f t="shared" si="5"/>
        <v>-9.999999999999995E-3</v>
      </c>
      <c r="AT22" s="315">
        <f t="shared" si="6"/>
        <v>-2.4208187221075872E-3</v>
      </c>
      <c r="AU22" s="316">
        <f t="shared" si="6"/>
        <v>-6.0299999999999999E-2</v>
      </c>
      <c r="AV22" s="316">
        <f t="shared" si="6"/>
        <v>-0.10200000000000001</v>
      </c>
      <c r="AW22" s="316">
        <f t="shared" si="6"/>
        <v>-0.113</v>
      </c>
      <c r="AX22" s="315">
        <f t="shared" si="6"/>
        <v>-0.10142081872210759</v>
      </c>
      <c r="AY22" s="316">
        <f t="shared" si="6"/>
        <v>-8.5300000000000001E-2</v>
      </c>
      <c r="AZ22" s="316">
        <f t="shared" si="6"/>
        <v>-7.3999999999999996E-2</v>
      </c>
      <c r="BA22" s="316">
        <f t="shared" si="6"/>
        <v>-6.0000000000000005E-2</v>
      </c>
      <c r="BB22" s="315">
        <f t="shared" si="7"/>
        <v>-9.0000000000000011E-2</v>
      </c>
      <c r="BC22" s="316">
        <f t="shared" si="8"/>
        <v>-0.04</v>
      </c>
      <c r="BD22" s="316">
        <f t="shared" si="9"/>
        <v>0.01</v>
      </c>
      <c r="BE22" s="316">
        <f t="shared" si="10"/>
        <v>0.02</v>
      </c>
    </row>
    <row r="23" spans="1:71" x14ac:dyDescent="0.2">
      <c r="A23" s="308" t="str">
        <f t="shared" si="1"/>
        <v>Equipment and software Revenue</v>
      </c>
      <c r="B23" s="391"/>
      <c r="C23" s="303"/>
      <c r="D23" s="303"/>
      <c r="E23" s="303"/>
      <c r="F23" s="315" t="str">
        <f t="shared" si="2"/>
        <v>NM</v>
      </c>
      <c r="G23" s="316" t="str">
        <f t="shared" si="2"/>
        <v>NM</v>
      </c>
      <c r="H23" s="316" t="str">
        <f t="shared" si="2"/>
        <v>NM</v>
      </c>
      <c r="I23" s="316" t="str">
        <f t="shared" si="2"/>
        <v>NM</v>
      </c>
      <c r="J23" s="315" t="str">
        <f t="shared" si="2"/>
        <v>NM</v>
      </c>
      <c r="K23" s="316" t="str">
        <f t="shared" si="2"/>
        <v>NM</v>
      </c>
      <c r="L23" s="316" t="str">
        <f t="shared" si="2"/>
        <v>NM</v>
      </c>
      <c r="M23" s="316" t="str">
        <f t="shared" si="2"/>
        <v>NM</v>
      </c>
      <c r="N23" s="315" t="str">
        <f t="shared" si="2"/>
        <v>NM</v>
      </c>
      <c r="O23" s="316" t="str">
        <f t="shared" si="2"/>
        <v>NM</v>
      </c>
      <c r="P23" s="316" t="str">
        <f t="shared" si="3"/>
        <v>NM</v>
      </c>
      <c r="Q23" s="316" t="str">
        <f t="shared" si="3"/>
        <v>NM</v>
      </c>
      <c r="R23" s="315" t="str">
        <f t="shared" si="3"/>
        <v>NM</v>
      </c>
      <c r="S23" s="316" t="str">
        <f t="shared" si="3"/>
        <v>NM</v>
      </c>
      <c r="T23" s="316" t="str">
        <f t="shared" si="3"/>
        <v>NM</v>
      </c>
      <c r="U23" s="316" t="str">
        <f t="shared" si="3"/>
        <v>NM</v>
      </c>
      <c r="V23" s="315" t="str">
        <f t="shared" si="3"/>
        <v>NM</v>
      </c>
      <c r="W23" s="316" t="str">
        <f t="shared" si="3"/>
        <v>NM</v>
      </c>
      <c r="X23" s="316" t="str">
        <f t="shared" si="3"/>
        <v>NM</v>
      </c>
      <c r="Y23" s="316" t="str">
        <f t="shared" si="3"/>
        <v>NM</v>
      </c>
      <c r="Z23" s="315" t="str">
        <f t="shared" si="4"/>
        <v>NM</v>
      </c>
      <c r="AA23" s="316" t="str">
        <f t="shared" si="4"/>
        <v>NM</v>
      </c>
      <c r="AB23" s="316" t="str">
        <f t="shared" si="4"/>
        <v>NM</v>
      </c>
      <c r="AC23" s="316" t="str">
        <f t="shared" si="4"/>
        <v>NM</v>
      </c>
      <c r="AD23" s="315" t="str">
        <f t="shared" si="4"/>
        <v>NM</v>
      </c>
      <c r="AE23" s="316" t="str">
        <f t="shared" si="4"/>
        <v>NM</v>
      </c>
      <c r="AF23" s="316" t="str">
        <f t="shared" si="4"/>
        <v>NM</v>
      </c>
      <c r="AG23" s="316" t="str">
        <f t="shared" si="4"/>
        <v>NM</v>
      </c>
      <c r="AH23" s="315" t="str">
        <f t="shared" si="4"/>
        <v>NM</v>
      </c>
      <c r="AI23" s="316" t="str">
        <f t="shared" si="4"/>
        <v>NM</v>
      </c>
      <c r="AJ23" s="316" t="str">
        <f t="shared" si="5"/>
        <v>NM</v>
      </c>
      <c r="AK23" s="316" t="str">
        <f t="shared" si="5"/>
        <v>NM</v>
      </c>
      <c r="AL23" s="315">
        <f t="shared" si="5"/>
        <v>-0.10199999999999999</v>
      </c>
      <c r="AM23" s="316">
        <f t="shared" si="5"/>
        <v>0.184</v>
      </c>
      <c r="AN23" s="316">
        <f t="shared" si="5"/>
        <v>-6.4000000000000001E-2</v>
      </c>
      <c r="AO23" s="316">
        <f t="shared" si="5"/>
        <v>0.16400000000000001</v>
      </c>
      <c r="AP23" s="315">
        <f t="shared" si="5"/>
        <v>4.5000000000000012E-2</v>
      </c>
      <c r="AQ23" s="316">
        <f t="shared" si="5"/>
        <v>6.4000000000000001E-2</v>
      </c>
      <c r="AR23" s="316">
        <f t="shared" si="5"/>
        <v>5.8000000000000003E-2</v>
      </c>
      <c r="AS23" s="316">
        <f t="shared" si="5"/>
        <v>-0.23799999999999999</v>
      </c>
      <c r="AT23" s="315">
        <f t="shared" si="6"/>
        <v>-7.6999999999999985E-2</v>
      </c>
      <c r="AU23" s="316">
        <f t="shared" si="6"/>
        <v>-0.12639999999999998</v>
      </c>
      <c r="AV23" s="316">
        <f t="shared" si="6"/>
        <v>-0.11599999999999999</v>
      </c>
      <c r="AW23" s="316">
        <f t="shared" si="6"/>
        <v>-0.11899999999999998</v>
      </c>
      <c r="AX23" s="315">
        <f t="shared" si="6"/>
        <v>-0.10099999999999999</v>
      </c>
      <c r="AY23" s="316">
        <f t="shared" si="6"/>
        <v>-9.8399999999999987E-2</v>
      </c>
      <c r="AZ23" s="316">
        <f t="shared" si="6"/>
        <v>-8.5999999999999993E-2</v>
      </c>
      <c r="BA23" s="316">
        <f t="shared" si="6"/>
        <v>0.05</v>
      </c>
      <c r="BB23" s="315">
        <f t="shared" si="7"/>
        <v>0.05</v>
      </c>
      <c r="BC23" s="316">
        <f t="shared" si="8"/>
        <v>7.0000000000000007E-2</v>
      </c>
      <c r="BD23" s="316">
        <f t="shared" si="9"/>
        <v>0.04</v>
      </c>
      <c r="BE23" s="316">
        <f t="shared" si="10"/>
        <v>0.02</v>
      </c>
    </row>
    <row r="24" spans="1:71" x14ac:dyDescent="0.2">
      <c r="A24" s="308" t="str">
        <f t="shared" si="1"/>
        <v>Other Revenue</v>
      </c>
      <c r="B24" s="391"/>
      <c r="C24" s="303"/>
      <c r="D24" s="303"/>
      <c r="E24" s="303"/>
      <c r="F24" s="315" t="str">
        <f t="shared" si="2"/>
        <v>NM</v>
      </c>
      <c r="G24" s="316" t="str">
        <f t="shared" si="2"/>
        <v>NM</v>
      </c>
      <c r="H24" s="316" t="str">
        <f t="shared" si="2"/>
        <v>NM</v>
      </c>
      <c r="I24" s="316" t="str">
        <f t="shared" si="2"/>
        <v>NM</v>
      </c>
      <c r="J24" s="315" t="str">
        <f t="shared" si="2"/>
        <v>NM</v>
      </c>
      <c r="K24" s="316" t="str">
        <f t="shared" si="2"/>
        <v>NM</v>
      </c>
      <c r="L24" s="316" t="str">
        <f t="shared" si="2"/>
        <v>NM</v>
      </c>
      <c r="M24" s="316" t="str">
        <f t="shared" si="2"/>
        <v>NM</v>
      </c>
      <c r="N24" s="315" t="str">
        <f t="shared" si="2"/>
        <v>NM</v>
      </c>
      <c r="O24" s="316" t="str">
        <f t="shared" si="2"/>
        <v>NM</v>
      </c>
      <c r="P24" s="316" t="str">
        <f t="shared" si="3"/>
        <v>NM</v>
      </c>
      <c r="Q24" s="316" t="str">
        <f t="shared" si="3"/>
        <v>NM</v>
      </c>
      <c r="R24" s="315" t="str">
        <f t="shared" si="3"/>
        <v>NM</v>
      </c>
      <c r="S24" s="316" t="str">
        <f t="shared" si="3"/>
        <v>NM</v>
      </c>
      <c r="T24" s="316" t="str">
        <f t="shared" si="3"/>
        <v>NM</v>
      </c>
      <c r="U24" s="316" t="str">
        <f t="shared" si="3"/>
        <v>NM</v>
      </c>
      <c r="V24" s="315" t="str">
        <f t="shared" si="3"/>
        <v>NM</v>
      </c>
      <c r="W24" s="316" t="str">
        <f t="shared" si="3"/>
        <v>NM</v>
      </c>
      <c r="X24" s="316" t="str">
        <f t="shared" si="3"/>
        <v>NM</v>
      </c>
      <c r="Y24" s="316" t="str">
        <f t="shared" si="3"/>
        <v>NM</v>
      </c>
      <c r="Z24" s="315" t="str">
        <f t="shared" si="4"/>
        <v>NM</v>
      </c>
      <c r="AA24" s="316" t="str">
        <f t="shared" si="4"/>
        <v>NM</v>
      </c>
      <c r="AB24" s="316" t="str">
        <f t="shared" si="4"/>
        <v>NM</v>
      </c>
      <c r="AC24" s="316" t="str">
        <f t="shared" si="4"/>
        <v>NM</v>
      </c>
      <c r="AD24" s="315" t="str">
        <f t="shared" si="4"/>
        <v>NM</v>
      </c>
      <c r="AE24" s="316" t="str">
        <f t="shared" si="4"/>
        <v>NM</v>
      </c>
      <c r="AF24" s="316" t="str">
        <f t="shared" si="4"/>
        <v>NM</v>
      </c>
      <c r="AG24" s="316" t="str">
        <f t="shared" si="4"/>
        <v>NM</v>
      </c>
      <c r="AH24" s="315" t="str">
        <f t="shared" si="4"/>
        <v>NM</v>
      </c>
      <c r="AI24" s="316" t="str">
        <f t="shared" si="4"/>
        <v>NM</v>
      </c>
      <c r="AJ24" s="316" t="str">
        <f t="shared" si="5"/>
        <v>NM</v>
      </c>
      <c r="AK24" s="316" t="str">
        <f t="shared" si="5"/>
        <v>NM</v>
      </c>
      <c r="AL24" s="315">
        <f t="shared" si="5"/>
        <v>0.126</v>
      </c>
      <c r="AM24" s="316">
        <f t="shared" si="5"/>
        <v>0.11000000000000001</v>
      </c>
      <c r="AN24" s="316">
        <f t="shared" si="5"/>
        <v>0.26400000000000001</v>
      </c>
      <c r="AO24" s="316">
        <f t="shared" si="5"/>
        <v>9.6000000000000002E-2</v>
      </c>
      <c r="AP24" s="315">
        <f t="shared" si="5"/>
        <v>7.1000000000000008E-2</v>
      </c>
      <c r="AQ24" s="316">
        <f t="shared" si="5"/>
        <v>4.4000000000000004E-2</v>
      </c>
      <c r="AR24" s="316">
        <f t="shared" si="5"/>
        <v>0.186</v>
      </c>
      <c r="AS24" s="316">
        <f t="shared" si="5"/>
        <v>3.8000000000000006E-2</v>
      </c>
      <c r="AT24" s="315">
        <f t="shared" si="6"/>
        <v>1.7999999999999999E-2</v>
      </c>
      <c r="AU24" s="316">
        <f t="shared" si="6"/>
        <v>1.7000000000000001E-2</v>
      </c>
      <c r="AV24" s="316">
        <f t="shared" si="6"/>
        <v>-4.7E-2</v>
      </c>
      <c r="AW24" s="316">
        <f t="shared" si="6"/>
        <v>2E-3</v>
      </c>
      <c r="AX24" s="315">
        <f t="shared" si="6"/>
        <v>1.4999999999999999E-2</v>
      </c>
      <c r="AY24" s="316">
        <f t="shared" si="6"/>
        <v>3.5000000000000003E-2</v>
      </c>
      <c r="AZ24" s="316">
        <f t="shared" si="6"/>
        <v>-1.4000000000000002E-2</v>
      </c>
      <c r="BA24" s="316">
        <f t="shared" si="6"/>
        <v>0.02</v>
      </c>
      <c r="BB24" s="315">
        <f t="shared" si="7"/>
        <v>0.04</v>
      </c>
      <c r="BC24" s="316">
        <f t="shared" si="8"/>
        <v>0.04</v>
      </c>
      <c r="BD24" s="316">
        <f t="shared" si="9"/>
        <v>0.04</v>
      </c>
      <c r="BE24" s="316">
        <f t="shared" si="10"/>
        <v>0.04</v>
      </c>
    </row>
    <row r="25" spans="1:71" x14ac:dyDescent="0.2">
      <c r="A25" s="369" t="str">
        <f t="shared" si="1"/>
        <v>Animal Health</v>
      </c>
      <c r="B25" s="392"/>
      <c r="C25" s="370"/>
      <c r="D25" s="370"/>
      <c r="E25" s="370"/>
      <c r="F25" s="371" t="str">
        <f t="shared" si="2"/>
        <v>NM</v>
      </c>
      <c r="G25" s="372" t="str">
        <f t="shared" si="2"/>
        <v>NM</v>
      </c>
      <c r="H25" s="372" t="str">
        <f t="shared" si="2"/>
        <v>NM</v>
      </c>
      <c r="I25" s="372" t="str">
        <f t="shared" si="2"/>
        <v>NM</v>
      </c>
      <c r="J25" s="371" t="str">
        <f t="shared" si="2"/>
        <v>NM</v>
      </c>
      <c r="K25" s="372" t="str">
        <f t="shared" si="2"/>
        <v>NM</v>
      </c>
      <c r="L25" s="372" t="str">
        <f t="shared" si="2"/>
        <v>NM</v>
      </c>
      <c r="M25" s="372" t="str">
        <f t="shared" si="2"/>
        <v>NM</v>
      </c>
      <c r="N25" s="371" t="str">
        <f t="shared" si="2"/>
        <v>NM</v>
      </c>
      <c r="O25" s="372" t="str">
        <f t="shared" si="2"/>
        <v>NM</v>
      </c>
      <c r="P25" s="372" t="str">
        <f t="shared" si="3"/>
        <v>NM</v>
      </c>
      <c r="Q25" s="372" t="str">
        <f t="shared" si="3"/>
        <v>NM</v>
      </c>
      <c r="R25" s="371" t="str">
        <f t="shared" si="3"/>
        <v>NM</v>
      </c>
      <c r="S25" s="372" t="str">
        <f t="shared" si="3"/>
        <v>NM</v>
      </c>
      <c r="T25" s="372" t="str">
        <f t="shared" si="3"/>
        <v>NM</v>
      </c>
      <c r="U25" s="372" t="str">
        <f t="shared" si="3"/>
        <v>NM</v>
      </c>
      <c r="V25" s="371" t="str">
        <f t="shared" si="3"/>
        <v>NM</v>
      </c>
      <c r="W25" s="372" t="str">
        <f t="shared" si="3"/>
        <v>NM</v>
      </c>
      <c r="X25" s="372" t="str">
        <f t="shared" si="3"/>
        <v>NM</v>
      </c>
      <c r="Y25" s="372" t="str">
        <f t="shared" si="3"/>
        <v>NM</v>
      </c>
      <c r="Z25" s="371">
        <f t="shared" si="4"/>
        <v>3.7000000000000005E-2</v>
      </c>
      <c r="AA25" s="372">
        <f t="shared" si="4"/>
        <v>0.10300000000000001</v>
      </c>
      <c r="AB25" s="372">
        <f t="shared" si="4"/>
        <v>1.9000000000000013E-2</v>
      </c>
      <c r="AC25" s="372">
        <f t="shared" si="4"/>
        <v>0.19972838129499124</v>
      </c>
      <c r="AD25" s="371">
        <f t="shared" si="4"/>
        <v>8.2000000000000003E-2</v>
      </c>
      <c r="AE25" s="372">
        <f t="shared" si="4"/>
        <v>9.0000000000000024E-2</v>
      </c>
      <c r="AF25" s="372">
        <f t="shared" si="4"/>
        <v>7.3000000000000065E-2</v>
      </c>
      <c r="AG25" s="372">
        <f t="shared" si="4"/>
        <v>-1.7169734796104567E-2</v>
      </c>
      <c r="AH25" s="371">
        <f t="shared" si="4"/>
        <v>0.115</v>
      </c>
      <c r="AI25" s="372">
        <f t="shared" si="4"/>
        <v>9.5000000000000029E-2</v>
      </c>
      <c r="AJ25" s="372">
        <f t="shared" si="5"/>
        <v>0.13400000000000006</v>
      </c>
      <c r="AK25" s="372">
        <f t="shared" si="5"/>
        <v>8.0077055565341212E-2</v>
      </c>
      <c r="AL25" s="371">
        <f t="shared" si="5"/>
        <v>9.4885260160497142E-2</v>
      </c>
      <c r="AM25" s="372">
        <f t="shared" si="5"/>
        <v>9.6169275965935996E-2</v>
      </c>
      <c r="AN25" s="372">
        <f t="shared" si="5"/>
        <v>0.12677684975504372</v>
      </c>
      <c r="AO25" s="372">
        <f t="shared" si="5"/>
        <v>0.16184353097496812</v>
      </c>
      <c r="AP25" s="371">
        <f t="shared" si="5"/>
        <v>7.0174104349501998E-2</v>
      </c>
      <c r="AQ25" s="372">
        <f t="shared" si="5"/>
        <v>0.11096125688666317</v>
      </c>
      <c r="AR25" s="372">
        <f t="shared" si="5"/>
        <v>0.11122587224765079</v>
      </c>
      <c r="AS25" s="372">
        <f t="shared" si="5"/>
        <v>0.16764181629258385</v>
      </c>
      <c r="AT25" s="371">
        <f t="shared" si="6"/>
        <v>7.9288844189004865E-2</v>
      </c>
      <c r="AU25" s="372">
        <f t="shared" si="6"/>
        <v>9.5816820293034038E-2</v>
      </c>
      <c r="AV25" s="372">
        <f t="shared" si="6"/>
        <v>7.5449022492607071E-2</v>
      </c>
      <c r="AW25" s="372">
        <f t="shared" si="6"/>
        <v>8.6246227967034739E-2</v>
      </c>
      <c r="AX25" s="371">
        <f t="shared" si="6"/>
        <v>7.4000000000000038E-2</v>
      </c>
      <c r="AY25" s="372">
        <f t="shared" si="6"/>
        <v>7.6570507507759122E-2</v>
      </c>
      <c r="AZ25" s="372">
        <f t="shared" si="6"/>
        <v>6.6000000000000031E-2</v>
      </c>
      <c r="BA25" s="372">
        <f t="shared" si="6"/>
        <v>5.9990124638618476E-2</v>
      </c>
      <c r="BB25" s="371">
        <f t="shared" si="7"/>
        <v>7.4770562117979278E-2</v>
      </c>
      <c r="BC25" s="372">
        <f t="shared" si="8"/>
        <v>9.4340528188547212E-2</v>
      </c>
      <c r="BD25" s="372">
        <f t="shared" si="9"/>
        <v>7.5046548667890178E-2</v>
      </c>
      <c r="BE25" s="372">
        <f t="shared" si="10"/>
        <v>9.4578001419562518E-2</v>
      </c>
    </row>
    <row r="26" spans="1:71" x14ac:dyDescent="0.2">
      <c r="A26" s="305" t="str">
        <f t="shared" si="1"/>
        <v>Consumable Revenue</v>
      </c>
      <c r="B26" s="393"/>
      <c r="C26" s="317"/>
      <c r="D26" s="317"/>
      <c r="E26" s="317"/>
      <c r="F26" s="323" t="str">
        <f t="shared" si="2"/>
        <v>NM</v>
      </c>
      <c r="G26" s="322" t="str">
        <f t="shared" si="2"/>
        <v>NM</v>
      </c>
      <c r="H26" s="322" t="str">
        <f t="shared" si="2"/>
        <v>NM</v>
      </c>
      <c r="I26" s="322" t="str">
        <f t="shared" si="2"/>
        <v>NM</v>
      </c>
      <c r="J26" s="323" t="str">
        <f t="shared" si="2"/>
        <v>NM</v>
      </c>
      <c r="K26" s="322" t="str">
        <f t="shared" si="2"/>
        <v>NM</v>
      </c>
      <c r="L26" s="322" t="str">
        <f t="shared" si="2"/>
        <v>NM</v>
      </c>
      <c r="M26" s="322" t="str">
        <f t="shared" si="2"/>
        <v>NM</v>
      </c>
      <c r="N26" s="323" t="str">
        <f t="shared" si="2"/>
        <v>NM</v>
      </c>
      <c r="O26" s="322" t="str">
        <f t="shared" si="2"/>
        <v>NM</v>
      </c>
      <c r="P26" s="322" t="str">
        <f t="shared" si="3"/>
        <v>NM</v>
      </c>
      <c r="Q26" s="322" t="str">
        <f t="shared" si="3"/>
        <v>NM</v>
      </c>
      <c r="R26" s="323" t="str">
        <f t="shared" si="3"/>
        <v>NM</v>
      </c>
      <c r="S26" s="322" t="str">
        <f t="shared" si="3"/>
        <v>NM</v>
      </c>
      <c r="T26" s="322" t="str">
        <f t="shared" si="3"/>
        <v>NM</v>
      </c>
      <c r="U26" s="322" t="str">
        <f t="shared" si="3"/>
        <v>NM</v>
      </c>
      <c r="V26" s="323" t="str">
        <f t="shared" si="3"/>
        <v>NM</v>
      </c>
      <c r="W26" s="322" t="str">
        <f t="shared" si="3"/>
        <v>NM</v>
      </c>
      <c r="X26" s="322" t="str">
        <f t="shared" si="3"/>
        <v>NM</v>
      </c>
      <c r="Y26" s="322" t="str">
        <f t="shared" si="3"/>
        <v>NM</v>
      </c>
      <c r="Z26" s="323" t="str">
        <f t="shared" si="4"/>
        <v>NM</v>
      </c>
      <c r="AA26" s="322" t="str">
        <f t="shared" si="4"/>
        <v>NM</v>
      </c>
      <c r="AB26" s="322" t="str">
        <f t="shared" si="4"/>
        <v>NM</v>
      </c>
      <c r="AC26" s="322" t="str">
        <f t="shared" si="4"/>
        <v>NM</v>
      </c>
      <c r="AD26" s="323" t="str">
        <f t="shared" si="4"/>
        <v>NM</v>
      </c>
      <c r="AE26" s="322" t="str">
        <f t="shared" si="4"/>
        <v>NM</v>
      </c>
      <c r="AF26" s="322" t="str">
        <f t="shared" si="4"/>
        <v>NM</v>
      </c>
      <c r="AG26" s="322" t="str">
        <f t="shared" si="4"/>
        <v>NM</v>
      </c>
      <c r="AH26" s="323" t="str">
        <f t="shared" si="4"/>
        <v>NM</v>
      </c>
      <c r="AI26" s="322" t="str">
        <f t="shared" si="4"/>
        <v>NM</v>
      </c>
      <c r="AJ26" s="322" t="str">
        <f t="shared" si="5"/>
        <v>NM</v>
      </c>
      <c r="AK26" s="322" t="str">
        <f t="shared" si="5"/>
        <v>NM</v>
      </c>
      <c r="AL26" s="323" t="str">
        <f t="shared" si="5"/>
        <v>NM</v>
      </c>
      <c r="AM26" s="322" t="str">
        <f t="shared" si="5"/>
        <v>NM</v>
      </c>
      <c r="AN26" s="322" t="str">
        <f t="shared" si="5"/>
        <v>NM</v>
      </c>
      <c r="AO26" s="322" t="str">
        <f t="shared" si="5"/>
        <v>NM</v>
      </c>
      <c r="AP26" s="323">
        <f t="shared" si="5"/>
        <v>6.2000000000000055E-2</v>
      </c>
      <c r="AQ26" s="322">
        <f t="shared" si="5"/>
        <v>0.10299999999999969</v>
      </c>
      <c r="AR26" s="322">
        <f t="shared" si="5"/>
        <v>0.10749999999999989</v>
      </c>
      <c r="AS26" s="322">
        <f t="shared" si="5"/>
        <v>0.18100000000000008</v>
      </c>
      <c r="AT26" s="323">
        <f t="shared" si="6"/>
        <v>8.4999999999999992E-2</v>
      </c>
      <c r="AU26" s="322">
        <f t="shared" si="6"/>
        <v>9.8000000000000004E-2</v>
      </c>
      <c r="AV26" s="322">
        <f t="shared" si="6"/>
        <v>7.9000000000000001E-2</v>
      </c>
      <c r="AW26" s="322">
        <f t="shared" si="6"/>
        <v>9.5000000000000001E-2</v>
      </c>
      <c r="AX26" s="323">
        <f t="shared" si="6"/>
        <v>7.8E-2</v>
      </c>
      <c r="AY26" s="322">
        <f t="shared" si="6"/>
        <v>7.8E-2</v>
      </c>
      <c r="AZ26" s="322">
        <f t="shared" si="6"/>
        <v>6.9000000000000006E-2</v>
      </c>
      <c r="BA26" s="322">
        <f t="shared" si="6"/>
        <v>0.06</v>
      </c>
      <c r="BB26" s="323">
        <f t="shared" si="7"/>
        <v>7.5000000000000011E-2</v>
      </c>
      <c r="BC26" s="322">
        <f t="shared" si="8"/>
        <v>9.5000000000000001E-2</v>
      </c>
      <c r="BD26" s="322">
        <f t="shared" si="9"/>
        <v>7.5000000000000011E-2</v>
      </c>
      <c r="BE26" s="322">
        <f t="shared" si="10"/>
        <v>9.5000000000000001E-2</v>
      </c>
    </row>
    <row r="27" spans="1:71" x14ac:dyDescent="0.2">
      <c r="A27" s="305" t="str">
        <f t="shared" si="1"/>
        <v>Equipment and software Revenue</v>
      </c>
      <c r="B27" s="393"/>
      <c r="C27" s="317"/>
      <c r="D27" s="317"/>
      <c r="E27" s="317"/>
      <c r="F27" s="323" t="str">
        <f t="shared" si="2"/>
        <v>NM</v>
      </c>
      <c r="G27" s="322" t="str">
        <f t="shared" si="2"/>
        <v>NM</v>
      </c>
      <c r="H27" s="322" t="str">
        <f t="shared" si="2"/>
        <v>NM</v>
      </c>
      <c r="I27" s="322" t="str">
        <f t="shared" si="2"/>
        <v>NM</v>
      </c>
      <c r="J27" s="323" t="str">
        <f t="shared" si="2"/>
        <v>NM</v>
      </c>
      <c r="K27" s="322" t="str">
        <f t="shared" si="2"/>
        <v>NM</v>
      </c>
      <c r="L27" s="322" t="str">
        <f t="shared" si="2"/>
        <v>NM</v>
      </c>
      <c r="M27" s="322" t="str">
        <f t="shared" si="2"/>
        <v>NM</v>
      </c>
      <c r="N27" s="323" t="str">
        <f t="shared" si="2"/>
        <v>NM</v>
      </c>
      <c r="O27" s="322" t="str">
        <f t="shared" si="2"/>
        <v>NM</v>
      </c>
      <c r="P27" s="322" t="str">
        <f t="shared" si="3"/>
        <v>NM</v>
      </c>
      <c r="Q27" s="322" t="str">
        <f t="shared" si="3"/>
        <v>NM</v>
      </c>
      <c r="R27" s="323" t="str">
        <f t="shared" si="3"/>
        <v>NM</v>
      </c>
      <c r="S27" s="322" t="str">
        <f t="shared" si="3"/>
        <v>NM</v>
      </c>
      <c r="T27" s="322" t="str">
        <f t="shared" si="3"/>
        <v>NM</v>
      </c>
      <c r="U27" s="322" t="str">
        <f t="shared" si="3"/>
        <v>NM</v>
      </c>
      <c r="V27" s="323" t="str">
        <f t="shared" si="3"/>
        <v>NM</v>
      </c>
      <c r="W27" s="322" t="str">
        <f t="shared" si="3"/>
        <v>NM</v>
      </c>
      <c r="X27" s="322" t="str">
        <f t="shared" si="3"/>
        <v>NM</v>
      </c>
      <c r="Y27" s="322" t="str">
        <f t="shared" si="3"/>
        <v>NM</v>
      </c>
      <c r="Z27" s="323" t="str">
        <f t="shared" si="4"/>
        <v>NM</v>
      </c>
      <c r="AA27" s="322" t="str">
        <f t="shared" si="4"/>
        <v>NM</v>
      </c>
      <c r="AB27" s="322" t="str">
        <f t="shared" si="4"/>
        <v>NM</v>
      </c>
      <c r="AC27" s="322" t="str">
        <f t="shared" si="4"/>
        <v>NM</v>
      </c>
      <c r="AD27" s="323" t="str">
        <f t="shared" si="4"/>
        <v>NM</v>
      </c>
      <c r="AE27" s="322" t="str">
        <f t="shared" si="4"/>
        <v>NM</v>
      </c>
      <c r="AF27" s="322" t="str">
        <f t="shared" si="4"/>
        <v>NM</v>
      </c>
      <c r="AG27" s="322" t="str">
        <f t="shared" si="4"/>
        <v>NM</v>
      </c>
      <c r="AH27" s="323" t="str">
        <f t="shared" si="4"/>
        <v>NM</v>
      </c>
      <c r="AI27" s="322" t="str">
        <f t="shared" si="4"/>
        <v>NM</v>
      </c>
      <c r="AJ27" s="322" t="str">
        <f t="shared" si="5"/>
        <v>NM</v>
      </c>
      <c r="AK27" s="322" t="str">
        <f t="shared" si="5"/>
        <v>NM</v>
      </c>
      <c r="AL27" s="323" t="str">
        <f t="shared" si="5"/>
        <v>NM</v>
      </c>
      <c r="AM27" s="322" t="str">
        <f t="shared" si="5"/>
        <v>NM</v>
      </c>
      <c r="AN27" s="322" t="str">
        <f t="shared" si="5"/>
        <v>NM</v>
      </c>
      <c r="AO27" s="322" t="str">
        <f t="shared" si="5"/>
        <v>NM</v>
      </c>
      <c r="AP27" s="323">
        <f t="shared" si="5"/>
        <v>0.31900000000000001</v>
      </c>
      <c r="AQ27" s="322">
        <f t="shared" si="5"/>
        <v>0.41100000000000003</v>
      </c>
      <c r="AR27" s="322">
        <f t="shared" si="5"/>
        <v>0.22299999999999998</v>
      </c>
      <c r="AS27" s="322">
        <f t="shared" si="5"/>
        <v>-0.16599999999999998</v>
      </c>
      <c r="AT27" s="323">
        <f t="shared" si="6"/>
        <v>-6.8000000000000005E-2</v>
      </c>
      <c r="AU27" s="322">
        <f t="shared" si="6"/>
        <v>0.08</v>
      </c>
      <c r="AV27" s="322">
        <f t="shared" si="6"/>
        <v>-3.0000000000000027E-2</v>
      </c>
      <c r="AW27" s="322">
        <f t="shared" si="6"/>
        <v>3.3000000000000002E-2</v>
      </c>
      <c r="AX27" s="323">
        <f t="shared" si="6"/>
        <v>-5.6000000000000001E-2</v>
      </c>
      <c r="AY27" s="322">
        <f t="shared" si="6"/>
        <v>1.7999999999999999E-2</v>
      </c>
      <c r="AZ27" s="322">
        <f t="shared" si="6"/>
        <v>-0.124</v>
      </c>
      <c r="BA27" s="322">
        <f t="shared" si="6"/>
        <v>0.06</v>
      </c>
      <c r="BB27" s="323">
        <f t="shared" si="7"/>
        <v>7.5000000000000011E-2</v>
      </c>
      <c r="BC27" s="322">
        <f t="shared" si="8"/>
        <v>7.5000000000000011E-2</v>
      </c>
      <c r="BD27" s="322">
        <f t="shared" si="9"/>
        <v>7.5000000000000011E-2</v>
      </c>
      <c r="BE27" s="322">
        <f t="shared" si="10"/>
        <v>7.5000000000000011E-2</v>
      </c>
    </row>
    <row r="28" spans="1:71" x14ac:dyDescent="0.2">
      <c r="A28" s="305" t="str">
        <f t="shared" si="1"/>
        <v>Other Revenue</v>
      </c>
      <c r="B28" s="393"/>
      <c r="C28" s="317"/>
      <c r="D28" s="317"/>
      <c r="E28" s="317"/>
      <c r="F28" s="318" t="str">
        <f t="shared" si="2"/>
        <v>NM</v>
      </c>
      <c r="G28" s="319" t="str">
        <f t="shared" si="2"/>
        <v>NM</v>
      </c>
      <c r="H28" s="319" t="str">
        <f t="shared" si="2"/>
        <v>NM</v>
      </c>
      <c r="I28" s="319" t="str">
        <f t="shared" si="2"/>
        <v>NM</v>
      </c>
      <c r="J28" s="318" t="str">
        <f t="shared" si="2"/>
        <v>NM</v>
      </c>
      <c r="K28" s="319" t="str">
        <f t="shared" si="2"/>
        <v>NM</v>
      </c>
      <c r="L28" s="319" t="str">
        <f t="shared" si="2"/>
        <v>NM</v>
      </c>
      <c r="M28" s="319" t="str">
        <f t="shared" si="2"/>
        <v>NM</v>
      </c>
      <c r="N28" s="318" t="str">
        <f t="shared" si="2"/>
        <v>NM</v>
      </c>
      <c r="O28" s="319" t="str">
        <f t="shared" si="2"/>
        <v>NM</v>
      </c>
      <c r="P28" s="319" t="str">
        <f t="shared" si="3"/>
        <v>NM</v>
      </c>
      <c r="Q28" s="319" t="str">
        <f t="shared" si="3"/>
        <v>NM</v>
      </c>
      <c r="R28" s="318" t="str">
        <f t="shared" si="3"/>
        <v>NM</v>
      </c>
      <c r="S28" s="319" t="str">
        <f t="shared" si="3"/>
        <v>NM</v>
      </c>
      <c r="T28" s="319" t="str">
        <f t="shared" si="3"/>
        <v>NM</v>
      </c>
      <c r="U28" s="319" t="str">
        <f t="shared" si="3"/>
        <v>NM</v>
      </c>
      <c r="V28" s="318" t="str">
        <f t="shared" si="3"/>
        <v>NM</v>
      </c>
      <c r="W28" s="319" t="str">
        <f t="shared" si="3"/>
        <v>NM</v>
      </c>
      <c r="X28" s="319" t="str">
        <f t="shared" si="3"/>
        <v>NM</v>
      </c>
      <c r="Y28" s="319" t="str">
        <f t="shared" si="3"/>
        <v>NM</v>
      </c>
      <c r="Z28" s="318" t="str">
        <f t="shared" si="4"/>
        <v>NM</v>
      </c>
      <c r="AA28" s="319" t="str">
        <f t="shared" si="4"/>
        <v>NM</v>
      </c>
      <c r="AB28" s="319" t="str">
        <f t="shared" si="4"/>
        <v>NM</v>
      </c>
      <c r="AC28" s="319" t="str">
        <f t="shared" si="4"/>
        <v>NM</v>
      </c>
      <c r="AD28" s="318" t="str">
        <f t="shared" si="4"/>
        <v>NM</v>
      </c>
      <c r="AE28" s="319" t="str">
        <f t="shared" si="4"/>
        <v>NM</v>
      </c>
      <c r="AF28" s="319" t="str">
        <f t="shared" si="4"/>
        <v>NM</v>
      </c>
      <c r="AG28" s="319" t="str">
        <f t="shared" si="4"/>
        <v>NM</v>
      </c>
      <c r="AH28" s="318" t="str">
        <f t="shared" si="4"/>
        <v>NM</v>
      </c>
      <c r="AI28" s="319" t="str">
        <f t="shared" si="4"/>
        <v>NM</v>
      </c>
      <c r="AJ28" s="319" t="str">
        <f t="shared" si="5"/>
        <v>NM</v>
      </c>
      <c r="AK28" s="319" t="str">
        <f t="shared" si="5"/>
        <v>NM</v>
      </c>
      <c r="AL28" s="318" t="str">
        <f t="shared" si="5"/>
        <v>NM</v>
      </c>
      <c r="AM28" s="319" t="str">
        <f t="shared" si="5"/>
        <v>NM</v>
      </c>
      <c r="AN28" s="319" t="str">
        <f t="shared" si="5"/>
        <v>NM</v>
      </c>
      <c r="AO28" s="319" t="str">
        <f t="shared" si="5"/>
        <v>NM</v>
      </c>
      <c r="AP28" s="318">
        <f t="shared" si="5"/>
        <v>0.19300000000000003</v>
      </c>
      <c r="AQ28" s="319">
        <f t="shared" si="5"/>
        <v>8.500000000000002E-2</v>
      </c>
      <c r="AR28" s="319">
        <f t="shared" si="5"/>
        <v>1.999999999999974E-3</v>
      </c>
      <c r="AS28" s="319">
        <f t="shared" si="5"/>
        <v>-3.6000000000000032E-2</v>
      </c>
      <c r="AT28" s="318">
        <f t="shared" si="6"/>
        <v>-0.224</v>
      </c>
      <c r="AU28" s="319">
        <f t="shared" si="6"/>
        <v>-8.5999999999999993E-2</v>
      </c>
      <c r="AV28" s="319">
        <f t="shared" si="6"/>
        <v>0.21099999999999994</v>
      </c>
      <c r="AW28" s="319">
        <f t="shared" si="6"/>
        <v>-0.42599999999999999</v>
      </c>
      <c r="AX28" s="318">
        <f t="shared" si="6"/>
        <v>-0.156</v>
      </c>
      <c r="AY28" s="319">
        <f t="shared" si="6"/>
        <v>1.4999999999999999E-2</v>
      </c>
      <c r="AZ28" s="319">
        <f t="shared" si="6"/>
        <v>0.44799999999999995</v>
      </c>
      <c r="BA28" s="319">
        <f t="shared" si="6"/>
        <v>0.06</v>
      </c>
      <c r="BB28" s="318">
        <f t="shared" si="7"/>
        <v>0.05</v>
      </c>
      <c r="BC28" s="319">
        <f t="shared" si="8"/>
        <v>0.05</v>
      </c>
      <c r="BD28" s="319">
        <f t="shared" si="9"/>
        <v>0.08</v>
      </c>
      <c r="BE28" s="319">
        <f t="shared" si="10"/>
        <v>0.08</v>
      </c>
    </row>
    <row r="29" spans="1:71" outlineLevel="1" x14ac:dyDescent="0.2">
      <c r="A29" s="305" t="s">
        <v>556</v>
      </c>
      <c r="B29" s="1225"/>
      <c r="C29" s="317"/>
      <c r="D29" s="317"/>
      <c r="E29" s="317"/>
      <c r="F29" s="318"/>
      <c r="G29" s="319"/>
      <c r="H29" s="319"/>
      <c r="I29" s="319"/>
      <c r="J29" s="318"/>
      <c r="K29" s="319"/>
      <c r="L29" s="319"/>
      <c r="M29" s="319"/>
      <c r="N29" s="318"/>
      <c r="O29" s="319"/>
      <c r="P29" s="319"/>
      <c r="Q29" s="319"/>
      <c r="R29" s="318"/>
      <c r="S29" s="319"/>
      <c r="T29" s="319"/>
      <c r="U29" s="319"/>
      <c r="V29" s="318"/>
      <c r="W29" s="319"/>
      <c r="X29" s="319"/>
      <c r="Y29" s="319"/>
      <c r="Z29" s="318"/>
      <c r="AA29" s="319"/>
      <c r="AB29" s="319"/>
      <c r="AC29" s="319"/>
      <c r="AD29" s="318"/>
      <c r="AE29" s="319"/>
      <c r="AF29" s="319"/>
      <c r="AG29" s="319"/>
      <c r="AH29" s="318"/>
      <c r="AI29" s="319"/>
      <c r="AJ29" s="319"/>
      <c r="AK29" s="319"/>
      <c r="AL29" s="318" t="str">
        <f t="shared" ref="AL29:AS29" si="11">IFERROR(AL13+AH13,"NM")</f>
        <v>NM</v>
      </c>
      <c r="AM29" s="319" t="str">
        <f t="shared" si="11"/>
        <v>NM</v>
      </c>
      <c r="AN29" s="319" t="str">
        <f t="shared" si="11"/>
        <v>NM</v>
      </c>
      <c r="AO29" s="319" t="str">
        <f t="shared" si="11"/>
        <v>NM</v>
      </c>
      <c r="AP29" s="318">
        <f t="shared" si="11"/>
        <v>0.10700000000000001</v>
      </c>
      <c r="AQ29" s="319">
        <f t="shared" si="11"/>
        <v>0.111</v>
      </c>
      <c r="AR29" s="319">
        <f t="shared" si="11"/>
        <v>0.11700000000000001</v>
      </c>
      <c r="AS29" s="319">
        <f t="shared" si="11"/>
        <v>0.11000000000000001</v>
      </c>
      <c r="AT29" s="318">
        <f t="shared" si="6"/>
        <v>0.14700000000000002</v>
      </c>
      <c r="AU29" s="319">
        <f t="shared" si="6"/>
        <v>0.11</v>
      </c>
      <c r="AV29" s="319">
        <f t="shared" ref="AV29" si="12">IFERROR(AV13+AR13,"NM")</f>
        <v>5.9000000000000004E-2</v>
      </c>
      <c r="AW29" s="319">
        <f t="shared" ref="AW29" si="13">IFERROR(AW13+AS13,"NM")</f>
        <v>9.2999999999999999E-2</v>
      </c>
      <c r="AX29" s="318">
        <f t="shared" ref="AX29" si="14">IFERROR(AX13+AT13,"NM")</f>
        <v>0.1</v>
      </c>
      <c r="AY29" s="319">
        <f t="shared" ref="AY29" si="15">IFERROR(AY13+AU13,"NM")</f>
        <v>9.1999999999999998E-2</v>
      </c>
      <c r="AZ29" s="319">
        <f t="shared" si="6"/>
        <v>4.3999999999999997E-2</v>
      </c>
      <c r="BA29" s="319">
        <f t="shared" si="6"/>
        <v>0.1</v>
      </c>
      <c r="BB29" s="318">
        <f t="shared" si="7"/>
        <v>0.08</v>
      </c>
      <c r="BC29" s="319">
        <f t="shared" si="8"/>
        <v>0.1</v>
      </c>
      <c r="BD29" s="319">
        <f t="shared" si="9"/>
        <v>0.08</v>
      </c>
      <c r="BE29" s="319">
        <f t="shared" si="10"/>
        <v>0.1</v>
      </c>
    </row>
    <row r="30" spans="1:71" outlineLevel="1" x14ac:dyDescent="0.2">
      <c r="A30" s="305" t="s">
        <v>557</v>
      </c>
      <c r="B30" s="1225"/>
      <c r="C30" s="317"/>
      <c r="D30" s="317"/>
      <c r="E30" s="317"/>
      <c r="F30" s="318"/>
      <c r="G30" s="319"/>
      <c r="H30" s="319"/>
      <c r="I30" s="319"/>
      <c r="J30" s="318"/>
      <c r="K30" s="319"/>
      <c r="L30" s="319"/>
      <c r="M30" s="319"/>
      <c r="N30" s="318"/>
      <c r="O30" s="319"/>
      <c r="P30" s="319"/>
      <c r="Q30" s="319"/>
      <c r="R30" s="318"/>
      <c r="S30" s="319"/>
      <c r="T30" s="319"/>
      <c r="U30" s="319"/>
      <c r="V30" s="318"/>
      <c r="W30" s="319"/>
      <c r="X30" s="319"/>
      <c r="Y30" s="319"/>
      <c r="Z30" s="318"/>
      <c r="AA30" s="319"/>
      <c r="AB30" s="319"/>
      <c r="AC30" s="319"/>
      <c r="AD30" s="318"/>
      <c r="AE30" s="319"/>
      <c r="AF30" s="319"/>
      <c r="AG30" s="319"/>
      <c r="AH30" s="318"/>
      <c r="AI30" s="319"/>
      <c r="AJ30" s="319"/>
      <c r="AK30" s="319"/>
      <c r="AL30" s="318" t="str">
        <f t="shared" ref="AL30:AS30" si="16">IFERROR(AL14+AH14,"NM")</f>
        <v>NM</v>
      </c>
      <c r="AM30" s="319" t="str">
        <f t="shared" si="16"/>
        <v>NM</v>
      </c>
      <c r="AN30" s="319" t="str">
        <f t="shared" si="16"/>
        <v>NM</v>
      </c>
      <c r="AO30" s="319" t="str">
        <f t="shared" si="16"/>
        <v>NM</v>
      </c>
      <c r="AP30" s="318">
        <f t="shared" si="16"/>
        <v>0.16800000000000001</v>
      </c>
      <c r="AQ30" s="319">
        <f t="shared" si="16"/>
        <v>0.20800000000000002</v>
      </c>
      <c r="AR30" s="319">
        <f t="shared" si="16"/>
        <v>0.24099999999999999</v>
      </c>
      <c r="AS30" s="319">
        <f t="shared" si="16"/>
        <v>0.21099999999999999</v>
      </c>
      <c r="AT30" s="318"/>
      <c r="AU30" s="319"/>
      <c r="AV30" s="319"/>
      <c r="AW30" s="319"/>
      <c r="AX30" s="318"/>
      <c r="AY30" s="319"/>
      <c r="AZ30" s="319"/>
      <c r="BA30" s="319"/>
      <c r="BB30" s="318"/>
      <c r="BC30" s="319"/>
      <c r="BD30" s="319"/>
      <c r="BE30" s="319"/>
    </row>
    <row r="31" spans="1:71" outlineLevel="1" x14ac:dyDescent="0.2">
      <c r="A31" s="305" t="s">
        <v>555</v>
      </c>
      <c r="B31" s="1225"/>
      <c r="C31" s="317"/>
      <c r="D31" s="317"/>
      <c r="E31" s="317"/>
      <c r="F31" s="318"/>
      <c r="G31" s="319"/>
      <c r="H31" s="319"/>
      <c r="I31" s="319"/>
      <c r="J31" s="318"/>
      <c r="K31" s="319"/>
      <c r="L31" s="319"/>
      <c r="M31" s="319"/>
      <c r="N31" s="318"/>
      <c r="O31" s="319"/>
      <c r="P31" s="319"/>
      <c r="Q31" s="319"/>
      <c r="R31" s="318"/>
      <c r="S31" s="319"/>
      <c r="T31" s="319"/>
      <c r="U31" s="319"/>
      <c r="V31" s="318"/>
      <c r="W31" s="319"/>
      <c r="X31" s="319"/>
      <c r="Y31" s="319"/>
      <c r="Z31" s="318"/>
      <c r="AA31" s="319"/>
      <c r="AB31" s="319"/>
      <c r="AC31" s="319"/>
      <c r="AD31" s="318"/>
      <c r="AE31" s="319"/>
      <c r="AF31" s="319"/>
      <c r="AG31" s="319"/>
      <c r="AH31" s="318"/>
      <c r="AI31" s="319"/>
      <c r="AJ31" s="319"/>
      <c r="AK31" s="319"/>
      <c r="AL31" s="318"/>
      <c r="AM31" s="319"/>
      <c r="AN31" s="319"/>
      <c r="AO31" s="319"/>
      <c r="AP31" s="318" t="str">
        <f t="shared" ref="AP31:AS31" si="17">IFERROR(AP15+AL15,"NM")</f>
        <v>NM</v>
      </c>
      <c r="AQ31" s="319" t="str">
        <f t="shared" si="17"/>
        <v>NM</v>
      </c>
      <c r="AR31" s="319" t="str">
        <f t="shared" si="17"/>
        <v>NM</v>
      </c>
      <c r="AS31" s="319" t="str">
        <f t="shared" si="17"/>
        <v>NM</v>
      </c>
      <c r="AT31" s="318">
        <f t="shared" si="6"/>
        <v>0.09</v>
      </c>
      <c r="AU31" s="319">
        <f t="shared" si="6"/>
        <v>9.0999999999999998E-2</v>
      </c>
      <c r="AV31" s="319">
        <f t="shared" ref="AV31" si="18">IFERROR(AV15+AR15,"NM")</f>
        <v>0.10099999999999999</v>
      </c>
      <c r="AW31" s="319">
        <f t="shared" ref="AW31" si="19">IFERROR(AW15+AS15,"NM")</f>
        <v>0.109</v>
      </c>
      <c r="AX31" s="318">
        <f t="shared" ref="AX31" si="20">IFERROR(AX15+AT15,"NM")</f>
        <v>0.09</v>
      </c>
      <c r="AY31" s="319">
        <f t="shared" ref="AY31" si="21">IFERROR(AY15+AU15,"NM")</f>
        <v>7.2000000000000008E-2</v>
      </c>
      <c r="AZ31" s="319">
        <f t="shared" ref="AZ31" si="22">IFERROR(AZ15+AV15,"NM")</f>
        <v>0.11799999999999999</v>
      </c>
      <c r="BA31" s="319">
        <f t="shared" ref="BA31" si="23">IFERROR(BA15+AW15,"NM")</f>
        <v>0.05</v>
      </c>
      <c r="BB31" s="318">
        <f t="shared" ref="BB31" si="24">IFERROR(BB15+AX15,"NM")</f>
        <v>0.06</v>
      </c>
      <c r="BC31" s="319">
        <f t="shared" ref="BC31" si="25">IFERROR(BC15+AY15,"NM")</f>
        <v>0.06</v>
      </c>
      <c r="BD31" s="319">
        <f t="shared" ref="BD31" si="26">IFERROR(BD15+AZ15,"NM")</f>
        <v>0.06</v>
      </c>
      <c r="BE31" s="319">
        <f t="shared" ref="BE31" si="27">IFERROR(BE15+BA15,"NM")</f>
        <v>0.06</v>
      </c>
    </row>
    <row r="32" spans="1:71" x14ac:dyDescent="0.2">
      <c r="A32" s="349" t="str">
        <f>A16</f>
        <v>Corporate Sales (reported)</v>
      </c>
      <c r="B32" s="391"/>
      <c r="C32" s="303"/>
      <c r="D32" s="303"/>
      <c r="E32" s="303"/>
      <c r="F32" s="373" t="str">
        <f t="shared" ref="F32:O33" si="28">IFERROR(F16+B16,"NM")</f>
        <v>NM</v>
      </c>
      <c r="G32" s="374" t="str">
        <f t="shared" si="28"/>
        <v>NM</v>
      </c>
      <c r="H32" s="374" t="str">
        <f t="shared" si="28"/>
        <v>NM</v>
      </c>
      <c r="I32" s="374" t="str">
        <f t="shared" si="28"/>
        <v>NM</v>
      </c>
      <c r="J32" s="373" t="str">
        <f t="shared" si="28"/>
        <v>NM</v>
      </c>
      <c r="K32" s="374" t="str">
        <f t="shared" si="28"/>
        <v>NM</v>
      </c>
      <c r="L32" s="374" t="str">
        <f t="shared" si="28"/>
        <v>NM</v>
      </c>
      <c r="M32" s="374" t="str">
        <f t="shared" si="28"/>
        <v>NM</v>
      </c>
      <c r="N32" s="373" t="str">
        <f t="shared" si="28"/>
        <v>NM</v>
      </c>
      <c r="O32" s="374" t="str">
        <f t="shared" si="28"/>
        <v>NM</v>
      </c>
      <c r="P32" s="374" t="str">
        <f t="shared" ref="P32:Y33" si="29">IFERROR(P16+L16,"NM")</f>
        <v>NM</v>
      </c>
      <c r="Q32" s="374" t="str">
        <f t="shared" si="29"/>
        <v>NM</v>
      </c>
      <c r="R32" s="373" t="str">
        <f t="shared" si="29"/>
        <v>NM</v>
      </c>
      <c r="S32" s="374" t="str">
        <f t="shared" si="29"/>
        <v>NM</v>
      </c>
      <c r="T32" s="374" t="str">
        <f t="shared" si="29"/>
        <v>NM</v>
      </c>
      <c r="U32" s="374" t="str">
        <f t="shared" si="29"/>
        <v>NM</v>
      </c>
      <c r="V32" s="373" t="str">
        <f t="shared" si="29"/>
        <v>NM</v>
      </c>
      <c r="W32" s="374" t="str">
        <f t="shared" si="29"/>
        <v>NM</v>
      </c>
      <c r="X32" s="374" t="str">
        <f t="shared" si="29"/>
        <v>NM</v>
      </c>
      <c r="Y32" s="374" t="str">
        <f t="shared" si="29"/>
        <v>NM</v>
      </c>
      <c r="Z32" s="373" t="str">
        <f t="shared" ref="Z32:AI33" si="30">IFERROR(Z16+V16,"NM")</f>
        <v>NM</v>
      </c>
      <c r="AA32" s="374" t="str">
        <f t="shared" si="30"/>
        <v>NM</v>
      </c>
      <c r="AB32" s="374" t="str">
        <f t="shared" si="30"/>
        <v>NM</v>
      </c>
      <c r="AC32" s="374" t="str">
        <f t="shared" si="30"/>
        <v>NM</v>
      </c>
      <c r="AD32" s="373" t="str">
        <f t="shared" si="30"/>
        <v>NM</v>
      </c>
      <c r="AE32" s="374" t="str">
        <f t="shared" si="30"/>
        <v>NM</v>
      </c>
      <c r="AF32" s="374" t="str">
        <f t="shared" si="30"/>
        <v>NM</v>
      </c>
      <c r="AG32" s="374" t="str">
        <f t="shared" si="30"/>
        <v>NM</v>
      </c>
      <c r="AH32" s="373" t="str">
        <f t="shared" si="30"/>
        <v>NM</v>
      </c>
      <c r="AI32" s="374" t="str">
        <f t="shared" si="30"/>
        <v>NM</v>
      </c>
      <c r="AJ32" s="374" t="str">
        <f t="shared" ref="AJ32:AS33" si="31">IFERROR(AJ16+AF16,"NM")</f>
        <v>NM</v>
      </c>
      <c r="AK32" s="374" t="str">
        <f t="shared" si="31"/>
        <v>NM</v>
      </c>
      <c r="AL32" s="373" t="str">
        <f t="shared" si="31"/>
        <v>NM</v>
      </c>
      <c r="AM32" s="374" t="str">
        <f t="shared" si="31"/>
        <v>NM</v>
      </c>
      <c r="AN32" s="374" t="str">
        <f t="shared" si="31"/>
        <v>NM</v>
      </c>
      <c r="AO32" s="374" t="str">
        <f t="shared" si="31"/>
        <v>NM</v>
      </c>
      <c r="AP32" s="373">
        <f t="shared" si="31"/>
        <v>0.48340091735096724</v>
      </c>
      <c r="AQ32" s="374">
        <f t="shared" si="31"/>
        <v>0.18498748088634276</v>
      </c>
      <c r="AR32" s="374">
        <f t="shared" si="31"/>
        <v>-4.2086307743976259E-2</v>
      </c>
      <c r="AS32" s="374">
        <f t="shared" si="31"/>
        <v>4.1434913470400625E-3</v>
      </c>
      <c r="AT32" s="373">
        <f t="shared" ref="AT32:BA33" si="32">IFERROR(AT16+AP16,"NM")</f>
        <v>3.464760148842283E-2</v>
      </c>
      <c r="AU32" s="374">
        <f t="shared" si="32"/>
        <v>-0.39645176707650287</v>
      </c>
      <c r="AV32" s="1408">
        <f t="shared" si="32"/>
        <v>-1.0784071663493457</v>
      </c>
      <c r="AW32" s="374">
        <f t="shared" si="32"/>
        <v>-0.55424354243542429</v>
      </c>
      <c r="AX32" s="373">
        <f t="shared" si="32"/>
        <v>-0.3998512508451656</v>
      </c>
      <c r="AY32" s="374">
        <f t="shared" si="32"/>
        <v>-0.12668622930203319</v>
      </c>
      <c r="AZ32" s="374">
        <f t="shared" si="32"/>
        <v>-0.72840197693574948</v>
      </c>
      <c r="BA32" s="374">
        <f t="shared" si="32"/>
        <v>-0.52</v>
      </c>
      <c r="BB32" s="373">
        <f t="shared" ref="BB32:BB33" si="33">IFERROR(BB16+AX16,"NM")</f>
        <v>0</v>
      </c>
      <c r="BC32" s="374">
        <f t="shared" ref="BC32:BC33" si="34">IFERROR(BC16+AY16,"NM")</f>
        <v>0</v>
      </c>
      <c r="BD32" s="374">
        <f t="shared" ref="BD32:BD33" si="35">IFERROR(BD16+AZ16,"NM")</f>
        <v>0</v>
      </c>
      <c r="BE32" s="374">
        <f t="shared" ref="BE32:BE33" si="36">IFERROR(BE16+BA16,"NM")</f>
        <v>0</v>
      </c>
    </row>
    <row r="33" spans="1:71" x14ac:dyDescent="0.2">
      <c r="A33" s="309" t="str">
        <f>A17</f>
        <v>Organic Growth</v>
      </c>
      <c r="B33" s="394"/>
      <c r="C33" s="320"/>
      <c r="D33" s="320"/>
      <c r="E33" s="320"/>
      <c r="F33" s="321" t="str">
        <f t="shared" si="28"/>
        <v>NM</v>
      </c>
      <c r="G33" s="320" t="str">
        <f t="shared" si="28"/>
        <v>NM</v>
      </c>
      <c r="H33" s="320" t="str">
        <f t="shared" si="28"/>
        <v>NM</v>
      </c>
      <c r="I33" s="320" t="str">
        <f t="shared" si="28"/>
        <v>NM</v>
      </c>
      <c r="J33" s="321">
        <f t="shared" si="28"/>
        <v>0.13022406333990588</v>
      </c>
      <c r="K33" s="320">
        <f t="shared" si="28"/>
        <v>9.2348152195739344E-2</v>
      </c>
      <c r="L33" s="320">
        <f t="shared" si="28"/>
        <v>0.13066631063485282</v>
      </c>
      <c r="M33" s="320">
        <f t="shared" si="28"/>
        <v>6.8140142894017944E-2</v>
      </c>
      <c r="N33" s="321">
        <f t="shared" si="28"/>
        <v>0.1253222741932325</v>
      </c>
      <c r="O33" s="320">
        <f t="shared" si="28"/>
        <v>9.6619272575390505E-2</v>
      </c>
      <c r="P33" s="320">
        <f t="shared" si="29"/>
        <v>6.0189130744707255E-2</v>
      </c>
      <c r="Q33" s="320">
        <f t="shared" si="29"/>
        <v>3.6110355543893261E-2</v>
      </c>
      <c r="R33" s="321">
        <f t="shared" si="29"/>
        <v>0.12003299684483229</v>
      </c>
      <c r="S33" s="320">
        <f t="shared" si="29"/>
        <v>0.10033732344386354</v>
      </c>
      <c r="T33" s="320">
        <f t="shared" si="29"/>
        <v>7.6105474197400505E-3</v>
      </c>
      <c r="U33" s="320">
        <f t="shared" si="29"/>
        <v>7.8370233652384436E-2</v>
      </c>
      <c r="V33" s="321">
        <f t="shared" si="29"/>
        <v>4.6999999999999993E-2</v>
      </c>
      <c r="W33" s="320">
        <f t="shared" si="29"/>
        <v>1.7000000000000001E-2</v>
      </c>
      <c r="X33" s="320">
        <f t="shared" si="29"/>
        <v>6.0999999999999999E-2</v>
      </c>
      <c r="Y33" s="320">
        <f t="shared" si="29"/>
        <v>0.10510572178755981</v>
      </c>
      <c r="Z33" s="321">
        <f t="shared" si="30"/>
        <v>3.9E-2</v>
      </c>
      <c r="AA33" s="320">
        <f t="shared" si="30"/>
        <v>-3.0000000000000001E-3</v>
      </c>
      <c r="AB33" s="320">
        <f t="shared" si="30"/>
        <v>9.4E-2</v>
      </c>
      <c r="AC33" s="320">
        <f t="shared" si="30"/>
        <v>7.9125677508276079E-2</v>
      </c>
      <c r="AD33" s="321">
        <f t="shared" si="30"/>
        <v>3.5999999999999997E-2</v>
      </c>
      <c r="AE33" s="320">
        <f t="shared" si="30"/>
        <v>2.5999999999999988E-2</v>
      </c>
      <c r="AF33" s="320">
        <f t="shared" si="30"/>
        <v>4.2999999999999997E-2</v>
      </c>
      <c r="AG33" s="320">
        <f t="shared" si="30"/>
        <v>2.7754277994887659E-2</v>
      </c>
      <c r="AH33" s="321">
        <f t="shared" si="30"/>
        <v>2.5272186066149151E-2</v>
      </c>
      <c r="AI33" s="320">
        <f t="shared" si="30"/>
        <v>8.8376168630961149E-2</v>
      </c>
      <c r="AJ33" s="320">
        <f t="shared" si="31"/>
        <v>4.6462368664958384E-2</v>
      </c>
      <c r="AK33" s="320">
        <f t="shared" si="31"/>
        <v>6.458973628220821E-2</v>
      </c>
      <c r="AL33" s="321">
        <f t="shared" si="31"/>
        <v>5.859691374241946E-2</v>
      </c>
      <c r="AM33" s="320">
        <f t="shared" si="31"/>
        <v>0.10019061732348414</v>
      </c>
      <c r="AN33" s="320">
        <f t="shared" si="31"/>
        <v>8.8014379976958504E-2</v>
      </c>
      <c r="AO33" s="320">
        <f t="shared" si="31"/>
        <v>9.1759986126421722E-2</v>
      </c>
      <c r="AP33" s="321">
        <f t="shared" si="31"/>
        <v>8.032472767627033E-2</v>
      </c>
      <c r="AQ33" s="320">
        <f t="shared" si="31"/>
        <v>7.1814448692522986E-2</v>
      </c>
      <c r="AR33" s="320">
        <f t="shared" si="31"/>
        <v>8.2552011312000115E-2</v>
      </c>
      <c r="AS33" s="320">
        <f t="shared" si="31"/>
        <v>3.3225624432343517E-2</v>
      </c>
      <c r="AT33" s="321">
        <f t="shared" si="32"/>
        <v>4.7000000000000028E-2</v>
      </c>
      <c r="AU33" s="320">
        <f t="shared" si="32"/>
        <v>1.8524741563669362E-2</v>
      </c>
      <c r="AV33" s="320">
        <f t="shared" si="32"/>
        <v>-1.2999999999999999E-2</v>
      </c>
      <c r="AW33" s="320">
        <f t="shared" si="32"/>
        <v>-9.8920421659670979E-4</v>
      </c>
      <c r="AX33" s="321">
        <f t="shared" si="32"/>
        <v>-5.7580466446593825E-3</v>
      </c>
      <c r="AY33" s="320">
        <f t="shared" si="32"/>
        <v>1.1300169368512688E-2</v>
      </c>
      <c r="AZ33" s="320">
        <f t="shared" si="32"/>
        <v>1.2747469135894474E-4</v>
      </c>
      <c r="BA33" s="320">
        <f t="shared" si="32"/>
        <v>2.849498871807659E-2</v>
      </c>
      <c r="BB33" s="321">
        <f t="shared" si="33"/>
        <v>2.995371695872575E-2</v>
      </c>
      <c r="BC33" s="320">
        <f t="shared" si="34"/>
        <v>5.8075388894516182E-2</v>
      </c>
      <c r="BD33" s="320">
        <f t="shared" si="35"/>
        <v>5.3758991424842542E-2</v>
      </c>
      <c r="BE33" s="320">
        <f t="shared" si="36"/>
        <v>6.4696700225516546E-2</v>
      </c>
      <c r="BF33" s="303"/>
      <c r="BG33" s="303"/>
      <c r="BH33" s="303"/>
      <c r="BI33" s="303"/>
      <c r="BJ33" s="303"/>
      <c r="BK33" s="303"/>
      <c r="BL33" s="303"/>
      <c r="BM33" s="303"/>
      <c r="BN33" s="303"/>
      <c r="BO33" s="303"/>
      <c r="BP33" s="303"/>
      <c r="BQ33" s="303"/>
      <c r="BR33" s="303"/>
      <c r="BS33" s="303"/>
    </row>
    <row r="34" spans="1:71" s="303" customFormat="1" outlineLevel="1" x14ac:dyDescent="0.2">
      <c r="A34" s="324"/>
      <c r="B34" s="324"/>
      <c r="C34" s="324"/>
      <c r="D34" s="324"/>
      <c r="E34" s="324"/>
      <c r="F34" s="324"/>
      <c r="G34" s="324"/>
      <c r="H34" s="324"/>
      <c r="I34" s="324"/>
      <c r="J34" s="324"/>
      <c r="K34" s="324"/>
      <c r="L34" s="324"/>
      <c r="M34" s="324"/>
      <c r="N34" s="324"/>
      <c r="O34" s="324"/>
      <c r="P34" s="324"/>
      <c r="Q34" s="324"/>
      <c r="R34" s="324"/>
      <c r="S34" s="324"/>
      <c r="T34" s="324"/>
      <c r="U34" s="324"/>
      <c r="V34" s="324"/>
      <c r="W34" s="324"/>
      <c r="X34" s="324"/>
      <c r="Y34" s="324"/>
      <c r="Z34" s="324"/>
      <c r="AA34" s="324"/>
      <c r="AB34" s="324"/>
      <c r="AC34" s="324"/>
      <c r="AD34" s="324"/>
      <c r="AE34" s="324"/>
      <c r="AF34" s="324"/>
      <c r="AG34" s="324"/>
      <c r="AH34" s="324"/>
      <c r="AI34" s="325"/>
      <c r="AJ34" s="324"/>
      <c r="AK34" s="324"/>
      <c r="AL34" s="324"/>
      <c r="AM34" s="324"/>
      <c r="AN34" s="324"/>
      <c r="AO34" s="324"/>
      <c r="AP34" s="324"/>
      <c r="AQ34" s="324"/>
      <c r="AR34" s="324"/>
      <c r="AS34" s="324"/>
      <c r="AT34" s="324"/>
      <c r="AU34" s="324"/>
      <c r="AV34" s="324"/>
      <c r="AW34" s="324"/>
      <c r="AX34" s="324"/>
      <c r="AY34" s="324"/>
      <c r="AZ34" s="324"/>
      <c r="BA34" s="324"/>
      <c r="BB34" s="324"/>
      <c r="BC34" s="324"/>
      <c r="BD34" s="324"/>
      <c r="BE34" s="324"/>
      <c r="BF34" s="326"/>
      <c r="BG34" s="326"/>
      <c r="BH34" s="326"/>
      <c r="BI34" s="326"/>
      <c r="BJ34" s="326"/>
      <c r="BK34" s="326"/>
      <c r="BL34" s="326"/>
      <c r="BM34" s="326"/>
      <c r="BN34" s="326"/>
      <c r="BO34" s="326"/>
      <c r="BP34" s="326"/>
      <c r="BQ34" s="326"/>
      <c r="BR34" s="326"/>
      <c r="BS34" s="326"/>
    </row>
    <row r="35" spans="1:71" s="303" customFormat="1" x14ac:dyDescent="0.2">
      <c r="A35" s="324"/>
      <c r="B35" s="324"/>
      <c r="C35" s="324"/>
      <c r="D35" s="324"/>
      <c r="E35" s="324"/>
      <c r="F35" s="324"/>
      <c r="G35" s="324"/>
      <c r="H35" s="324"/>
      <c r="I35" s="324"/>
      <c r="J35" s="324"/>
      <c r="K35" s="324"/>
      <c r="L35" s="324"/>
      <c r="M35" s="324"/>
      <c r="N35" s="324"/>
      <c r="O35" s="324"/>
      <c r="P35" s="324"/>
      <c r="Q35" s="324"/>
      <c r="R35" s="324"/>
      <c r="S35" s="324"/>
      <c r="T35" s="324"/>
      <c r="U35" s="324"/>
      <c r="V35" s="324"/>
      <c r="W35" s="324"/>
      <c r="X35" s="324"/>
      <c r="Y35" s="324"/>
      <c r="Z35" s="324"/>
      <c r="AA35" s="324"/>
      <c r="AB35" s="324"/>
      <c r="AC35" s="324"/>
      <c r="AD35" s="324"/>
      <c r="AE35" s="324"/>
      <c r="AF35" s="324"/>
      <c r="AG35" s="324"/>
      <c r="AH35" s="324"/>
      <c r="AI35" s="325"/>
      <c r="AJ35" s="324"/>
      <c r="AK35" s="324"/>
      <c r="AL35" s="324"/>
      <c r="AM35" s="324"/>
      <c r="AN35" s="324"/>
      <c r="AO35" s="324"/>
      <c r="AP35" s="250"/>
      <c r="AQ35" s="324"/>
      <c r="AR35" s="324"/>
      <c r="AS35" s="324"/>
      <c r="AT35" s="324"/>
      <c r="AU35" s="324"/>
      <c r="AV35" s="324"/>
      <c r="AW35" s="324"/>
      <c r="AX35" s="324"/>
      <c r="AY35" s="324"/>
      <c r="AZ35" s="324"/>
      <c r="BA35" s="324"/>
      <c r="BB35" s="324"/>
      <c r="BC35" s="324"/>
      <c r="BD35" s="324"/>
      <c r="BE35" s="324"/>
      <c r="BF35" s="326"/>
      <c r="BG35" s="326"/>
      <c r="BH35" s="326"/>
      <c r="BI35" s="326"/>
      <c r="BJ35" s="326"/>
      <c r="BK35" s="326"/>
      <c r="BL35" s="326"/>
      <c r="BM35" s="326"/>
      <c r="BN35" s="326"/>
      <c r="BO35" s="326"/>
      <c r="BP35" s="326"/>
      <c r="BQ35" s="326"/>
      <c r="BR35" s="326"/>
      <c r="BS35" s="326"/>
    </row>
    <row r="36" spans="1:71" s="303" customFormat="1" x14ac:dyDescent="0.2">
      <c r="A36" s="324"/>
      <c r="B36" s="324"/>
      <c r="C36" s="324"/>
      <c r="D36" s="324"/>
      <c r="E36" s="324"/>
      <c r="F36" s="324"/>
      <c r="G36" s="324"/>
      <c r="H36" s="324"/>
      <c r="I36" s="324"/>
      <c r="J36" s="324"/>
      <c r="K36" s="324"/>
      <c r="L36" s="324"/>
      <c r="M36" s="324"/>
      <c r="N36" s="324"/>
      <c r="O36" s="324"/>
      <c r="P36" s="324"/>
      <c r="Q36" s="324"/>
      <c r="R36" s="324"/>
      <c r="S36" s="324"/>
      <c r="T36" s="324"/>
      <c r="U36" s="324"/>
      <c r="V36" s="324"/>
      <c r="W36" s="324"/>
      <c r="X36" s="324"/>
      <c r="Y36" s="324"/>
      <c r="Z36" s="324"/>
      <c r="AA36" s="324"/>
      <c r="AB36" s="324"/>
      <c r="AC36" s="324"/>
      <c r="AD36" s="324"/>
      <c r="AE36" s="324"/>
      <c r="AF36" s="324"/>
      <c r="AG36" s="324"/>
      <c r="AH36" s="324"/>
      <c r="AI36" s="325"/>
      <c r="AJ36" s="324"/>
      <c r="AK36" s="324"/>
      <c r="AL36" s="324"/>
      <c r="AM36" s="324"/>
      <c r="AN36" s="324"/>
      <c r="AO36" s="324"/>
      <c r="AP36" s="324"/>
      <c r="AQ36" s="324"/>
      <c r="AR36" s="324"/>
      <c r="AS36" s="324"/>
      <c r="AT36" s="324"/>
      <c r="AU36" s="324"/>
      <c r="AV36" s="324"/>
      <c r="AW36" s="324"/>
      <c r="AX36" s="324"/>
      <c r="AY36" s="324"/>
      <c r="AZ36" s="324"/>
      <c r="BA36" s="324"/>
      <c r="BB36" s="324"/>
      <c r="BC36" s="324"/>
      <c r="BD36" s="324"/>
      <c r="BE36" s="324"/>
      <c r="BF36" s="326"/>
      <c r="BG36" s="326"/>
      <c r="BH36" s="326"/>
      <c r="BI36" s="326"/>
      <c r="BJ36" s="326"/>
      <c r="BK36" s="326"/>
      <c r="BL36" s="326"/>
      <c r="BM36" s="326"/>
      <c r="BN36" s="326"/>
      <c r="BO36" s="326"/>
      <c r="BP36" s="326"/>
      <c r="BQ36" s="326"/>
      <c r="BR36" s="326"/>
      <c r="BS36" s="326"/>
    </row>
    <row r="37" spans="1:71" s="303" customFormat="1" x14ac:dyDescent="0.2">
      <c r="A37" s="300" t="s">
        <v>444</v>
      </c>
      <c r="B37" s="327"/>
      <c r="C37" s="327"/>
      <c r="D37" s="327"/>
      <c r="E37" s="327"/>
      <c r="F37" s="327"/>
      <c r="G37" s="327"/>
      <c r="H37" s="327"/>
      <c r="I37" s="327"/>
      <c r="J37" s="327"/>
      <c r="K37" s="327"/>
      <c r="L37" s="327"/>
      <c r="M37" s="327"/>
      <c r="N37" s="327"/>
      <c r="O37" s="327"/>
      <c r="P37" s="327"/>
      <c r="Q37" s="327"/>
      <c r="R37" s="327"/>
      <c r="S37" s="327"/>
      <c r="T37" s="327"/>
      <c r="U37" s="327"/>
      <c r="V37" s="327"/>
      <c r="W37" s="327"/>
      <c r="X37" s="327"/>
      <c r="Y37" s="327"/>
      <c r="Z37" s="327"/>
      <c r="AA37" s="327"/>
      <c r="AB37" s="327"/>
      <c r="AC37" s="327"/>
      <c r="AD37" s="327"/>
      <c r="AE37" s="327"/>
      <c r="AF37" s="327"/>
      <c r="AG37" s="327"/>
      <c r="AH37" s="327"/>
      <c r="AI37" s="327"/>
      <c r="AJ37" s="327"/>
      <c r="AK37" s="327"/>
      <c r="AL37" s="327"/>
      <c r="AM37" s="327"/>
      <c r="AN37" s="327"/>
      <c r="AO37" s="327"/>
      <c r="AP37" s="327"/>
      <c r="AQ37" s="327"/>
      <c r="AR37" s="327"/>
      <c r="AS37" s="327"/>
      <c r="AT37" s="327"/>
      <c r="AU37" s="327"/>
      <c r="AV37" s="327"/>
      <c r="AW37" s="327"/>
      <c r="AX37" s="327"/>
      <c r="AY37" s="327"/>
      <c r="AZ37" s="327"/>
      <c r="BA37" s="327"/>
      <c r="BB37" s="327"/>
      <c r="BC37" s="327"/>
      <c r="BD37" s="327"/>
      <c r="BE37" s="327"/>
      <c r="BF37" s="326"/>
      <c r="BG37" s="326"/>
      <c r="BH37" s="326"/>
      <c r="BI37" s="326"/>
      <c r="BJ37" s="326"/>
      <c r="BK37" s="326"/>
      <c r="BL37" s="326"/>
      <c r="BM37" s="326"/>
      <c r="BN37" s="326"/>
      <c r="BO37" s="326"/>
      <c r="BP37" s="326"/>
      <c r="BQ37" s="326"/>
      <c r="BR37" s="326"/>
      <c r="BS37" s="326"/>
    </row>
    <row r="38" spans="1:71" x14ac:dyDescent="0.2">
      <c r="A38" s="301"/>
      <c r="B38" s="389" t="str">
        <f>B$4</f>
        <v>1Q07</v>
      </c>
      <c r="C38" s="301" t="str">
        <f t="shared" ref="C38:AW38" si="37">C$4</f>
        <v>2Q07</v>
      </c>
      <c r="D38" s="301" t="str">
        <f t="shared" si="37"/>
        <v>3Q07</v>
      </c>
      <c r="E38" s="301" t="str">
        <f t="shared" si="37"/>
        <v>4Q07</v>
      </c>
      <c r="F38" s="302" t="str">
        <f t="shared" si="37"/>
        <v>1Q08</v>
      </c>
      <c r="G38" s="301" t="str">
        <f t="shared" si="37"/>
        <v>2Q08</v>
      </c>
      <c r="H38" s="301" t="str">
        <f t="shared" si="37"/>
        <v>3Q08</v>
      </c>
      <c r="I38" s="301" t="str">
        <f t="shared" si="37"/>
        <v>4Q08</v>
      </c>
      <c r="J38" s="302" t="str">
        <f t="shared" si="37"/>
        <v>1Q09</v>
      </c>
      <c r="K38" s="301" t="str">
        <f t="shared" si="37"/>
        <v>2Q09</v>
      </c>
      <c r="L38" s="301" t="str">
        <f t="shared" si="37"/>
        <v>3Q09</v>
      </c>
      <c r="M38" s="301" t="str">
        <f t="shared" si="37"/>
        <v>4Q09</v>
      </c>
      <c r="N38" s="302" t="str">
        <f t="shared" si="37"/>
        <v>1Q10</v>
      </c>
      <c r="O38" s="301" t="str">
        <f t="shared" si="37"/>
        <v>2Q10</v>
      </c>
      <c r="P38" s="301" t="str">
        <f t="shared" si="37"/>
        <v>3Q10</v>
      </c>
      <c r="Q38" s="301" t="str">
        <f t="shared" si="37"/>
        <v>4Q10</v>
      </c>
      <c r="R38" s="302" t="str">
        <f t="shared" si="37"/>
        <v>1Q11</v>
      </c>
      <c r="S38" s="301" t="str">
        <f t="shared" si="37"/>
        <v>2Q11</v>
      </c>
      <c r="T38" s="301" t="str">
        <f t="shared" si="37"/>
        <v>3Q11</v>
      </c>
      <c r="U38" s="301" t="str">
        <f t="shared" si="37"/>
        <v>4Q11</v>
      </c>
      <c r="V38" s="302" t="str">
        <f t="shared" si="37"/>
        <v>1Q12</v>
      </c>
      <c r="W38" s="301" t="str">
        <f t="shared" si="37"/>
        <v>2Q12</v>
      </c>
      <c r="X38" s="301" t="str">
        <f t="shared" si="37"/>
        <v>3Q12</v>
      </c>
      <c r="Y38" s="301" t="str">
        <f t="shared" si="37"/>
        <v>4Q12</v>
      </c>
      <c r="Z38" s="302" t="str">
        <f t="shared" si="37"/>
        <v>1Q13</v>
      </c>
      <c r="AA38" s="301" t="str">
        <f t="shared" si="37"/>
        <v>2Q13</v>
      </c>
      <c r="AB38" s="301" t="str">
        <f t="shared" si="37"/>
        <v>3Q13</v>
      </c>
      <c r="AC38" s="301" t="str">
        <f t="shared" si="37"/>
        <v>4Q13</v>
      </c>
      <c r="AD38" s="302" t="str">
        <f t="shared" si="37"/>
        <v>1Q14</v>
      </c>
      <c r="AE38" s="301" t="str">
        <f t="shared" si="37"/>
        <v>2Q14</v>
      </c>
      <c r="AF38" s="301" t="str">
        <f t="shared" si="37"/>
        <v>3Q14</v>
      </c>
      <c r="AG38" s="301" t="str">
        <f t="shared" si="37"/>
        <v>4Q14</v>
      </c>
      <c r="AH38" s="302" t="str">
        <f t="shared" si="37"/>
        <v>1Q15</v>
      </c>
      <c r="AI38" s="301" t="str">
        <f t="shared" si="37"/>
        <v>2Q15</v>
      </c>
      <c r="AJ38" s="301" t="str">
        <f t="shared" si="37"/>
        <v>3Q15</v>
      </c>
      <c r="AK38" s="301" t="str">
        <f t="shared" si="37"/>
        <v>4Q15</v>
      </c>
      <c r="AL38" s="302" t="str">
        <f t="shared" si="37"/>
        <v>1Q16</v>
      </c>
      <c r="AM38" s="301" t="str">
        <f t="shared" si="37"/>
        <v>2Q16</v>
      </c>
      <c r="AN38" s="301" t="str">
        <f t="shared" si="37"/>
        <v>3Q16</v>
      </c>
      <c r="AO38" s="301" t="str">
        <f t="shared" si="37"/>
        <v>4Q16</v>
      </c>
      <c r="AP38" s="302" t="str">
        <f t="shared" si="37"/>
        <v>1Q17</v>
      </c>
      <c r="AQ38" s="301" t="str">
        <f t="shared" si="37"/>
        <v>2Q17</v>
      </c>
      <c r="AR38" s="301" t="str">
        <f t="shared" si="37"/>
        <v>3Q17</v>
      </c>
      <c r="AS38" s="301" t="str">
        <f t="shared" si="37"/>
        <v>4Q17</v>
      </c>
      <c r="AT38" s="302" t="str">
        <f t="shared" si="37"/>
        <v>1Q18</v>
      </c>
      <c r="AU38" s="301" t="str">
        <f t="shared" si="37"/>
        <v>2Q18</v>
      </c>
      <c r="AV38" s="301" t="str">
        <f t="shared" si="37"/>
        <v>3Q18</v>
      </c>
      <c r="AW38" s="301" t="str">
        <f t="shared" si="37"/>
        <v>4Q18E</v>
      </c>
      <c r="AX38" s="302" t="str">
        <f t="shared" ref="AX38:BE38" si="38">AX$4</f>
        <v>1Q19E</v>
      </c>
      <c r="AY38" s="301" t="str">
        <f t="shared" si="38"/>
        <v>2Q19E</v>
      </c>
      <c r="AZ38" s="301" t="str">
        <f t="shared" si="38"/>
        <v>3Q19E</v>
      </c>
      <c r="BA38" s="301" t="str">
        <f t="shared" si="38"/>
        <v>4Q19E</v>
      </c>
      <c r="BB38" s="302" t="str">
        <f t="shared" si="38"/>
        <v>1Q20E</v>
      </c>
      <c r="BC38" s="301" t="str">
        <f t="shared" si="38"/>
        <v>2Q20E</v>
      </c>
      <c r="BD38" s="301" t="str">
        <f t="shared" si="38"/>
        <v>3Q20E</v>
      </c>
      <c r="BE38" s="301" t="str">
        <f t="shared" si="38"/>
        <v>4Q20E</v>
      </c>
      <c r="BF38" s="303"/>
      <c r="BG38" s="303"/>
      <c r="BH38" s="303"/>
      <c r="BI38" s="303"/>
      <c r="BJ38" s="303"/>
      <c r="BK38" s="303"/>
      <c r="BL38" s="303"/>
      <c r="BM38" s="303"/>
      <c r="BN38" s="303"/>
      <c r="BO38" s="303"/>
      <c r="BP38" s="303"/>
      <c r="BQ38" s="303"/>
      <c r="BR38" s="303"/>
      <c r="BS38" s="303"/>
    </row>
    <row r="39" spans="1:71" x14ac:dyDescent="0.2">
      <c r="A39" s="349" t="s">
        <v>307</v>
      </c>
      <c r="B39" s="395"/>
      <c r="C39" s="379"/>
      <c r="D39" s="379"/>
      <c r="E39" s="379"/>
      <c r="F39" s="380"/>
      <c r="G39" s="379"/>
      <c r="H39" s="379"/>
      <c r="I39" s="379"/>
      <c r="J39" s="380"/>
      <c r="K39" s="379"/>
      <c r="L39" s="379"/>
      <c r="M39" s="379"/>
      <c r="N39" s="380">
        <f t="shared" ref="N39:BA39" si="39">(N80/2)/J49</f>
        <v>7.1620045779355228E-3</v>
      </c>
      <c r="O39" s="379">
        <f t="shared" si="39"/>
        <v>7.6491174229794132E-3</v>
      </c>
      <c r="P39" s="379">
        <f t="shared" si="39"/>
        <v>-2.4522310576231827E-3</v>
      </c>
      <c r="Q39" s="379">
        <f t="shared" si="39"/>
        <v>-1.3815804886917174E-2</v>
      </c>
      <c r="R39" s="381">
        <f t="shared" si="39"/>
        <v>2.1340586233417184E-3</v>
      </c>
      <c r="S39" s="382">
        <f t="shared" si="39"/>
        <v>2.4091053154791712E-2</v>
      </c>
      <c r="T39" s="382">
        <f t="shared" si="39"/>
        <v>4.4918546234484049E-3</v>
      </c>
      <c r="U39" s="382">
        <f t="shared" si="39"/>
        <v>-3.8561969177581543E-3</v>
      </c>
      <c r="V39" s="381">
        <f t="shared" si="39"/>
        <v>1.3846453606005775E-2</v>
      </c>
      <c r="W39" s="382">
        <f t="shared" si="39"/>
        <v>1.5912941886685249E-2</v>
      </c>
      <c r="X39" s="382">
        <f t="shared" si="39"/>
        <v>2.0835559054156912E-2</v>
      </c>
      <c r="Y39" s="382">
        <f t="shared" si="39"/>
        <v>2.8512266192071468E-2</v>
      </c>
      <c r="Z39" s="381">
        <f t="shared" si="39"/>
        <v>2.6830274463924463E-2</v>
      </c>
      <c r="AA39" s="382">
        <f t="shared" si="39"/>
        <v>4.9343572070722165E-3</v>
      </c>
      <c r="AB39" s="382">
        <f t="shared" si="39"/>
        <v>2.2742313330832122E-2</v>
      </c>
      <c r="AC39" s="382">
        <f t="shared" si="39"/>
        <v>5.1337820733324206E-2</v>
      </c>
      <c r="AD39" s="381">
        <f t="shared" si="39"/>
        <v>3.3037119398934063E-2</v>
      </c>
      <c r="AE39" s="382">
        <f t="shared" si="39"/>
        <v>1.5097169438531252E-2</v>
      </c>
      <c r="AF39" s="382">
        <f t="shared" si="39"/>
        <v>1.9519618304405153E-2</v>
      </c>
      <c r="AG39" s="382">
        <f t="shared" si="39"/>
        <v>2.4880420686569274E-2</v>
      </c>
      <c r="AH39" s="381">
        <f t="shared" si="39"/>
        <v>6.7256086339139345E-3</v>
      </c>
      <c r="AI39" s="382">
        <f t="shared" si="39"/>
        <v>1.9615567034661083E-2</v>
      </c>
      <c r="AJ39" s="382">
        <f t="shared" si="39"/>
        <v>2.1317798478110141E-2</v>
      </c>
      <c r="AK39" s="382">
        <f t="shared" si="39"/>
        <v>2.3462064982146546E-2</v>
      </c>
      <c r="AL39" s="381">
        <f t="shared" si="39"/>
        <v>3.3290041980275402E-2</v>
      </c>
      <c r="AM39" s="382">
        <f t="shared" si="39"/>
        <v>3.0744336742958567E-2</v>
      </c>
      <c r="AN39" s="382">
        <f t="shared" si="39"/>
        <v>3.6120719555231634E-2</v>
      </c>
      <c r="AO39" s="382">
        <f t="shared" si="39"/>
        <v>3.3106725769169836E-2</v>
      </c>
      <c r="AP39" s="381">
        <f t="shared" si="39"/>
        <v>3.6416587407431894E-2</v>
      </c>
      <c r="AQ39" s="382">
        <f t="shared" si="39"/>
        <v>1.7228847439475024E-2</v>
      </c>
      <c r="AR39" s="382">
        <f t="shared" si="39"/>
        <v>1.9750894690042046E-2</v>
      </c>
      <c r="AS39" s="382">
        <f t="shared" si="39"/>
        <v>-9.7950408068335579E-3</v>
      </c>
      <c r="AT39" s="381">
        <f t="shared" si="39"/>
        <v>-3.1458702806180135E-2</v>
      </c>
      <c r="AU39" s="382">
        <f t="shared" si="39"/>
        <v>-2.3458946116089646E-2</v>
      </c>
      <c r="AV39" s="382">
        <f t="shared" si="39"/>
        <v>-4.322334763061135E-2</v>
      </c>
      <c r="AW39" s="382">
        <f t="shared" si="39"/>
        <v>-5.4424665490986443E-2</v>
      </c>
      <c r="AX39" s="381">
        <f t="shared" si="39"/>
        <v>-5.6156583638948716E-2</v>
      </c>
      <c r="AY39" s="382">
        <f t="shared" si="39"/>
        <v>-4.2877297406159476E-2</v>
      </c>
      <c r="AZ39" s="382">
        <f t="shared" si="39"/>
        <v>-4.0022985384433024E-2</v>
      </c>
      <c r="BA39" s="382">
        <f t="shared" si="39"/>
        <v>-2.2990423280654256E-2</v>
      </c>
      <c r="BB39" s="381">
        <f t="shared" ref="BB39" si="40">(BB80/2)/AX49</f>
        <v>-1.4797370771120845E-2</v>
      </c>
      <c r="BC39" s="382">
        <f t="shared" ref="BC39" si="41">(BC80/2)/AY49</f>
        <v>-8.0148452086067235E-3</v>
      </c>
      <c r="BD39" s="382">
        <f t="shared" ref="BD39" si="42">(BD80/2)/AZ49</f>
        <v>7.0121413664188375E-3</v>
      </c>
      <c r="BE39" s="382">
        <f t="shared" ref="BE39" si="43">(BE80/2)/BA49</f>
        <v>1.1496604283469439E-2</v>
      </c>
      <c r="BF39" s="296"/>
      <c r="BG39" s="296"/>
      <c r="BH39" s="296"/>
      <c r="BI39" s="296"/>
      <c r="BJ39" s="296"/>
      <c r="BK39" s="296"/>
      <c r="BL39" s="296"/>
      <c r="BM39" s="296"/>
      <c r="BN39" s="296"/>
      <c r="BO39" s="296"/>
      <c r="BP39" s="296"/>
      <c r="BQ39" s="296"/>
      <c r="BR39" s="296"/>
      <c r="BS39" s="296"/>
    </row>
    <row r="40" spans="1:71" x14ac:dyDescent="0.2">
      <c r="A40" s="305" t="s">
        <v>308</v>
      </c>
      <c r="B40" s="396"/>
      <c r="C40" s="330"/>
      <c r="D40" s="330"/>
      <c r="E40" s="330"/>
      <c r="F40" s="331"/>
      <c r="G40" s="330"/>
      <c r="H40" s="330"/>
      <c r="I40" s="330"/>
      <c r="J40" s="331"/>
      <c r="K40" s="330"/>
      <c r="L40" s="330"/>
      <c r="M40" s="330"/>
      <c r="N40" s="332" t="s">
        <v>299</v>
      </c>
      <c r="O40" s="333" t="s">
        <v>299</v>
      </c>
      <c r="P40" s="333" t="s">
        <v>299</v>
      </c>
      <c r="Q40" s="333" t="s">
        <v>299</v>
      </c>
      <c r="R40" s="332" t="s">
        <v>299</v>
      </c>
      <c r="S40" s="333" t="s">
        <v>299</v>
      </c>
      <c r="T40" s="333" t="s">
        <v>299</v>
      </c>
      <c r="U40" s="333" t="s">
        <v>299</v>
      </c>
      <c r="V40" s="332" t="s">
        <v>299</v>
      </c>
      <c r="W40" s="333" t="s">
        <v>299</v>
      </c>
      <c r="X40" s="333" t="s">
        <v>299</v>
      </c>
      <c r="Y40" s="333" t="s">
        <v>299</v>
      </c>
      <c r="Z40" s="332" t="s">
        <v>299</v>
      </c>
      <c r="AA40" s="386" t="s">
        <v>299</v>
      </c>
      <c r="AB40" s="386" t="s">
        <v>299</v>
      </c>
      <c r="AC40" s="386" t="s">
        <v>299</v>
      </c>
      <c r="AD40" s="332" t="s">
        <v>299</v>
      </c>
      <c r="AE40" s="386" t="s">
        <v>299</v>
      </c>
      <c r="AF40" s="386" t="s">
        <v>299</v>
      </c>
      <c r="AG40" s="386" t="s">
        <v>299</v>
      </c>
      <c r="AH40" s="332" t="s">
        <v>299</v>
      </c>
      <c r="AI40" s="386" t="s">
        <v>299</v>
      </c>
      <c r="AJ40" s="386" t="s">
        <v>299</v>
      </c>
      <c r="AK40" s="386" t="s">
        <v>299</v>
      </c>
      <c r="AL40" s="332" t="s">
        <v>299</v>
      </c>
      <c r="AM40" s="258">
        <f t="shared" ref="AM40:BA40" si="44">(AM82/2)/AI50</f>
        <v>3.1775201186910906E-2</v>
      </c>
      <c r="AN40" s="258">
        <f t="shared" si="44"/>
        <v>3.8938254225522342E-2</v>
      </c>
      <c r="AO40" s="258">
        <f t="shared" si="44"/>
        <v>3.7774910619271448E-2</v>
      </c>
      <c r="AP40" s="334">
        <f t="shared" si="44"/>
        <v>2.4297820567962192E-2</v>
      </c>
      <c r="AQ40" s="258">
        <f t="shared" si="44"/>
        <v>1.0880751482992215E-2</v>
      </c>
      <c r="AR40" s="258">
        <f t="shared" si="44"/>
        <v>7.170494405919093E-3</v>
      </c>
      <c r="AS40" s="258">
        <f t="shared" si="44"/>
        <v>2.2873241144733109E-3</v>
      </c>
      <c r="AT40" s="334">
        <f t="shared" si="44"/>
        <v>-3.5264596512730776E-3</v>
      </c>
      <c r="AU40" s="258">
        <f t="shared" si="44"/>
        <v>-1.5873864528021385E-2</v>
      </c>
      <c r="AV40" s="258">
        <f t="shared" si="44"/>
        <v>-4.0875112706461943E-2</v>
      </c>
      <c r="AW40" s="258">
        <f t="shared" si="44"/>
        <v>-5.3340652419872833E-2</v>
      </c>
      <c r="AX40" s="334">
        <f t="shared" si="44"/>
        <v>-5.5824360005909422E-2</v>
      </c>
      <c r="AY40" s="258">
        <f t="shared" si="44"/>
        <v>-4.7794043104882028E-2</v>
      </c>
      <c r="AZ40" s="258">
        <f t="shared" si="44"/>
        <v>-4.2234937031915741E-2</v>
      </c>
      <c r="BA40" s="258">
        <f t="shared" si="44"/>
        <v>-3.5229388941646955E-2</v>
      </c>
      <c r="BB40" s="334">
        <f t="shared" ref="BB40" si="45">(BB82/2)/AX50</f>
        <v>-4.3140375963615099E-2</v>
      </c>
      <c r="BC40" s="258">
        <f t="shared" ref="BC40" si="46">(BC82/2)/AY50</f>
        <v>-3.5294789656836169E-2</v>
      </c>
      <c r="BD40" s="258">
        <f t="shared" ref="BD40" si="47">(BD82/2)/AZ50</f>
        <v>-7.9237969572868994E-3</v>
      </c>
      <c r="BE40" s="258">
        <f t="shared" ref="BE40" si="48">(BE82/2)/BA50</f>
        <v>7.3366490425225521E-3</v>
      </c>
      <c r="BF40" s="296"/>
      <c r="BG40" s="296"/>
      <c r="BH40" s="296"/>
      <c r="BI40" s="296"/>
      <c r="BJ40" s="296"/>
      <c r="BK40" s="296"/>
      <c r="BL40" s="296"/>
      <c r="BM40" s="296"/>
      <c r="BN40" s="296"/>
      <c r="BO40" s="296"/>
      <c r="BP40" s="296"/>
      <c r="BQ40" s="296"/>
      <c r="BR40" s="296"/>
      <c r="BS40" s="296"/>
    </row>
    <row r="41" spans="1:71" x14ac:dyDescent="0.2">
      <c r="A41" s="308" t="s">
        <v>309</v>
      </c>
      <c r="B41" s="397"/>
      <c r="C41" s="243"/>
      <c r="D41" s="243"/>
      <c r="E41" s="243"/>
      <c r="F41" s="328"/>
      <c r="G41" s="243"/>
      <c r="H41" s="243"/>
      <c r="I41" s="243"/>
      <c r="J41" s="328"/>
      <c r="K41" s="243"/>
      <c r="L41" s="243"/>
      <c r="M41" s="243"/>
      <c r="N41" s="335" t="s">
        <v>299</v>
      </c>
      <c r="O41" s="336" t="s">
        <v>299</v>
      </c>
      <c r="P41" s="336" t="s">
        <v>299</v>
      </c>
      <c r="Q41" s="336" t="s">
        <v>299</v>
      </c>
      <c r="R41" s="335" t="s">
        <v>299</v>
      </c>
      <c r="S41" s="336" t="s">
        <v>299</v>
      </c>
      <c r="T41" s="336" t="s">
        <v>299</v>
      </c>
      <c r="U41" s="336" t="s">
        <v>299</v>
      </c>
      <c r="V41" s="335" t="s">
        <v>299</v>
      </c>
      <c r="W41" s="336" t="s">
        <v>299</v>
      </c>
      <c r="X41" s="336" t="s">
        <v>299</v>
      </c>
      <c r="Y41" s="336" t="s">
        <v>299</v>
      </c>
      <c r="Z41" s="335" t="s">
        <v>299</v>
      </c>
      <c r="AA41" s="387" t="s">
        <v>299</v>
      </c>
      <c r="AB41" s="387" t="s">
        <v>299</v>
      </c>
      <c r="AC41" s="387" t="s">
        <v>299</v>
      </c>
      <c r="AD41" s="335" t="s">
        <v>299</v>
      </c>
      <c r="AE41" s="387" t="s">
        <v>299</v>
      </c>
      <c r="AF41" s="387" t="s">
        <v>299</v>
      </c>
      <c r="AG41" s="387" t="s">
        <v>299</v>
      </c>
      <c r="AH41" s="335" t="s">
        <v>299</v>
      </c>
      <c r="AI41" s="387" t="s">
        <v>299</v>
      </c>
      <c r="AJ41" s="387" t="s">
        <v>299</v>
      </c>
      <c r="AK41" s="387" t="s">
        <v>299</v>
      </c>
      <c r="AL41" s="335" t="s">
        <v>299</v>
      </c>
      <c r="AM41" s="85">
        <f t="shared" ref="AM41:BA41" si="49">(AM84/2)/AI51</f>
        <v>1.9967889182596624E-2</v>
      </c>
      <c r="AN41" s="85">
        <f t="shared" si="49"/>
        <v>1.47212645761038E-2</v>
      </c>
      <c r="AO41" s="85">
        <f t="shared" si="49"/>
        <v>1.2039246180677775E-2</v>
      </c>
      <c r="AP41" s="329">
        <f t="shared" si="49"/>
        <v>6.4862796686851826E-2</v>
      </c>
      <c r="AQ41" s="85">
        <f t="shared" si="49"/>
        <v>2.4003327539678911E-2</v>
      </c>
      <c r="AR41" s="85">
        <f t="shared" si="49"/>
        <v>2.7183087709934835E-2</v>
      </c>
      <c r="AS41" s="85">
        <f t="shared" si="49"/>
        <v>-4.7331105745830875E-2</v>
      </c>
      <c r="AT41" s="329">
        <f t="shared" si="49"/>
        <v>-0.11462996083031772</v>
      </c>
      <c r="AU41" s="85">
        <f t="shared" si="49"/>
        <v>-4.6839283728823469E-2</v>
      </c>
      <c r="AV41" s="85">
        <f t="shared" si="49"/>
        <v>-5.7519661851053026E-2</v>
      </c>
      <c r="AW41" s="85">
        <f t="shared" si="49"/>
        <v>-7.276340793756074E-2</v>
      </c>
      <c r="AX41" s="329">
        <f t="shared" si="49"/>
        <v>-9.0426667605171138E-2</v>
      </c>
      <c r="AY41" s="85">
        <f t="shared" si="49"/>
        <v>-5.7601132066567168E-2</v>
      </c>
      <c r="AZ41" s="85">
        <f t="shared" si="49"/>
        <v>-5.1874657971014496E-2</v>
      </c>
      <c r="BA41" s="85">
        <f t="shared" si="49"/>
        <v>-1.2875719250636415E-2</v>
      </c>
      <c r="BB41" s="329">
        <f t="shared" ref="BB41" si="50">(BB84/2)/AX51</f>
        <v>3.0013150235575808E-2</v>
      </c>
      <c r="BC41" s="85">
        <f t="shared" ref="BC41" si="51">(BC84/2)/AY51</f>
        <v>2.5167010872432744E-2</v>
      </c>
      <c r="BD41" s="85">
        <f t="shared" ref="BD41" si="52">(BD84/2)/AZ51</f>
        <v>2.3951773704650941E-2</v>
      </c>
      <c r="BE41" s="85">
        <f t="shared" ref="BE41" si="53">(BE84/2)/BA51</f>
        <v>1.519569149742717E-2</v>
      </c>
      <c r="BF41" s="296"/>
      <c r="BG41" s="296"/>
      <c r="BH41" s="296"/>
      <c r="BI41" s="296"/>
      <c r="BJ41" s="296"/>
      <c r="BK41" s="296"/>
      <c r="BL41" s="296"/>
      <c r="BM41" s="296"/>
      <c r="BN41" s="296"/>
      <c r="BO41" s="296"/>
      <c r="BP41" s="296"/>
      <c r="BQ41" s="296"/>
      <c r="BR41" s="296"/>
      <c r="BS41" s="296"/>
    </row>
    <row r="42" spans="1:71" x14ac:dyDescent="0.2">
      <c r="A42" s="305" t="s">
        <v>310</v>
      </c>
      <c r="B42" s="396"/>
      <c r="C42" s="330"/>
      <c r="D42" s="330"/>
      <c r="E42" s="330"/>
      <c r="F42" s="331"/>
      <c r="G42" s="330"/>
      <c r="H42" s="330"/>
      <c r="I42" s="330"/>
      <c r="J42" s="331"/>
      <c r="K42" s="330"/>
      <c r="L42" s="330"/>
      <c r="M42" s="330"/>
      <c r="N42" s="332" t="s">
        <v>299</v>
      </c>
      <c r="O42" s="333" t="s">
        <v>299</v>
      </c>
      <c r="P42" s="333" t="s">
        <v>299</v>
      </c>
      <c r="Q42" s="333" t="s">
        <v>299</v>
      </c>
      <c r="R42" s="332" t="s">
        <v>299</v>
      </c>
      <c r="S42" s="333" t="s">
        <v>299</v>
      </c>
      <c r="T42" s="333" t="s">
        <v>299</v>
      </c>
      <c r="U42" s="333" t="s">
        <v>299</v>
      </c>
      <c r="V42" s="332" t="s">
        <v>299</v>
      </c>
      <c r="W42" s="333" t="s">
        <v>299</v>
      </c>
      <c r="X42" s="333" t="s">
        <v>299</v>
      </c>
      <c r="Y42" s="333" t="s">
        <v>299</v>
      </c>
      <c r="Z42" s="332" t="s">
        <v>299</v>
      </c>
      <c r="AA42" s="386" t="s">
        <v>299</v>
      </c>
      <c r="AB42" s="386" t="s">
        <v>299</v>
      </c>
      <c r="AC42" s="386" t="s">
        <v>299</v>
      </c>
      <c r="AD42" s="332" t="s">
        <v>299</v>
      </c>
      <c r="AE42" s="386" t="s">
        <v>299</v>
      </c>
      <c r="AF42" s="386" t="s">
        <v>299</v>
      </c>
      <c r="AG42" s="386" t="s">
        <v>299</v>
      </c>
      <c r="AH42" s="332" t="s">
        <v>299</v>
      </c>
      <c r="AI42" s="386" t="s">
        <v>299</v>
      </c>
      <c r="AJ42" s="386" t="s">
        <v>299</v>
      </c>
      <c r="AK42" s="386" t="s">
        <v>299</v>
      </c>
      <c r="AL42" s="332" t="s">
        <v>299</v>
      </c>
      <c r="AM42" s="258">
        <f t="shared" ref="AM42:BA42" si="54">(AM86/2)/AI52</f>
        <v>5.6062870835235062E-2</v>
      </c>
      <c r="AN42" s="258">
        <f t="shared" si="54"/>
        <v>9.2854640440246897E-2</v>
      </c>
      <c r="AO42" s="258">
        <f t="shared" si="54"/>
        <v>8.5383199026805065E-2</v>
      </c>
      <c r="AP42" s="334">
        <f t="shared" si="54"/>
        <v>3.9853903535663197E-2</v>
      </c>
      <c r="AQ42" s="258">
        <f t="shared" si="54"/>
        <v>2.8007442560212984E-2</v>
      </c>
      <c r="AR42" s="258">
        <f t="shared" si="54"/>
        <v>5.4347391651045018E-2</v>
      </c>
      <c r="AS42" s="258">
        <f t="shared" si="54"/>
        <v>5.1653624640466751E-2</v>
      </c>
      <c r="AT42" s="334">
        <f t="shared" si="54"/>
        <v>1.4183795743485283E-2</v>
      </c>
      <c r="AU42" s="258">
        <f t="shared" si="54"/>
        <v>8.8583607827940301E-3</v>
      </c>
      <c r="AV42" s="258">
        <f t="shared" si="54"/>
        <v>-7.4439496119099134E-3</v>
      </c>
      <c r="AW42" s="258">
        <f t="shared" si="54"/>
        <v>-1.0853760028331313E-2</v>
      </c>
      <c r="AX42" s="334">
        <f t="shared" si="54"/>
        <v>4.2609197919905037E-3</v>
      </c>
      <c r="AY42" s="258">
        <f t="shared" si="54"/>
        <v>1.2349811385459533E-2</v>
      </c>
      <c r="AZ42" s="258">
        <f t="shared" si="54"/>
        <v>5.4992490631516023E-3</v>
      </c>
      <c r="BA42" s="258">
        <f t="shared" si="54"/>
        <v>1.4942572062683903E-3</v>
      </c>
      <c r="BB42" s="334">
        <f t="shared" ref="BB42" si="55">(BB86/2)/AX52</f>
        <v>1.5005880471956556E-2</v>
      </c>
      <c r="BC42" s="258">
        <f t="shared" ref="BC42" si="56">(BC86/2)/AY52</f>
        <v>1.9514061701498161E-2</v>
      </c>
      <c r="BD42" s="258">
        <f t="shared" ref="BD42" si="57">(BD86/2)/AZ52</f>
        <v>2.0427513651382893E-2</v>
      </c>
      <c r="BE42" s="258">
        <f t="shared" ref="BE42" si="58">(BE86/2)/BA52</f>
        <v>1.9118468010692516E-2</v>
      </c>
      <c r="BF42" s="296"/>
      <c r="BG42" s="296"/>
      <c r="BH42" s="296"/>
      <c r="BI42" s="296"/>
      <c r="BJ42" s="296"/>
      <c r="BK42" s="296"/>
      <c r="BL42" s="296"/>
      <c r="BM42" s="296"/>
      <c r="BN42" s="296"/>
      <c r="BO42" s="296"/>
      <c r="BP42" s="296"/>
      <c r="BQ42" s="296"/>
      <c r="BR42" s="296"/>
      <c r="BS42" s="296"/>
    </row>
    <row r="43" spans="1:71" x14ac:dyDescent="0.2">
      <c r="A43" s="304" t="s">
        <v>311</v>
      </c>
      <c r="B43" s="397"/>
      <c r="C43" s="243"/>
      <c r="D43" s="243"/>
      <c r="E43" s="243"/>
      <c r="F43" s="328"/>
      <c r="G43" s="243"/>
      <c r="H43" s="243"/>
      <c r="I43" s="243"/>
      <c r="J43" s="328"/>
      <c r="K43" s="243"/>
      <c r="L43" s="243"/>
      <c r="M43" s="243"/>
      <c r="N43" s="335" t="s">
        <v>299</v>
      </c>
      <c r="O43" s="336" t="s">
        <v>299</v>
      </c>
      <c r="P43" s="336" t="s">
        <v>299</v>
      </c>
      <c r="Q43" s="336" t="s">
        <v>299</v>
      </c>
      <c r="R43" s="335" t="s">
        <v>299</v>
      </c>
      <c r="S43" s="336" t="s">
        <v>299</v>
      </c>
      <c r="T43" s="336" t="s">
        <v>299</v>
      </c>
      <c r="U43" s="336" t="s">
        <v>299</v>
      </c>
      <c r="V43" s="335" t="s">
        <v>299</v>
      </c>
      <c r="W43" s="336" t="s">
        <v>299</v>
      </c>
      <c r="X43" s="336" t="s">
        <v>299</v>
      </c>
      <c r="Y43" s="336" t="s">
        <v>299</v>
      </c>
      <c r="Z43" s="335" t="s">
        <v>299</v>
      </c>
      <c r="AA43" s="336" t="s">
        <v>299</v>
      </c>
      <c r="AB43" s="336" t="s">
        <v>299</v>
      </c>
      <c r="AC43" s="336" t="s">
        <v>299</v>
      </c>
      <c r="AD43" s="335" t="s">
        <v>299</v>
      </c>
      <c r="AE43" s="336" t="s">
        <v>299</v>
      </c>
      <c r="AF43" s="336" t="s">
        <v>299</v>
      </c>
      <c r="AG43" s="336" t="s">
        <v>299</v>
      </c>
      <c r="AH43" s="335" t="s">
        <v>299</v>
      </c>
      <c r="AI43" s="336" t="s">
        <v>299</v>
      </c>
      <c r="AJ43" s="336" t="s">
        <v>299</v>
      </c>
      <c r="AK43" s="336" t="s">
        <v>299</v>
      </c>
      <c r="AL43" s="335" t="s">
        <v>299</v>
      </c>
      <c r="AM43" s="336" t="s">
        <v>299</v>
      </c>
      <c r="AN43" s="336" t="s">
        <v>299</v>
      </c>
      <c r="AO43" s="336" t="s">
        <v>299</v>
      </c>
      <c r="AP43" s="335" t="s">
        <v>299</v>
      </c>
      <c r="AQ43" s="85">
        <f t="shared" ref="AQ43:BA43" si="59">(AQ88/2)/AM53</f>
        <v>3.4858182162119458E-2</v>
      </c>
      <c r="AR43" s="85">
        <f t="shared" si="59"/>
        <v>4.3707826695015196E-2</v>
      </c>
      <c r="AS43" s="85">
        <f t="shared" si="59"/>
        <v>4.9330598749209142E-2</v>
      </c>
      <c r="AT43" s="329">
        <f t="shared" si="59"/>
        <v>4.8284698956638235E-2</v>
      </c>
      <c r="AU43" s="85">
        <f t="shared" si="59"/>
        <v>3.9005027591042934E-2</v>
      </c>
      <c r="AV43" s="85">
        <f t="shared" si="59"/>
        <v>4.316344251137913E-2</v>
      </c>
      <c r="AW43" s="85">
        <f t="shared" si="59"/>
        <v>3.7542157619834843E-2</v>
      </c>
      <c r="AX43" s="329">
        <f t="shared" si="59"/>
        <v>4.0049570564952529E-2</v>
      </c>
      <c r="AY43" s="85">
        <f t="shared" si="59"/>
        <v>3.635250636547871E-2</v>
      </c>
      <c r="AZ43" s="85">
        <f t="shared" si="59"/>
        <v>3.5982124367976091E-2</v>
      </c>
      <c r="BA43" s="85">
        <f t="shared" si="59"/>
        <v>3.0344219269226657E-2</v>
      </c>
      <c r="BB43" s="329">
        <f t="shared" ref="BB43" si="60">(BB88/2)/AX53</f>
        <v>3.3928860292404529E-2</v>
      </c>
      <c r="BC43" s="85">
        <f t="shared" ref="BC43" si="61">(BC88/2)/AY53</f>
        <v>3.9683542724825986E-2</v>
      </c>
      <c r="BD43" s="85">
        <f t="shared" ref="BD43" si="62">(BD88/2)/AZ53</f>
        <v>4.2390359076520862E-2</v>
      </c>
      <c r="BE43" s="85">
        <f t="shared" ref="BE43" si="63">(BE88/2)/BA53</f>
        <v>3.986007667708847E-2</v>
      </c>
      <c r="BF43" s="296"/>
      <c r="BG43" s="296"/>
      <c r="BH43" s="296"/>
      <c r="BI43" s="296"/>
      <c r="BJ43" s="296"/>
      <c r="BK43" s="296"/>
      <c r="BL43" s="296"/>
      <c r="BM43" s="296"/>
      <c r="BN43" s="296"/>
      <c r="BO43" s="296"/>
      <c r="BP43" s="296"/>
      <c r="BQ43" s="296"/>
      <c r="BR43" s="296"/>
      <c r="BS43" s="296"/>
    </row>
    <row r="44" spans="1:71" x14ac:dyDescent="0.2">
      <c r="A44" s="355" t="s">
        <v>312</v>
      </c>
      <c r="B44" s="396"/>
      <c r="C44" s="330"/>
      <c r="D44" s="330"/>
      <c r="E44" s="330"/>
      <c r="F44" s="331"/>
      <c r="G44" s="330"/>
      <c r="H44" s="330"/>
      <c r="I44" s="330"/>
      <c r="J44" s="331"/>
      <c r="K44" s="330"/>
      <c r="L44" s="330"/>
      <c r="M44" s="330"/>
      <c r="N44" s="332" t="s">
        <v>299</v>
      </c>
      <c r="O44" s="333" t="s">
        <v>299</v>
      </c>
      <c r="P44" s="333" t="s">
        <v>299</v>
      </c>
      <c r="Q44" s="333" t="s">
        <v>299</v>
      </c>
      <c r="R44" s="332" t="s">
        <v>299</v>
      </c>
      <c r="S44" s="333" t="s">
        <v>299</v>
      </c>
      <c r="T44" s="333" t="s">
        <v>299</v>
      </c>
      <c r="U44" s="333" t="s">
        <v>299</v>
      </c>
      <c r="V44" s="332" t="s">
        <v>299</v>
      </c>
      <c r="W44" s="333" t="s">
        <v>299</v>
      </c>
      <c r="X44" s="333" t="s">
        <v>299</v>
      </c>
      <c r="Y44" s="333" t="s">
        <v>299</v>
      </c>
      <c r="Z44" s="332" t="s">
        <v>299</v>
      </c>
      <c r="AA44" s="333" t="s">
        <v>299</v>
      </c>
      <c r="AB44" s="333" t="s">
        <v>299</v>
      </c>
      <c r="AC44" s="333" t="s">
        <v>299</v>
      </c>
      <c r="AD44" s="332" t="s">
        <v>299</v>
      </c>
      <c r="AE44" s="333" t="s">
        <v>299</v>
      </c>
      <c r="AF44" s="333" t="s">
        <v>299</v>
      </c>
      <c r="AG44" s="333" t="s">
        <v>299</v>
      </c>
      <c r="AH44" s="332" t="s">
        <v>299</v>
      </c>
      <c r="AI44" s="333" t="s">
        <v>299</v>
      </c>
      <c r="AJ44" s="333" t="s">
        <v>299</v>
      </c>
      <c r="AK44" s="333" t="s">
        <v>299</v>
      </c>
      <c r="AL44" s="332" t="s">
        <v>299</v>
      </c>
      <c r="AM44" s="333" t="s">
        <v>299</v>
      </c>
      <c r="AN44" s="333" t="s">
        <v>299</v>
      </c>
      <c r="AO44" s="333" t="s">
        <v>299</v>
      </c>
      <c r="AP44" s="332" t="s">
        <v>299</v>
      </c>
      <c r="AQ44" s="258">
        <f t="shared" ref="AQ44:BA44" si="64">(AQ90/2)/AM54</f>
        <v>0.10122813546706366</v>
      </c>
      <c r="AR44" s="258">
        <f t="shared" si="64"/>
        <v>-2.2759285343613316E-2</v>
      </c>
      <c r="AS44" s="258">
        <f t="shared" si="64"/>
        <v>-3.8053505535055362E-2</v>
      </c>
      <c r="AT44" s="334">
        <f t="shared" si="64"/>
        <v>-2.1534820824881635E-2</v>
      </c>
      <c r="AU44" s="258">
        <f t="shared" si="64"/>
        <v>-0.1623087403060155</v>
      </c>
      <c r="AV44" s="258">
        <f t="shared" si="64"/>
        <v>-0.46840433043068969</v>
      </c>
      <c r="AW44" s="258">
        <f t="shared" si="64"/>
        <v>-0.4078472493172064</v>
      </c>
      <c r="AX44" s="334">
        <f t="shared" si="64"/>
        <v>-0.31387483645878755</v>
      </c>
      <c r="AY44" s="258">
        <f t="shared" si="64"/>
        <v>-0.20500703894885031</v>
      </c>
      <c r="AZ44" s="258">
        <f t="shared" si="64"/>
        <v>-0.73224778046811934</v>
      </c>
      <c r="BA44" s="258">
        <f t="shared" si="64"/>
        <v>-0.55101833788529053</v>
      </c>
      <c r="BB44" s="334">
        <f t="shared" ref="BB44" si="65">(BB90/2)/AX54</f>
        <v>-0.14552355438468453</v>
      </c>
      <c r="BC44" s="258">
        <f t="shared" ref="BC44" si="66">(BC90/2)/AY54</f>
        <v>-2.1183884159013244E-4</v>
      </c>
      <c r="BD44" s="258">
        <f t="shared" ref="BD44" si="67">(BD90/2)/AZ54</f>
        <v>-4.5304804730608841E-4</v>
      </c>
      <c r="BE44" s="258">
        <f t="shared" ref="BE44" si="68">(BE90/2)/BA54</f>
        <v>-1.513691703759153E-4</v>
      </c>
      <c r="BF44" s="296"/>
      <c r="BG44" s="296"/>
      <c r="BH44" s="296"/>
      <c r="BI44" s="296"/>
      <c r="BJ44" s="296"/>
      <c r="BK44" s="296"/>
      <c r="BL44" s="296"/>
      <c r="BM44" s="296"/>
      <c r="BN44" s="296"/>
      <c r="BO44" s="296"/>
      <c r="BP44" s="296"/>
      <c r="BQ44" s="296"/>
      <c r="BR44" s="296"/>
      <c r="BS44" s="296"/>
    </row>
    <row r="45" spans="1:71" x14ac:dyDescent="0.2">
      <c r="A45" s="309" t="s">
        <v>444</v>
      </c>
      <c r="B45" s="398"/>
      <c r="C45" s="337"/>
      <c r="D45" s="337"/>
      <c r="E45" s="337"/>
      <c r="F45" s="338"/>
      <c r="G45" s="337"/>
      <c r="H45" s="337"/>
      <c r="I45" s="337"/>
      <c r="J45" s="338"/>
      <c r="K45" s="337">
        <f t="shared" ref="K45:BA45" si="69">(K92/2)/G55</f>
        <v>5.1669800011320849E-2</v>
      </c>
      <c r="L45" s="337">
        <f t="shared" si="69"/>
        <v>5.1590660740900865E-2</v>
      </c>
      <c r="M45" s="337">
        <f t="shared" si="69"/>
        <v>4.6897249507957456E-2</v>
      </c>
      <c r="N45" s="338">
        <f t="shared" si="69"/>
        <v>4.7580480642164719E-2</v>
      </c>
      <c r="O45" s="337">
        <f t="shared" si="69"/>
        <v>5.3865279783952072E-2</v>
      </c>
      <c r="P45" s="337">
        <f t="shared" si="69"/>
        <v>3.7167322936587435E-2</v>
      </c>
      <c r="Q45" s="337">
        <f t="shared" si="69"/>
        <v>2.4280365733878304E-2</v>
      </c>
      <c r="R45" s="339">
        <f t="shared" si="69"/>
        <v>3.7976992169244647E-2</v>
      </c>
      <c r="S45" s="259">
        <f t="shared" si="69"/>
        <v>5.1997831464713873E-2</v>
      </c>
      <c r="T45" s="259">
        <f t="shared" si="69"/>
        <v>2.552141183098313E-2</v>
      </c>
      <c r="U45" s="259">
        <f t="shared" si="69"/>
        <v>2.1218974619876357E-2</v>
      </c>
      <c r="V45" s="339">
        <f t="shared" si="69"/>
        <v>2.9299742759067843E-2</v>
      </c>
      <c r="W45" s="259">
        <f t="shared" si="69"/>
        <v>1.4595657990189104E-2</v>
      </c>
      <c r="X45" s="259">
        <f t="shared" si="69"/>
        <v>1.9344815679379127E-2</v>
      </c>
      <c r="Y45" s="259">
        <f t="shared" si="69"/>
        <v>3.9398910526000162E-2</v>
      </c>
      <c r="Z45" s="339">
        <f t="shared" si="69"/>
        <v>3.5972515464550124E-2</v>
      </c>
      <c r="AA45" s="259">
        <f t="shared" si="69"/>
        <v>8.8853458789204965E-3</v>
      </c>
      <c r="AB45" s="259">
        <f t="shared" si="69"/>
        <v>2.1247099259242706E-2</v>
      </c>
      <c r="AC45" s="259">
        <f t="shared" si="69"/>
        <v>4.0092570065809852E-2</v>
      </c>
      <c r="AD45" s="339">
        <f t="shared" si="69"/>
        <v>2.8554169360960384E-2</v>
      </c>
      <c r="AE45" s="259">
        <f t="shared" si="69"/>
        <v>1.5141424976908253E-2</v>
      </c>
      <c r="AF45" s="259">
        <f t="shared" si="69"/>
        <v>1.6793901858469788E-2</v>
      </c>
      <c r="AG45" s="259">
        <f t="shared" si="69"/>
        <v>1.6832015797988049E-2</v>
      </c>
      <c r="AH45" s="339">
        <f t="shared" si="69"/>
        <v>1.3651732924717948E-2</v>
      </c>
      <c r="AI45" s="259">
        <f t="shared" si="69"/>
        <v>2.7010125250994402E-2</v>
      </c>
      <c r="AJ45" s="259">
        <f t="shared" si="69"/>
        <v>3.0381047351557097E-2</v>
      </c>
      <c r="AK45" s="259">
        <f t="shared" si="69"/>
        <v>2.6611834028794832E-2</v>
      </c>
      <c r="AL45" s="339">
        <f t="shared" si="69"/>
        <v>3.312173593902952E-2</v>
      </c>
      <c r="AM45" s="259">
        <f t="shared" si="69"/>
        <v>3.8929019233865304E-2</v>
      </c>
      <c r="AN45" s="259">
        <f t="shared" si="69"/>
        <v>4.8565752659568105E-2</v>
      </c>
      <c r="AO45" s="259">
        <f t="shared" si="69"/>
        <v>4.4986389774083056E-2</v>
      </c>
      <c r="AP45" s="339">
        <f t="shared" si="69"/>
        <v>4.0843589384619482E-2</v>
      </c>
      <c r="AQ45" s="259">
        <f t="shared" si="69"/>
        <v>3.1375623015958698E-2</v>
      </c>
      <c r="AR45" s="259">
        <f t="shared" si="69"/>
        <v>3.0772097339977836E-2</v>
      </c>
      <c r="AS45" s="259">
        <f t="shared" si="69"/>
        <v>2.1197129962098573E-2</v>
      </c>
      <c r="AT45" s="339">
        <f t="shared" si="69"/>
        <v>1.6804719138480223E-2</v>
      </c>
      <c r="AU45" s="259">
        <f t="shared" si="69"/>
        <v>1.352237401823809E-2</v>
      </c>
      <c r="AV45" s="259">
        <f t="shared" si="69"/>
        <v>1.2458571808864642E-3</v>
      </c>
      <c r="AW45" s="259">
        <f t="shared" si="69"/>
        <v>-3.3690954594777192E-3</v>
      </c>
      <c r="AX45" s="339">
        <f t="shared" si="69"/>
        <v>-1.7590751199089037E-3</v>
      </c>
      <c r="AY45" s="259">
        <f t="shared" si="69"/>
        <v>1.2823214289580567E-3</v>
      </c>
      <c r="AZ45" s="259">
        <f t="shared" si="69"/>
        <v>2.6367635552660223E-3</v>
      </c>
      <c r="BA45" s="259">
        <f t="shared" si="69"/>
        <v>7.0445298554846448E-3</v>
      </c>
      <c r="BB45" s="339">
        <f t="shared" ref="BB45" si="70">(BB92/2)/AX55</f>
        <v>1.5310113044563756E-2</v>
      </c>
      <c r="BC45" s="259">
        <f t="shared" ref="BC45" si="71">(BC92/2)/AY55</f>
        <v>2.1090546304790257E-2</v>
      </c>
      <c r="BD45" s="259">
        <f t="shared" ref="BD45" si="72">(BD92/2)/AZ55</f>
        <v>2.7705400312786291E-2</v>
      </c>
      <c r="BE45" s="259">
        <f t="shared" ref="BE45" si="73">(BE92/2)/BA55</f>
        <v>2.8347031172305671E-2</v>
      </c>
      <c r="BF45" s="296"/>
      <c r="BG45" s="296"/>
      <c r="BH45" s="296"/>
      <c r="BI45" s="296"/>
      <c r="BJ45" s="296"/>
      <c r="BK45" s="296"/>
      <c r="BL45" s="296"/>
      <c r="BM45" s="296"/>
      <c r="BN45" s="296"/>
      <c r="BO45" s="296"/>
      <c r="BP45" s="296"/>
      <c r="BQ45" s="296"/>
      <c r="BR45" s="296"/>
      <c r="BS45" s="296"/>
    </row>
    <row r="46" spans="1:71" s="303" customFormat="1" x14ac:dyDescent="0.2">
      <c r="A46" s="324"/>
      <c r="B46" s="327"/>
      <c r="C46" s="327"/>
      <c r="D46" s="327"/>
      <c r="E46" s="327"/>
      <c r="F46" s="327"/>
      <c r="G46" s="327"/>
      <c r="H46" s="327"/>
      <c r="I46" s="327"/>
      <c r="J46" s="327"/>
      <c r="K46" s="327"/>
      <c r="L46" s="327"/>
      <c r="M46" s="327"/>
      <c r="N46" s="327"/>
      <c r="O46" s="327"/>
      <c r="P46" s="327"/>
      <c r="Q46" s="327"/>
      <c r="R46" s="327"/>
      <c r="S46" s="327"/>
      <c r="T46" s="327"/>
      <c r="U46" s="327"/>
      <c r="V46" s="327"/>
      <c r="W46" s="327"/>
      <c r="X46" s="327"/>
      <c r="Y46" s="327"/>
      <c r="Z46" s="327"/>
      <c r="AA46" s="327"/>
      <c r="AB46" s="327"/>
      <c r="AC46" s="327"/>
      <c r="AD46" s="327"/>
      <c r="AE46" s="327"/>
      <c r="AF46" s="324"/>
      <c r="AG46" s="324"/>
      <c r="AH46" s="324"/>
      <c r="AI46" s="324"/>
      <c r="AJ46" s="324"/>
      <c r="AK46" s="324"/>
      <c r="AL46" s="324"/>
      <c r="AM46" s="324"/>
      <c r="AN46" s="324"/>
      <c r="AO46" s="324"/>
      <c r="AP46" s="324"/>
      <c r="AQ46" s="324"/>
      <c r="AR46" s="324"/>
      <c r="AS46" s="324"/>
      <c r="AT46" s="324"/>
      <c r="AU46" s="324"/>
      <c r="AV46" s="324"/>
      <c r="AW46" s="324"/>
      <c r="AX46" s="324"/>
      <c r="AY46" s="324"/>
      <c r="AZ46" s="324"/>
      <c r="BA46" s="324"/>
      <c r="BB46" s="324"/>
      <c r="BC46" s="324"/>
      <c r="BD46" s="324"/>
      <c r="BE46" s="324"/>
      <c r="BF46" s="326"/>
      <c r="BG46" s="326"/>
      <c r="BH46" s="326"/>
      <c r="BI46" s="326"/>
      <c r="BJ46" s="326"/>
      <c r="BK46" s="326"/>
      <c r="BL46" s="326"/>
      <c r="BM46" s="326"/>
      <c r="BN46" s="326"/>
      <c r="BO46" s="326"/>
      <c r="BP46" s="326"/>
      <c r="BQ46" s="326"/>
      <c r="BR46" s="326"/>
      <c r="BS46" s="326"/>
    </row>
    <row r="47" spans="1:71" s="303" customFormat="1" outlineLevel="1" x14ac:dyDescent="0.2">
      <c r="A47" s="313" t="s">
        <v>445</v>
      </c>
      <c r="B47" s="327"/>
      <c r="C47" s="327"/>
      <c r="D47" s="327"/>
      <c r="E47" s="327"/>
      <c r="F47" s="327"/>
      <c r="G47" s="327"/>
      <c r="H47" s="327"/>
      <c r="I47" s="327"/>
      <c r="J47" s="327"/>
      <c r="K47" s="327"/>
      <c r="L47" s="327"/>
      <c r="M47" s="327"/>
      <c r="N47" s="327"/>
      <c r="O47" s="327"/>
      <c r="P47" s="327"/>
      <c r="Q47" s="327"/>
      <c r="R47" s="327"/>
      <c r="S47" s="327"/>
      <c r="T47" s="327"/>
      <c r="U47" s="327"/>
      <c r="V47" s="327"/>
      <c r="W47" s="327"/>
      <c r="X47" s="327"/>
      <c r="Y47" s="327"/>
      <c r="Z47" s="327"/>
      <c r="AA47" s="327"/>
      <c r="AB47" s="327"/>
      <c r="AC47" s="327"/>
      <c r="AD47" s="327"/>
      <c r="AE47" s="327"/>
      <c r="AF47" s="324"/>
      <c r="AG47" s="324"/>
      <c r="AH47" s="324"/>
      <c r="AI47" s="324"/>
      <c r="AJ47" s="324"/>
      <c r="AK47" s="324"/>
      <c r="AL47" s="324"/>
      <c r="AM47" s="324"/>
      <c r="AN47" s="324"/>
      <c r="AO47" s="324"/>
      <c r="AP47" s="324"/>
      <c r="AQ47" s="324"/>
      <c r="AR47" s="324"/>
      <c r="AS47" s="324"/>
      <c r="AT47" s="324"/>
      <c r="AU47" s="324"/>
      <c r="AV47" s="324"/>
      <c r="AW47" s="324"/>
      <c r="AX47" s="324"/>
      <c r="AY47" s="324"/>
      <c r="AZ47" s="324"/>
      <c r="BA47" s="324"/>
      <c r="BB47" s="324"/>
      <c r="BC47" s="324"/>
      <c r="BD47" s="324"/>
      <c r="BE47" s="324"/>
      <c r="BF47" s="326"/>
      <c r="BG47" s="326"/>
      <c r="BH47" s="326"/>
      <c r="BI47" s="326"/>
      <c r="BJ47" s="326"/>
      <c r="BK47" s="326"/>
      <c r="BL47" s="326"/>
      <c r="BM47" s="326"/>
      <c r="BN47" s="326"/>
      <c r="BO47" s="326"/>
      <c r="BP47" s="326"/>
      <c r="BQ47" s="326"/>
      <c r="BR47" s="326"/>
      <c r="BS47" s="326"/>
    </row>
    <row r="48" spans="1:71" outlineLevel="1" x14ac:dyDescent="0.2">
      <c r="A48" s="301"/>
      <c r="B48" s="389" t="str">
        <f t="shared" ref="B48:AG48" si="74">B4</f>
        <v>1Q07</v>
      </c>
      <c r="C48" s="301" t="str">
        <f t="shared" si="74"/>
        <v>2Q07</v>
      </c>
      <c r="D48" s="301" t="str">
        <f t="shared" si="74"/>
        <v>3Q07</v>
      </c>
      <c r="E48" s="301" t="str">
        <f t="shared" si="74"/>
        <v>4Q07</v>
      </c>
      <c r="F48" s="302" t="str">
        <f t="shared" si="74"/>
        <v>1Q08</v>
      </c>
      <c r="G48" s="301" t="str">
        <f t="shared" si="74"/>
        <v>2Q08</v>
      </c>
      <c r="H48" s="301" t="str">
        <f t="shared" si="74"/>
        <v>3Q08</v>
      </c>
      <c r="I48" s="301" t="str">
        <f t="shared" si="74"/>
        <v>4Q08</v>
      </c>
      <c r="J48" s="302" t="str">
        <f t="shared" si="74"/>
        <v>1Q09</v>
      </c>
      <c r="K48" s="301" t="str">
        <f t="shared" si="74"/>
        <v>2Q09</v>
      </c>
      <c r="L48" s="301" t="str">
        <f t="shared" si="74"/>
        <v>3Q09</v>
      </c>
      <c r="M48" s="301" t="str">
        <f t="shared" si="74"/>
        <v>4Q09</v>
      </c>
      <c r="N48" s="302" t="str">
        <f t="shared" si="74"/>
        <v>1Q10</v>
      </c>
      <c r="O48" s="301" t="str">
        <f t="shared" si="74"/>
        <v>2Q10</v>
      </c>
      <c r="P48" s="301" t="str">
        <f t="shared" si="74"/>
        <v>3Q10</v>
      </c>
      <c r="Q48" s="301" t="str">
        <f t="shared" si="74"/>
        <v>4Q10</v>
      </c>
      <c r="R48" s="302" t="str">
        <f t="shared" si="74"/>
        <v>1Q11</v>
      </c>
      <c r="S48" s="301" t="str">
        <f t="shared" si="74"/>
        <v>2Q11</v>
      </c>
      <c r="T48" s="301" t="str">
        <f t="shared" si="74"/>
        <v>3Q11</v>
      </c>
      <c r="U48" s="301" t="str">
        <f t="shared" si="74"/>
        <v>4Q11</v>
      </c>
      <c r="V48" s="302" t="str">
        <f t="shared" si="74"/>
        <v>1Q12</v>
      </c>
      <c r="W48" s="301" t="str">
        <f t="shared" si="74"/>
        <v>2Q12</v>
      </c>
      <c r="X48" s="301" t="str">
        <f t="shared" si="74"/>
        <v>3Q12</v>
      </c>
      <c r="Y48" s="301" t="str">
        <f t="shared" si="74"/>
        <v>4Q12</v>
      </c>
      <c r="Z48" s="302" t="str">
        <f t="shared" si="74"/>
        <v>1Q13</v>
      </c>
      <c r="AA48" s="301" t="str">
        <f t="shared" si="74"/>
        <v>2Q13</v>
      </c>
      <c r="AB48" s="301" t="str">
        <f t="shared" si="74"/>
        <v>3Q13</v>
      </c>
      <c r="AC48" s="301" t="str">
        <f t="shared" si="74"/>
        <v>4Q13</v>
      </c>
      <c r="AD48" s="302" t="str">
        <f t="shared" si="74"/>
        <v>1Q14</v>
      </c>
      <c r="AE48" s="301" t="str">
        <f t="shared" si="74"/>
        <v>2Q14</v>
      </c>
      <c r="AF48" s="301" t="str">
        <f t="shared" si="74"/>
        <v>3Q14</v>
      </c>
      <c r="AG48" s="301" t="str">
        <f t="shared" si="74"/>
        <v>4Q14</v>
      </c>
      <c r="AH48" s="302" t="str">
        <f t="shared" ref="AH48:BA48" si="75">AH4</f>
        <v>1Q15</v>
      </c>
      <c r="AI48" s="301" t="str">
        <f t="shared" si="75"/>
        <v>2Q15</v>
      </c>
      <c r="AJ48" s="301" t="str">
        <f t="shared" si="75"/>
        <v>3Q15</v>
      </c>
      <c r="AK48" s="301" t="str">
        <f t="shared" si="75"/>
        <v>4Q15</v>
      </c>
      <c r="AL48" s="302" t="str">
        <f t="shared" si="75"/>
        <v>1Q16</v>
      </c>
      <c r="AM48" s="301" t="str">
        <f t="shared" si="75"/>
        <v>2Q16</v>
      </c>
      <c r="AN48" s="301" t="str">
        <f t="shared" si="75"/>
        <v>3Q16</v>
      </c>
      <c r="AO48" s="301" t="str">
        <f t="shared" si="75"/>
        <v>4Q16</v>
      </c>
      <c r="AP48" s="302" t="str">
        <f t="shared" si="75"/>
        <v>1Q17</v>
      </c>
      <c r="AQ48" s="301" t="str">
        <f t="shared" si="75"/>
        <v>2Q17</v>
      </c>
      <c r="AR48" s="301" t="str">
        <f t="shared" si="75"/>
        <v>3Q17</v>
      </c>
      <c r="AS48" s="301" t="str">
        <f t="shared" si="75"/>
        <v>4Q17</v>
      </c>
      <c r="AT48" s="302" t="str">
        <f t="shared" si="75"/>
        <v>1Q18</v>
      </c>
      <c r="AU48" s="301" t="str">
        <f t="shared" si="75"/>
        <v>2Q18</v>
      </c>
      <c r="AV48" s="301" t="str">
        <f t="shared" si="75"/>
        <v>3Q18</v>
      </c>
      <c r="AW48" s="301" t="str">
        <f t="shared" si="75"/>
        <v>4Q18E</v>
      </c>
      <c r="AX48" s="302" t="str">
        <f t="shared" si="75"/>
        <v>1Q19E</v>
      </c>
      <c r="AY48" s="301" t="str">
        <f t="shared" si="75"/>
        <v>2Q19E</v>
      </c>
      <c r="AZ48" s="301" t="str">
        <f t="shared" si="75"/>
        <v>3Q19E</v>
      </c>
      <c r="BA48" s="301" t="str">
        <f t="shared" si="75"/>
        <v>4Q19E</v>
      </c>
      <c r="BB48" s="302" t="str">
        <f t="shared" ref="BB48:BE48" si="76">BB4</f>
        <v>1Q20E</v>
      </c>
      <c r="BC48" s="301" t="str">
        <f t="shared" si="76"/>
        <v>2Q20E</v>
      </c>
      <c r="BD48" s="301" t="str">
        <f t="shared" si="76"/>
        <v>3Q20E</v>
      </c>
      <c r="BE48" s="301" t="str">
        <f t="shared" si="76"/>
        <v>4Q20E</v>
      </c>
      <c r="BF48" s="303"/>
      <c r="BG48" s="303"/>
      <c r="BH48" s="303"/>
      <c r="BI48" s="303"/>
      <c r="BJ48" s="303"/>
      <c r="BK48" s="303"/>
      <c r="BL48" s="303"/>
      <c r="BM48" s="303"/>
      <c r="BN48" s="303"/>
      <c r="BO48" s="303"/>
      <c r="BP48" s="303"/>
      <c r="BQ48" s="303"/>
      <c r="BR48" s="303"/>
      <c r="BS48" s="303"/>
    </row>
    <row r="49" spans="1:71" outlineLevel="1" x14ac:dyDescent="0.2">
      <c r="A49" s="349" t="s">
        <v>307</v>
      </c>
      <c r="B49" s="399">
        <f>RevBuild!C28</f>
        <v>472.70899999999995</v>
      </c>
      <c r="C49" s="383">
        <f>RevBuild!D28</f>
        <v>512.20000000000005</v>
      </c>
      <c r="D49" s="383">
        <f>RevBuild!E28</f>
        <v>537.14800000000002</v>
      </c>
      <c r="E49" s="383">
        <f>RevBuild!F28</f>
        <v>542.57300000000009</v>
      </c>
      <c r="F49" s="384">
        <f>RevBuild!I28</f>
        <v>499.72699999999998</v>
      </c>
      <c r="G49" s="383">
        <f>RevBuild!J28</f>
        <v>534.505</v>
      </c>
      <c r="H49" s="383">
        <f>RevBuild!K28</f>
        <v>584.94200000000001</v>
      </c>
      <c r="I49" s="383">
        <f>RevBuild!L28</f>
        <v>562.11199999999997</v>
      </c>
      <c r="J49" s="384">
        <f>RevBuild!O28</f>
        <v>519.88499999999999</v>
      </c>
      <c r="K49" s="383">
        <f>RevBuild!P28</f>
        <v>536.83699999999999</v>
      </c>
      <c r="L49" s="383">
        <f>RevBuild!Q28</f>
        <v>584.14</v>
      </c>
      <c r="M49" s="383">
        <f>RevBuild!R28</f>
        <v>533.54700000000003</v>
      </c>
      <c r="N49" s="384">
        <f>RevBuild!U28</f>
        <v>510.99099999999999</v>
      </c>
      <c r="O49" s="383">
        <f>RevBuild!V28</f>
        <v>537.16699999999992</v>
      </c>
      <c r="P49" s="383">
        <f>RevBuild!W28</f>
        <v>572.07299999999998</v>
      </c>
      <c r="Q49" s="383">
        <f>RevBuild!X28</f>
        <v>547.26400000000001</v>
      </c>
      <c r="R49" s="384">
        <f>RevBuild!AA28</f>
        <v>542.678</v>
      </c>
      <c r="S49" s="383">
        <f>RevBuild!AB28</f>
        <v>563.21</v>
      </c>
      <c r="T49" s="383">
        <f>RevBuild!AC28</f>
        <v>557.048</v>
      </c>
      <c r="U49" s="383">
        <f>RevBuild!AD28</f>
        <v>573.12</v>
      </c>
      <c r="V49" s="384">
        <f>RevBuild!AG28</f>
        <v>533.36699999999996</v>
      </c>
      <c r="W49" s="383">
        <f>RevBuild!AH28</f>
        <v>550.60500000000002</v>
      </c>
      <c r="X49" s="383">
        <f>RevBuild!AI28</f>
        <v>605.04100000000005</v>
      </c>
      <c r="Y49" s="383">
        <f>RevBuild!AJ28</f>
        <v>598.86199999999997</v>
      </c>
      <c r="Z49" s="384">
        <f>RevBuild!AM28</f>
        <v>567.39200000000005</v>
      </c>
      <c r="AA49" s="383">
        <f>RevBuild!AN28</f>
        <v>549.149</v>
      </c>
      <c r="AB49" s="383">
        <f>RevBuild!AO28</f>
        <v>626.49399999999991</v>
      </c>
      <c r="AC49" s="383">
        <f>RevBuild!AP28</f>
        <v>636.93500000000006</v>
      </c>
      <c r="AD49" s="384">
        <f>RevBuild!AS28</f>
        <v>554.23299999999995</v>
      </c>
      <c r="AE49" s="383">
        <f>RevBuild!AT28</f>
        <v>563.05200000000002</v>
      </c>
      <c r="AF49" s="383">
        <f>RevBuild!AU28</f>
        <v>641.96500000000003</v>
      </c>
      <c r="AG49" s="383">
        <f>RevBuild!AV28</f>
        <v>622.84799999999996</v>
      </c>
      <c r="AH49" s="384">
        <f>RevBuild!AY28</f>
        <v>542.87400000000002</v>
      </c>
      <c r="AI49" s="383">
        <f>RevBuild!AZ28</f>
        <v>592.63599999999997</v>
      </c>
      <c r="AJ49" s="383">
        <f>RevBuild!BA28</f>
        <v>610.65500000000009</v>
      </c>
      <c r="AK49" s="383">
        <f>RevBuild!BB28</f>
        <v>668.83799999999997</v>
      </c>
      <c r="AL49" s="384">
        <f>RevBuild!BE28</f>
        <v>575.11699999999996</v>
      </c>
      <c r="AM49" s="383">
        <f>RevBuild!BF28</f>
        <v>601.322</v>
      </c>
      <c r="AN49" s="383">
        <f>RevBuild!BG28</f>
        <v>637.65099999999995</v>
      </c>
      <c r="AO49" s="383">
        <f>RevBuild!BH28</f>
        <v>662.14400000000001</v>
      </c>
      <c r="AP49" s="384">
        <f>RevBuild!BK28</f>
        <v>555.01499999999999</v>
      </c>
      <c r="AQ49" s="383">
        <f>RevBuild!BL28</f>
        <v>601.553</v>
      </c>
      <c r="AR49" s="383">
        <f>RevBuild!BM28</f>
        <v>626.34299999999996</v>
      </c>
      <c r="AS49" s="383">
        <f>RevBuild!BN28</f>
        <v>607.30800000000011</v>
      </c>
      <c r="AT49" s="384">
        <f>RevBuild!BQ28</f>
        <v>518.80700000000002</v>
      </c>
      <c r="AU49" s="383">
        <f>RevBuild!BR28</f>
        <v>553.63</v>
      </c>
      <c r="AV49" s="383">
        <f>RevBuild!BS28</f>
        <v>577.87699999999995</v>
      </c>
      <c r="AW49" s="383">
        <f>RevBuild!BT28</f>
        <v>595.60879059782121</v>
      </c>
      <c r="AX49" s="384">
        <f>RevBuild!BW28</f>
        <v>494.59767000000005</v>
      </c>
      <c r="AY49" s="383">
        <f>RevBuild!BX28</f>
        <v>551.39305999999999</v>
      </c>
      <c r="AZ49" s="383">
        <f>RevBuild!BY28</f>
        <v>583.38862000000006</v>
      </c>
      <c r="BA49" s="383">
        <f>RevBuild!BZ28</f>
        <v>600.25112177573135</v>
      </c>
      <c r="BB49" s="384">
        <f>RevBuild!CC28</f>
        <v>498.92289840000001</v>
      </c>
      <c r="BC49" s="383">
        <f>RevBuild!CD28</f>
        <v>555.83678150000003</v>
      </c>
      <c r="BD49" s="383">
        <f>RevBuild!CE28</f>
        <v>592.03343240000004</v>
      </c>
      <c r="BE49" s="383">
        <f>RevBuild!CF28</f>
        <v>609.05575666887808</v>
      </c>
      <c r="BF49" s="296"/>
      <c r="BG49" s="296"/>
      <c r="BH49" s="296"/>
      <c r="BI49" s="296"/>
      <c r="BJ49" s="296"/>
      <c r="BK49" s="296"/>
      <c r="BL49" s="296"/>
      <c r="BM49" s="296"/>
      <c r="BN49" s="296"/>
      <c r="BO49" s="296"/>
      <c r="BP49" s="296"/>
      <c r="BQ49" s="296"/>
      <c r="BR49" s="296"/>
      <c r="BS49" s="296"/>
    </row>
    <row r="50" spans="1:71" outlineLevel="1" x14ac:dyDescent="0.2">
      <c r="A50" s="305" t="s">
        <v>308</v>
      </c>
      <c r="B50" s="400">
        <f>RevBuild!C7</f>
        <v>279.41699999999997</v>
      </c>
      <c r="C50" s="343">
        <f>RevBuild!D7</f>
        <v>289.892</v>
      </c>
      <c r="D50" s="343">
        <f>RevBuild!E7</f>
        <v>283.18299999999999</v>
      </c>
      <c r="E50" s="343">
        <f>RevBuild!F7</f>
        <v>301.93</v>
      </c>
      <c r="F50" s="342">
        <f>RevBuild!I7</f>
        <v>295.40699999999998</v>
      </c>
      <c r="G50" s="343">
        <f>RevBuild!J7</f>
        <v>310.13</v>
      </c>
      <c r="H50" s="343">
        <f>RevBuild!K7</f>
        <v>294.63799999999998</v>
      </c>
      <c r="I50" s="343">
        <f>RevBuild!L7</f>
        <v>318.01299999999998</v>
      </c>
      <c r="J50" s="342">
        <f>RevBuild!O7</f>
        <v>312.59300000000002</v>
      </c>
      <c r="K50" s="343">
        <f>RevBuild!P7</f>
        <v>309.67899999999997</v>
      </c>
      <c r="L50" s="343">
        <f>RevBuild!Q7</f>
        <v>287.709</v>
      </c>
      <c r="M50" s="343">
        <f>RevBuild!R7</f>
        <v>307.21199999999999</v>
      </c>
      <c r="N50" s="342">
        <f>RevBuild!U7</f>
        <v>305.56799999999998</v>
      </c>
      <c r="O50" s="343">
        <f>RevBuild!V7</f>
        <v>303.52499999999998</v>
      </c>
      <c r="P50" s="343">
        <f>RevBuild!W7</f>
        <v>293.077</v>
      </c>
      <c r="Q50" s="343">
        <f>RevBuild!X7</f>
        <v>312.62599999999998</v>
      </c>
      <c r="R50" s="342">
        <f>RevBuild!AA7</f>
        <v>325.99200000000002</v>
      </c>
      <c r="S50" s="343">
        <f>RevBuild!AB7</f>
        <v>305.00799999999998</v>
      </c>
      <c r="T50" s="343">
        <f>RevBuild!AC7</f>
        <v>301.68799999999999</v>
      </c>
      <c r="U50" s="343">
        <f>RevBuild!AD7</f>
        <v>320.536</v>
      </c>
      <c r="V50" s="342">
        <f>RevBuild!AG7</f>
        <v>308.86900000000003</v>
      </c>
      <c r="W50" s="343">
        <f>RevBuild!AH7</f>
        <v>312.23599999999999</v>
      </c>
      <c r="X50" s="343">
        <f>RevBuild!AI7</f>
        <v>311.35599999999999</v>
      </c>
      <c r="Y50" s="343">
        <f>RevBuild!AJ7</f>
        <v>331.05399999999997</v>
      </c>
      <c r="Z50" s="342">
        <f>RevBuild!AM7</f>
        <v>310.15600000000001</v>
      </c>
      <c r="AA50" s="343">
        <f>RevBuild!AN7</f>
        <v>315.37700000000001</v>
      </c>
      <c r="AB50" s="343">
        <f>RevBuild!AO7</f>
        <v>308.7</v>
      </c>
      <c r="AC50" s="343">
        <f>RevBuild!AP7</f>
        <v>338.988</v>
      </c>
      <c r="AD50" s="342">
        <f>RevBuild!AS7</f>
        <v>328.00799999999998</v>
      </c>
      <c r="AE50" s="343">
        <f>RevBuild!AT7</f>
        <v>328.017</v>
      </c>
      <c r="AF50" s="343">
        <f>RevBuild!AU7</f>
        <v>321.42099999999999</v>
      </c>
      <c r="AG50" s="343">
        <f>RevBuild!AV7</f>
        <v>345.93200000000002</v>
      </c>
      <c r="AH50" s="342">
        <f>RevBuild!AY7</f>
        <v>325.29000000000002</v>
      </c>
      <c r="AI50" s="343">
        <f>RevBuild!AZ7</f>
        <v>326.56200000000001</v>
      </c>
      <c r="AJ50" s="343">
        <f>RevBuild!BA7</f>
        <v>322.68200000000002</v>
      </c>
      <c r="AK50" s="343">
        <f>RevBuild!BB7</f>
        <v>344.87299999999999</v>
      </c>
      <c r="AL50" s="342">
        <f>RevBuild!BE7</f>
        <v>358.05200000000002</v>
      </c>
      <c r="AM50" s="343">
        <f>RevBuild!BF7</f>
        <v>332.43599999999998</v>
      </c>
      <c r="AN50" s="343">
        <f>RevBuild!BG7</f>
        <v>333.83499999999998</v>
      </c>
      <c r="AO50" s="343">
        <f>RevBuild!BH7</f>
        <v>354.56299999999999</v>
      </c>
      <c r="AP50" s="342">
        <f>RevBuild!BK7</f>
        <v>332.94799999999998</v>
      </c>
      <c r="AQ50" s="343">
        <f>RevBuild!BL7</f>
        <v>324.23700000000002</v>
      </c>
      <c r="AR50" s="343">
        <f>RevBuild!BM7</f>
        <v>325.18099999999998</v>
      </c>
      <c r="AS50" s="343">
        <f>RevBuild!BN7</f>
        <v>339.39800000000002</v>
      </c>
      <c r="AT50" s="342">
        <f>RevBuild!BQ7</f>
        <v>320.178</v>
      </c>
      <c r="AU50" s="343">
        <f>RevBuild!BR7</f>
        <v>311.21699999999998</v>
      </c>
      <c r="AV50" s="343">
        <f>RevBuild!BS7</f>
        <v>302.29599999999999</v>
      </c>
      <c r="AW50" s="343">
        <f>RevBuild!BT7</f>
        <v>316.87005369979181</v>
      </c>
      <c r="AX50" s="342">
        <f>RevBuild!BW7</f>
        <v>288.16020000000003</v>
      </c>
      <c r="AY50" s="343">
        <f>RevBuild!BX7</f>
        <v>295.65614999999997</v>
      </c>
      <c r="AZ50" s="343">
        <f>RevBuild!BY7</f>
        <v>302.29599999999999</v>
      </c>
      <c r="BA50" s="343">
        <f>RevBuild!BZ7</f>
        <v>320.03875423678971</v>
      </c>
      <c r="BB50" s="342">
        <f>RevBuild!CC7</f>
        <v>291.04180200000002</v>
      </c>
      <c r="BC50" s="343">
        <f>RevBuild!CD7</f>
        <v>298.61271149999999</v>
      </c>
      <c r="BD50" s="343">
        <f>RevBuild!CE7</f>
        <v>305.31896</v>
      </c>
      <c r="BE50" s="343">
        <f>RevBuild!CF7</f>
        <v>323.23914177915759</v>
      </c>
      <c r="BF50" s="296"/>
      <c r="BG50" s="296"/>
      <c r="BH50" s="296"/>
      <c r="BI50" s="296"/>
      <c r="BJ50" s="296"/>
      <c r="BK50" s="296"/>
      <c r="BL50" s="296"/>
      <c r="BM50" s="296"/>
      <c r="BN50" s="296"/>
      <c r="BO50" s="296"/>
      <c r="BP50" s="296"/>
      <c r="BQ50" s="296"/>
      <c r="BR50" s="296"/>
      <c r="BS50" s="296"/>
    </row>
    <row r="51" spans="1:71" outlineLevel="1" x14ac:dyDescent="0.2">
      <c r="A51" s="308" t="s">
        <v>309</v>
      </c>
      <c r="B51" s="401">
        <f>RevBuild!C14</f>
        <v>146.99799999999999</v>
      </c>
      <c r="C51" s="345">
        <f>RevBuild!D14</f>
        <v>173.25200000000001</v>
      </c>
      <c r="D51" s="345">
        <f>RevBuild!E14</f>
        <v>205.26499999999999</v>
      </c>
      <c r="E51" s="345">
        <f>RevBuild!F14</f>
        <v>188.828</v>
      </c>
      <c r="F51" s="344">
        <f>RevBuild!I14</f>
        <v>152.733</v>
      </c>
      <c r="G51" s="345">
        <f>RevBuild!J14</f>
        <v>168.989</v>
      </c>
      <c r="H51" s="345">
        <f>RevBuild!K14</f>
        <v>231.56399999999999</v>
      </c>
      <c r="I51" s="345">
        <f>RevBuild!L14</f>
        <v>191.047</v>
      </c>
      <c r="J51" s="344">
        <f>RevBuild!O14</f>
        <v>150.36500000000001</v>
      </c>
      <c r="K51" s="345">
        <f>RevBuild!P14</f>
        <v>170.642</v>
      </c>
      <c r="L51" s="345">
        <f>RevBuild!Q14</f>
        <v>239.22800000000001</v>
      </c>
      <c r="M51" s="345">
        <f>RevBuild!R14</f>
        <v>171.154</v>
      </c>
      <c r="N51" s="344">
        <f>RevBuild!U14</f>
        <v>147.68700000000001</v>
      </c>
      <c r="O51" s="345">
        <f>RevBuild!V14</f>
        <v>175.059</v>
      </c>
      <c r="P51" s="345">
        <f>RevBuild!W14</f>
        <v>216.24299999999999</v>
      </c>
      <c r="Q51" s="345">
        <f>RevBuild!X14</f>
        <v>170.47900000000001</v>
      </c>
      <c r="R51" s="344">
        <f>RevBuild!AA14</f>
        <v>154.571</v>
      </c>
      <c r="S51" s="345">
        <f>RevBuild!AB14</f>
        <v>199.98500000000001</v>
      </c>
      <c r="T51" s="345">
        <f>RevBuild!AC14</f>
        <v>190.56700000000001</v>
      </c>
      <c r="U51" s="345">
        <f>RevBuild!AD14</f>
        <v>189.626</v>
      </c>
      <c r="V51" s="344">
        <f>RevBuild!AG14</f>
        <v>161.02699999999999</v>
      </c>
      <c r="W51" s="345">
        <f>RevBuild!AH14</f>
        <v>174.91300000000001</v>
      </c>
      <c r="X51" s="345">
        <f>RevBuild!AI14</f>
        <v>231.37200000000001</v>
      </c>
      <c r="Y51" s="345">
        <f>RevBuild!AJ14</f>
        <v>201.321</v>
      </c>
      <c r="Z51" s="344">
        <f>RevBuild!AM14</f>
        <v>191.93899999999999</v>
      </c>
      <c r="AA51" s="345">
        <f>RevBuild!AN14</f>
        <v>169.31100000000001</v>
      </c>
      <c r="AB51" s="345">
        <f>RevBuild!AO14</f>
        <v>254.03299999999999</v>
      </c>
      <c r="AC51" s="345">
        <f>RevBuild!AP14</f>
        <v>228.59800000000001</v>
      </c>
      <c r="AD51" s="344">
        <f>RevBuild!AS14</f>
        <v>161.82500000000002</v>
      </c>
      <c r="AE51" s="345">
        <f>RevBuild!AT14</f>
        <v>169.559</v>
      </c>
      <c r="AF51" s="345">
        <f>RevBuild!AU14</f>
        <v>255.99799999999999</v>
      </c>
      <c r="AG51" s="345">
        <f>RevBuild!AV14</f>
        <v>207.75</v>
      </c>
      <c r="AH51" s="344">
        <f>RevBuild!AY14</f>
        <v>148.78299999999999</v>
      </c>
      <c r="AI51" s="345">
        <f>RevBuild!AZ14</f>
        <v>195.96199999999999</v>
      </c>
      <c r="AJ51" s="345">
        <f>RevBuild!BA14</f>
        <v>220.738</v>
      </c>
      <c r="AK51" s="345">
        <f>RevBuild!BB14</f>
        <v>252.85900000000001</v>
      </c>
      <c r="AL51" s="344">
        <f>RevBuild!BE14</f>
        <v>143.66999999999999</v>
      </c>
      <c r="AM51" s="345">
        <f>RevBuild!BF14</f>
        <v>196.767</v>
      </c>
      <c r="AN51" s="345">
        <f>RevBuild!BG14</f>
        <v>232.334</v>
      </c>
      <c r="AO51" s="345">
        <f>RevBuild!BH14</f>
        <v>234.22200000000001</v>
      </c>
      <c r="AP51" s="344">
        <f>RevBuild!BK14</f>
        <v>150.88200000000001</v>
      </c>
      <c r="AQ51" s="345">
        <f>RevBuild!BL14</f>
        <v>205.06200000000001</v>
      </c>
      <c r="AR51" s="345">
        <f>RevBuild!BM14</f>
        <v>230.43100000000001</v>
      </c>
      <c r="AS51" s="345">
        <f>RevBuild!BN14</f>
        <v>194.49299999999999</v>
      </c>
      <c r="AT51" s="344">
        <f>RevBuild!BQ14</f>
        <v>127.863</v>
      </c>
      <c r="AU51" s="345">
        <f>RevBuild!BR14</f>
        <v>169.51300000000001</v>
      </c>
      <c r="AV51" s="345">
        <f>RevBuild!BS14</f>
        <v>207</v>
      </c>
      <c r="AW51" s="345">
        <f>RevBuild!BT14</f>
        <v>205.05720485242003</v>
      </c>
      <c r="AX51" s="344">
        <f>RevBuild!BW14</f>
        <v>134.25614999999999</v>
      </c>
      <c r="AY51" s="345">
        <f>RevBuild!BX14</f>
        <v>181.37891000000002</v>
      </c>
      <c r="AZ51" s="345">
        <f>RevBuild!BY14</f>
        <v>211.14000000000001</v>
      </c>
      <c r="BA51" s="345">
        <f>RevBuild!BZ14</f>
        <v>205.05720485242003</v>
      </c>
      <c r="BB51" s="344">
        <f>RevBuild!CC14</f>
        <v>134.25614999999999</v>
      </c>
      <c r="BC51" s="345">
        <f>RevBuild!CD14</f>
        <v>181.37891000000002</v>
      </c>
      <c r="BD51" s="345">
        <f>RevBuild!CE14</f>
        <v>215.36280000000002</v>
      </c>
      <c r="BE51" s="345">
        <f>RevBuild!CF14</f>
        <v>209.15834894946843</v>
      </c>
      <c r="BF51" s="296"/>
      <c r="BG51" s="296"/>
      <c r="BH51" s="296"/>
      <c r="BI51" s="296"/>
      <c r="BJ51" s="296"/>
      <c r="BK51" s="296"/>
      <c r="BL51" s="296"/>
      <c r="BM51" s="296"/>
      <c r="BN51" s="296"/>
      <c r="BO51" s="296"/>
      <c r="BP51" s="296"/>
      <c r="BQ51" s="296"/>
      <c r="BR51" s="296"/>
      <c r="BS51" s="296"/>
    </row>
    <row r="52" spans="1:71" outlineLevel="1" x14ac:dyDescent="0.2">
      <c r="A52" s="305" t="s">
        <v>310</v>
      </c>
      <c r="B52" s="400">
        <f>RevBuild!C21</f>
        <v>46.293999999999997</v>
      </c>
      <c r="C52" s="343">
        <f>RevBuild!D21</f>
        <v>49.055999999999997</v>
      </c>
      <c r="D52" s="343">
        <f>RevBuild!E21</f>
        <v>48.7</v>
      </c>
      <c r="E52" s="343">
        <f>RevBuild!F21</f>
        <v>51.814999999999998</v>
      </c>
      <c r="F52" s="342">
        <f>RevBuild!I21</f>
        <v>51.587000000000003</v>
      </c>
      <c r="G52" s="343">
        <f>RevBuild!J21</f>
        <v>55.386000000000003</v>
      </c>
      <c r="H52" s="343">
        <f>RevBuild!K21</f>
        <v>58.74</v>
      </c>
      <c r="I52" s="343">
        <f>RevBuild!L21</f>
        <v>53.052</v>
      </c>
      <c r="J52" s="342">
        <f>RevBuild!O21</f>
        <v>56.927</v>
      </c>
      <c r="K52" s="343">
        <f>RevBuild!P21</f>
        <v>56.515999999999998</v>
      </c>
      <c r="L52" s="343">
        <f>RevBuild!Q21</f>
        <v>57.203000000000003</v>
      </c>
      <c r="M52" s="343">
        <f>RevBuild!R21</f>
        <v>55.180999999999997</v>
      </c>
      <c r="N52" s="342">
        <f>RevBuild!U21</f>
        <v>57.735999999999997</v>
      </c>
      <c r="O52" s="343">
        <f>RevBuild!V21</f>
        <v>58.582999999999998</v>
      </c>
      <c r="P52" s="343">
        <f>RevBuild!W21</f>
        <v>62.753</v>
      </c>
      <c r="Q52" s="343">
        <f>RevBuild!X21</f>
        <v>64.159000000000006</v>
      </c>
      <c r="R52" s="342">
        <f>RevBuild!AA21</f>
        <v>62.115000000000002</v>
      </c>
      <c r="S52" s="343">
        <f>RevBuild!AB21</f>
        <v>58.216999999999999</v>
      </c>
      <c r="T52" s="343">
        <f>RevBuild!AC21</f>
        <v>64.793000000000006</v>
      </c>
      <c r="U52" s="343">
        <f>RevBuild!AD21</f>
        <v>62.957999999999998</v>
      </c>
      <c r="V52" s="342">
        <f>RevBuild!AG21</f>
        <v>63.470999999999997</v>
      </c>
      <c r="W52" s="343">
        <f>RevBuild!AH21</f>
        <v>63.456000000000003</v>
      </c>
      <c r="X52" s="343">
        <f>RevBuild!AI21</f>
        <v>62.313000000000002</v>
      </c>
      <c r="Y52" s="343">
        <f>RevBuild!AJ21</f>
        <v>66.486999999999995</v>
      </c>
      <c r="Z52" s="342">
        <f>RevBuild!AM21</f>
        <v>65.296999999999997</v>
      </c>
      <c r="AA52" s="343">
        <f>RevBuild!AN21</f>
        <v>64.460999999999999</v>
      </c>
      <c r="AB52" s="343">
        <f>RevBuild!AO21</f>
        <v>63.761000000000003</v>
      </c>
      <c r="AC52" s="343">
        <f>RevBuild!AP21</f>
        <v>69.349000000000004</v>
      </c>
      <c r="AD52" s="342">
        <f>RevBuild!AS21</f>
        <v>64.400000000000006</v>
      </c>
      <c r="AE52" s="343">
        <f>RevBuild!AT21</f>
        <v>65.475999999999999</v>
      </c>
      <c r="AF52" s="343">
        <f>RevBuild!AU21</f>
        <v>64.546000000000006</v>
      </c>
      <c r="AG52" s="343">
        <f>RevBuild!AV21</f>
        <v>69.165999999999997</v>
      </c>
      <c r="AH52" s="342">
        <f>RevBuild!AY21</f>
        <v>68.801000000000002</v>
      </c>
      <c r="AI52" s="343">
        <f>RevBuild!AZ21</f>
        <v>70.111999999999995</v>
      </c>
      <c r="AJ52" s="343">
        <f>RevBuild!BA21</f>
        <v>67.234999999999999</v>
      </c>
      <c r="AK52" s="343">
        <f>RevBuild!BB21</f>
        <v>71.105999999999995</v>
      </c>
      <c r="AL52" s="342">
        <f>RevBuild!BE21</f>
        <v>73.394999999999996</v>
      </c>
      <c r="AM52" s="343">
        <f>RevBuild!BF21</f>
        <v>72.119</v>
      </c>
      <c r="AN52" s="343">
        <f>RevBuild!BG21</f>
        <v>71.481999999999999</v>
      </c>
      <c r="AO52" s="343">
        <f>RevBuild!BH21</f>
        <v>73.358999999999995</v>
      </c>
      <c r="AP52" s="342">
        <f>RevBuild!BK21</f>
        <v>71.185000000000002</v>
      </c>
      <c r="AQ52" s="343">
        <f>RevBuild!BL21</f>
        <v>72.254000000000005</v>
      </c>
      <c r="AR52" s="343">
        <f>RevBuild!BM21</f>
        <v>70.730999999999995</v>
      </c>
      <c r="AS52" s="343">
        <f>RevBuild!BN21</f>
        <v>73.417000000000002</v>
      </c>
      <c r="AT52" s="342">
        <f>RevBuild!BQ21</f>
        <v>70.766000000000005</v>
      </c>
      <c r="AU52" s="343">
        <f>RevBuild!BR21</f>
        <v>72.900000000000006</v>
      </c>
      <c r="AV52" s="343">
        <f>RevBuild!BS21</f>
        <v>68.581000000000003</v>
      </c>
      <c r="AW52" s="343">
        <f>RevBuild!BT21</f>
        <v>73.68153204560943</v>
      </c>
      <c r="AX52" s="342">
        <f>RevBuild!BW21</f>
        <v>72.181320000000014</v>
      </c>
      <c r="AY52" s="343">
        <f>RevBuild!BX21</f>
        <v>74.358000000000004</v>
      </c>
      <c r="AZ52" s="343">
        <f>RevBuild!BY21</f>
        <v>69.95262000000001</v>
      </c>
      <c r="BA52" s="343">
        <f>RevBuild!BZ21</f>
        <v>75.155162686521621</v>
      </c>
      <c r="BB52" s="342">
        <f>RevBuild!CC21</f>
        <v>73.624946400000013</v>
      </c>
      <c r="BC52" s="343">
        <f>RevBuild!CD21</f>
        <v>75.845160000000007</v>
      </c>
      <c r="BD52" s="343">
        <f>RevBuild!CE21</f>
        <v>71.351672400000012</v>
      </c>
      <c r="BE52" s="343">
        <f>RevBuild!CF21</f>
        <v>76.658265940252051</v>
      </c>
      <c r="BF52" s="296"/>
      <c r="BG52" s="296"/>
      <c r="BH52" s="296"/>
      <c r="BI52" s="296"/>
      <c r="BJ52" s="296"/>
      <c r="BK52" s="296"/>
      <c r="BL52" s="296"/>
      <c r="BM52" s="296"/>
      <c r="BN52" s="296"/>
      <c r="BO52" s="296"/>
      <c r="BP52" s="296"/>
      <c r="BQ52" s="296"/>
      <c r="BR52" s="296"/>
      <c r="BS52" s="296"/>
    </row>
    <row r="53" spans="1:71" outlineLevel="1" x14ac:dyDescent="0.2">
      <c r="A53" s="304" t="s">
        <v>311</v>
      </c>
      <c r="B53" s="402" t="s">
        <v>160</v>
      </c>
      <c r="C53" s="336" t="s">
        <v>160</v>
      </c>
      <c r="D53" s="336" t="s">
        <v>160</v>
      </c>
      <c r="E53" s="336" t="s">
        <v>160</v>
      </c>
      <c r="F53" s="335" t="s">
        <v>160</v>
      </c>
      <c r="G53" s="336" t="s">
        <v>160</v>
      </c>
      <c r="H53" s="336" t="s">
        <v>160</v>
      </c>
      <c r="I53" s="336" t="s">
        <v>160</v>
      </c>
      <c r="J53" s="335" t="s">
        <v>160</v>
      </c>
      <c r="K53" s="336" t="s">
        <v>160</v>
      </c>
      <c r="L53" s="336" t="s">
        <v>160</v>
      </c>
      <c r="M53" s="336" t="s">
        <v>160</v>
      </c>
      <c r="N53" s="335" t="s">
        <v>160</v>
      </c>
      <c r="O53" s="336" t="s">
        <v>160</v>
      </c>
      <c r="P53" s="336" t="s">
        <v>160</v>
      </c>
      <c r="Q53" s="336" t="s">
        <v>160</v>
      </c>
      <c r="R53" s="335" t="s">
        <v>160</v>
      </c>
      <c r="S53" s="336" t="s">
        <v>160</v>
      </c>
      <c r="T53" s="336" t="s">
        <v>160</v>
      </c>
      <c r="U53" s="336" t="s">
        <v>160</v>
      </c>
      <c r="V53" s="335" t="s">
        <v>160</v>
      </c>
      <c r="W53" s="336" t="s">
        <v>160</v>
      </c>
      <c r="X53" s="336" t="s">
        <v>160</v>
      </c>
      <c r="Y53" s="336" t="s">
        <v>160</v>
      </c>
      <c r="Z53" s="335" t="s">
        <v>160</v>
      </c>
      <c r="AA53" s="336" t="s">
        <v>160</v>
      </c>
      <c r="AB53" s="336" t="s">
        <v>160</v>
      </c>
      <c r="AC53" s="336" t="s">
        <v>160</v>
      </c>
      <c r="AD53" s="335" t="s">
        <v>160</v>
      </c>
      <c r="AE53" s="336" t="s">
        <v>160</v>
      </c>
      <c r="AF53" s="336" t="s">
        <v>160</v>
      </c>
      <c r="AG53" s="336" t="s">
        <v>160</v>
      </c>
      <c r="AH53" s="344">
        <f>RevBuild!AY78</f>
        <v>386.29999999999995</v>
      </c>
      <c r="AI53" s="345">
        <f>RevBuild!AZ78</f>
        <v>376.47399999999999</v>
      </c>
      <c r="AJ53" s="345">
        <f>RevBuild!BA78</f>
        <v>337.81499999999994</v>
      </c>
      <c r="AK53" s="345">
        <f>RevBuild!BB78</f>
        <v>355.98099999999999</v>
      </c>
      <c r="AL53" s="344">
        <f>RevBuild!BE78</f>
        <v>557.29700000000003</v>
      </c>
      <c r="AM53" s="345">
        <f>RevBuild!BF78</f>
        <v>774.45299999999997</v>
      </c>
      <c r="AN53" s="345">
        <f>RevBuild!BG78</f>
        <v>749.71300000000008</v>
      </c>
      <c r="AO53" s="345">
        <f>RevBuild!BH78</f>
        <v>780.78600000000006</v>
      </c>
      <c r="AP53" s="344">
        <f>RevBuild!BK78</f>
        <v>762.63099999999997</v>
      </c>
      <c r="AQ53" s="345">
        <f>RevBuild!BL78</f>
        <v>807.14599999999996</v>
      </c>
      <c r="AR53" s="345">
        <f>RevBuild!BM78</f>
        <v>762.577</v>
      </c>
      <c r="AS53" s="345">
        <f>RevBuild!BN78</f>
        <v>827.47199999999998</v>
      </c>
      <c r="AT53" s="344">
        <f>RevBuild!BQ78</f>
        <v>776.13600000000008</v>
      </c>
      <c r="AU53" s="345">
        <f>RevBuild!BR78</f>
        <v>823.58299999999997</v>
      </c>
      <c r="AV53" s="345">
        <f>RevBuild!BS78</f>
        <v>794.86699999999996</v>
      </c>
      <c r="AW53" s="345">
        <f>RevBuild!BT78</f>
        <v>840.82798380833663</v>
      </c>
      <c r="AX53" s="344">
        <f>RevBuild!BW78</f>
        <v>807.18144000000007</v>
      </c>
      <c r="AY53" s="345">
        <f>RevBuild!BX78</f>
        <v>872.62380000000007</v>
      </c>
      <c r="AZ53" s="345">
        <f>RevBuild!BY78</f>
        <v>826.66168000000005</v>
      </c>
      <c r="BA53" s="345">
        <f>RevBuild!BZ78</f>
        <v>890.89271664186424</v>
      </c>
      <c r="BB53" s="344">
        <f>RevBuild!CC78</f>
        <v>835.24759240000003</v>
      </c>
      <c r="BC53" s="345">
        <f>RevBuild!CD78</f>
        <v>902.98662300000001</v>
      </c>
      <c r="BD53" s="345">
        <f>RevBuild!CE78</f>
        <v>855.63331879999987</v>
      </c>
      <c r="BE53" s="345">
        <f>RevBuild!CF78</f>
        <v>922.10587299395411</v>
      </c>
      <c r="BF53" s="296"/>
      <c r="BG53" s="296"/>
      <c r="BH53" s="296"/>
      <c r="BI53" s="296"/>
      <c r="BJ53" s="296"/>
      <c r="BK53" s="296"/>
      <c r="BL53" s="296"/>
      <c r="BM53" s="296"/>
      <c r="BN53" s="296"/>
      <c r="BO53" s="296"/>
      <c r="BP53" s="296"/>
      <c r="BQ53" s="296"/>
      <c r="BR53" s="296"/>
      <c r="BS53" s="296"/>
    </row>
    <row r="54" spans="1:71" outlineLevel="1" x14ac:dyDescent="0.2">
      <c r="A54" s="355" t="s">
        <v>312</v>
      </c>
      <c r="B54" s="403" t="s">
        <v>160</v>
      </c>
      <c r="C54" s="333" t="s">
        <v>160</v>
      </c>
      <c r="D54" s="333" t="s">
        <v>160</v>
      </c>
      <c r="E54" s="333" t="s">
        <v>160</v>
      </c>
      <c r="F54" s="332" t="s">
        <v>160</v>
      </c>
      <c r="G54" s="333" t="s">
        <v>160</v>
      </c>
      <c r="H54" s="333" t="s">
        <v>160</v>
      </c>
      <c r="I54" s="333" t="s">
        <v>160</v>
      </c>
      <c r="J54" s="332" t="s">
        <v>160</v>
      </c>
      <c r="K54" s="333" t="s">
        <v>160</v>
      </c>
      <c r="L54" s="333" t="s">
        <v>160</v>
      </c>
      <c r="M54" s="333" t="s">
        <v>160</v>
      </c>
      <c r="N54" s="332" t="s">
        <v>160</v>
      </c>
      <c r="O54" s="333" t="s">
        <v>160</v>
      </c>
      <c r="P54" s="333" t="s">
        <v>160</v>
      </c>
      <c r="Q54" s="333" t="s">
        <v>160</v>
      </c>
      <c r="R54" s="332" t="s">
        <v>160</v>
      </c>
      <c r="S54" s="333" t="s">
        <v>160</v>
      </c>
      <c r="T54" s="333" t="s">
        <v>160</v>
      </c>
      <c r="U54" s="333" t="s">
        <v>160</v>
      </c>
      <c r="V54" s="332" t="s">
        <v>160</v>
      </c>
      <c r="W54" s="333" t="s">
        <v>160</v>
      </c>
      <c r="X54" s="333" t="s">
        <v>160</v>
      </c>
      <c r="Y54" s="333" t="s">
        <v>160</v>
      </c>
      <c r="Z54" s="332" t="s">
        <v>160</v>
      </c>
      <c r="AA54" s="333" t="s">
        <v>160</v>
      </c>
      <c r="AB54" s="333" t="s">
        <v>160</v>
      </c>
      <c r="AC54" s="333" t="s">
        <v>160</v>
      </c>
      <c r="AD54" s="332" t="s">
        <v>160</v>
      </c>
      <c r="AE54" s="333" t="s">
        <v>160</v>
      </c>
      <c r="AF54" s="333" t="s">
        <v>160</v>
      </c>
      <c r="AG54" s="333" t="s">
        <v>160</v>
      </c>
      <c r="AH54" s="342">
        <f>RevBuild!AY86</f>
        <v>9.782</v>
      </c>
      <c r="AI54" s="343">
        <f>RevBuild!AZ86</f>
        <v>9.11</v>
      </c>
      <c r="AJ54" s="343">
        <f>RevBuild!BA86</f>
        <v>10.157999999999999</v>
      </c>
      <c r="AK54" s="343">
        <f>RevBuild!BB86</f>
        <v>10.242000000000001</v>
      </c>
      <c r="AL54" s="342">
        <f>RevBuild!BE86</f>
        <v>10.456</v>
      </c>
      <c r="AM54" s="343">
        <f>RevBuild!BF86</f>
        <v>13.435</v>
      </c>
      <c r="AN54" s="343">
        <f>RevBuild!BG86</f>
        <v>13.489000000000001</v>
      </c>
      <c r="AO54" s="343">
        <f>RevBuild!BH86</f>
        <v>10.84</v>
      </c>
      <c r="AP54" s="342">
        <f>RevBuild!BK86</f>
        <v>14.79</v>
      </c>
      <c r="AQ54" s="343">
        <f>RevBuild!BL86</f>
        <v>9.5419999999999998</v>
      </c>
      <c r="AR54" s="343">
        <f>RevBuild!BM86</f>
        <v>8.4979999999999993</v>
      </c>
      <c r="AS54" s="343">
        <f>RevBuild!BN86</f>
        <v>10.252000000000001</v>
      </c>
      <c r="AT54" s="342">
        <f>RevBuild!BQ86</f>
        <v>9.1720000000000006</v>
      </c>
      <c r="AU54" s="343">
        <f>RevBuild!BR86</f>
        <v>8.5239999999999991</v>
      </c>
      <c r="AV54" s="343">
        <f>RevBuild!BS86</f>
        <v>2.4780000000000002</v>
      </c>
      <c r="AW54" s="343">
        <f>RevBuild!BT86</f>
        <v>5.1260000000000003</v>
      </c>
      <c r="AX54" s="342">
        <f>RevBuild!BW86</f>
        <v>8.9885599999999997</v>
      </c>
      <c r="AY54" s="343">
        <f>RevBuild!BX86</f>
        <v>8.3535199999999996</v>
      </c>
      <c r="AZ54" s="343">
        <f>RevBuild!BY86</f>
        <v>2.4284400000000002</v>
      </c>
      <c r="BA54" s="343">
        <f>RevBuild!BZ86</f>
        <v>5.0234800000000002</v>
      </c>
      <c r="BB54" s="342">
        <f>RevBuild!CC86</f>
        <v>9.168331199999999</v>
      </c>
      <c r="BC54" s="343">
        <f>RevBuild!CD86</f>
        <v>8.5205903999999997</v>
      </c>
      <c r="BD54" s="343">
        <f>RevBuild!CE86</f>
        <v>2.4770088000000001</v>
      </c>
      <c r="BE54" s="343">
        <f>RevBuild!CF86</f>
        <v>5.1239496000000004</v>
      </c>
      <c r="BF54" s="296"/>
      <c r="BG54" s="296"/>
      <c r="BH54" s="296"/>
      <c r="BI54" s="296"/>
      <c r="BJ54" s="296"/>
      <c r="BK54" s="296"/>
      <c r="BL54" s="296"/>
      <c r="BM54" s="296"/>
      <c r="BN54" s="296"/>
      <c r="BO54" s="296"/>
      <c r="BP54" s="296"/>
      <c r="BQ54" s="296"/>
      <c r="BR54" s="296"/>
      <c r="BS54" s="296"/>
    </row>
    <row r="55" spans="1:71" outlineLevel="1" x14ac:dyDescent="0.2">
      <c r="A55" s="346" t="s">
        <v>440</v>
      </c>
      <c r="B55" s="404">
        <f>RevBuild!C154</f>
        <v>655.48799999999994</v>
      </c>
      <c r="C55" s="347">
        <f>RevBuild!D154</f>
        <v>694.27300000000002</v>
      </c>
      <c r="D55" s="347">
        <f>RevBuild!E154</f>
        <v>709.49400000000003</v>
      </c>
      <c r="E55" s="347">
        <f>RevBuild!F154</f>
        <v>739.14300000000014</v>
      </c>
      <c r="F55" s="348">
        <f>RevBuild!I154</f>
        <v>701.40300000000002</v>
      </c>
      <c r="G55" s="347">
        <f>RevBuild!J154</f>
        <v>741.99199999999996</v>
      </c>
      <c r="H55" s="347">
        <f>RevBuild!K154</f>
        <v>776.94600000000003</v>
      </c>
      <c r="I55" s="347">
        <f>RevBuild!L154</f>
        <v>778.38799999999992</v>
      </c>
      <c r="J55" s="348">
        <f>RevBuild!O154</f>
        <v>743.85900000000004</v>
      </c>
      <c r="K55" s="347">
        <f>RevBuild!P154</f>
        <v>759.4609999999999</v>
      </c>
      <c r="L55" s="347">
        <f>RevBuild!Q154</f>
        <v>811.02300000000002</v>
      </c>
      <c r="M55" s="347">
        <f>RevBuild!R154</f>
        <v>779.88400000000001</v>
      </c>
      <c r="N55" s="348">
        <f>RevBuild!U154</f>
        <v>789.57900000000006</v>
      </c>
      <c r="O55" s="347">
        <f>RevBuild!V154</f>
        <v>814.95099999999991</v>
      </c>
      <c r="P55" s="347">
        <f>RevBuild!W154</f>
        <v>820.08399999999995</v>
      </c>
      <c r="Q55" s="347">
        <f>RevBuild!X154</f>
        <v>812.76199999999994</v>
      </c>
      <c r="R55" s="348">
        <f>RevBuild!AA154</f>
        <v>849.78700000000003</v>
      </c>
      <c r="S55" s="347">
        <f>RevBuild!AB154</f>
        <v>857.41399999999999</v>
      </c>
      <c r="T55" s="347">
        <f>RevBuild!AC154</f>
        <v>824.65</v>
      </c>
      <c r="U55" s="347">
        <f>RevBuild!AD154</f>
        <v>883.82100000000003</v>
      </c>
      <c r="V55" s="348">
        <f>RevBuild!AG154</f>
        <v>847.42200000000003</v>
      </c>
      <c r="W55" s="347">
        <f>RevBuild!AH154</f>
        <v>856.875</v>
      </c>
      <c r="X55" s="347">
        <f>RevBuild!AI154</f>
        <v>895.03000000000009</v>
      </c>
      <c r="Y55" s="347">
        <f>RevBuild!AJ154</f>
        <v>936.33399999999995</v>
      </c>
      <c r="Z55" s="348">
        <f>RevBuild!AM154</f>
        <v>889.22500000000014</v>
      </c>
      <c r="AA55" s="347">
        <f>RevBuild!AN154</f>
        <v>867.19299999999998</v>
      </c>
      <c r="AB55" s="347">
        <f>RevBuild!AO154</f>
        <v>915.86099999999988</v>
      </c>
      <c r="AC55" s="347">
        <f>RevBuild!AP154</f>
        <v>964.93299999999999</v>
      </c>
      <c r="AD55" s="348">
        <f>RevBuild!AS154</f>
        <v>880.125</v>
      </c>
      <c r="AE55" s="347">
        <f>RevBuild!AT154</f>
        <v>998.83400000000006</v>
      </c>
      <c r="AF55" s="347">
        <f>RevBuild!AU154</f>
        <v>1082.6789999999999</v>
      </c>
      <c r="AG55" s="347">
        <f>RevBuild!AV154</f>
        <v>1102.077</v>
      </c>
      <c r="AH55" s="348">
        <f>RevBuild!AY154</f>
        <v>938.95600000000002</v>
      </c>
      <c r="AI55" s="347">
        <f>RevBuild!AZ154</f>
        <v>978.21999999999991</v>
      </c>
      <c r="AJ55" s="347">
        <f>RevBuild!BA154</f>
        <v>958.62800000000004</v>
      </c>
      <c r="AK55" s="347">
        <f>RevBuild!BB154</f>
        <v>1035.0609999999999</v>
      </c>
      <c r="AL55" s="348">
        <f>RevBuild!BE154</f>
        <v>1142.8699999999999</v>
      </c>
      <c r="AM55" s="347">
        <f>RevBuild!BF154</f>
        <v>1389.21</v>
      </c>
      <c r="AN55" s="347">
        <f>RevBuild!BG154</f>
        <v>1400.8530000000001</v>
      </c>
      <c r="AO55" s="347">
        <f>RevBuild!BH154</f>
        <v>1453.77</v>
      </c>
      <c r="AP55" s="348">
        <f>RevBuild!BK154</f>
        <v>1332.4359999999999</v>
      </c>
      <c r="AQ55" s="347">
        <f>RevBuild!BL154</f>
        <v>1418.241</v>
      </c>
      <c r="AR55" s="347">
        <f>RevBuild!BM154</f>
        <v>1397.4180000000001</v>
      </c>
      <c r="AS55" s="347">
        <f>RevBuild!BN154</f>
        <v>1445.0320000000002</v>
      </c>
      <c r="AT55" s="348">
        <f>RevBuild!BQ154</f>
        <v>1304.1150000000002</v>
      </c>
      <c r="AU55" s="347">
        <f>RevBuild!BR154</f>
        <v>1385.7369999999999</v>
      </c>
      <c r="AV55" s="347">
        <f>RevBuild!BS154</f>
        <v>1375.222</v>
      </c>
      <c r="AW55" s="347">
        <f>RevBuild!BT154</f>
        <v>1441.5627744061578</v>
      </c>
      <c r="AX55" s="348">
        <f>RevBuild!BW154</f>
        <v>1310.7676700000002</v>
      </c>
      <c r="AY55" s="347">
        <f>RevBuild!BX154</f>
        <v>1432.3703800000001</v>
      </c>
      <c r="AZ55" s="347">
        <f>RevBuild!BY154</f>
        <v>1412.47874</v>
      </c>
      <c r="BA55" s="347">
        <f>RevBuild!BZ154</f>
        <v>1496.1673184175957</v>
      </c>
      <c r="BB55" s="348">
        <f>RevBuild!CC154</f>
        <v>1343.3388220000002</v>
      </c>
      <c r="BC55" s="347">
        <f>RevBuild!CD154</f>
        <v>1467.3439948999999</v>
      </c>
      <c r="BD55" s="347">
        <f>RevBuild!CE154</f>
        <v>1450.1437599999999</v>
      </c>
      <c r="BE55" s="347">
        <f>RevBuild!CF154</f>
        <v>1536.2855792628322</v>
      </c>
      <c r="BF55" s="296"/>
      <c r="BG55" s="296"/>
      <c r="BH55" s="296"/>
      <c r="BI55" s="296"/>
      <c r="BJ55" s="296"/>
      <c r="BK55" s="296"/>
      <c r="BL55" s="296"/>
      <c r="BM55" s="296"/>
      <c r="BN55" s="296"/>
      <c r="BO55" s="296"/>
      <c r="BP55" s="296"/>
      <c r="BQ55" s="296"/>
      <c r="BR55" s="296"/>
      <c r="BS55" s="296"/>
    </row>
    <row r="56" spans="1:71" s="303" customFormat="1" outlineLevel="1" x14ac:dyDescent="0.2">
      <c r="A56" s="349"/>
      <c r="B56" s="327"/>
      <c r="C56" s="327"/>
      <c r="D56" s="327"/>
      <c r="E56" s="327"/>
      <c r="F56" s="327"/>
      <c r="G56" s="327"/>
      <c r="H56" s="327"/>
      <c r="I56" s="327"/>
      <c r="J56" s="327"/>
      <c r="K56" s="327"/>
      <c r="L56" s="327"/>
      <c r="M56" s="327"/>
      <c r="N56" s="327"/>
      <c r="O56" s="327"/>
      <c r="P56" s="327"/>
      <c r="Q56" s="327"/>
      <c r="R56" s="327"/>
      <c r="S56" s="327"/>
      <c r="T56" s="327"/>
      <c r="U56" s="327"/>
      <c r="V56" s="327"/>
      <c r="W56" s="327"/>
      <c r="X56" s="327"/>
      <c r="Y56" s="327"/>
      <c r="Z56" s="327"/>
      <c r="AA56" s="327"/>
      <c r="AB56" s="327"/>
      <c r="AC56" s="327"/>
      <c r="AD56" s="327"/>
      <c r="AE56" s="327"/>
      <c r="AF56" s="327"/>
      <c r="AG56" s="327"/>
      <c r="AH56" s="327"/>
      <c r="AI56" s="327"/>
      <c r="AJ56" s="327"/>
      <c r="AK56" s="327"/>
      <c r="AL56" s="327"/>
      <c r="AM56" s="327"/>
      <c r="AN56" s="327"/>
      <c r="AO56" s="327"/>
      <c r="AP56" s="327"/>
      <c r="AQ56" s="327"/>
      <c r="AR56" s="327"/>
      <c r="AS56" s="327"/>
      <c r="AT56" s="327"/>
      <c r="AU56" s="327"/>
      <c r="AV56" s="327"/>
      <c r="AW56" s="327"/>
      <c r="AX56" s="327"/>
      <c r="AY56" s="327"/>
      <c r="AZ56" s="327"/>
      <c r="BA56" s="327"/>
      <c r="BB56" s="327"/>
      <c r="BC56" s="327"/>
      <c r="BD56" s="327"/>
      <c r="BE56" s="327"/>
      <c r="BF56" s="326"/>
      <c r="BG56" s="326"/>
      <c r="BH56" s="326"/>
      <c r="BI56" s="326"/>
      <c r="BJ56" s="326"/>
      <c r="BK56" s="326"/>
      <c r="BL56" s="326"/>
      <c r="BM56" s="326"/>
      <c r="BN56" s="326"/>
      <c r="BO56" s="326"/>
      <c r="BP56" s="326"/>
      <c r="BQ56" s="326"/>
      <c r="BR56" s="326"/>
      <c r="BS56" s="326"/>
    </row>
    <row r="57" spans="1:71" s="303" customFormat="1" x14ac:dyDescent="0.2">
      <c r="A57" s="247" t="s">
        <v>574</v>
      </c>
      <c r="B57" s="326"/>
      <c r="C57" s="326"/>
      <c r="D57" s="326"/>
      <c r="E57" s="326"/>
      <c r="F57" s="326"/>
      <c r="G57" s="324"/>
      <c r="H57" s="324"/>
      <c r="I57" s="324"/>
      <c r="J57" s="324"/>
      <c r="K57" s="324"/>
      <c r="L57" s="324"/>
      <c r="M57" s="324"/>
      <c r="N57" s="324"/>
      <c r="O57" s="324"/>
      <c r="P57" s="324"/>
      <c r="Q57" s="324"/>
      <c r="R57" s="324"/>
      <c r="S57" s="324"/>
      <c r="T57" s="324"/>
      <c r="U57" s="324"/>
      <c r="V57" s="324"/>
      <c r="W57" s="324"/>
      <c r="X57" s="324"/>
      <c r="Y57" s="324"/>
      <c r="Z57" s="324"/>
      <c r="AA57" s="324"/>
      <c r="AB57" s="324"/>
      <c r="AC57" s="324"/>
      <c r="AD57" s="324"/>
      <c r="AE57" s="324"/>
      <c r="AF57" s="324"/>
      <c r="AG57" s="324"/>
      <c r="AH57" s="324"/>
      <c r="AI57" s="324"/>
      <c r="AJ57" s="324"/>
      <c r="AK57" s="324"/>
      <c r="AL57" s="324"/>
      <c r="AM57" s="324"/>
      <c r="AN57" s="324"/>
      <c r="AO57" s="324"/>
      <c r="AP57" s="324"/>
      <c r="AQ57" s="324"/>
      <c r="AR57" s="324"/>
      <c r="AS57" s="324"/>
      <c r="AT57" s="324"/>
      <c r="AU57" s="324"/>
      <c r="AV57" s="324"/>
      <c r="AW57" s="324"/>
      <c r="AX57" s="324"/>
      <c r="AY57" s="324"/>
      <c r="AZ57" s="324"/>
      <c r="BA57" s="324"/>
      <c r="BB57" s="324"/>
      <c r="BC57" s="324"/>
      <c r="BD57" s="324"/>
      <c r="BE57" s="324"/>
      <c r="BF57" s="326"/>
      <c r="BG57" s="326"/>
      <c r="BH57" s="326"/>
      <c r="BI57" s="326"/>
      <c r="BJ57" s="326"/>
      <c r="BK57" s="326"/>
      <c r="BL57" s="326"/>
      <c r="BM57" s="326"/>
      <c r="BN57" s="326"/>
      <c r="BO57" s="326"/>
      <c r="BP57" s="326"/>
      <c r="BQ57" s="326"/>
      <c r="BR57" s="326"/>
      <c r="BS57" s="326"/>
    </row>
    <row r="58" spans="1:71" x14ac:dyDescent="0.2">
      <c r="A58" s="301"/>
      <c r="B58" s="389" t="str">
        <f>B$4</f>
        <v>1Q07</v>
      </c>
      <c r="C58" s="301" t="str">
        <f t="shared" ref="C58:BE58" si="77">C$4</f>
        <v>2Q07</v>
      </c>
      <c r="D58" s="301" t="str">
        <f t="shared" si="77"/>
        <v>3Q07</v>
      </c>
      <c r="E58" s="301" t="str">
        <f t="shared" si="77"/>
        <v>4Q07</v>
      </c>
      <c r="F58" s="302" t="str">
        <f t="shared" si="77"/>
        <v>1Q08</v>
      </c>
      <c r="G58" s="301" t="str">
        <f t="shared" si="77"/>
        <v>2Q08</v>
      </c>
      <c r="H58" s="301" t="str">
        <f t="shared" si="77"/>
        <v>3Q08</v>
      </c>
      <c r="I58" s="301" t="str">
        <f t="shared" si="77"/>
        <v>4Q08</v>
      </c>
      <c r="J58" s="302" t="str">
        <f t="shared" si="77"/>
        <v>1Q09</v>
      </c>
      <c r="K58" s="301" t="str">
        <f t="shared" si="77"/>
        <v>2Q09</v>
      </c>
      <c r="L58" s="301" t="str">
        <f t="shared" si="77"/>
        <v>3Q09</v>
      </c>
      <c r="M58" s="301" t="str">
        <f t="shared" si="77"/>
        <v>4Q09</v>
      </c>
      <c r="N58" s="302" t="str">
        <f t="shared" si="77"/>
        <v>1Q10</v>
      </c>
      <c r="O58" s="301" t="str">
        <f t="shared" si="77"/>
        <v>2Q10</v>
      </c>
      <c r="P58" s="301" t="str">
        <f t="shared" si="77"/>
        <v>3Q10</v>
      </c>
      <c r="Q58" s="301" t="str">
        <f t="shared" si="77"/>
        <v>4Q10</v>
      </c>
      <c r="R58" s="302" t="str">
        <f t="shared" si="77"/>
        <v>1Q11</v>
      </c>
      <c r="S58" s="301" t="str">
        <f t="shared" si="77"/>
        <v>2Q11</v>
      </c>
      <c r="T58" s="301" t="str">
        <f t="shared" si="77"/>
        <v>3Q11</v>
      </c>
      <c r="U58" s="301" t="str">
        <f t="shared" si="77"/>
        <v>4Q11</v>
      </c>
      <c r="V58" s="302" t="str">
        <f t="shared" si="77"/>
        <v>1Q12</v>
      </c>
      <c r="W58" s="301" t="str">
        <f t="shared" si="77"/>
        <v>2Q12</v>
      </c>
      <c r="X58" s="301" t="str">
        <f t="shared" si="77"/>
        <v>3Q12</v>
      </c>
      <c r="Y58" s="301" t="str">
        <f t="shared" si="77"/>
        <v>4Q12</v>
      </c>
      <c r="Z58" s="302" t="str">
        <f t="shared" si="77"/>
        <v>1Q13</v>
      </c>
      <c r="AA58" s="301" t="str">
        <f t="shared" si="77"/>
        <v>2Q13</v>
      </c>
      <c r="AB58" s="301" t="str">
        <f t="shared" si="77"/>
        <v>3Q13</v>
      </c>
      <c r="AC58" s="301" t="str">
        <f t="shared" si="77"/>
        <v>4Q13</v>
      </c>
      <c r="AD58" s="302" t="str">
        <f t="shared" si="77"/>
        <v>1Q14</v>
      </c>
      <c r="AE58" s="301" t="str">
        <f t="shared" si="77"/>
        <v>2Q14</v>
      </c>
      <c r="AF58" s="301" t="str">
        <f t="shared" si="77"/>
        <v>3Q14</v>
      </c>
      <c r="AG58" s="301" t="str">
        <f t="shared" si="77"/>
        <v>4Q14</v>
      </c>
      <c r="AH58" s="302" t="str">
        <f t="shared" si="77"/>
        <v>1Q15</v>
      </c>
      <c r="AI58" s="301" t="str">
        <f t="shared" si="77"/>
        <v>2Q15</v>
      </c>
      <c r="AJ58" s="301" t="str">
        <f t="shared" si="77"/>
        <v>3Q15</v>
      </c>
      <c r="AK58" s="301" t="str">
        <f t="shared" si="77"/>
        <v>4Q15</v>
      </c>
      <c r="AL58" s="302" t="str">
        <f t="shared" si="77"/>
        <v>1Q16</v>
      </c>
      <c r="AM58" s="301" t="str">
        <f t="shared" si="77"/>
        <v>2Q16</v>
      </c>
      <c r="AN58" s="301" t="str">
        <f t="shared" si="77"/>
        <v>3Q16</v>
      </c>
      <c r="AO58" s="301" t="str">
        <f t="shared" si="77"/>
        <v>4Q16</v>
      </c>
      <c r="AP58" s="302" t="str">
        <f t="shared" si="77"/>
        <v>1Q17</v>
      </c>
      <c r="AQ58" s="301" t="str">
        <f t="shared" si="77"/>
        <v>2Q17</v>
      </c>
      <c r="AR58" s="301" t="str">
        <f t="shared" si="77"/>
        <v>3Q17</v>
      </c>
      <c r="AS58" s="301" t="str">
        <f t="shared" si="77"/>
        <v>4Q17</v>
      </c>
      <c r="AT58" s="302" t="str">
        <f t="shared" si="77"/>
        <v>1Q18</v>
      </c>
      <c r="AU58" s="301" t="str">
        <f t="shared" si="77"/>
        <v>2Q18</v>
      </c>
      <c r="AV58" s="301" t="str">
        <f t="shared" si="77"/>
        <v>3Q18</v>
      </c>
      <c r="AW58" s="301" t="str">
        <f t="shared" si="77"/>
        <v>4Q18E</v>
      </c>
      <c r="AX58" s="302" t="str">
        <f t="shared" si="77"/>
        <v>1Q19E</v>
      </c>
      <c r="AY58" s="301" t="str">
        <f t="shared" si="77"/>
        <v>2Q19E</v>
      </c>
      <c r="AZ58" s="301" t="str">
        <f t="shared" si="77"/>
        <v>3Q19E</v>
      </c>
      <c r="BA58" s="301" t="str">
        <f t="shared" si="77"/>
        <v>4Q19E</v>
      </c>
      <c r="BB58" s="302" t="str">
        <f t="shared" si="77"/>
        <v>1Q20E</v>
      </c>
      <c r="BC58" s="301" t="str">
        <f t="shared" si="77"/>
        <v>2Q20E</v>
      </c>
      <c r="BD58" s="301" t="str">
        <f t="shared" si="77"/>
        <v>3Q20E</v>
      </c>
      <c r="BE58" s="301" t="str">
        <f t="shared" si="77"/>
        <v>4Q20E</v>
      </c>
      <c r="BF58" s="303"/>
      <c r="BG58" s="303"/>
      <c r="BH58" s="303"/>
      <c r="BI58" s="303"/>
      <c r="BJ58" s="303"/>
      <c r="BK58" s="303"/>
      <c r="BL58" s="303"/>
      <c r="BM58" s="303"/>
      <c r="BN58" s="303"/>
      <c r="BO58" s="303"/>
      <c r="BP58" s="303"/>
      <c r="BQ58" s="303"/>
      <c r="BR58" s="303"/>
      <c r="BS58" s="303"/>
    </row>
    <row r="59" spans="1:71" x14ac:dyDescent="0.2">
      <c r="A59" s="304" t="s">
        <v>307</v>
      </c>
      <c r="B59" s="405"/>
      <c r="C59" s="340"/>
      <c r="D59" s="340"/>
      <c r="E59" s="340"/>
      <c r="F59" s="341">
        <f>B49*(1+RevBuild!I33)</f>
        <v>499.65341299999989</v>
      </c>
      <c r="G59" s="340">
        <f>C49*(1+RevBuild!J33)</f>
        <v>534.73680000000002</v>
      </c>
      <c r="H59" s="340">
        <f>D49*(1+RevBuild!K33)</f>
        <v>584.95417199999997</v>
      </c>
      <c r="I59" s="340">
        <f>E49*(1+RevBuild!L33)</f>
        <v>562.96952500000009</v>
      </c>
      <c r="J59" s="341">
        <f>F49*(1+RevBuild!O33)</f>
        <v>519.71608000000003</v>
      </c>
      <c r="K59" s="340">
        <f>G49*(1+RevBuild!P33)</f>
        <v>536.64301999999998</v>
      </c>
      <c r="L59" s="340">
        <f>H49*(1+RevBuild!Q33)</f>
        <v>577.70563800000002</v>
      </c>
      <c r="M59" s="340">
        <f>I49*(1+RevBuild!R33)</f>
        <v>542.85868999999991</v>
      </c>
      <c r="N59" s="341">
        <f>J49*(1+RevBuild!U33)</f>
        <v>513.64638000000002</v>
      </c>
      <c r="O59" s="340">
        <f>K49*(1+RevBuild!V33)</f>
        <v>537.37383699999998</v>
      </c>
      <c r="P59" s="340">
        <f>L49*(1+RevBuild!W33)</f>
        <v>582.97172</v>
      </c>
      <c r="Q59" s="340">
        <f>M49*(1+RevBuild!X33)</f>
        <v>531.719427</v>
      </c>
      <c r="R59" s="341">
        <f>N49*(1+RevBuild!AA33)</f>
        <v>542.67244200000005</v>
      </c>
      <c r="S59" s="340">
        <f>O49*(1+RevBuild!AB33)</f>
        <v>562.95101599999998</v>
      </c>
      <c r="T59" s="340">
        <f>P49*(1+RevBuild!AC33)</f>
        <v>557.19910199999993</v>
      </c>
      <c r="U59" s="340">
        <f>Q49*(1+RevBuild!AD33)</f>
        <v>556.69232000000011</v>
      </c>
      <c r="V59" s="341">
        <f>R49*(1+RevBuild!AG33)</f>
        <v>533.45247399999994</v>
      </c>
      <c r="W59" s="340">
        <f>S49*(1+RevBuild!AH33)</f>
        <v>550.81938000000002</v>
      </c>
      <c r="X59" s="340">
        <f>T49*(1+RevBuild!AI33)</f>
        <v>604.95412800000008</v>
      </c>
      <c r="Y59" s="340">
        <f>U49*(1+RevBuild!AJ33)</f>
        <v>596.02325000000008</v>
      </c>
      <c r="Z59" s="341">
        <f>V49*(1+RevBuild!AM33)</f>
        <v>567.50248799999997</v>
      </c>
      <c r="AA59" s="340">
        <f>W49*(1+RevBuild!AN33)</f>
        <v>548.95318499999996</v>
      </c>
      <c r="AB59" s="340">
        <f>X49*(1+RevBuild!AO33)</f>
        <v>626.21743500000002</v>
      </c>
      <c r="AC59" s="340">
        <f>Y49*(1+RevBuild!AP33)</f>
        <v>629.85326699999996</v>
      </c>
      <c r="AD59" s="341">
        <f>Z49*(1+RevBuild!AS33)</f>
        <v>554.34198400000002</v>
      </c>
      <c r="AE59" s="340">
        <f>AA49*(1+RevBuild!AT33)</f>
        <v>562.87772499999994</v>
      </c>
      <c r="AF59" s="340">
        <f>AB49*(1+RevBuild!AU33)</f>
        <v>642.15634999999986</v>
      </c>
      <c r="AG59" s="340">
        <f>AC49*(1+RevBuild!AV33)</f>
        <v>632.4937910000001</v>
      </c>
      <c r="AH59" s="341">
        <f>AD49*(1+RevBuild!AY33)</f>
        <v>555.64317499999993</v>
      </c>
      <c r="AI59" s="340">
        <f>AE49*(1+RevBuild!AZ33)</f>
        <v>605.14145299999996</v>
      </c>
      <c r="AJ59" s="340">
        <f>AF49*(1+RevBuild!BA33)</f>
        <v>625.22559400000011</v>
      </c>
      <c r="AK59" s="340">
        <f>AG49*(1+RevBuild!BB33)</f>
        <v>686.81946599999992</v>
      </c>
      <c r="AL59" s="341">
        <f>AH49*(1+RevBuild!BE33)</f>
        <v>554.22276099999999</v>
      </c>
      <c r="AM59" s="340">
        <f>AI49*(1+RevBuild!BF33)</f>
        <v>610.66841399999998</v>
      </c>
      <c r="AN59" s="340">
        <f>AJ49*(1+RevBuild!BG33)</f>
        <v>655.50173100000006</v>
      </c>
      <c r="AO59" s="340">
        <f>AK49*(1+RevBuild!BH33)</f>
        <v>665.33135399999992</v>
      </c>
      <c r="AP59" s="341">
        <f>AL49*(1+RevBuild!BK33)</f>
        <v>587.0786129999999</v>
      </c>
      <c r="AQ59" s="340">
        <f>AM49*(1+RevBuild!BL33)</f>
        <v>601.41955199999995</v>
      </c>
      <c r="AR59" s="340">
        <f>AN49*(1+RevBuild!BM33)</f>
        <v>625.0510139999999</v>
      </c>
      <c r="AS59" s="340">
        <f>AO49*(1+RevBuild!BN33)</f>
        <v>607.46099100000004</v>
      </c>
      <c r="AT59" s="341">
        <f>AP49*(1+RevBuild!BQ33)</f>
        <v>531.40283424811173</v>
      </c>
      <c r="AU59" s="340">
        <f>AQ49*(1+RevBuild!BR33)</f>
        <v>556.6588031</v>
      </c>
      <c r="AV59" s="340">
        <f>AR49*(1+RevBuild!BS33)</f>
        <v>575.4490659999999</v>
      </c>
      <c r="AW59" s="340">
        <f>AS49*(1+RevBuild!BT33)</f>
        <v>593.27479000000017</v>
      </c>
      <c r="AX59" s="341">
        <f>AT49*(1+RevBuild!BW33)</f>
        <v>494.59766999999999</v>
      </c>
      <c r="AY59" s="340">
        <f>AU49*(1+RevBuild!BX33)</f>
        <v>551.39305999999999</v>
      </c>
      <c r="AZ59" s="340">
        <f>AV49*(1+RevBuild!BY33)</f>
        <v>583.38861999999995</v>
      </c>
      <c r="BA59" s="340">
        <f>AW49*(1+RevBuild!BZ33)</f>
        <v>600.25112177573135</v>
      </c>
      <c r="BB59" s="341"/>
      <c r="BC59" s="340"/>
      <c r="BD59" s="340"/>
      <c r="BE59" s="340"/>
      <c r="BF59" s="296"/>
      <c r="BG59" s="296"/>
      <c r="BH59" s="296"/>
      <c r="BI59" s="296"/>
      <c r="BJ59" s="296"/>
      <c r="BK59" s="296"/>
      <c r="BL59" s="296"/>
      <c r="BM59" s="296"/>
      <c r="BN59" s="296"/>
      <c r="BO59" s="296"/>
      <c r="BP59" s="296"/>
      <c r="BQ59" s="296"/>
      <c r="BR59" s="296"/>
      <c r="BS59" s="296"/>
    </row>
    <row r="60" spans="1:71" x14ac:dyDescent="0.2">
      <c r="A60" s="305" t="s">
        <v>308</v>
      </c>
      <c r="B60" s="406"/>
      <c r="C60" s="350"/>
      <c r="D60" s="350"/>
      <c r="E60" s="350"/>
      <c r="F60" s="332" t="s">
        <v>299</v>
      </c>
      <c r="G60" s="333" t="s">
        <v>299</v>
      </c>
      <c r="H60" s="333" t="s">
        <v>299</v>
      </c>
      <c r="I60" s="333" t="s">
        <v>299</v>
      </c>
      <c r="J60" s="332" t="s">
        <v>299</v>
      </c>
      <c r="K60" s="333" t="s">
        <v>299</v>
      </c>
      <c r="L60" s="333" t="s">
        <v>299</v>
      </c>
      <c r="M60" s="333" t="s">
        <v>299</v>
      </c>
      <c r="N60" s="332" t="s">
        <v>299</v>
      </c>
      <c r="O60" s="333" t="s">
        <v>299</v>
      </c>
      <c r="P60" s="333" t="s">
        <v>299</v>
      </c>
      <c r="Q60" s="333" t="s">
        <v>299</v>
      </c>
      <c r="R60" s="332" t="s">
        <v>299</v>
      </c>
      <c r="S60" s="333" t="s">
        <v>299</v>
      </c>
      <c r="T60" s="333" t="s">
        <v>299</v>
      </c>
      <c r="U60" s="333" t="s">
        <v>299</v>
      </c>
      <c r="V60" s="332" t="s">
        <v>299</v>
      </c>
      <c r="W60" s="333" t="s">
        <v>299</v>
      </c>
      <c r="X60" s="333" t="s">
        <v>299</v>
      </c>
      <c r="Y60" s="333" t="s">
        <v>299</v>
      </c>
      <c r="Z60" s="332" t="s">
        <v>299</v>
      </c>
      <c r="AA60" s="333" t="s">
        <v>299</v>
      </c>
      <c r="AB60" s="333" t="s">
        <v>299</v>
      </c>
      <c r="AC60" s="333" t="s">
        <v>299</v>
      </c>
      <c r="AD60" s="332" t="s">
        <v>299</v>
      </c>
      <c r="AE60" s="333" t="s">
        <v>299</v>
      </c>
      <c r="AF60" s="333" t="s">
        <v>299</v>
      </c>
      <c r="AG60" s="333" t="s">
        <v>299</v>
      </c>
      <c r="AH60" s="332" t="s">
        <v>299</v>
      </c>
      <c r="AI60" s="343" t="s">
        <v>299</v>
      </c>
      <c r="AJ60" s="343" t="s">
        <v>299</v>
      </c>
      <c r="AK60" s="343" t="s">
        <v>299</v>
      </c>
      <c r="AL60" s="342" t="s">
        <v>299</v>
      </c>
      <c r="AM60" s="343" t="s">
        <v>299</v>
      </c>
      <c r="AN60" s="343" t="s">
        <v>299</v>
      </c>
      <c r="AO60" s="343" t="s">
        <v>299</v>
      </c>
      <c r="AP60" s="342" t="s">
        <v>299</v>
      </c>
      <c r="AQ60" s="343" t="s">
        <v>299</v>
      </c>
      <c r="AR60" s="343" t="s">
        <v>299</v>
      </c>
      <c r="AS60" s="343" t="s">
        <v>299</v>
      </c>
      <c r="AT60" s="342" t="s">
        <v>299</v>
      </c>
      <c r="AU60" s="343" t="s">
        <v>299</v>
      </c>
      <c r="AV60" s="343" t="s">
        <v>299</v>
      </c>
      <c r="AW60" s="343" t="s">
        <v>299</v>
      </c>
      <c r="AX60" s="342" t="s">
        <v>299</v>
      </c>
      <c r="AY60" s="343" t="s">
        <v>299</v>
      </c>
      <c r="AZ60" s="343" t="s">
        <v>299</v>
      </c>
      <c r="BA60" s="343" t="s">
        <v>299</v>
      </c>
      <c r="BB60" s="342"/>
      <c r="BC60" s="343"/>
      <c r="BD60" s="343"/>
      <c r="BE60" s="343"/>
      <c r="BF60" s="296"/>
      <c r="BG60" s="296"/>
      <c r="BH60" s="296"/>
      <c r="BI60" s="296"/>
      <c r="BJ60" s="296"/>
      <c r="BK60" s="296"/>
      <c r="BL60" s="296"/>
      <c r="BM60" s="296"/>
      <c r="BN60" s="296"/>
      <c r="BO60" s="296"/>
      <c r="BP60" s="296"/>
      <c r="BQ60" s="296"/>
      <c r="BR60" s="296"/>
      <c r="BS60" s="296"/>
    </row>
    <row r="61" spans="1:71" x14ac:dyDescent="0.2">
      <c r="A61" s="308" t="s">
        <v>309</v>
      </c>
      <c r="B61" s="405"/>
      <c r="C61" s="340"/>
      <c r="D61" s="340"/>
      <c r="E61" s="340"/>
      <c r="F61" s="335" t="s">
        <v>299</v>
      </c>
      <c r="G61" s="336" t="s">
        <v>299</v>
      </c>
      <c r="H61" s="336" t="s">
        <v>299</v>
      </c>
      <c r="I61" s="336" t="s">
        <v>299</v>
      </c>
      <c r="J61" s="335" t="s">
        <v>299</v>
      </c>
      <c r="K61" s="336" t="s">
        <v>299</v>
      </c>
      <c r="L61" s="336" t="s">
        <v>299</v>
      </c>
      <c r="M61" s="336" t="s">
        <v>299</v>
      </c>
      <c r="N61" s="335" t="s">
        <v>299</v>
      </c>
      <c r="O61" s="336" t="s">
        <v>299</v>
      </c>
      <c r="P61" s="336" t="s">
        <v>299</v>
      </c>
      <c r="Q61" s="336" t="s">
        <v>299</v>
      </c>
      <c r="R61" s="335" t="s">
        <v>299</v>
      </c>
      <c r="S61" s="336" t="s">
        <v>299</v>
      </c>
      <c r="T61" s="336" t="s">
        <v>299</v>
      </c>
      <c r="U61" s="336" t="s">
        <v>299</v>
      </c>
      <c r="V61" s="335" t="s">
        <v>299</v>
      </c>
      <c r="W61" s="336" t="s">
        <v>299</v>
      </c>
      <c r="X61" s="336" t="s">
        <v>299</v>
      </c>
      <c r="Y61" s="336" t="s">
        <v>299</v>
      </c>
      <c r="Z61" s="335" t="s">
        <v>299</v>
      </c>
      <c r="AA61" s="336" t="s">
        <v>299</v>
      </c>
      <c r="AB61" s="336" t="s">
        <v>299</v>
      </c>
      <c r="AC61" s="336" t="s">
        <v>299</v>
      </c>
      <c r="AD61" s="335" t="s">
        <v>299</v>
      </c>
      <c r="AE61" s="336" t="s">
        <v>299</v>
      </c>
      <c r="AF61" s="336" t="s">
        <v>299</v>
      </c>
      <c r="AG61" s="336" t="s">
        <v>299</v>
      </c>
      <c r="AH61" s="335" t="s">
        <v>299</v>
      </c>
      <c r="AI61" s="345" t="s">
        <v>299</v>
      </c>
      <c r="AJ61" s="345" t="s">
        <v>299</v>
      </c>
      <c r="AK61" s="345" t="s">
        <v>299</v>
      </c>
      <c r="AL61" s="344" t="s">
        <v>299</v>
      </c>
      <c r="AM61" s="345" t="s">
        <v>299</v>
      </c>
      <c r="AN61" s="345" t="s">
        <v>299</v>
      </c>
      <c r="AO61" s="345" t="s">
        <v>299</v>
      </c>
      <c r="AP61" s="344" t="s">
        <v>299</v>
      </c>
      <c r="AQ61" s="345" t="s">
        <v>299</v>
      </c>
      <c r="AR61" s="345" t="s">
        <v>299</v>
      </c>
      <c r="AS61" s="345" t="s">
        <v>299</v>
      </c>
      <c r="AT61" s="344" t="s">
        <v>299</v>
      </c>
      <c r="AU61" s="345" t="s">
        <v>299</v>
      </c>
      <c r="AV61" s="345" t="s">
        <v>299</v>
      </c>
      <c r="AW61" s="345" t="s">
        <v>299</v>
      </c>
      <c r="AX61" s="344" t="s">
        <v>299</v>
      </c>
      <c r="AY61" s="345" t="s">
        <v>299</v>
      </c>
      <c r="AZ61" s="345" t="s">
        <v>299</v>
      </c>
      <c r="BA61" s="345" t="s">
        <v>299</v>
      </c>
      <c r="BB61" s="344"/>
      <c r="BC61" s="345"/>
      <c r="BD61" s="345"/>
      <c r="BE61" s="345"/>
      <c r="BF61" s="296"/>
      <c r="BG61" s="296"/>
      <c r="BH61" s="296"/>
      <c r="BI61" s="296"/>
      <c r="BJ61" s="296"/>
      <c r="BK61" s="296"/>
      <c r="BL61" s="296"/>
      <c r="BM61" s="296"/>
      <c r="BN61" s="296"/>
      <c r="BO61" s="296"/>
      <c r="BP61" s="296"/>
      <c r="BQ61" s="296"/>
      <c r="BR61" s="296"/>
      <c r="BS61" s="296"/>
    </row>
    <row r="62" spans="1:71" x14ac:dyDescent="0.2">
      <c r="A62" s="305" t="s">
        <v>310</v>
      </c>
      <c r="B62" s="406"/>
      <c r="C62" s="350"/>
      <c r="D62" s="350"/>
      <c r="E62" s="350"/>
      <c r="F62" s="332" t="s">
        <v>299</v>
      </c>
      <c r="G62" s="333" t="s">
        <v>299</v>
      </c>
      <c r="H62" s="333" t="s">
        <v>299</v>
      </c>
      <c r="I62" s="333" t="s">
        <v>299</v>
      </c>
      <c r="J62" s="332" t="s">
        <v>299</v>
      </c>
      <c r="K62" s="333" t="s">
        <v>299</v>
      </c>
      <c r="L62" s="333" t="s">
        <v>299</v>
      </c>
      <c r="M62" s="333" t="s">
        <v>299</v>
      </c>
      <c r="N62" s="332" t="s">
        <v>299</v>
      </c>
      <c r="O62" s="333" t="s">
        <v>299</v>
      </c>
      <c r="P62" s="333" t="s">
        <v>299</v>
      </c>
      <c r="Q62" s="333" t="s">
        <v>299</v>
      </c>
      <c r="R62" s="332" t="s">
        <v>299</v>
      </c>
      <c r="S62" s="333" t="s">
        <v>299</v>
      </c>
      <c r="T62" s="333" t="s">
        <v>299</v>
      </c>
      <c r="U62" s="333" t="s">
        <v>299</v>
      </c>
      <c r="V62" s="332" t="s">
        <v>299</v>
      </c>
      <c r="W62" s="333" t="s">
        <v>299</v>
      </c>
      <c r="X62" s="333" t="s">
        <v>299</v>
      </c>
      <c r="Y62" s="333" t="s">
        <v>299</v>
      </c>
      <c r="Z62" s="332" t="s">
        <v>299</v>
      </c>
      <c r="AA62" s="333" t="s">
        <v>299</v>
      </c>
      <c r="AB62" s="333" t="s">
        <v>299</v>
      </c>
      <c r="AC62" s="333" t="s">
        <v>299</v>
      </c>
      <c r="AD62" s="332" t="s">
        <v>299</v>
      </c>
      <c r="AE62" s="333" t="s">
        <v>299</v>
      </c>
      <c r="AF62" s="333" t="s">
        <v>299</v>
      </c>
      <c r="AG62" s="333" t="s">
        <v>299</v>
      </c>
      <c r="AH62" s="332" t="s">
        <v>299</v>
      </c>
      <c r="AI62" s="333" t="s">
        <v>299</v>
      </c>
      <c r="AJ62" s="333" t="s">
        <v>299</v>
      </c>
      <c r="AK62" s="333" t="s">
        <v>299</v>
      </c>
      <c r="AL62" s="342" t="s">
        <v>299</v>
      </c>
      <c r="AM62" s="343" t="s">
        <v>299</v>
      </c>
      <c r="AN62" s="343" t="s">
        <v>299</v>
      </c>
      <c r="AO62" s="343" t="s">
        <v>299</v>
      </c>
      <c r="AP62" s="342" t="s">
        <v>299</v>
      </c>
      <c r="AQ62" s="343" t="s">
        <v>299</v>
      </c>
      <c r="AR62" s="343" t="s">
        <v>299</v>
      </c>
      <c r="AS62" s="343" t="s">
        <v>299</v>
      </c>
      <c r="AT62" s="342" t="s">
        <v>299</v>
      </c>
      <c r="AU62" s="343" t="s">
        <v>299</v>
      </c>
      <c r="AV62" s="343" t="s">
        <v>299</v>
      </c>
      <c r="AW62" s="343" t="s">
        <v>299</v>
      </c>
      <c r="AX62" s="342" t="s">
        <v>299</v>
      </c>
      <c r="AY62" s="343" t="s">
        <v>299</v>
      </c>
      <c r="AZ62" s="343" t="s">
        <v>299</v>
      </c>
      <c r="BA62" s="343" t="s">
        <v>299</v>
      </c>
      <c r="BB62" s="342"/>
      <c r="BC62" s="343"/>
      <c r="BD62" s="343"/>
      <c r="BE62" s="343"/>
      <c r="BF62" s="351"/>
      <c r="BG62" s="351"/>
      <c r="BH62" s="351"/>
      <c r="BI62" s="351"/>
      <c r="BJ62" s="351"/>
      <c r="BK62" s="351"/>
      <c r="BL62" s="351"/>
      <c r="BM62" s="351"/>
      <c r="BN62" s="351"/>
      <c r="BO62" s="351"/>
      <c r="BP62" s="351"/>
      <c r="BQ62" s="351"/>
      <c r="BR62" s="351"/>
      <c r="BS62" s="351"/>
    </row>
    <row r="63" spans="1:71" x14ac:dyDescent="0.2">
      <c r="A63" s="304" t="s">
        <v>311</v>
      </c>
      <c r="B63" s="405"/>
      <c r="C63" s="340"/>
      <c r="D63" s="340"/>
      <c r="E63" s="340"/>
      <c r="F63" s="335" t="s">
        <v>299</v>
      </c>
      <c r="G63" s="336" t="s">
        <v>299</v>
      </c>
      <c r="H63" s="336" t="s">
        <v>299</v>
      </c>
      <c r="I63" s="336" t="s">
        <v>299</v>
      </c>
      <c r="J63" s="335" t="s">
        <v>299</v>
      </c>
      <c r="K63" s="336" t="s">
        <v>299</v>
      </c>
      <c r="L63" s="336" t="s">
        <v>299</v>
      </c>
      <c r="M63" s="336" t="s">
        <v>299</v>
      </c>
      <c r="N63" s="335" t="s">
        <v>299</v>
      </c>
      <c r="O63" s="336" t="s">
        <v>299</v>
      </c>
      <c r="P63" s="336" t="s">
        <v>299</v>
      </c>
      <c r="Q63" s="336" t="s">
        <v>299</v>
      </c>
      <c r="R63" s="335" t="s">
        <v>299</v>
      </c>
      <c r="S63" s="336" t="s">
        <v>299</v>
      </c>
      <c r="T63" s="336" t="s">
        <v>299</v>
      </c>
      <c r="U63" s="336" t="s">
        <v>299</v>
      </c>
      <c r="V63" s="335" t="s">
        <v>299</v>
      </c>
      <c r="W63" s="336" t="s">
        <v>299</v>
      </c>
      <c r="X63" s="336" t="s">
        <v>299</v>
      </c>
      <c r="Y63" s="336" t="s">
        <v>299</v>
      </c>
      <c r="Z63" s="335" t="s">
        <v>299</v>
      </c>
      <c r="AA63" s="336" t="s">
        <v>299</v>
      </c>
      <c r="AB63" s="336" t="s">
        <v>299</v>
      </c>
      <c r="AC63" s="336" t="s">
        <v>299</v>
      </c>
      <c r="AD63" s="335" t="s">
        <v>299</v>
      </c>
      <c r="AE63" s="336" t="s">
        <v>299</v>
      </c>
      <c r="AF63" s="336" t="s">
        <v>299</v>
      </c>
      <c r="AG63" s="336" t="s">
        <v>299</v>
      </c>
      <c r="AH63" s="344">
        <f>+AH53</f>
        <v>386.29999999999995</v>
      </c>
      <c r="AI63" s="345">
        <f t="shared" ref="AI63:AK63" si="78">+AI53</f>
        <v>376.47399999999999</v>
      </c>
      <c r="AJ63" s="345">
        <f t="shared" si="78"/>
        <v>337.81499999999994</v>
      </c>
      <c r="AK63" s="345">
        <f t="shared" si="78"/>
        <v>355.98099999999999</v>
      </c>
      <c r="AL63" s="344">
        <f>+AH53*(1+AL9)</f>
        <v>395.91317600000002</v>
      </c>
      <c r="AM63" s="345">
        <f t="shared" ref="AM63:AO63" si="79">+AI53*(1+AM9)</f>
        <v>388.58489599999979</v>
      </c>
      <c r="AN63" s="345">
        <f t="shared" si="79"/>
        <v>358.68414650000005</v>
      </c>
      <c r="AO63" s="345">
        <f t="shared" si="79"/>
        <v>385.11574200000013</v>
      </c>
      <c r="AP63" s="344">
        <f>+AL53*(1+AP9)</f>
        <v>582.53633699999989</v>
      </c>
      <c r="AQ63" s="345">
        <f t="shared" ref="AQ63" si="80">+AM53*(1+AQ9)</f>
        <v>835.47368599999982</v>
      </c>
      <c r="AR63" s="345">
        <f t="shared" ref="AR63" si="81">+AN53*(1+AR9)</f>
        <v>786.78557499999988</v>
      </c>
      <c r="AS63" s="345">
        <f t="shared" ref="AS63" si="82">+AO53*(1+AS9)</f>
        <v>847.77610000000004</v>
      </c>
      <c r="AT63" s="344">
        <f>+AP53*(1+AT9)</f>
        <v>788.56045400000005</v>
      </c>
      <c r="AU63" s="345">
        <f t="shared" ref="AU63" si="83">+AQ53*(1+AU9)</f>
        <v>820.88753099999997</v>
      </c>
      <c r="AV63" s="345">
        <f t="shared" ref="AV63" si="84">+AR53*(1+AV9)</f>
        <v>782.40400199999999</v>
      </c>
      <c r="AW63" s="345">
        <f t="shared" ref="AW63" si="85">+AS53*(1+AW9)</f>
        <v>827.84266000000002</v>
      </c>
      <c r="AX63" s="344">
        <f>+AT53*(1+AX9)</f>
        <v>807.18144000000007</v>
      </c>
      <c r="AY63" s="345">
        <f t="shared" ref="AY63" si="86">+AU53*(1+AY9)</f>
        <v>872.62380000000019</v>
      </c>
      <c r="AZ63" s="345">
        <f t="shared" ref="AZ63" si="87">+AV53*(1+AZ9)</f>
        <v>826.66167999999993</v>
      </c>
      <c r="BA63" s="345">
        <f t="shared" ref="BA63" si="88">+AW53*(1+BA9)</f>
        <v>890.89271664186424</v>
      </c>
      <c r="BB63" s="341"/>
      <c r="BC63" s="340"/>
      <c r="BD63" s="340"/>
      <c r="BE63" s="340"/>
      <c r="BF63" s="351"/>
      <c r="BG63" s="351"/>
      <c r="BH63" s="351"/>
      <c r="BI63" s="351"/>
      <c r="BJ63" s="351"/>
      <c r="BK63" s="351"/>
      <c r="BL63" s="351"/>
      <c r="BM63" s="351"/>
      <c r="BN63" s="351"/>
      <c r="BO63" s="351"/>
      <c r="BP63" s="351"/>
      <c r="BQ63" s="351"/>
      <c r="BR63" s="351"/>
      <c r="BS63" s="351"/>
    </row>
    <row r="64" spans="1:71" x14ac:dyDescent="0.2">
      <c r="A64" s="355" t="s">
        <v>427</v>
      </c>
      <c r="B64" s="406"/>
      <c r="C64" s="350"/>
      <c r="D64" s="350"/>
      <c r="E64" s="350"/>
      <c r="F64" s="332" t="s">
        <v>299</v>
      </c>
      <c r="G64" s="333" t="s">
        <v>299</v>
      </c>
      <c r="H64" s="333" t="s">
        <v>299</v>
      </c>
      <c r="I64" s="333" t="s">
        <v>299</v>
      </c>
      <c r="J64" s="332" t="s">
        <v>299</v>
      </c>
      <c r="K64" s="333" t="s">
        <v>299</v>
      </c>
      <c r="L64" s="333" t="s">
        <v>299</v>
      </c>
      <c r="M64" s="333" t="s">
        <v>299</v>
      </c>
      <c r="N64" s="332" t="s">
        <v>299</v>
      </c>
      <c r="O64" s="333" t="s">
        <v>299</v>
      </c>
      <c r="P64" s="333" t="s">
        <v>299</v>
      </c>
      <c r="Q64" s="333" t="s">
        <v>299</v>
      </c>
      <c r="R64" s="332" t="s">
        <v>299</v>
      </c>
      <c r="S64" s="333" t="s">
        <v>299</v>
      </c>
      <c r="T64" s="333" t="s">
        <v>299</v>
      </c>
      <c r="U64" s="333" t="s">
        <v>299</v>
      </c>
      <c r="V64" s="332" t="s">
        <v>299</v>
      </c>
      <c r="W64" s="333" t="s">
        <v>299</v>
      </c>
      <c r="X64" s="333" t="s">
        <v>299</v>
      </c>
      <c r="Y64" s="333" t="s">
        <v>299</v>
      </c>
      <c r="Z64" s="332" t="s">
        <v>299</v>
      </c>
      <c r="AA64" s="333" t="s">
        <v>299</v>
      </c>
      <c r="AB64" s="333" t="s">
        <v>299</v>
      </c>
      <c r="AC64" s="333" t="s">
        <v>299</v>
      </c>
      <c r="AD64" s="332" t="s">
        <v>299</v>
      </c>
      <c r="AE64" s="333" t="s">
        <v>299</v>
      </c>
      <c r="AF64" s="333" t="s">
        <v>299</v>
      </c>
      <c r="AG64" s="333" t="s">
        <v>299</v>
      </c>
      <c r="AH64" s="332" t="s">
        <v>299</v>
      </c>
      <c r="AI64" s="333" t="s">
        <v>299</v>
      </c>
      <c r="AJ64" s="333" t="s">
        <v>299</v>
      </c>
      <c r="AK64" s="333" t="s">
        <v>299</v>
      </c>
      <c r="AL64" s="385" t="s">
        <v>299</v>
      </c>
      <c r="AM64" s="350" t="s">
        <v>299</v>
      </c>
      <c r="AN64" s="350" t="s">
        <v>299</v>
      </c>
      <c r="AO64" s="350" t="s">
        <v>299</v>
      </c>
      <c r="AP64" s="385" t="s">
        <v>299</v>
      </c>
      <c r="AQ64" s="350" t="s">
        <v>299</v>
      </c>
      <c r="AR64" s="350" t="s">
        <v>299</v>
      </c>
      <c r="AS64" s="350" t="s">
        <v>299</v>
      </c>
      <c r="AT64" s="385" t="s">
        <v>299</v>
      </c>
      <c r="AU64" s="350" t="s">
        <v>299</v>
      </c>
      <c r="AV64" s="350" t="s">
        <v>299</v>
      </c>
      <c r="AW64" s="350" t="s">
        <v>299</v>
      </c>
      <c r="AX64" s="385" t="s">
        <v>299</v>
      </c>
      <c r="AY64" s="350" t="s">
        <v>299</v>
      </c>
      <c r="AZ64" s="350" t="s">
        <v>299</v>
      </c>
      <c r="BA64" s="350" t="s">
        <v>299</v>
      </c>
      <c r="BB64" s="385"/>
      <c r="BC64" s="350"/>
      <c r="BD64" s="350"/>
      <c r="BE64" s="350"/>
      <c r="BF64" s="351"/>
      <c r="BG64" s="351"/>
      <c r="BH64" s="351"/>
      <c r="BI64" s="351"/>
      <c r="BJ64" s="351"/>
      <c r="BK64" s="351"/>
      <c r="BL64" s="351"/>
      <c r="BM64" s="351"/>
      <c r="BN64" s="351"/>
      <c r="BO64" s="351"/>
      <c r="BP64" s="351"/>
      <c r="BQ64" s="351"/>
      <c r="BR64" s="351"/>
      <c r="BS64" s="351"/>
    </row>
    <row r="65" spans="1:71" x14ac:dyDescent="0.2">
      <c r="A65" s="346" t="s">
        <v>440</v>
      </c>
      <c r="B65" s="404"/>
      <c r="C65" s="347"/>
      <c r="D65" s="347"/>
      <c r="E65" s="347"/>
      <c r="F65" s="348">
        <f>B55*(1+RevBuild!I159)</f>
        <v>701.32941299999993</v>
      </c>
      <c r="G65" s="347">
        <f>C55*(1+RevBuild!J159)</f>
        <v>742.22379999999998</v>
      </c>
      <c r="H65" s="347">
        <f>D55*(1+RevBuild!K159)</f>
        <v>776.95817199999999</v>
      </c>
      <c r="I65" s="347">
        <f>E55*(1+RevBuild!L159)</f>
        <v>779.24552500000016</v>
      </c>
      <c r="J65" s="348">
        <f>F55*(1+RevBuild!O159)</f>
        <v>743.69008000000008</v>
      </c>
      <c r="K65" s="347">
        <f>G55*(1+RevBuild!P159)</f>
        <v>759.26702</v>
      </c>
      <c r="L65" s="347">
        <f>H55*(1+RevBuild!Q159)</f>
        <v>804.58863799999995</v>
      </c>
      <c r="M65" s="347">
        <f>I55*(1+RevBuild!R159)</f>
        <v>789.19569000000001</v>
      </c>
      <c r="N65" s="348">
        <f>J55*(1+RevBuild!U159)</f>
        <v>792.2343800000001</v>
      </c>
      <c r="O65" s="347">
        <f>K55*(1+RevBuild!V159)</f>
        <v>815.15783699999986</v>
      </c>
      <c r="P65" s="347">
        <f>L55*(1+RevBuild!W159)</f>
        <v>830.98271999999986</v>
      </c>
      <c r="Q65" s="347">
        <f>M55*(1+RevBuild!X159)</f>
        <v>797.21742699999993</v>
      </c>
      <c r="R65" s="348">
        <f>N55*(1+RevBuild!AA159)</f>
        <v>833.00584500000002</v>
      </c>
      <c r="S65" s="347">
        <f>O55*(1+RevBuild!AB159)</f>
        <v>836.95467699999983</v>
      </c>
      <c r="T65" s="347">
        <f>P55*(1+RevBuild!AC159)</f>
        <v>806.14257199999997</v>
      </c>
      <c r="U65" s="347">
        <f>Q55*(1+RevBuild!AD159)</f>
        <v>858.39418599999988</v>
      </c>
      <c r="V65" s="348">
        <f>R55*(1+RevBuild!AG159)</f>
        <v>842.98870399999998</v>
      </c>
      <c r="W65" s="347">
        <f>S55*(1+RevBuild!AH159)</f>
        <v>848.83985999999993</v>
      </c>
      <c r="X65" s="347">
        <f>T55*(1+RevBuild!AI159)</f>
        <v>888.97270000000003</v>
      </c>
      <c r="Y65" s="347">
        <f>U55*(1+RevBuild!AJ159)</f>
        <v>927.09388000000001</v>
      </c>
      <c r="Z65" s="348">
        <f>V55*(1+RevBuild!AM159)</f>
        <v>887.25083399999994</v>
      </c>
      <c r="AA65" s="347">
        <f>W55*(1+RevBuild!AN159)</f>
        <v>862.87312499999996</v>
      </c>
      <c r="AB65" s="347">
        <f>X55*(1+RevBuild!AO159)</f>
        <v>909.35048000000006</v>
      </c>
      <c r="AC65" s="347">
        <f>Y55*(1+RevBuild!AP159)</f>
        <v>964.57808599999998</v>
      </c>
      <c r="AD65" s="348">
        <f>Z55*(1+RevBuild!AS159)</f>
        <v>879.44352500000014</v>
      </c>
      <c r="AE65" s="347">
        <f>AA55*(1+RevBuild!AT159)</f>
        <v>883.66966699999989</v>
      </c>
      <c r="AF65" s="347">
        <f>AB55*(1+RevBuild!AU159)</f>
        <v>940.58924699999977</v>
      </c>
      <c r="AG65" s="347">
        <f>AC55*(1+RevBuild!AV159)</f>
        <v>962.607257</v>
      </c>
      <c r="AH65" s="348">
        <f>AD55*(1+RevBuild!AY159)</f>
        <v>912.04905776146961</v>
      </c>
      <c r="AI65" s="347">
        <f>AE55*(1+RevBuild!AZ159)</f>
        <v>1068.1292760183374</v>
      </c>
      <c r="AJ65" s="347">
        <f>AF55*(1+RevBuild!BA159)</f>
        <v>1103.7504978438085</v>
      </c>
      <c r="AK65" s="347">
        <f>AG55*(1+RevBuild!BB159)</f>
        <v>1175.9161589999999</v>
      </c>
      <c r="AL65" s="348">
        <f>AH55*(1+RevBuild!BE159)</f>
        <v>959.91793700000017</v>
      </c>
      <c r="AM65" s="347">
        <f>AI55*(1+RevBuild!BF159)</f>
        <v>1008.3633099999998</v>
      </c>
      <c r="AN65" s="347">
        <f>AJ55*(1+RevBuild!BG159)</f>
        <v>1024.3438775000002</v>
      </c>
      <c r="AO65" s="347">
        <f>AK55*(1+RevBuild!BH159)</f>
        <v>1060.6890960000003</v>
      </c>
      <c r="AP65" s="348">
        <f>AL55*(1+RevBuild!BK159)</f>
        <v>1209.1564599999999</v>
      </c>
      <c r="AQ65" s="347">
        <f>AM55*(1+RevBuild!BL159)</f>
        <v>1446.16761</v>
      </c>
      <c r="AR65" s="347">
        <f>AN55*(1+RevBuild!BM159)</f>
        <v>1420.4649420000001</v>
      </c>
      <c r="AS65" s="347">
        <f>AO55*(1+RevBuild!BN159)</f>
        <v>1466.0770909999999</v>
      </c>
      <c r="AT65" s="348">
        <f>AP55*(1+RevBuild!BQ159)</f>
        <v>1317.7792039999999</v>
      </c>
      <c r="AU65" s="347">
        <f>AQ55*(1+RevBuild!BR159)</f>
        <v>1386.3656669999998</v>
      </c>
      <c r="AV65" s="347">
        <f>AR55*(1+RevBuild!BS159)</f>
        <v>1359.6877140000001</v>
      </c>
      <c r="AW65" s="347">
        <f>AS55*(1+RevBuild!BT159)</f>
        <v>1431.3694500000001</v>
      </c>
      <c r="AX65" s="348">
        <f>AT55*(1+RevBuild!BW159)</f>
        <v>1310.9511100000004</v>
      </c>
      <c r="AY65" s="347">
        <f>AU55*(1+RevBuild!BX159)</f>
        <v>1432.5408600000003</v>
      </c>
      <c r="AZ65" s="347">
        <f>AV55*(1+RevBuild!BY159)</f>
        <v>1412.5283000000002</v>
      </c>
      <c r="BA65" s="347">
        <f>AW55*(1+RevBuild!BZ159)</f>
        <v>1496.2698384175956</v>
      </c>
      <c r="BB65" s="348"/>
      <c r="BC65" s="347"/>
      <c r="BD65" s="347"/>
      <c r="BE65" s="347"/>
      <c r="BF65" s="351"/>
      <c r="BG65" s="351"/>
      <c r="BH65" s="351"/>
      <c r="BI65" s="351"/>
      <c r="BJ65" s="351"/>
      <c r="BK65" s="351"/>
      <c r="BL65" s="351"/>
      <c r="BM65" s="351"/>
      <c r="BN65" s="351"/>
      <c r="BO65" s="351"/>
      <c r="BP65" s="351"/>
      <c r="BQ65" s="351"/>
      <c r="BR65" s="351"/>
      <c r="BS65" s="351"/>
    </row>
    <row r="66" spans="1:71" s="303" customFormat="1" outlineLevel="1" x14ac:dyDescent="0.2">
      <c r="A66" s="349"/>
      <c r="B66" s="327"/>
      <c r="C66" s="327"/>
      <c r="D66" s="327"/>
      <c r="E66" s="327"/>
      <c r="F66" s="327"/>
      <c r="G66" s="327"/>
      <c r="H66" s="327"/>
      <c r="I66" s="327"/>
      <c r="J66" s="327"/>
      <c r="K66" s="327"/>
      <c r="L66" s="327"/>
      <c r="M66" s="327"/>
      <c r="N66" s="327"/>
      <c r="O66" s="327"/>
      <c r="P66" s="327"/>
      <c r="Q66" s="327"/>
      <c r="R66" s="327"/>
      <c r="S66" s="327"/>
      <c r="T66" s="327"/>
      <c r="U66" s="327"/>
      <c r="V66" s="327"/>
      <c r="W66" s="327"/>
      <c r="X66" s="327"/>
      <c r="Y66" s="327"/>
      <c r="Z66" s="327"/>
      <c r="AA66" s="327"/>
      <c r="AB66" s="327"/>
      <c r="AC66" s="327"/>
      <c r="AD66" s="327"/>
      <c r="AE66" s="327"/>
      <c r="AF66" s="327"/>
      <c r="AG66" s="327"/>
      <c r="AH66" s="327"/>
      <c r="AI66" s="327"/>
      <c r="AJ66" s="327"/>
      <c r="AK66" s="327"/>
      <c r="AL66" s="327"/>
      <c r="AM66" s="327"/>
      <c r="AN66" s="327"/>
      <c r="AO66" s="327"/>
      <c r="AP66" s="327"/>
      <c r="AQ66" s="327"/>
      <c r="AR66" s="327"/>
      <c r="AS66" s="327"/>
      <c r="AT66" s="327"/>
      <c r="AU66" s="327"/>
      <c r="AV66" s="327"/>
      <c r="AW66" s="327"/>
      <c r="AX66" s="327"/>
      <c r="AY66" s="327"/>
      <c r="AZ66" s="327"/>
      <c r="BA66" s="327"/>
      <c r="BB66" s="327"/>
      <c r="BC66" s="327"/>
      <c r="BD66" s="327"/>
      <c r="BE66" s="327"/>
      <c r="BF66" s="326"/>
      <c r="BG66" s="326"/>
      <c r="BH66" s="326"/>
      <c r="BI66" s="326"/>
      <c r="BJ66" s="326"/>
      <c r="BK66" s="326"/>
      <c r="BL66" s="326"/>
      <c r="BM66" s="326"/>
      <c r="BN66" s="326"/>
      <c r="BO66" s="326"/>
      <c r="BP66" s="326"/>
      <c r="BQ66" s="326"/>
      <c r="BR66" s="326"/>
      <c r="BS66" s="326"/>
    </row>
    <row r="67" spans="1:71" s="303" customFormat="1" x14ac:dyDescent="0.2">
      <c r="A67" s="313" t="s">
        <v>446</v>
      </c>
      <c r="B67" s="326"/>
      <c r="C67" s="326"/>
      <c r="D67" s="326"/>
      <c r="E67" s="326"/>
      <c r="F67" s="326"/>
      <c r="G67" s="324"/>
      <c r="H67" s="324"/>
      <c r="I67" s="324"/>
      <c r="J67" s="324"/>
      <c r="K67" s="324"/>
      <c r="L67" s="324"/>
      <c r="M67" s="324"/>
      <c r="N67" s="324"/>
      <c r="O67" s="324"/>
      <c r="P67" s="324"/>
      <c r="Q67" s="324"/>
      <c r="R67" s="324"/>
      <c r="S67" s="324"/>
      <c r="T67" s="324"/>
      <c r="U67" s="324"/>
      <c r="V67" s="324"/>
      <c r="W67" s="324"/>
      <c r="X67" s="324"/>
      <c r="Y67" s="324"/>
      <c r="Z67" s="324"/>
      <c r="AA67" s="324"/>
      <c r="AB67" s="324"/>
      <c r="AC67" s="324"/>
      <c r="AD67" s="324"/>
      <c r="AE67" s="324"/>
      <c r="AF67" s="324"/>
      <c r="AG67" s="324"/>
      <c r="AH67" s="324"/>
      <c r="AI67" s="324"/>
      <c r="AJ67" s="324"/>
      <c r="AK67" s="324"/>
      <c r="AL67" s="324"/>
      <c r="AM67" s="324"/>
      <c r="AN67" s="324"/>
      <c r="AO67" s="324"/>
      <c r="AP67" s="324"/>
      <c r="AQ67" s="324"/>
      <c r="AR67" s="324"/>
      <c r="AS67" s="324"/>
      <c r="AT67" s="324"/>
      <c r="AU67" s="324"/>
      <c r="AV67" s="324"/>
      <c r="AW67" s="324"/>
      <c r="AX67" s="324"/>
      <c r="AY67" s="324"/>
      <c r="AZ67" s="324"/>
      <c r="BA67" s="324"/>
      <c r="BB67" s="324"/>
      <c r="BC67" s="324"/>
      <c r="BD67" s="324"/>
      <c r="BE67" s="324"/>
      <c r="BF67" s="326"/>
      <c r="BG67" s="326"/>
      <c r="BH67" s="326"/>
      <c r="BI67" s="326"/>
      <c r="BJ67" s="326"/>
      <c r="BK67" s="326"/>
      <c r="BL67" s="326"/>
      <c r="BM67" s="326"/>
      <c r="BN67" s="326"/>
      <c r="BO67" s="326"/>
      <c r="BP67" s="326"/>
      <c r="BQ67" s="326"/>
      <c r="BR67" s="326"/>
      <c r="BS67" s="326"/>
    </row>
    <row r="68" spans="1:71" x14ac:dyDescent="0.2">
      <c r="A68" s="301"/>
      <c r="B68" s="389" t="str">
        <f>B$4</f>
        <v>1Q07</v>
      </c>
      <c r="C68" s="301" t="str">
        <f t="shared" ref="C68:AW68" si="89">C$4</f>
        <v>2Q07</v>
      </c>
      <c r="D68" s="301" t="str">
        <f t="shared" si="89"/>
        <v>3Q07</v>
      </c>
      <c r="E68" s="301" t="str">
        <f t="shared" si="89"/>
        <v>4Q07</v>
      </c>
      <c r="F68" s="302" t="str">
        <f t="shared" si="89"/>
        <v>1Q08</v>
      </c>
      <c r="G68" s="301" t="str">
        <f t="shared" si="89"/>
        <v>2Q08</v>
      </c>
      <c r="H68" s="301" t="str">
        <f t="shared" si="89"/>
        <v>3Q08</v>
      </c>
      <c r="I68" s="301" t="str">
        <f t="shared" si="89"/>
        <v>4Q08</v>
      </c>
      <c r="J68" s="302" t="str">
        <f t="shared" si="89"/>
        <v>1Q09</v>
      </c>
      <c r="K68" s="301" t="str">
        <f t="shared" si="89"/>
        <v>2Q09</v>
      </c>
      <c r="L68" s="301" t="str">
        <f t="shared" si="89"/>
        <v>3Q09</v>
      </c>
      <c r="M68" s="301" t="str">
        <f t="shared" si="89"/>
        <v>4Q09</v>
      </c>
      <c r="N68" s="302" t="str">
        <f t="shared" si="89"/>
        <v>1Q10</v>
      </c>
      <c r="O68" s="301" t="str">
        <f t="shared" si="89"/>
        <v>2Q10</v>
      </c>
      <c r="P68" s="301" t="str">
        <f t="shared" si="89"/>
        <v>3Q10</v>
      </c>
      <c r="Q68" s="301" t="str">
        <f t="shared" si="89"/>
        <v>4Q10</v>
      </c>
      <c r="R68" s="302" t="str">
        <f t="shared" si="89"/>
        <v>1Q11</v>
      </c>
      <c r="S68" s="301" t="str">
        <f t="shared" si="89"/>
        <v>2Q11</v>
      </c>
      <c r="T68" s="301" t="str">
        <f t="shared" si="89"/>
        <v>3Q11</v>
      </c>
      <c r="U68" s="301" t="str">
        <f t="shared" si="89"/>
        <v>4Q11</v>
      </c>
      <c r="V68" s="302" t="str">
        <f t="shared" si="89"/>
        <v>1Q12</v>
      </c>
      <c r="W68" s="301" t="str">
        <f t="shared" si="89"/>
        <v>2Q12</v>
      </c>
      <c r="X68" s="301" t="str">
        <f t="shared" si="89"/>
        <v>3Q12</v>
      </c>
      <c r="Y68" s="301" t="str">
        <f t="shared" si="89"/>
        <v>4Q12</v>
      </c>
      <c r="Z68" s="302" t="str">
        <f t="shared" si="89"/>
        <v>1Q13</v>
      </c>
      <c r="AA68" s="301" t="str">
        <f t="shared" si="89"/>
        <v>2Q13</v>
      </c>
      <c r="AB68" s="301" t="str">
        <f t="shared" si="89"/>
        <v>3Q13</v>
      </c>
      <c r="AC68" s="301" t="str">
        <f t="shared" si="89"/>
        <v>4Q13</v>
      </c>
      <c r="AD68" s="302" t="str">
        <f t="shared" si="89"/>
        <v>1Q14</v>
      </c>
      <c r="AE68" s="301" t="str">
        <f t="shared" si="89"/>
        <v>2Q14</v>
      </c>
      <c r="AF68" s="301" t="str">
        <f t="shared" si="89"/>
        <v>3Q14</v>
      </c>
      <c r="AG68" s="301" t="str">
        <f t="shared" si="89"/>
        <v>4Q14</v>
      </c>
      <c r="AH68" s="302" t="str">
        <f t="shared" si="89"/>
        <v>1Q15</v>
      </c>
      <c r="AI68" s="301" t="str">
        <f t="shared" si="89"/>
        <v>2Q15</v>
      </c>
      <c r="AJ68" s="301" t="str">
        <f t="shared" si="89"/>
        <v>3Q15</v>
      </c>
      <c r="AK68" s="301" t="str">
        <f t="shared" si="89"/>
        <v>4Q15</v>
      </c>
      <c r="AL68" s="302" t="str">
        <f t="shared" si="89"/>
        <v>1Q16</v>
      </c>
      <c r="AM68" s="301" t="str">
        <f t="shared" si="89"/>
        <v>2Q16</v>
      </c>
      <c r="AN68" s="301" t="str">
        <f t="shared" si="89"/>
        <v>3Q16</v>
      </c>
      <c r="AO68" s="301" t="str">
        <f t="shared" si="89"/>
        <v>4Q16</v>
      </c>
      <c r="AP68" s="302" t="str">
        <f t="shared" si="89"/>
        <v>1Q17</v>
      </c>
      <c r="AQ68" s="301" t="str">
        <f t="shared" si="89"/>
        <v>2Q17</v>
      </c>
      <c r="AR68" s="301" t="str">
        <f t="shared" si="89"/>
        <v>3Q17</v>
      </c>
      <c r="AS68" s="301" t="str">
        <f t="shared" si="89"/>
        <v>4Q17</v>
      </c>
      <c r="AT68" s="302" t="str">
        <f t="shared" si="89"/>
        <v>1Q18</v>
      </c>
      <c r="AU68" s="301" t="str">
        <f t="shared" si="89"/>
        <v>2Q18</v>
      </c>
      <c r="AV68" s="301" t="str">
        <f t="shared" si="89"/>
        <v>3Q18</v>
      </c>
      <c r="AW68" s="301" t="str">
        <f t="shared" si="89"/>
        <v>4Q18E</v>
      </c>
      <c r="AX68" s="302" t="str">
        <f t="shared" ref="AX68:BE68" si="90">AX$4</f>
        <v>1Q19E</v>
      </c>
      <c r="AY68" s="301" t="str">
        <f t="shared" si="90"/>
        <v>2Q19E</v>
      </c>
      <c r="AZ68" s="301" t="str">
        <f t="shared" si="90"/>
        <v>3Q19E</v>
      </c>
      <c r="BA68" s="301" t="str">
        <f t="shared" si="90"/>
        <v>4Q19E</v>
      </c>
      <c r="BB68" s="302" t="str">
        <f t="shared" si="90"/>
        <v>1Q20E</v>
      </c>
      <c r="BC68" s="301" t="str">
        <f t="shared" si="90"/>
        <v>2Q20E</v>
      </c>
      <c r="BD68" s="301" t="str">
        <f t="shared" si="90"/>
        <v>3Q20E</v>
      </c>
      <c r="BE68" s="301" t="str">
        <f t="shared" si="90"/>
        <v>4Q20E</v>
      </c>
      <c r="BF68" s="303"/>
      <c r="BG68" s="303"/>
      <c r="BH68" s="303"/>
      <c r="BI68" s="303"/>
      <c r="BJ68" s="303"/>
      <c r="BK68" s="303"/>
      <c r="BL68" s="303"/>
      <c r="BM68" s="303"/>
      <c r="BN68" s="303"/>
      <c r="BO68" s="303"/>
      <c r="BP68" s="303"/>
      <c r="BQ68" s="303"/>
      <c r="BR68" s="303"/>
      <c r="BS68" s="303"/>
    </row>
    <row r="69" spans="1:71" x14ac:dyDescent="0.2">
      <c r="A69" s="304" t="s">
        <v>307</v>
      </c>
      <c r="B69" s="405"/>
      <c r="C69" s="340"/>
      <c r="D69" s="340"/>
      <c r="E69" s="340"/>
      <c r="F69" s="341">
        <f>RevBuild!C28*RevBuild!I33</f>
        <v>26.944412999999997</v>
      </c>
      <c r="G69" s="340">
        <f>RevBuild!D28*RevBuild!J33</f>
        <v>22.536799999999999</v>
      </c>
      <c r="H69" s="340">
        <f>RevBuild!E28*RevBuild!K33</f>
        <v>47.806171999999997</v>
      </c>
      <c r="I69" s="340">
        <f>RevBuild!F28*RevBuild!L33</f>
        <v>20.396525000000011</v>
      </c>
      <c r="J69" s="341">
        <f>RevBuild!I28*RevBuild!O33</f>
        <v>19.989079999999998</v>
      </c>
      <c r="K69" s="340">
        <f>RevBuild!J28*RevBuild!P33</f>
        <v>2.13802</v>
      </c>
      <c r="L69" s="340">
        <f>RevBuild!K28*RevBuild!Q33</f>
        <v>-7.2363620000000237</v>
      </c>
      <c r="M69" s="340">
        <f>RevBuild!L28*RevBuild!R33</f>
        <v>-19.253309999999971</v>
      </c>
      <c r="N69" s="341">
        <f>RevBuild!O28*RevBuild!U33</f>
        <v>-6.2386200000000001</v>
      </c>
      <c r="O69" s="340">
        <f>RevBuild!P28*RevBuild!V33</f>
        <v>0.53683700000000001</v>
      </c>
      <c r="P69" s="340">
        <f>RevBuild!Q28*RevBuild!W33</f>
        <v>-1.1682799999999995</v>
      </c>
      <c r="Q69" s="340">
        <f>RevBuild!R28*RevBuild!X33</f>
        <v>-1.8275729999999986</v>
      </c>
      <c r="R69" s="341">
        <f>RevBuild!U28*RevBuild!AA33</f>
        <v>31.681442000000001</v>
      </c>
      <c r="S69" s="340">
        <f>RevBuild!V28*RevBuild!AB33</f>
        <v>25.784015999999998</v>
      </c>
      <c r="T69" s="340">
        <f>RevBuild!W28*RevBuild!AC33</f>
        <v>-14.873897999999999</v>
      </c>
      <c r="U69" s="340">
        <f>RevBuild!X28*RevBuild!AD33</f>
        <v>9.4283200000000029</v>
      </c>
      <c r="V69" s="341">
        <f>RevBuild!AA28*RevBuild!AG33</f>
        <v>-9.2255260000000003</v>
      </c>
      <c r="W69" s="340">
        <f>RevBuild!AB28*RevBuild!AH33</f>
        <v>-12.39062</v>
      </c>
      <c r="X69" s="340">
        <f>RevBuild!AC28*RevBuild!AI33</f>
        <v>47.906127999999995</v>
      </c>
      <c r="Y69" s="340">
        <f>RevBuild!AD28*RevBuild!AJ33</f>
        <v>22.90325</v>
      </c>
      <c r="Z69" s="341">
        <f>RevBuild!AG28*RevBuild!AM33</f>
        <v>34.135487999999995</v>
      </c>
      <c r="AA69" s="340">
        <f>RevBuild!AH28*RevBuild!AN33</f>
        <v>-1.651815</v>
      </c>
      <c r="AB69" s="340">
        <f>RevBuild!AI28*RevBuild!AO33</f>
        <v>21.176435000000005</v>
      </c>
      <c r="AC69" s="340">
        <f>RevBuild!AJ28*RevBuild!AP33</f>
        <v>30.991267000000001</v>
      </c>
      <c r="AD69" s="341">
        <f>RevBuild!AM28*RevBuild!AS33</f>
        <v>-13.050016000000001</v>
      </c>
      <c r="AE69" s="340">
        <f>RevBuild!AN28*RevBuild!AT33</f>
        <v>13.728725000000001</v>
      </c>
      <c r="AF69" s="340">
        <f>RevBuild!AO28*RevBuild!AU33</f>
        <v>15.662349999999998</v>
      </c>
      <c r="AG69" s="340">
        <f>RevBuild!AP28*RevBuild!AV33</f>
        <v>-4.441208999999998</v>
      </c>
      <c r="AH69" s="341">
        <f>RevBuild!AS28*RevBuild!AY33</f>
        <v>1.4101750000000819</v>
      </c>
      <c r="AI69" s="340">
        <f>RevBuild!AT28*RevBuild!AZ33</f>
        <v>42.089452999999885</v>
      </c>
      <c r="AJ69" s="340">
        <f>RevBuild!AU28*RevBuild!BA33</f>
        <v>-16.739405999999981</v>
      </c>
      <c r="AK69" s="340">
        <f>RevBuild!AV28*RevBuild!BB33</f>
        <v>63.971466000000028</v>
      </c>
      <c r="AL69" s="341">
        <f>RevBuild!AY28*RevBuild!BE33</f>
        <v>11.348760999999996</v>
      </c>
      <c r="AM69" s="340">
        <f>RevBuild!AZ28*RevBuild!BF33</f>
        <v>18.032414000000003</v>
      </c>
      <c r="AN69" s="340">
        <f>RevBuild!BA28*RevBuild!BG33</f>
        <v>44.846730999999998</v>
      </c>
      <c r="AO69" s="340">
        <f>RevBuild!BB28*RevBuild!BH33</f>
        <v>-3.506645999999999</v>
      </c>
      <c r="AP69" s="341">
        <f>RevBuild!BE28*RevBuild!BK33</f>
        <v>11.961612999999998</v>
      </c>
      <c r="AQ69" s="340">
        <f>RevBuild!BF28*RevBuild!BL33</f>
        <v>9.7552000000000666E-2</v>
      </c>
      <c r="AR69" s="340">
        <f>RevBuild!BG28*RevBuild!BM33</f>
        <v>-12.599986000000001</v>
      </c>
      <c r="AS69" s="340">
        <f>RevBuild!BH28*RevBuild!BN33</f>
        <v>-54.683008999999998</v>
      </c>
      <c r="AT69" s="341">
        <f>RevBuild!BK28*RevBuild!BQ33</f>
        <v>-23.612165751888281</v>
      </c>
      <c r="AU69" s="340">
        <f>RevBuild!BL28*RevBuild!BR33</f>
        <v>-44.894196900000011</v>
      </c>
      <c r="AV69" s="340">
        <f>RevBuild!BM28*RevBuild!BS33</f>
        <v>-50.893934000000002</v>
      </c>
      <c r="AW69" s="340">
        <f>RevBuild!BN28*RevBuild!BT33</f>
        <v>-14.033210000000004</v>
      </c>
      <c r="AX69" s="341">
        <f>RevBuild!BQ28*RevBuild!BW33</f>
        <v>-24.209330000000001</v>
      </c>
      <c r="AY69" s="340">
        <f>RevBuild!BR28*RevBuild!BX33</f>
        <v>-2.2369399999999988</v>
      </c>
      <c r="AZ69" s="340">
        <f>RevBuild!BS28*RevBuild!BY33</f>
        <v>5.5116199999999997</v>
      </c>
      <c r="BA69" s="340">
        <f>RevBuild!BT28*RevBuild!BZ33</f>
        <v>4.6423311779101066</v>
      </c>
      <c r="BB69" s="341">
        <f>RevBuild!BW28*RevBuild!CC33</f>
        <v>4.3252284000000003</v>
      </c>
      <c r="BC69" s="340">
        <f>RevBuild!BX28*RevBuild!CD33</f>
        <v>4.4437214999999997</v>
      </c>
      <c r="BD69" s="340">
        <f>RevBuild!BY28*RevBuild!CE33</f>
        <v>8.6448124000000011</v>
      </c>
      <c r="BE69" s="340">
        <f>RevBuild!BZ28*RevBuild!CF33</f>
        <v>8.80463489314673</v>
      </c>
      <c r="BF69" s="296"/>
      <c r="BG69" s="296"/>
      <c r="BH69" s="296"/>
      <c r="BI69" s="296"/>
      <c r="BJ69" s="296"/>
      <c r="BK69" s="296"/>
      <c r="BL69" s="296"/>
      <c r="BM69" s="296"/>
      <c r="BN69" s="296"/>
      <c r="BO69" s="296"/>
      <c r="BP69" s="296"/>
      <c r="BQ69" s="296"/>
      <c r="BR69" s="296"/>
      <c r="BS69" s="296"/>
    </row>
    <row r="70" spans="1:71" x14ac:dyDescent="0.2">
      <c r="A70" s="305" t="s">
        <v>308</v>
      </c>
      <c r="B70" s="406"/>
      <c r="C70" s="350"/>
      <c r="D70" s="350"/>
      <c r="E70" s="350"/>
      <c r="F70" s="332" t="s">
        <v>299</v>
      </c>
      <c r="G70" s="333" t="s">
        <v>299</v>
      </c>
      <c r="H70" s="333" t="s">
        <v>299</v>
      </c>
      <c r="I70" s="333" t="s">
        <v>299</v>
      </c>
      <c r="J70" s="332" t="s">
        <v>299</v>
      </c>
      <c r="K70" s="333" t="s">
        <v>299</v>
      </c>
      <c r="L70" s="333" t="s">
        <v>299</v>
      </c>
      <c r="M70" s="333" t="s">
        <v>299</v>
      </c>
      <c r="N70" s="332" t="s">
        <v>299</v>
      </c>
      <c r="O70" s="333" t="s">
        <v>299</v>
      </c>
      <c r="P70" s="333" t="s">
        <v>299</v>
      </c>
      <c r="Q70" s="333" t="s">
        <v>299</v>
      </c>
      <c r="R70" s="332" t="s">
        <v>299</v>
      </c>
      <c r="S70" s="333" t="s">
        <v>299</v>
      </c>
      <c r="T70" s="333" t="s">
        <v>299</v>
      </c>
      <c r="U70" s="333" t="s">
        <v>299</v>
      </c>
      <c r="V70" s="332" t="s">
        <v>299</v>
      </c>
      <c r="W70" s="333" t="s">
        <v>299</v>
      </c>
      <c r="X70" s="333" t="s">
        <v>299</v>
      </c>
      <c r="Y70" s="333" t="s">
        <v>299</v>
      </c>
      <c r="Z70" s="332" t="s">
        <v>299</v>
      </c>
      <c r="AA70" s="333" t="s">
        <v>299</v>
      </c>
      <c r="AB70" s="333" t="s">
        <v>299</v>
      </c>
      <c r="AC70" s="333" t="s">
        <v>299</v>
      </c>
      <c r="AD70" s="332" t="s">
        <v>299</v>
      </c>
      <c r="AE70" s="333" t="s">
        <v>299</v>
      </c>
      <c r="AF70" s="333" t="s">
        <v>299</v>
      </c>
      <c r="AG70" s="333" t="s">
        <v>299</v>
      </c>
      <c r="AH70" s="342">
        <f>RevBuild!AS7*RevBuild!AY12</f>
        <v>8.2002000000000006</v>
      </c>
      <c r="AI70" s="343">
        <f>RevBuild!AT7*RevBuild!AZ12</f>
        <v>10.168526999999999</v>
      </c>
      <c r="AJ70" s="343">
        <f>RevBuild!AU7*RevBuild!BA12</f>
        <v>12.85684</v>
      </c>
      <c r="AK70" s="343">
        <f>RevBuild!AV7*RevBuild!BB12</f>
        <v>11.415756000000002</v>
      </c>
      <c r="AL70" s="342">
        <f>RevBuild!AY7*RevBuild!BE12</f>
        <v>12.361019999999998</v>
      </c>
      <c r="AM70" s="343">
        <f>RevBuild!AZ7*RevBuild!BF12</f>
        <v>10.776546000000002</v>
      </c>
      <c r="AN70" s="343">
        <f>RevBuild!BA7*RevBuild!BG12</f>
        <v>16.456782</v>
      </c>
      <c r="AO70" s="343">
        <f>RevBuild!BB7*RevBuild!BH12</f>
        <v>11.380809000000001</v>
      </c>
      <c r="AP70" s="342">
        <f>RevBuild!BE7*RevBuild!BK12</f>
        <v>-0.35805200000000031</v>
      </c>
      <c r="AQ70" s="343">
        <f>RevBuild!BF7*RevBuild!BL12</f>
        <v>-8.3109000000000002</v>
      </c>
      <c r="AR70" s="343">
        <f>RevBuild!BG7*RevBuild!BM12</f>
        <v>-9.3473800000000011</v>
      </c>
      <c r="AS70" s="343">
        <f>RevBuild!BH7*RevBuild!BN12</f>
        <v>-15.246208999999999</v>
      </c>
      <c r="AT70" s="342">
        <f>RevBuild!BK7*RevBuild!BQ12</f>
        <v>-0.47305875188827662</v>
      </c>
      <c r="AU70" s="343">
        <f>RevBuild!BL7*RevBuild!BR12</f>
        <v>-11.445566100000001</v>
      </c>
      <c r="AV70" s="343">
        <f>RevBuild!BM7*RevBuild!BS12</f>
        <v>-24.063393999999999</v>
      </c>
      <c r="AW70" s="343">
        <f>RevBuild!BN7*RevBuild!BT12</f>
        <v>-23.757860000000004</v>
      </c>
      <c r="AX70" s="342">
        <f>RevBuild!BQ7*RevBuild!BW12</f>
        <v>-32.017800000000001</v>
      </c>
      <c r="AY70" s="343">
        <f>RevBuild!BR7*RevBuild!BX12</f>
        <v>-15.56085</v>
      </c>
      <c r="AZ70" s="343">
        <f>RevBuild!BS7*RevBuild!BY12</f>
        <v>0</v>
      </c>
      <c r="BA70" s="343">
        <f>RevBuild!BT7*RevBuild!BZ12</f>
        <v>3.168700536997918</v>
      </c>
      <c r="BB70" s="342">
        <f>RevBuild!BW7*RevBuild!CC12</f>
        <v>2.8816020000000004</v>
      </c>
      <c r="BC70" s="343">
        <f>RevBuild!BX7*RevBuild!CD12</f>
        <v>2.9565614999999998</v>
      </c>
      <c r="BD70" s="343">
        <f>RevBuild!BY7*RevBuild!CE12</f>
        <v>3.0229599999999999</v>
      </c>
      <c r="BE70" s="343">
        <f>RevBuild!BZ7*RevBuild!CF12</f>
        <v>3.2003875423678974</v>
      </c>
      <c r="BF70" s="296"/>
      <c r="BG70" s="296"/>
      <c r="BH70" s="296"/>
      <c r="BI70" s="296"/>
      <c r="BJ70" s="296"/>
      <c r="BK70" s="296"/>
      <c r="BL70" s="296"/>
      <c r="BM70" s="296"/>
      <c r="BN70" s="296"/>
      <c r="BO70" s="296"/>
      <c r="BP70" s="296"/>
      <c r="BQ70" s="296"/>
      <c r="BR70" s="296"/>
      <c r="BS70" s="296"/>
    </row>
    <row r="71" spans="1:71" x14ac:dyDescent="0.2">
      <c r="A71" s="308" t="s">
        <v>309</v>
      </c>
      <c r="B71" s="405"/>
      <c r="C71" s="340"/>
      <c r="D71" s="340"/>
      <c r="E71" s="340"/>
      <c r="F71" s="335" t="s">
        <v>299</v>
      </c>
      <c r="G71" s="336" t="s">
        <v>299</v>
      </c>
      <c r="H71" s="336" t="s">
        <v>299</v>
      </c>
      <c r="I71" s="336" t="s">
        <v>299</v>
      </c>
      <c r="J71" s="335" t="s">
        <v>299</v>
      </c>
      <c r="K71" s="336" t="s">
        <v>299</v>
      </c>
      <c r="L71" s="336" t="s">
        <v>299</v>
      </c>
      <c r="M71" s="336" t="s">
        <v>299</v>
      </c>
      <c r="N71" s="335" t="s">
        <v>299</v>
      </c>
      <c r="O71" s="336" t="s">
        <v>299</v>
      </c>
      <c r="P71" s="336" t="s">
        <v>299</v>
      </c>
      <c r="Q71" s="336" t="s">
        <v>299</v>
      </c>
      <c r="R71" s="335" t="s">
        <v>299</v>
      </c>
      <c r="S71" s="336" t="s">
        <v>299</v>
      </c>
      <c r="T71" s="336" t="s">
        <v>299</v>
      </c>
      <c r="U71" s="336" t="s">
        <v>299</v>
      </c>
      <c r="V71" s="335" t="s">
        <v>299</v>
      </c>
      <c r="W71" s="336" t="s">
        <v>299</v>
      </c>
      <c r="X71" s="336" t="s">
        <v>299</v>
      </c>
      <c r="Y71" s="336" t="s">
        <v>299</v>
      </c>
      <c r="Z71" s="335" t="s">
        <v>299</v>
      </c>
      <c r="AA71" s="336" t="s">
        <v>299</v>
      </c>
      <c r="AB71" s="336" t="s">
        <v>299</v>
      </c>
      <c r="AC71" s="336" t="s">
        <v>299</v>
      </c>
      <c r="AD71" s="335" t="s">
        <v>299</v>
      </c>
      <c r="AE71" s="336" t="s">
        <v>299</v>
      </c>
      <c r="AF71" s="336" t="s">
        <v>299</v>
      </c>
      <c r="AG71" s="336" t="s">
        <v>299</v>
      </c>
      <c r="AH71" s="344">
        <f>RevBuild!AS14*RevBuild!AY19</f>
        <v>-11.813225000000001</v>
      </c>
      <c r="AI71" s="345">
        <f>RevBuild!AT14*RevBuild!AZ19</f>
        <v>27.468558000000002</v>
      </c>
      <c r="AJ71" s="345">
        <f>RevBuild!AU14*RevBuild!BA19</f>
        <v>-33.791736</v>
      </c>
      <c r="AK71" s="345">
        <f>RevBuild!AV14*RevBuild!BB19</f>
        <v>48.405750000000005</v>
      </c>
      <c r="AL71" s="344">
        <f>RevBuild!AY14*RevBuild!BE19</f>
        <v>-4.3147069999999994</v>
      </c>
      <c r="AM71" s="345">
        <f>RevBuild!AZ14*RevBuild!BF19</f>
        <v>4.3111639999999998</v>
      </c>
      <c r="AN71" s="345">
        <f>RevBuild!BA14*RevBuild!BG19</f>
        <v>15.010184000000001</v>
      </c>
      <c r="AO71" s="345">
        <f>RevBuild!BB14*RevBuild!BH19</f>
        <v>-17.447271000000001</v>
      </c>
      <c r="AP71" s="344">
        <f>RevBuild!BE14*RevBuild!BK19</f>
        <v>10.631580000000001</v>
      </c>
      <c r="AQ71" s="345">
        <f>RevBuild!BF14*RevBuild!BL19</f>
        <v>8.2642140000000008</v>
      </c>
      <c r="AR71" s="345">
        <f>RevBuild!BG14*RevBuild!BM19</f>
        <v>-2.32334</v>
      </c>
      <c r="AS71" s="345">
        <f>RevBuild!BH14*RevBuild!BN19</f>
        <v>-39.583517999999998</v>
      </c>
      <c r="AT71" s="344">
        <f>RevBuild!BK14*RevBuild!BQ19</f>
        <v>-22.783182</v>
      </c>
      <c r="AU71" s="345">
        <f>RevBuild!BL14*RevBuild!BR19</f>
        <v>-34.532440800000003</v>
      </c>
      <c r="AV71" s="345">
        <f>RevBuild!BM14*RevBuild!BS19</f>
        <v>-24.425685999999999</v>
      </c>
      <c r="AW71" s="345">
        <f>RevBuild!BN14*RevBuild!BT19</f>
        <v>9.7246500000000005</v>
      </c>
      <c r="AX71" s="344">
        <f>RevBuild!BQ14*RevBuild!BW19</f>
        <v>6.3931500000000003</v>
      </c>
      <c r="AY71" s="345">
        <f>RevBuild!BR14*RevBuild!BX19</f>
        <v>11.865910000000001</v>
      </c>
      <c r="AZ71" s="345">
        <f>RevBuild!BS14*RevBuild!BY19</f>
        <v>4.1399999999999997</v>
      </c>
      <c r="BA71" s="345">
        <f>RevBuild!BT14*RevBuild!BZ19</f>
        <v>0</v>
      </c>
      <c r="BB71" s="344">
        <f>RevBuild!BW14*RevBuild!CC19</f>
        <v>0</v>
      </c>
      <c r="BC71" s="345">
        <f>RevBuild!BX14*RevBuild!CD19</f>
        <v>0</v>
      </c>
      <c r="BD71" s="345">
        <f>RevBuild!BY14*RevBuild!CE19</f>
        <v>4.2228000000000003</v>
      </c>
      <c r="BE71" s="345">
        <f>RevBuild!BZ14*RevBuild!CF19</f>
        <v>4.101144097048401</v>
      </c>
      <c r="BF71" s="296"/>
      <c r="BG71" s="296"/>
      <c r="BH71" s="296"/>
      <c r="BI71" s="296"/>
      <c r="BJ71" s="296"/>
      <c r="BK71" s="296"/>
      <c r="BL71" s="296"/>
      <c r="BM71" s="296"/>
      <c r="BN71" s="296"/>
      <c r="BO71" s="296"/>
      <c r="BP71" s="296"/>
      <c r="BQ71" s="296"/>
      <c r="BR71" s="296"/>
      <c r="BS71" s="296"/>
    </row>
    <row r="72" spans="1:71" x14ac:dyDescent="0.2">
      <c r="A72" s="305" t="s">
        <v>310</v>
      </c>
      <c r="B72" s="406"/>
      <c r="C72" s="350"/>
      <c r="D72" s="350"/>
      <c r="E72" s="350"/>
      <c r="F72" s="332" t="s">
        <v>299</v>
      </c>
      <c r="G72" s="333" t="s">
        <v>299</v>
      </c>
      <c r="H72" s="333" t="s">
        <v>299</v>
      </c>
      <c r="I72" s="333" t="s">
        <v>299</v>
      </c>
      <c r="J72" s="332" t="s">
        <v>299</v>
      </c>
      <c r="K72" s="333" t="s">
        <v>299</v>
      </c>
      <c r="L72" s="333" t="s">
        <v>299</v>
      </c>
      <c r="M72" s="333" t="s">
        <v>299</v>
      </c>
      <c r="N72" s="332" t="s">
        <v>299</v>
      </c>
      <c r="O72" s="333" t="s">
        <v>299</v>
      </c>
      <c r="P72" s="333" t="s">
        <v>299</v>
      </c>
      <c r="Q72" s="333" t="s">
        <v>299</v>
      </c>
      <c r="R72" s="332" t="s">
        <v>299</v>
      </c>
      <c r="S72" s="333" t="s">
        <v>299</v>
      </c>
      <c r="T72" s="333" t="s">
        <v>299</v>
      </c>
      <c r="U72" s="333" t="s">
        <v>299</v>
      </c>
      <c r="V72" s="332" t="s">
        <v>299</v>
      </c>
      <c r="W72" s="333" t="s">
        <v>299</v>
      </c>
      <c r="X72" s="333" t="s">
        <v>299</v>
      </c>
      <c r="Y72" s="333" t="s">
        <v>299</v>
      </c>
      <c r="Z72" s="332" t="s">
        <v>299</v>
      </c>
      <c r="AA72" s="333" t="s">
        <v>299</v>
      </c>
      <c r="AB72" s="333" t="s">
        <v>299</v>
      </c>
      <c r="AC72" s="333" t="s">
        <v>299</v>
      </c>
      <c r="AD72" s="332" t="s">
        <v>299</v>
      </c>
      <c r="AE72" s="333" t="s">
        <v>299</v>
      </c>
      <c r="AF72" s="333" t="s">
        <v>299</v>
      </c>
      <c r="AG72" s="333" t="s">
        <v>299</v>
      </c>
      <c r="AH72" s="342">
        <f>RevBuild!AS21*RevBuild!AY26</f>
        <v>5.0232000000000001</v>
      </c>
      <c r="AI72" s="343">
        <f>RevBuild!AT21*RevBuild!AZ26</f>
        <v>4.4523679999999999</v>
      </c>
      <c r="AJ72" s="343">
        <f>RevBuild!AU21*RevBuild!BA26</f>
        <v>4.1954900000000004</v>
      </c>
      <c r="AK72" s="343">
        <f>RevBuild!AV21*RevBuild!BB26</f>
        <v>4.1499600000000001</v>
      </c>
      <c r="AL72" s="342">
        <f>RevBuild!AY21*RevBuild!BE26</f>
        <v>3.3024480000000009</v>
      </c>
      <c r="AM72" s="343">
        <f>RevBuild!AZ21*RevBuild!BF26</f>
        <v>2.9447039999999998</v>
      </c>
      <c r="AN72" s="343">
        <f>RevBuild!BA21*RevBuild!BG26</f>
        <v>13.379765000000001</v>
      </c>
      <c r="AO72" s="343">
        <f>RevBuild!BB21*RevBuild!BH26</f>
        <v>2.5598160000000001</v>
      </c>
      <c r="AP72" s="342">
        <f>RevBuild!BE21*RevBuild!BK26</f>
        <v>1.6880849999999998</v>
      </c>
      <c r="AQ72" s="343">
        <f>RevBuild!BF21*RevBuild!BL26</f>
        <v>0.14423800000000001</v>
      </c>
      <c r="AR72" s="343">
        <f>RevBuild!BG21*RevBuild!BM26</f>
        <v>-0.92926600000000004</v>
      </c>
      <c r="AS72" s="343">
        <f>RevBuild!BH21*RevBuild!BN26</f>
        <v>0.14671799999999999</v>
      </c>
      <c r="AT72" s="342">
        <f>RevBuild!BK21*RevBuild!BQ26</f>
        <v>-0.35592499999999999</v>
      </c>
      <c r="AU72" s="343">
        <f>RevBuild!BL21*RevBuild!BR26</f>
        <v>1.0838099999999999</v>
      </c>
      <c r="AV72" s="343">
        <f>RevBuild!BM21*RevBuild!BS26</f>
        <v>-2.4048539999999998</v>
      </c>
      <c r="AW72" s="343">
        <f>RevBuild!BN21*RevBuild!BT26</f>
        <v>0</v>
      </c>
      <c r="AX72" s="342">
        <f>RevBuild!BQ21*RevBuild!BW26</f>
        <v>1.4153200000000001</v>
      </c>
      <c r="AY72" s="343">
        <f>RevBuild!BR21*RevBuild!BX26</f>
        <v>1.4580000000000002</v>
      </c>
      <c r="AZ72" s="343">
        <f>RevBuild!BS21*RevBuild!BY26</f>
        <v>1.3716200000000001</v>
      </c>
      <c r="BA72" s="343">
        <f>RevBuild!BT21*RevBuild!BZ26</f>
        <v>1.4736306409121886</v>
      </c>
      <c r="BB72" s="342">
        <f>RevBuild!BW21*RevBuild!CC26</f>
        <v>1.4436264000000003</v>
      </c>
      <c r="BC72" s="343">
        <f>RevBuild!BX21*RevBuild!CD26</f>
        <v>1.48716</v>
      </c>
      <c r="BD72" s="343">
        <f>RevBuild!BY21*RevBuild!CE26</f>
        <v>1.3990524000000002</v>
      </c>
      <c r="BE72" s="343">
        <f>RevBuild!BZ21*RevBuild!CF26</f>
        <v>1.5031032537304325</v>
      </c>
      <c r="BF72" s="351"/>
      <c r="BG72" s="351"/>
      <c r="BH72" s="351"/>
      <c r="BI72" s="351"/>
      <c r="BJ72" s="351"/>
      <c r="BK72" s="351"/>
      <c r="BL72" s="351"/>
      <c r="BM72" s="351"/>
      <c r="BN72" s="351"/>
      <c r="BO72" s="351"/>
      <c r="BP72" s="351"/>
      <c r="BQ72" s="351"/>
      <c r="BR72" s="351"/>
      <c r="BS72" s="351"/>
    </row>
    <row r="73" spans="1:71" x14ac:dyDescent="0.2">
      <c r="A73" s="304" t="s">
        <v>311</v>
      </c>
      <c r="B73" s="405"/>
      <c r="C73" s="340"/>
      <c r="D73" s="340"/>
      <c r="E73" s="340"/>
      <c r="F73" s="335" t="s">
        <v>299</v>
      </c>
      <c r="G73" s="336" t="s">
        <v>299</v>
      </c>
      <c r="H73" s="336" t="s">
        <v>299</v>
      </c>
      <c r="I73" s="336" t="s">
        <v>299</v>
      </c>
      <c r="J73" s="335" t="s">
        <v>299</v>
      </c>
      <c r="K73" s="336" t="s">
        <v>299</v>
      </c>
      <c r="L73" s="336" t="s">
        <v>299</v>
      </c>
      <c r="M73" s="336" t="s">
        <v>299</v>
      </c>
      <c r="N73" s="335" t="s">
        <v>299</v>
      </c>
      <c r="O73" s="336" t="s">
        <v>299</v>
      </c>
      <c r="P73" s="336" t="s">
        <v>299</v>
      </c>
      <c r="Q73" s="336" t="s">
        <v>299</v>
      </c>
      <c r="R73" s="335" t="s">
        <v>299</v>
      </c>
      <c r="S73" s="336" t="s">
        <v>299</v>
      </c>
      <c r="T73" s="336" t="s">
        <v>299</v>
      </c>
      <c r="U73" s="336" t="s">
        <v>299</v>
      </c>
      <c r="V73" s="335" t="s">
        <v>299</v>
      </c>
      <c r="W73" s="336" t="s">
        <v>299</v>
      </c>
      <c r="X73" s="336" t="s">
        <v>299</v>
      </c>
      <c r="Y73" s="336" t="s">
        <v>299</v>
      </c>
      <c r="Z73" s="335" t="s">
        <v>299</v>
      </c>
      <c r="AA73" s="336" t="s">
        <v>299</v>
      </c>
      <c r="AB73" s="336" t="s">
        <v>299</v>
      </c>
      <c r="AC73" s="336" t="s">
        <v>299</v>
      </c>
      <c r="AD73" s="335" t="s">
        <v>299</v>
      </c>
      <c r="AE73" s="336" t="s">
        <v>299</v>
      </c>
      <c r="AF73" s="336" t="s">
        <v>299</v>
      </c>
      <c r="AG73" s="336" t="s">
        <v>299</v>
      </c>
      <c r="AH73" s="335" t="s">
        <v>299</v>
      </c>
      <c r="AI73" s="336" t="s">
        <v>299</v>
      </c>
      <c r="AJ73" s="336" t="s">
        <v>299</v>
      </c>
      <c r="AK73" s="336" t="s">
        <v>299</v>
      </c>
      <c r="AL73" s="341">
        <f>RevBuild!AY78*RevBuild!BE83</f>
        <v>9.6131760000000419</v>
      </c>
      <c r="AM73" s="340">
        <f>RevBuild!AZ78*RevBuild!BF83</f>
        <v>12.110895999999787</v>
      </c>
      <c r="AN73" s="340">
        <f>RevBuild!BA78*RevBuild!BG83</f>
        <v>20.869146500000088</v>
      </c>
      <c r="AO73" s="340">
        <f>RevBuild!BB78*RevBuild!BH83</f>
        <v>29.13474200000012</v>
      </c>
      <c r="AP73" s="341">
        <f>RevBuild!BE78*RevBuild!BK83</f>
        <v>25.239336999999843</v>
      </c>
      <c r="AQ73" s="340">
        <f>RevBuild!BF78*RevBuild!BL83</f>
        <v>61.02068599999992</v>
      </c>
      <c r="AR73" s="340">
        <f>RevBuild!BG78*RevBuild!BM83</f>
        <v>37.072574999999929</v>
      </c>
      <c r="AS73" s="340">
        <f>RevBuild!BH78*RevBuild!BN83</f>
        <v>66.990099999999927</v>
      </c>
      <c r="AT73" s="341">
        <f>RevBuild!BK78*RevBuild!BQ83</f>
        <v>25.929454</v>
      </c>
      <c r="AU73" s="340">
        <f>RevBuild!BL78*RevBuild!BR83</f>
        <v>13.741530999999995</v>
      </c>
      <c r="AV73" s="340">
        <f>RevBuild!BM78*RevBuild!BS83</f>
        <v>19.827002</v>
      </c>
      <c r="AW73" s="340">
        <f>RevBuild!BN78*RevBuild!BT83</f>
        <v>0.37066000000004246</v>
      </c>
      <c r="AX73" s="341">
        <f>RevBuild!BQ78*RevBuild!BW83</f>
        <v>31.045440000000031</v>
      </c>
      <c r="AY73" s="340">
        <f>RevBuild!BR78*RevBuild!BX83</f>
        <v>49.040800000000175</v>
      </c>
      <c r="AZ73" s="340">
        <f>RevBuild!BS78*RevBuild!BY83</f>
        <v>31.794680000000028</v>
      </c>
      <c r="BA73" s="340">
        <f>RevBuild!BT78*RevBuild!BZ83</f>
        <v>50.064732833527643</v>
      </c>
      <c r="BB73" s="341">
        <f>RevBuild!BW78*RevBuild!CC83</f>
        <v>28.066152399999936</v>
      </c>
      <c r="BC73" s="340">
        <f>RevBuild!BX78*RevBuild!CD83</f>
        <v>30.362822999999924</v>
      </c>
      <c r="BD73" s="340">
        <f>RevBuild!BY78*RevBuild!CE83</f>
        <v>28.97163879999983</v>
      </c>
      <c r="BE73" s="340">
        <f>RevBuild!BZ78*RevBuild!CF83</f>
        <v>31.213156352089946</v>
      </c>
      <c r="BF73" s="351"/>
      <c r="BG73" s="351"/>
      <c r="BH73" s="351"/>
      <c r="BI73" s="351"/>
      <c r="BJ73" s="351"/>
      <c r="BK73" s="351"/>
      <c r="BL73" s="351"/>
      <c r="BM73" s="351"/>
      <c r="BN73" s="351"/>
      <c r="BO73" s="351"/>
      <c r="BP73" s="351"/>
      <c r="BQ73" s="351"/>
      <c r="BR73" s="351"/>
      <c r="BS73" s="351"/>
    </row>
    <row r="74" spans="1:71" x14ac:dyDescent="0.2">
      <c r="A74" s="355" t="s">
        <v>427</v>
      </c>
      <c r="B74" s="406"/>
      <c r="C74" s="350"/>
      <c r="D74" s="350"/>
      <c r="E74" s="350"/>
      <c r="F74" s="332" t="s">
        <v>299</v>
      </c>
      <c r="G74" s="333" t="s">
        <v>299</v>
      </c>
      <c r="H74" s="333" t="s">
        <v>299</v>
      </c>
      <c r="I74" s="333" t="s">
        <v>299</v>
      </c>
      <c r="J74" s="332" t="s">
        <v>299</v>
      </c>
      <c r="K74" s="333" t="s">
        <v>299</v>
      </c>
      <c r="L74" s="333" t="s">
        <v>299</v>
      </c>
      <c r="M74" s="333" t="s">
        <v>299</v>
      </c>
      <c r="N74" s="332" t="s">
        <v>299</v>
      </c>
      <c r="O74" s="333" t="s">
        <v>299</v>
      </c>
      <c r="P74" s="333" t="s">
        <v>299</v>
      </c>
      <c r="Q74" s="333" t="s">
        <v>299</v>
      </c>
      <c r="R74" s="332" t="s">
        <v>299</v>
      </c>
      <c r="S74" s="333" t="s">
        <v>299</v>
      </c>
      <c r="T74" s="333" t="s">
        <v>299</v>
      </c>
      <c r="U74" s="333" t="s">
        <v>299</v>
      </c>
      <c r="V74" s="332" t="s">
        <v>299</v>
      </c>
      <c r="W74" s="333" t="s">
        <v>299</v>
      </c>
      <c r="X74" s="333" t="s">
        <v>299</v>
      </c>
      <c r="Y74" s="333" t="s">
        <v>299</v>
      </c>
      <c r="Z74" s="332" t="s">
        <v>299</v>
      </c>
      <c r="AA74" s="333" t="s">
        <v>299</v>
      </c>
      <c r="AB74" s="333" t="s">
        <v>299</v>
      </c>
      <c r="AC74" s="333" t="s">
        <v>299</v>
      </c>
      <c r="AD74" s="332" t="s">
        <v>299</v>
      </c>
      <c r="AE74" s="333" t="s">
        <v>299</v>
      </c>
      <c r="AF74" s="333" t="s">
        <v>299</v>
      </c>
      <c r="AG74" s="333" t="s">
        <v>299</v>
      </c>
      <c r="AH74" s="332" t="s">
        <v>299</v>
      </c>
      <c r="AI74" s="333" t="s">
        <v>299</v>
      </c>
      <c r="AJ74" s="333" t="s">
        <v>299</v>
      </c>
      <c r="AK74" s="333" t="s">
        <v>299</v>
      </c>
      <c r="AL74" s="385">
        <f>RevBuild!AY86*RevBuild!BE87</f>
        <v>0.67399999999999971</v>
      </c>
      <c r="AM74" s="350">
        <f>RevBuild!AZ86*RevBuild!BF87</f>
        <v>4.3250000000000011</v>
      </c>
      <c r="AN74" s="350">
        <f>RevBuild!BA86*RevBuild!BG87</f>
        <v>3.3310000000000013</v>
      </c>
      <c r="AO74" s="350">
        <f>RevBuild!BB86*RevBuild!BH87</f>
        <v>0.59799999999999986</v>
      </c>
      <c r="AP74" s="385">
        <f>RevBuild!BE86*RevBuild!BK87</f>
        <v>4.3340000000000005</v>
      </c>
      <c r="AQ74" s="350">
        <f>RevBuild!BF86*RevBuild!BL87</f>
        <v>-3.8930000000000002</v>
      </c>
      <c r="AR74" s="350">
        <f>RevBuild!BG86*RevBuild!BM87</f>
        <v>-4.9910000000000023</v>
      </c>
      <c r="AS74" s="350">
        <f>RevBuild!BH86*RevBuild!BN87</f>
        <v>-0.5879999999999993</v>
      </c>
      <c r="AT74" s="385">
        <f>RevBuild!BK86*RevBuild!BQ87</f>
        <v>-5.6179999999999986</v>
      </c>
      <c r="AU74" s="350">
        <f>RevBuild!BL86*RevBuild!BR87</f>
        <v>-1.0180000000000007</v>
      </c>
      <c r="AV74" s="350">
        <f>RevBuild!BM86*RevBuild!BS87</f>
        <v>-6.0199999999999987</v>
      </c>
      <c r="AW74" s="350">
        <f>RevBuild!BN86*RevBuild!BT87</f>
        <v>-5.1260000000000003</v>
      </c>
      <c r="AX74" s="385">
        <f>RevBuild!BQ86*RevBuild!BW87</f>
        <v>-0.18344000000000002</v>
      </c>
      <c r="AY74" s="350">
        <f>RevBuild!BR86*RevBuild!BX87</f>
        <v>-0.17047999999999999</v>
      </c>
      <c r="AZ74" s="350">
        <f>RevBuild!BS86*RevBuild!BY87</f>
        <v>-4.9560000000000007E-2</v>
      </c>
      <c r="BA74" s="350">
        <f>RevBuild!BT86*RevBuild!BZ87</f>
        <v>-0.10252000000000001</v>
      </c>
      <c r="BB74" s="385">
        <f>RevBuild!BW86*RevBuild!CC87</f>
        <v>0.17977119999999999</v>
      </c>
      <c r="BC74" s="350">
        <f>RevBuild!BX86*RevBuild!CD87</f>
        <v>0.16707040000000001</v>
      </c>
      <c r="BD74" s="350">
        <f>RevBuild!BY86*RevBuild!CE87</f>
        <v>4.8568800000000002E-2</v>
      </c>
      <c r="BE74" s="350">
        <f>RevBuild!BZ86*RevBuild!CF87</f>
        <v>0.10046960000000001</v>
      </c>
      <c r="BF74" s="351"/>
      <c r="BG74" s="351"/>
      <c r="BH74" s="351"/>
      <c r="BI74" s="351"/>
      <c r="BJ74" s="351"/>
      <c r="BK74" s="351"/>
      <c r="BL74" s="351"/>
      <c r="BM74" s="351"/>
      <c r="BN74" s="351"/>
      <c r="BO74" s="351"/>
      <c r="BP74" s="351"/>
      <c r="BQ74" s="351"/>
      <c r="BR74" s="351"/>
      <c r="BS74" s="351"/>
    </row>
    <row r="75" spans="1:71" x14ac:dyDescent="0.2">
      <c r="A75" s="346" t="s">
        <v>440</v>
      </c>
      <c r="B75" s="404"/>
      <c r="C75" s="347"/>
      <c r="D75" s="347"/>
      <c r="E75" s="347"/>
      <c r="F75" s="348">
        <f>RevBuild!C154*RevBuild!I159</f>
        <v>45.841413000000074</v>
      </c>
      <c r="G75" s="347">
        <f>RevBuild!D154*RevBuild!J159</f>
        <v>47.950799999999923</v>
      </c>
      <c r="H75" s="347">
        <f>RevBuild!E154*RevBuild!K159</f>
        <v>67.464171999999991</v>
      </c>
      <c r="I75" s="347">
        <f>RevBuild!F154*RevBuild!L159</f>
        <v>40.102524999999964</v>
      </c>
      <c r="J75" s="348">
        <f>RevBuild!I154*RevBuild!O159</f>
        <v>42.287079999999946</v>
      </c>
      <c r="K75" s="347">
        <f>RevBuild!J154*RevBuild!P159</f>
        <v>17.275019999999955</v>
      </c>
      <c r="L75" s="347">
        <f>RevBuild!K154*RevBuild!Q159</f>
        <v>27.64263799999997</v>
      </c>
      <c r="M75" s="347">
        <f>RevBuild!L154*RevBuild!R159</f>
        <v>10.807690000000008</v>
      </c>
      <c r="N75" s="348">
        <f>RevBuild!O154*RevBuild!U159</f>
        <v>48.375380000000114</v>
      </c>
      <c r="O75" s="347">
        <f>RevBuild!P154*RevBuild!V159</f>
        <v>55.696837000000038</v>
      </c>
      <c r="P75" s="347">
        <f>RevBuild!Q154*RevBuild!W159</f>
        <v>19.959719999999837</v>
      </c>
      <c r="Q75" s="347">
        <f>RevBuild!R154*RevBuild!X159</f>
        <v>17.333426999999972</v>
      </c>
      <c r="R75" s="348">
        <f>RevBuild!U154*RevBuild!AA159</f>
        <v>43.426845</v>
      </c>
      <c r="S75" s="347">
        <f>RevBuild!V154*RevBuild!AB159</f>
        <v>22.003677</v>
      </c>
      <c r="T75" s="347">
        <f>RevBuild!W154*RevBuild!AC159</f>
        <v>-13.941428</v>
      </c>
      <c r="U75" s="347">
        <f>RevBuild!X154*RevBuild!AD159</f>
        <v>45.632185999999969</v>
      </c>
      <c r="V75" s="348">
        <f>RevBuild!AA154*RevBuild!AG159</f>
        <v>-6.7982960000000006</v>
      </c>
      <c r="W75" s="347">
        <f>RevBuild!AB154*RevBuild!AH159</f>
        <v>-8.5741399999999999</v>
      </c>
      <c r="X75" s="347">
        <f>RevBuild!AC154*RevBuild!AI159</f>
        <v>64.322699999999998</v>
      </c>
      <c r="Y75" s="347">
        <f>RevBuild!AD154*RevBuild!AJ159</f>
        <v>43.272880000000008</v>
      </c>
      <c r="Z75" s="348">
        <f>RevBuild!AG154*RevBuild!AM159</f>
        <v>39.828834000000001</v>
      </c>
      <c r="AA75" s="347">
        <f>RevBuild!AH154*RevBuild!AN159</f>
        <v>5.9981249999999999</v>
      </c>
      <c r="AB75" s="347">
        <f>RevBuild!AI154*RevBuild!AO159</f>
        <v>14.320479999999998</v>
      </c>
      <c r="AC75" s="347">
        <f>RevBuild!AJ154*RevBuild!AP159</f>
        <v>28.244086000000003</v>
      </c>
      <c r="AD75" s="348">
        <f>RevBuild!AM154*RevBuild!AS159</f>
        <v>-9.7814750000000021</v>
      </c>
      <c r="AE75" s="347">
        <f>RevBuild!AN154*RevBuild!AT159</f>
        <v>16.476666999999992</v>
      </c>
      <c r="AF75" s="347">
        <f>RevBuild!AO154*RevBuild!AU159</f>
        <v>24.728246999999993</v>
      </c>
      <c r="AG75" s="347">
        <f>RevBuild!AP154*RevBuild!AV159</f>
        <v>-2.325742999999989</v>
      </c>
      <c r="AH75" s="348">
        <f>RevBuild!AS154*RevBuild!AY159</f>
        <v>31.924057761469523</v>
      </c>
      <c r="AI75" s="347">
        <f>RevBuild!AT154*RevBuild!AZ159</f>
        <v>69.295276018337461</v>
      </c>
      <c r="AJ75" s="347">
        <f>RevBuild!AU154*RevBuild!BA159</f>
        <v>21.07149784380848</v>
      </c>
      <c r="AK75" s="347">
        <f>RevBuild!AV154*RevBuild!BB159</f>
        <v>73.839159000000009</v>
      </c>
      <c r="AL75" s="348">
        <f>RevBuild!AY154*RevBuild!BE159</f>
        <v>20.961937000000063</v>
      </c>
      <c r="AM75" s="347">
        <f>RevBuild!AZ154*RevBuild!BF159</f>
        <v>30.143309999999826</v>
      </c>
      <c r="AN75" s="347">
        <f>RevBuild!BA154*RevBuild!BG159</f>
        <v>65.715877500000047</v>
      </c>
      <c r="AO75" s="347">
        <f>RevBuild!BB154*RevBuild!BH159</f>
        <v>25.628096000000188</v>
      </c>
      <c r="AP75" s="348">
        <f>RevBuild!BE154*RevBuild!BK159</f>
        <v>66.286460000000019</v>
      </c>
      <c r="AQ75" s="347">
        <f>RevBuild!BF154*RevBuild!BL159</f>
        <v>56.957610000000003</v>
      </c>
      <c r="AR75" s="347">
        <f>RevBuild!BG154*RevBuild!BM159</f>
        <v>19.611942000000003</v>
      </c>
      <c r="AS75" s="347">
        <f>RevBuild!BH154*RevBuild!BN159</f>
        <v>12.307090999999929</v>
      </c>
      <c r="AT75" s="348">
        <f>RevBuild!BK154*RevBuild!BQ159</f>
        <v>-14.656795999999998</v>
      </c>
      <c r="AU75" s="347">
        <f>RevBuild!BL154*RevBuild!BR159</f>
        <v>-31.875333000000001</v>
      </c>
      <c r="AV75" s="347">
        <f>RevBuild!BM154*RevBuild!BS159</f>
        <v>-37.730286</v>
      </c>
      <c r="AW75" s="347">
        <f>RevBuild!BN154*RevBuild!BT159</f>
        <v>-13.662549999999962</v>
      </c>
      <c r="AX75" s="348">
        <f>RevBuild!BQ154*RevBuild!BW159</f>
        <v>6.8361100000000299</v>
      </c>
      <c r="AY75" s="347">
        <f>RevBuild!BR154*RevBuild!BX159</f>
        <v>46.803860000000171</v>
      </c>
      <c r="AZ75" s="347">
        <f>RevBuild!BS154*RevBuild!BY159</f>
        <v>37.306300000000029</v>
      </c>
      <c r="BA75" s="347">
        <f>RevBuild!BT154*RevBuild!BZ159</f>
        <v>54.707064011437751</v>
      </c>
      <c r="BB75" s="348">
        <f>RevBuild!BW154*RevBuild!CC159</f>
        <v>32.391380799999936</v>
      </c>
      <c r="BC75" s="347">
        <f>RevBuild!BX154*RevBuild!CD159</f>
        <v>34.806544499999923</v>
      </c>
      <c r="BD75" s="347">
        <f>RevBuild!BY154*RevBuild!CE159</f>
        <v>37.61645119999983</v>
      </c>
      <c r="BE75" s="347">
        <f>RevBuild!BZ154*RevBuild!CF159</f>
        <v>40.01779124523668</v>
      </c>
      <c r="BF75" s="351"/>
      <c r="BG75" s="351"/>
      <c r="BH75" s="351"/>
      <c r="BI75" s="351"/>
      <c r="BJ75" s="351"/>
      <c r="BK75" s="351"/>
      <c r="BL75" s="351"/>
      <c r="BM75" s="351"/>
      <c r="BN75" s="351"/>
      <c r="BO75" s="351"/>
      <c r="BP75" s="351"/>
      <c r="BQ75" s="351"/>
      <c r="BR75" s="351"/>
      <c r="BS75" s="351"/>
    </row>
    <row r="76" spans="1:71" s="303" customFormat="1" x14ac:dyDescent="0.2">
      <c r="A76" s="326"/>
      <c r="B76" s="327"/>
      <c r="C76" s="327"/>
      <c r="D76" s="327"/>
      <c r="E76" s="327"/>
      <c r="F76" s="327"/>
      <c r="G76" s="327"/>
      <c r="H76" s="327"/>
      <c r="I76" s="327"/>
      <c r="J76" s="352"/>
      <c r="K76" s="352"/>
      <c r="L76" s="352"/>
      <c r="M76" s="352"/>
      <c r="N76" s="352"/>
      <c r="O76" s="352"/>
      <c r="P76" s="352"/>
      <c r="Q76" s="352"/>
      <c r="R76" s="352"/>
      <c r="S76" s="352"/>
      <c r="T76" s="352"/>
      <c r="U76" s="352"/>
      <c r="V76" s="352"/>
      <c r="W76" s="352"/>
      <c r="X76" s="352"/>
      <c r="Y76" s="352"/>
      <c r="Z76" s="352"/>
      <c r="AA76" s="352"/>
      <c r="AB76" s="352"/>
      <c r="AC76" s="352"/>
      <c r="AD76" s="352"/>
      <c r="AE76" s="352"/>
      <c r="AF76" s="352"/>
      <c r="AG76" s="352"/>
      <c r="AH76" s="352"/>
      <c r="AI76" s="352"/>
      <c r="AJ76" s="352"/>
      <c r="AK76" s="352"/>
      <c r="AL76" s="352"/>
      <c r="AM76" s="352"/>
      <c r="AN76" s="352"/>
      <c r="AO76" s="352"/>
      <c r="AP76" s="352"/>
      <c r="AQ76" s="352"/>
      <c r="AR76" s="352"/>
      <c r="AS76" s="352"/>
      <c r="AT76" s="352"/>
      <c r="AU76" s="352"/>
      <c r="AV76" s="352"/>
      <c r="AW76" s="352"/>
      <c r="AX76" s="352"/>
      <c r="AY76" s="352"/>
      <c r="AZ76" s="352"/>
      <c r="BA76" s="352"/>
      <c r="BB76" s="352"/>
      <c r="BC76" s="352"/>
      <c r="BD76" s="352"/>
      <c r="BE76" s="352"/>
      <c r="BF76" s="326"/>
      <c r="BG76" s="326"/>
      <c r="BH76" s="326"/>
      <c r="BI76" s="326"/>
      <c r="BJ76" s="326"/>
      <c r="BK76" s="326"/>
      <c r="BL76" s="326"/>
      <c r="BM76" s="326"/>
      <c r="BN76" s="326"/>
      <c r="BO76" s="326"/>
      <c r="BP76" s="326"/>
      <c r="BQ76" s="326"/>
      <c r="BR76" s="326"/>
      <c r="BS76" s="326"/>
    </row>
    <row r="77" spans="1:71" s="303" customFormat="1" x14ac:dyDescent="0.2">
      <c r="A77" s="313" t="s">
        <v>447</v>
      </c>
      <c r="B77" s="326"/>
      <c r="C77" s="326"/>
      <c r="D77" s="326"/>
      <c r="E77" s="326"/>
      <c r="F77" s="326"/>
      <c r="G77" s="326"/>
      <c r="H77" s="326"/>
      <c r="I77" s="326"/>
      <c r="J77" s="326"/>
      <c r="K77" s="326"/>
      <c r="L77" s="326"/>
      <c r="M77" s="326"/>
      <c r="N77" s="326"/>
      <c r="O77" s="326"/>
      <c r="P77" s="326"/>
      <c r="Q77" s="326"/>
      <c r="R77" s="326"/>
      <c r="S77" s="326"/>
      <c r="T77" s="326"/>
      <c r="U77" s="326"/>
      <c r="V77" s="326"/>
      <c r="W77" s="326"/>
      <c r="X77" s="326"/>
      <c r="Y77" s="326"/>
      <c r="Z77" s="352"/>
      <c r="AA77" s="352"/>
      <c r="AB77" s="352"/>
      <c r="AC77" s="352"/>
      <c r="AD77" s="352"/>
      <c r="AE77" s="352"/>
      <c r="AF77" s="352"/>
      <c r="AG77" s="352"/>
      <c r="AH77" s="352"/>
      <c r="AI77" s="352"/>
      <c r="AJ77" s="352"/>
      <c r="AK77" s="352"/>
      <c r="AL77" s="352"/>
      <c r="AM77" s="352"/>
      <c r="AN77" s="352"/>
      <c r="AO77" s="352"/>
      <c r="AP77" s="352"/>
      <c r="AQ77" s="352"/>
      <c r="AR77" s="352"/>
      <c r="AS77" s="352"/>
      <c r="AT77" s="352"/>
      <c r="AU77" s="352"/>
      <c r="AV77" s="352"/>
      <c r="AW77" s="352"/>
      <c r="AX77" s="352"/>
      <c r="AY77" s="352"/>
      <c r="AZ77" s="352"/>
      <c r="BA77" s="352"/>
      <c r="BB77" s="352"/>
      <c r="BC77" s="352"/>
      <c r="BD77" s="352"/>
      <c r="BE77" s="352"/>
      <c r="BF77" s="326"/>
      <c r="BG77" s="326"/>
      <c r="BH77" s="326"/>
      <c r="BI77" s="326"/>
      <c r="BJ77" s="326"/>
      <c r="BK77" s="326"/>
      <c r="BL77" s="326"/>
      <c r="BM77" s="326"/>
      <c r="BN77" s="326"/>
      <c r="BO77" s="326"/>
      <c r="BP77" s="326"/>
      <c r="BQ77" s="326"/>
      <c r="BR77" s="326"/>
      <c r="BS77" s="326"/>
    </row>
    <row r="78" spans="1:71" x14ac:dyDescent="0.2">
      <c r="A78" s="301"/>
      <c r="B78" s="389" t="str">
        <f>B$4</f>
        <v>1Q07</v>
      </c>
      <c r="C78" s="301" t="str">
        <f t="shared" ref="C78:AW78" si="91">C$4</f>
        <v>2Q07</v>
      </c>
      <c r="D78" s="301" t="str">
        <f t="shared" si="91"/>
        <v>3Q07</v>
      </c>
      <c r="E78" s="301" t="str">
        <f t="shared" si="91"/>
        <v>4Q07</v>
      </c>
      <c r="F78" s="302" t="str">
        <f t="shared" si="91"/>
        <v>1Q08</v>
      </c>
      <c r="G78" s="301" t="str">
        <f t="shared" si="91"/>
        <v>2Q08</v>
      </c>
      <c r="H78" s="301" t="str">
        <f t="shared" si="91"/>
        <v>3Q08</v>
      </c>
      <c r="I78" s="301" t="str">
        <f t="shared" si="91"/>
        <v>4Q08</v>
      </c>
      <c r="J78" s="302" t="str">
        <f t="shared" si="91"/>
        <v>1Q09</v>
      </c>
      <c r="K78" s="301" t="str">
        <f t="shared" si="91"/>
        <v>2Q09</v>
      </c>
      <c r="L78" s="301" t="str">
        <f t="shared" si="91"/>
        <v>3Q09</v>
      </c>
      <c r="M78" s="301" t="str">
        <f t="shared" si="91"/>
        <v>4Q09</v>
      </c>
      <c r="N78" s="302" t="str">
        <f t="shared" si="91"/>
        <v>1Q10</v>
      </c>
      <c r="O78" s="301" t="str">
        <f t="shared" si="91"/>
        <v>2Q10</v>
      </c>
      <c r="P78" s="301" t="str">
        <f t="shared" si="91"/>
        <v>3Q10</v>
      </c>
      <c r="Q78" s="301" t="str">
        <f t="shared" si="91"/>
        <v>4Q10</v>
      </c>
      <c r="R78" s="302" t="str">
        <f t="shared" si="91"/>
        <v>1Q11</v>
      </c>
      <c r="S78" s="301" t="str">
        <f t="shared" si="91"/>
        <v>2Q11</v>
      </c>
      <c r="T78" s="301" t="str">
        <f t="shared" si="91"/>
        <v>3Q11</v>
      </c>
      <c r="U78" s="301" t="str">
        <f t="shared" si="91"/>
        <v>4Q11</v>
      </c>
      <c r="V78" s="302" t="str">
        <f t="shared" si="91"/>
        <v>1Q12</v>
      </c>
      <c r="W78" s="301" t="str">
        <f t="shared" si="91"/>
        <v>2Q12</v>
      </c>
      <c r="X78" s="301" t="str">
        <f t="shared" si="91"/>
        <v>3Q12</v>
      </c>
      <c r="Y78" s="301" t="str">
        <f t="shared" si="91"/>
        <v>4Q12</v>
      </c>
      <c r="Z78" s="302" t="str">
        <f t="shared" si="91"/>
        <v>1Q13</v>
      </c>
      <c r="AA78" s="301" t="str">
        <f t="shared" si="91"/>
        <v>2Q13</v>
      </c>
      <c r="AB78" s="301" t="str">
        <f t="shared" si="91"/>
        <v>3Q13</v>
      </c>
      <c r="AC78" s="301" t="str">
        <f t="shared" si="91"/>
        <v>4Q13</v>
      </c>
      <c r="AD78" s="302" t="str">
        <f t="shared" si="91"/>
        <v>1Q14</v>
      </c>
      <c r="AE78" s="301" t="str">
        <f t="shared" si="91"/>
        <v>2Q14</v>
      </c>
      <c r="AF78" s="301" t="str">
        <f t="shared" si="91"/>
        <v>3Q14</v>
      </c>
      <c r="AG78" s="301" t="str">
        <f t="shared" si="91"/>
        <v>4Q14</v>
      </c>
      <c r="AH78" s="302" t="str">
        <f t="shared" si="91"/>
        <v>1Q15</v>
      </c>
      <c r="AI78" s="301" t="str">
        <f t="shared" si="91"/>
        <v>2Q15</v>
      </c>
      <c r="AJ78" s="301" t="str">
        <f t="shared" si="91"/>
        <v>3Q15</v>
      </c>
      <c r="AK78" s="301" t="str">
        <f t="shared" si="91"/>
        <v>4Q15</v>
      </c>
      <c r="AL78" s="302" t="str">
        <f t="shared" si="91"/>
        <v>1Q16</v>
      </c>
      <c r="AM78" s="301" t="str">
        <f t="shared" si="91"/>
        <v>2Q16</v>
      </c>
      <c r="AN78" s="301" t="str">
        <f t="shared" si="91"/>
        <v>3Q16</v>
      </c>
      <c r="AO78" s="301" t="str">
        <f t="shared" si="91"/>
        <v>4Q16</v>
      </c>
      <c r="AP78" s="302" t="str">
        <f t="shared" si="91"/>
        <v>1Q17</v>
      </c>
      <c r="AQ78" s="301" t="str">
        <f t="shared" si="91"/>
        <v>2Q17</v>
      </c>
      <c r="AR78" s="301" t="str">
        <f t="shared" si="91"/>
        <v>3Q17</v>
      </c>
      <c r="AS78" s="301" t="str">
        <f t="shared" si="91"/>
        <v>4Q17</v>
      </c>
      <c r="AT78" s="302" t="str">
        <f t="shared" si="91"/>
        <v>1Q18</v>
      </c>
      <c r="AU78" s="301" t="str">
        <f t="shared" si="91"/>
        <v>2Q18</v>
      </c>
      <c r="AV78" s="301" t="str">
        <f t="shared" si="91"/>
        <v>3Q18</v>
      </c>
      <c r="AW78" s="301" t="str">
        <f t="shared" si="91"/>
        <v>4Q18E</v>
      </c>
      <c r="AX78" s="302" t="str">
        <f t="shared" ref="AX78:BE78" si="92">AX$4</f>
        <v>1Q19E</v>
      </c>
      <c r="AY78" s="301" t="str">
        <f t="shared" si="92"/>
        <v>2Q19E</v>
      </c>
      <c r="AZ78" s="301" t="str">
        <f t="shared" si="92"/>
        <v>3Q19E</v>
      </c>
      <c r="BA78" s="301" t="str">
        <f t="shared" si="92"/>
        <v>4Q19E</v>
      </c>
      <c r="BB78" s="302" t="str">
        <f t="shared" si="92"/>
        <v>1Q20E</v>
      </c>
      <c r="BC78" s="301" t="str">
        <f t="shared" si="92"/>
        <v>2Q20E</v>
      </c>
      <c r="BD78" s="301" t="str">
        <f t="shared" si="92"/>
        <v>3Q20E</v>
      </c>
      <c r="BE78" s="301" t="str">
        <f t="shared" si="92"/>
        <v>4Q20E</v>
      </c>
      <c r="BF78" s="303"/>
      <c r="BG78" s="303"/>
      <c r="BH78" s="303"/>
      <c r="BI78" s="303"/>
      <c r="BJ78" s="303"/>
      <c r="BK78" s="303"/>
      <c r="BL78" s="303"/>
      <c r="BM78" s="303"/>
      <c r="BN78" s="303"/>
      <c r="BO78" s="303"/>
      <c r="BP78" s="303"/>
      <c r="BQ78" s="303"/>
      <c r="BR78" s="303"/>
      <c r="BS78" s="303"/>
    </row>
    <row r="79" spans="1:71" x14ac:dyDescent="0.2">
      <c r="A79" s="304" t="str">
        <f>A69</f>
        <v>Dental</v>
      </c>
      <c r="B79" s="407"/>
      <c r="C79" s="324"/>
      <c r="D79" s="324"/>
      <c r="E79" s="324"/>
      <c r="F79" s="353"/>
      <c r="G79" s="354"/>
      <c r="H79" s="354"/>
      <c r="I79" s="354"/>
      <c r="J79" s="353">
        <f t="shared" ref="J79:BA79" si="93">J69+F69</f>
        <v>46.933492999999999</v>
      </c>
      <c r="K79" s="354">
        <f t="shared" si="93"/>
        <v>24.67482</v>
      </c>
      <c r="L79" s="354">
        <f t="shared" si="93"/>
        <v>40.569809999999976</v>
      </c>
      <c r="M79" s="354">
        <f t="shared" si="93"/>
        <v>1.1432150000000405</v>
      </c>
      <c r="N79" s="353">
        <f t="shared" si="93"/>
        <v>13.750459999999997</v>
      </c>
      <c r="O79" s="354">
        <f t="shared" si="93"/>
        <v>2.6748570000000003</v>
      </c>
      <c r="P79" s="354">
        <f t="shared" si="93"/>
        <v>-8.4046420000000239</v>
      </c>
      <c r="Q79" s="354">
        <f t="shared" si="93"/>
        <v>-21.080882999999968</v>
      </c>
      <c r="R79" s="353">
        <f t="shared" si="93"/>
        <v>25.442822</v>
      </c>
      <c r="S79" s="354">
        <f t="shared" si="93"/>
        <v>26.320852999999996</v>
      </c>
      <c r="T79" s="354">
        <f t="shared" si="93"/>
        <v>-16.042178</v>
      </c>
      <c r="U79" s="354">
        <f t="shared" si="93"/>
        <v>7.6007470000000046</v>
      </c>
      <c r="V79" s="353">
        <f t="shared" si="93"/>
        <v>22.455916000000002</v>
      </c>
      <c r="W79" s="354">
        <f t="shared" si="93"/>
        <v>13.393395999999997</v>
      </c>
      <c r="X79" s="354">
        <f t="shared" si="93"/>
        <v>33.032229999999998</v>
      </c>
      <c r="Y79" s="354">
        <f t="shared" si="93"/>
        <v>32.331569999999999</v>
      </c>
      <c r="Z79" s="353">
        <f t="shared" si="93"/>
        <v>24.909961999999993</v>
      </c>
      <c r="AA79" s="354">
        <f t="shared" si="93"/>
        <v>-14.042435000000001</v>
      </c>
      <c r="AB79" s="354">
        <f t="shared" si="93"/>
        <v>69.082562999999993</v>
      </c>
      <c r="AC79" s="354">
        <f t="shared" si="93"/>
        <v>53.894517</v>
      </c>
      <c r="AD79" s="353">
        <f t="shared" si="93"/>
        <v>21.085471999999996</v>
      </c>
      <c r="AE79" s="354">
        <f t="shared" si="93"/>
        <v>12.076910000000002</v>
      </c>
      <c r="AF79" s="354">
        <f t="shared" si="93"/>
        <v>36.838785000000001</v>
      </c>
      <c r="AG79" s="354">
        <f t="shared" si="93"/>
        <v>26.550058000000003</v>
      </c>
      <c r="AH79" s="353">
        <f t="shared" si="93"/>
        <v>-11.639840999999919</v>
      </c>
      <c r="AI79" s="354">
        <f t="shared" si="93"/>
        <v>55.818177999999889</v>
      </c>
      <c r="AJ79" s="354">
        <f t="shared" si="93"/>
        <v>-1.0770559999999829</v>
      </c>
      <c r="AK79" s="354">
        <f t="shared" si="93"/>
        <v>59.530257000000027</v>
      </c>
      <c r="AL79" s="353">
        <f t="shared" si="93"/>
        <v>12.758936000000078</v>
      </c>
      <c r="AM79" s="354">
        <f t="shared" si="93"/>
        <v>60.121866999999888</v>
      </c>
      <c r="AN79" s="354">
        <f t="shared" si="93"/>
        <v>28.107325000000017</v>
      </c>
      <c r="AO79" s="354">
        <f t="shared" si="93"/>
        <v>60.464820000000032</v>
      </c>
      <c r="AP79" s="353">
        <f t="shared" si="93"/>
        <v>23.310373999999996</v>
      </c>
      <c r="AQ79" s="354">
        <f t="shared" si="93"/>
        <v>18.129966000000003</v>
      </c>
      <c r="AR79" s="354">
        <f t="shared" si="93"/>
        <v>32.246744999999997</v>
      </c>
      <c r="AS79" s="354">
        <f t="shared" si="93"/>
        <v>-58.189654999999995</v>
      </c>
      <c r="AT79" s="353">
        <f t="shared" si="93"/>
        <v>-11.650552751888283</v>
      </c>
      <c r="AU79" s="354">
        <f t="shared" si="93"/>
        <v>-44.796644900000011</v>
      </c>
      <c r="AV79" s="354">
        <f t="shared" si="93"/>
        <v>-63.493920000000003</v>
      </c>
      <c r="AW79" s="354">
        <f t="shared" si="93"/>
        <v>-68.716218999999995</v>
      </c>
      <c r="AX79" s="353">
        <f t="shared" si="93"/>
        <v>-47.821495751888278</v>
      </c>
      <c r="AY79" s="354">
        <f t="shared" si="93"/>
        <v>-47.131136900000008</v>
      </c>
      <c r="AZ79" s="354">
        <f t="shared" si="93"/>
        <v>-45.382314000000001</v>
      </c>
      <c r="BA79" s="354">
        <f t="shared" si="93"/>
        <v>-9.3908788220898973</v>
      </c>
      <c r="BB79" s="353">
        <f t="shared" ref="BB79" si="94">BB69+AX69</f>
        <v>-19.884101600000001</v>
      </c>
      <c r="BC79" s="354">
        <f t="shared" ref="BC79" si="95">BC69+AY69</f>
        <v>2.2067815000000008</v>
      </c>
      <c r="BD79" s="354">
        <f t="shared" ref="BD79" si="96">BD69+AZ69</f>
        <v>14.1564324</v>
      </c>
      <c r="BE79" s="354">
        <f t="shared" ref="BE79" si="97">BE69+BA69</f>
        <v>13.446966071056837</v>
      </c>
      <c r="BF79" s="296"/>
      <c r="BG79" s="296"/>
      <c r="BH79" s="296"/>
      <c r="BI79" s="296"/>
      <c r="BJ79" s="296"/>
      <c r="BK79" s="296"/>
      <c r="BL79" s="296"/>
      <c r="BM79" s="296"/>
      <c r="BN79" s="296"/>
      <c r="BO79" s="296"/>
      <c r="BP79" s="296"/>
      <c r="BQ79" s="296"/>
      <c r="BR79" s="296"/>
      <c r="BS79" s="296"/>
    </row>
    <row r="80" spans="1:71" x14ac:dyDescent="0.2">
      <c r="A80" s="355" t="s">
        <v>448</v>
      </c>
      <c r="B80" s="408"/>
      <c r="C80" s="356"/>
      <c r="D80" s="356"/>
      <c r="E80" s="356"/>
      <c r="F80" s="357"/>
      <c r="G80" s="356"/>
      <c r="H80" s="356"/>
      <c r="I80" s="356"/>
      <c r="J80" s="357"/>
      <c r="K80" s="356"/>
      <c r="L80" s="358"/>
      <c r="M80" s="358"/>
      <c r="N80" s="359">
        <f t="shared" ref="N80:AP80" si="98">AVERAGE(M79:N79)</f>
        <v>7.4468375000000187</v>
      </c>
      <c r="O80" s="358">
        <f t="shared" si="98"/>
        <v>8.2126584999999981</v>
      </c>
      <c r="P80" s="358">
        <f t="shared" si="98"/>
        <v>-2.8648925000000118</v>
      </c>
      <c r="Q80" s="358">
        <f t="shared" si="98"/>
        <v>-14.742762499999996</v>
      </c>
      <c r="R80" s="359">
        <f t="shared" si="98"/>
        <v>2.1809695000000158</v>
      </c>
      <c r="S80" s="358">
        <f t="shared" si="98"/>
        <v>25.881837499999996</v>
      </c>
      <c r="T80" s="358">
        <f t="shared" si="98"/>
        <v>5.1393374999999981</v>
      </c>
      <c r="U80" s="358">
        <f t="shared" si="98"/>
        <v>-4.2207154999999972</v>
      </c>
      <c r="V80" s="359">
        <f t="shared" si="98"/>
        <v>15.028331500000004</v>
      </c>
      <c r="W80" s="358">
        <f t="shared" si="98"/>
        <v>17.924655999999999</v>
      </c>
      <c r="X80" s="358">
        <f t="shared" si="98"/>
        <v>23.212812999999997</v>
      </c>
      <c r="Y80" s="358">
        <f t="shared" si="98"/>
        <v>32.681899999999999</v>
      </c>
      <c r="Z80" s="359">
        <f t="shared" si="98"/>
        <v>28.620765999999996</v>
      </c>
      <c r="AA80" s="358">
        <f t="shared" si="98"/>
        <v>5.433763499999996</v>
      </c>
      <c r="AB80" s="358">
        <f t="shared" si="98"/>
        <v>27.520063999999998</v>
      </c>
      <c r="AC80" s="358">
        <f t="shared" si="98"/>
        <v>61.48854</v>
      </c>
      <c r="AD80" s="359">
        <f t="shared" si="98"/>
        <v>37.489994499999995</v>
      </c>
      <c r="AE80" s="358">
        <f t="shared" si="98"/>
        <v>16.581190999999997</v>
      </c>
      <c r="AF80" s="358">
        <f t="shared" si="98"/>
        <v>24.4578475</v>
      </c>
      <c r="AG80" s="358">
        <f t="shared" si="98"/>
        <v>31.694421500000004</v>
      </c>
      <c r="AH80" s="359">
        <f t="shared" si="98"/>
        <v>7.4551085000000423</v>
      </c>
      <c r="AI80" s="358">
        <f t="shared" si="98"/>
        <v>22.089168499999985</v>
      </c>
      <c r="AJ80" s="358">
        <f t="shared" si="98"/>
        <v>27.370560999999952</v>
      </c>
      <c r="AK80" s="358">
        <f t="shared" si="98"/>
        <v>29.226600500000021</v>
      </c>
      <c r="AL80" s="359">
        <f t="shared" si="98"/>
        <v>36.144596500000056</v>
      </c>
      <c r="AM80" s="358">
        <f t="shared" si="98"/>
        <v>36.440401499999986</v>
      </c>
      <c r="AN80" s="358">
        <f t="shared" si="98"/>
        <v>44.114595999999949</v>
      </c>
      <c r="AO80" s="358">
        <f t="shared" si="98"/>
        <v>44.286072500000024</v>
      </c>
      <c r="AP80" s="359">
        <f t="shared" si="98"/>
        <v>41.887597000000014</v>
      </c>
      <c r="AQ80" s="358">
        <f t="shared" ref="AQ80:AW80" si="99">AVERAGE(AP79:AQ79)</f>
        <v>20.72017</v>
      </c>
      <c r="AR80" s="358">
        <f t="shared" si="99"/>
        <v>25.1883555</v>
      </c>
      <c r="AS80" s="358">
        <f t="shared" si="99"/>
        <v>-12.971454999999999</v>
      </c>
      <c r="AT80" s="359">
        <f>AVERAGE(AS79:AT79)</f>
        <v>-34.920103875944136</v>
      </c>
      <c r="AU80" s="358">
        <f t="shared" si="99"/>
        <v>-28.223598825944148</v>
      </c>
      <c r="AV80" s="358">
        <f t="shared" si="99"/>
        <v>-54.14528245000001</v>
      </c>
      <c r="AW80" s="358">
        <f t="shared" si="99"/>
        <v>-66.105069499999999</v>
      </c>
      <c r="AX80" s="359">
        <f t="shared" ref="AX80:BE80" si="100">AVERAGE(AW79:AX79)</f>
        <v>-58.268857375944137</v>
      </c>
      <c r="AY80" s="358">
        <f t="shared" si="100"/>
        <v>-47.47631632594414</v>
      </c>
      <c r="AZ80" s="358">
        <f t="shared" si="100"/>
        <v>-46.256725450000005</v>
      </c>
      <c r="BA80" s="358">
        <f t="shared" si="100"/>
        <v>-27.386596411044948</v>
      </c>
      <c r="BB80" s="359">
        <f t="shared" si="100"/>
        <v>-14.637490211044948</v>
      </c>
      <c r="BC80" s="358">
        <f t="shared" si="100"/>
        <v>-8.8386600499999997</v>
      </c>
      <c r="BD80" s="358">
        <f t="shared" si="100"/>
        <v>8.1816069500000008</v>
      </c>
      <c r="BE80" s="358">
        <f t="shared" si="100"/>
        <v>13.801699235528417</v>
      </c>
      <c r="BF80" s="360"/>
      <c r="BG80" s="360"/>
      <c r="BH80" s="360"/>
      <c r="BI80" s="360"/>
      <c r="BJ80" s="360"/>
      <c r="BK80" s="360"/>
      <c r="BL80" s="360"/>
      <c r="BM80" s="360"/>
      <c r="BN80" s="360"/>
      <c r="BO80" s="360"/>
      <c r="BP80" s="360"/>
      <c r="BQ80" s="360"/>
      <c r="BR80" s="360"/>
      <c r="BS80" s="360"/>
    </row>
    <row r="81" spans="1:71" x14ac:dyDescent="0.2">
      <c r="A81" s="361" t="str">
        <f>A70</f>
        <v>Consumable Revenue</v>
      </c>
      <c r="B81" s="409"/>
      <c r="C81" s="326"/>
      <c r="D81" s="326"/>
      <c r="E81" s="326"/>
      <c r="F81" s="353"/>
      <c r="G81" s="354"/>
      <c r="H81" s="354"/>
      <c r="I81" s="354"/>
      <c r="J81" s="353"/>
      <c r="K81" s="354"/>
      <c r="L81" s="354"/>
      <c r="M81" s="354"/>
      <c r="N81" s="335" t="s">
        <v>299</v>
      </c>
      <c r="O81" s="336" t="s">
        <v>299</v>
      </c>
      <c r="P81" s="336" t="s">
        <v>299</v>
      </c>
      <c r="Q81" s="336" t="s">
        <v>299</v>
      </c>
      <c r="R81" s="335" t="s">
        <v>299</v>
      </c>
      <c r="S81" s="336" t="s">
        <v>299</v>
      </c>
      <c r="T81" s="336" t="s">
        <v>299</v>
      </c>
      <c r="U81" s="336" t="s">
        <v>299</v>
      </c>
      <c r="V81" s="335" t="s">
        <v>299</v>
      </c>
      <c r="W81" s="336" t="s">
        <v>299</v>
      </c>
      <c r="X81" s="336" t="s">
        <v>299</v>
      </c>
      <c r="Y81" s="336" t="s">
        <v>299</v>
      </c>
      <c r="Z81" s="335" t="s">
        <v>299</v>
      </c>
      <c r="AA81" s="336" t="s">
        <v>299</v>
      </c>
      <c r="AB81" s="336" t="s">
        <v>299</v>
      </c>
      <c r="AC81" s="336" t="s">
        <v>299</v>
      </c>
      <c r="AD81" s="335" t="s">
        <v>299</v>
      </c>
      <c r="AE81" s="336" t="s">
        <v>299</v>
      </c>
      <c r="AF81" s="336" t="s">
        <v>299</v>
      </c>
      <c r="AG81" s="336" t="s">
        <v>299</v>
      </c>
      <c r="AH81" s="335" t="s">
        <v>299</v>
      </c>
      <c r="AI81" s="336" t="s">
        <v>299</v>
      </c>
      <c r="AJ81" s="336" t="s">
        <v>299</v>
      </c>
      <c r="AK81" s="336" t="s">
        <v>299</v>
      </c>
      <c r="AL81" s="353">
        <f t="shared" ref="AL81:BA81" si="101">AL70+AH70</f>
        <v>20.561219999999999</v>
      </c>
      <c r="AM81" s="354">
        <f t="shared" si="101"/>
        <v>20.945073000000001</v>
      </c>
      <c r="AN81" s="354">
        <f t="shared" si="101"/>
        <v>29.313622000000002</v>
      </c>
      <c r="AO81" s="354">
        <f t="shared" si="101"/>
        <v>22.796565000000001</v>
      </c>
      <c r="AP81" s="353">
        <f t="shared" si="101"/>
        <v>12.002967999999997</v>
      </c>
      <c r="AQ81" s="354">
        <f t="shared" si="101"/>
        <v>2.4656460000000013</v>
      </c>
      <c r="AR81" s="354">
        <f t="shared" si="101"/>
        <v>7.1094019999999993</v>
      </c>
      <c r="AS81" s="354">
        <f t="shared" si="101"/>
        <v>-3.8653999999999975</v>
      </c>
      <c r="AT81" s="353">
        <f t="shared" si="101"/>
        <v>-0.83111075188827699</v>
      </c>
      <c r="AU81" s="354">
        <f t="shared" si="101"/>
        <v>-19.756466100000001</v>
      </c>
      <c r="AV81" s="354">
        <f t="shared" si="101"/>
        <v>-33.410774000000004</v>
      </c>
      <c r="AW81" s="354">
        <f t="shared" si="101"/>
        <v>-39.004069000000001</v>
      </c>
      <c r="AX81" s="353">
        <f t="shared" si="101"/>
        <v>-32.490858751888275</v>
      </c>
      <c r="AY81" s="354">
        <f t="shared" si="101"/>
        <v>-27.006416100000003</v>
      </c>
      <c r="AZ81" s="354">
        <f t="shared" si="101"/>
        <v>-24.063393999999999</v>
      </c>
      <c r="BA81" s="354">
        <f t="shared" si="101"/>
        <v>-20.589159463002087</v>
      </c>
      <c r="BB81" s="353">
        <f t="shared" ref="BB81" si="102">BB70+AX70</f>
        <v>-29.136198</v>
      </c>
      <c r="BC81" s="354">
        <f t="shared" ref="BC81" si="103">BC70+AY70</f>
        <v>-12.604288500000001</v>
      </c>
      <c r="BD81" s="354">
        <f t="shared" ref="BD81" si="104">BD70+AZ70</f>
        <v>3.0229599999999999</v>
      </c>
      <c r="BE81" s="354">
        <f t="shared" ref="BE81" si="105">BE70+BA70</f>
        <v>6.3690880793658149</v>
      </c>
      <c r="BF81" s="362"/>
      <c r="BG81" s="362"/>
      <c r="BH81" s="362"/>
      <c r="BI81" s="362"/>
      <c r="BJ81" s="362"/>
      <c r="BK81" s="362"/>
      <c r="BL81" s="362"/>
      <c r="BM81" s="362"/>
      <c r="BN81" s="362"/>
      <c r="BO81" s="362"/>
      <c r="BP81" s="362"/>
      <c r="BQ81" s="362"/>
      <c r="BR81" s="362"/>
      <c r="BS81" s="362"/>
    </row>
    <row r="82" spans="1:71" x14ac:dyDescent="0.2">
      <c r="A82" s="305" t="s">
        <v>448</v>
      </c>
      <c r="B82" s="408"/>
      <c r="C82" s="356"/>
      <c r="D82" s="356"/>
      <c r="E82" s="356"/>
      <c r="F82" s="357"/>
      <c r="G82" s="356"/>
      <c r="H82" s="356"/>
      <c r="I82" s="356"/>
      <c r="J82" s="357"/>
      <c r="K82" s="356"/>
      <c r="L82" s="358"/>
      <c r="M82" s="358"/>
      <c r="N82" s="332" t="s">
        <v>299</v>
      </c>
      <c r="O82" s="333" t="s">
        <v>299</v>
      </c>
      <c r="P82" s="333" t="s">
        <v>299</v>
      </c>
      <c r="Q82" s="333" t="s">
        <v>299</v>
      </c>
      <c r="R82" s="332" t="s">
        <v>299</v>
      </c>
      <c r="S82" s="333" t="s">
        <v>299</v>
      </c>
      <c r="T82" s="333" t="s">
        <v>299</v>
      </c>
      <c r="U82" s="333" t="s">
        <v>299</v>
      </c>
      <c r="V82" s="332" t="s">
        <v>299</v>
      </c>
      <c r="W82" s="333" t="s">
        <v>299</v>
      </c>
      <c r="X82" s="333" t="s">
        <v>299</v>
      </c>
      <c r="Y82" s="333" t="s">
        <v>299</v>
      </c>
      <c r="Z82" s="332" t="s">
        <v>299</v>
      </c>
      <c r="AA82" s="333" t="s">
        <v>299</v>
      </c>
      <c r="AB82" s="333" t="s">
        <v>299</v>
      </c>
      <c r="AC82" s="333" t="s">
        <v>299</v>
      </c>
      <c r="AD82" s="332" t="s">
        <v>299</v>
      </c>
      <c r="AE82" s="333" t="s">
        <v>299</v>
      </c>
      <c r="AF82" s="333" t="s">
        <v>299</v>
      </c>
      <c r="AG82" s="333" t="s">
        <v>299</v>
      </c>
      <c r="AH82" s="332" t="s">
        <v>299</v>
      </c>
      <c r="AI82" s="333" t="s">
        <v>299</v>
      </c>
      <c r="AJ82" s="333" t="s">
        <v>299</v>
      </c>
      <c r="AK82" s="333" t="s">
        <v>299</v>
      </c>
      <c r="AL82" s="332" t="s">
        <v>299</v>
      </c>
      <c r="AM82" s="358">
        <f>AVERAGE(AL81:AM81)</f>
        <v>20.7531465</v>
      </c>
      <c r="AN82" s="358">
        <f>AVERAGE(AM81:AN81)</f>
        <v>25.129347500000002</v>
      </c>
      <c r="AO82" s="358">
        <f>AVERAGE(AN81:AO81)</f>
        <v>26.055093500000002</v>
      </c>
      <c r="AP82" s="359">
        <f>AVERAGE(AO81:AP81)</f>
        <v>17.399766499999998</v>
      </c>
      <c r="AQ82" s="358">
        <f t="shared" ref="AQ82:AW82" si="106">AVERAGE(AP81:AQ81)</f>
        <v>7.2343069999999994</v>
      </c>
      <c r="AR82" s="358">
        <f t="shared" si="106"/>
        <v>4.7875240000000003</v>
      </c>
      <c r="AS82" s="358">
        <f t="shared" si="106"/>
        <v>1.6220010000000009</v>
      </c>
      <c r="AT82" s="359">
        <f>AVERAGE(AS81:AT81)</f>
        <v>-2.3482553759441371</v>
      </c>
      <c r="AU82" s="358">
        <f t="shared" si="106"/>
        <v>-10.29378842594414</v>
      </c>
      <c r="AV82" s="358">
        <f t="shared" si="106"/>
        <v>-26.58362005</v>
      </c>
      <c r="AW82" s="358">
        <f t="shared" si="106"/>
        <v>-36.207421500000002</v>
      </c>
      <c r="AX82" s="359">
        <f t="shared" ref="AX82:BE82" si="107">AVERAGE(AW81:AX81)</f>
        <v>-35.747463875944135</v>
      </c>
      <c r="AY82" s="358">
        <f t="shared" si="107"/>
        <v>-29.748637425944139</v>
      </c>
      <c r="AZ82" s="358">
        <f t="shared" si="107"/>
        <v>-25.534905049999999</v>
      </c>
      <c r="BA82" s="358">
        <f t="shared" si="107"/>
        <v>-22.326276731501043</v>
      </c>
      <c r="BB82" s="359">
        <f t="shared" si="107"/>
        <v>-24.862678731501042</v>
      </c>
      <c r="BC82" s="358">
        <f t="shared" si="107"/>
        <v>-20.870243250000001</v>
      </c>
      <c r="BD82" s="358">
        <f t="shared" si="107"/>
        <v>-4.7906642500000007</v>
      </c>
      <c r="BE82" s="358">
        <f t="shared" si="107"/>
        <v>4.6960240396829072</v>
      </c>
      <c r="BF82" s="296"/>
      <c r="BG82" s="296"/>
      <c r="BH82" s="296"/>
      <c r="BI82" s="296"/>
      <c r="BJ82" s="296"/>
      <c r="BK82" s="296"/>
      <c r="BL82" s="296"/>
      <c r="BM82" s="296"/>
      <c r="BN82" s="296"/>
      <c r="BO82" s="296"/>
      <c r="BP82" s="296"/>
      <c r="BQ82" s="296"/>
      <c r="BR82" s="296"/>
      <c r="BS82" s="296"/>
    </row>
    <row r="83" spans="1:71" x14ac:dyDescent="0.2">
      <c r="A83" s="361" t="str">
        <f>A71</f>
        <v>Equipment and software Revenue</v>
      </c>
      <c r="B83" s="407"/>
      <c r="C83" s="324"/>
      <c r="D83" s="324"/>
      <c r="E83" s="324"/>
      <c r="F83" s="353"/>
      <c r="G83" s="354"/>
      <c r="H83" s="354"/>
      <c r="I83" s="354"/>
      <c r="J83" s="353"/>
      <c r="K83" s="354"/>
      <c r="L83" s="354"/>
      <c r="M83" s="354"/>
      <c r="N83" s="335" t="s">
        <v>299</v>
      </c>
      <c r="O83" s="336" t="s">
        <v>299</v>
      </c>
      <c r="P83" s="336" t="s">
        <v>299</v>
      </c>
      <c r="Q83" s="336" t="s">
        <v>299</v>
      </c>
      <c r="R83" s="335" t="s">
        <v>299</v>
      </c>
      <c r="S83" s="336" t="s">
        <v>299</v>
      </c>
      <c r="T83" s="336" t="s">
        <v>299</v>
      </c>
      <c r="U83" s="336" t="s">
        <v>299</v>
      </c>
      <c r="V83" s="335" t="s">
        <v>299</v>
      </c>
      <c r="W83" s="336" t="s">
        <v>299</v>
      </c>
      <c r="X83" s="336" t="s">
        <v>299</v>
      </c>
      <c r="Y83" s="336" t="s">
        <v>299</v>
      </c>
      <c r="Z83" s="335" t="s">
        <v>299</v>
      </c>
      <c r="AA83" s="336" t="s">
        <v>299</v>
      </c>
      <c r="AB83" s="336" t="s">
        <v>299</v>
      </c>
      <c r="AC83" s="336" t="s">
        <v>299</v>
      </c>
      <c r="AD83" s="335" t="s">
        <v>299</v>
      </c>
      <c r="AE83" s="336" t="s">
        <v>299</v>
      </c>
      <c r="AF83" s="336" t="s">
        <v>299</v>
      </c>
      <c r="AG83" s="336" t="s">
        <v>299</v>
      </c>
      <c r="AH83" s="335" t="s">
        <v>299</v>
      </c>
      <c r="AI83" s="336" t="s">
        <v>299</v>
      </c>
      <c r="AJ83" s="336" t="s">
        <v>299</v>
      </c>
      <c r="AK83" s="336" t="s">
        <v>299</v>
      </c>
      <c r="AL83" s="353">
        <f t="shared" ref="AL83:BA83" si="108">AL71+AH71</f>
        <v>-16.127932000000001</v>
      </c>
      <c r="AM83" s="354">
        <f t="shared" si="108"/>
        <v>31.779722</v>
      </c>
      <c r="AN83" s="354">
        <f t="shared" si="108"/>
        <v>-18.781551999999998</v>
      </c>
      <c r="AO83" s="354">
        <f t="shared" si="108"/>
        <v>30.958479000000004</v>
      </c>
      <c r="AP83" s="353">
        <f t="shared" si="108"/>
        <v>6.316873000000002</v>
      </c>
      <c r="AQ83" s="354">
        <f t="shared" si="108"/>
        <v>12.575378000000001</v>
      </c>
      <c r="AR83" s="354">
        <f t="shared" si="108"/>
        <v>12.686844000000001</v>
      </c>
      <c r="AS83" s="354">
        <f t="shared" si="108"/>
        <v>-57.030788999999999</v>
      </c>
      <c r="AT83" s="353">
        <f t="shared" si="108"/>
        <v>-12.151601999999999</v>
      </c>
      <c r="AU83" s="354">
        <f t="shared" si="108"/>
        <v>-26.268226800000001</v>
      </c>
      <c r="AV83" s="354">
        <f t="shared" si="108"/>
        <v>-26.749026000000001</v>
      </c>
      <c r="AW83" s="354">
        <f t="shared" si="108"/>
        <v>-29.858867999999998</v>
      </c>
      <c r="AX83" s="353">
        <f t="shared" si="108"/>
        <v>-16.390031999999998</v>
      </c>
      <c r="AY83" s="354">
        <f t="shared" si="108"/>
        <v>-22.666530800000004</v>
      </c>
      <c r="AZ83" s="354">
        <f t="shared" si="108"/>
        <v>-20.285685999999998</v>
      </c>
      <c r="BA83" s="354">
        <f t="shared" si="108"/>
        <v>9.7246500000000005</v>
      </c>
      <c r="BB83" s="353">
        <f t="shared" ref="BB83" si="109">BB71+AX71</f>
        <v>6.3931500000000003</v>
      </c>
      <c r="BC83" s="354">
        <f t="shared" ref="BC83" si="110">BC71+AY71</f>
        <v>11.865910000000001</v>
      </c>
      <c r="BD83" s="354">
        <f t="shared" ref="BD83" si="111">BD71+AZ71</f>
        <v>8.3628</v>
      </c>
      <c r="BE83" s="354">
        <f t="shared" ref="BE83" si="112">BE71+BA71</f>
        <v>4.101144097048401</v>
      </c>
      <c r="BF83" s="296"/>
      <c r="BG83" s="296"/>
      <c r="BH83" s="296"/>
      <c r="BI83" s="296"/>
      <c r="BJ83" s="296"/>
      <c r="BK83" s="296"/>
      <c r="BL83" s="296"/>
      <c r="BM83" s="296"/>
      <c r="BN83" s="296"/>
      <c r="BO83" s="296"/>
      <c r="BP83" s="296"/>
      <c r="BQ83" s="296"/>
      <c r="BR83" s="296"/>
      <c r="BS83" s="296"/>
    </row>
    <row r="84" spans="1:71" x14ac:dyDescent="0.2">
      <c r="A84" s="305" t="s">
        <v>448</v>
      </c>
      <c r="B84" s="408"/>
      <c r="C84" s="356"/>
      <c r="D84" s="356"/>
      <c r="E84" s="356"/>
      <c r="F84" s="357"/>
      <c r="G84" s="356"/>
      <c r="H84" s="356"/>
      <c r="I84" s="356"/>
      <c r="J84" s="357"/>
      <c r="K84" s="356"/>
      <c r="L84" s="358"/>
      <c r="M84" s="358"/>
      <c r="N84" s="332" t="s">
        <v>299</v>
      </c>
      <c r="O84" s="333" t="s">
        <v>299</v>
      </c>
      <c r="P84" s="333" t="s">
        <v>299</v>
      </c>
      <c r="Q84" s="333" t="s">
        <v>299</v>
      </c>
      <c r="R84" s="332" t="s">
        <v>299</v>
      </c>
      <c r="S84" s="333" t="s">
        <v>299</v>
      </c>
      <c r="T84" s="333" t="s">
        <v>299</v>
      </c>
      <c r="U84" s="333" t="s">
        <v>299</v>
      </c>
      <c r="V84" s="332" t="s">
        <v>299</v>
      </c>
      <c r="W84" s="333" t="s">
        <v>299</v>
      </c>
      <c r="X84" s="333" t="s">
        <v>299</v>
      </c>
      <c r="Y84" s="333" t="s">
        <v>299</v>
      </c>
      <c r="Z84" s="332" t="s">
        <v>299</v>
      </c>
      <c r="AA84" s="333" t="s">
        <v>299</v>
      </c>
      <c r="AB84" s="333" t="s">
        <v>299</v>
      </c>
      <c r="AC84" s="333" t="s">
        <v>299</v>
      </c>
      <c r="AD84" s="332" t="s">
        <v>299</v>
      </c>
      <c r="AE84" s="333" t="s">
        <v>299</v>
      </c>
      <c r="AF84" s="333" t="s">
        <v>299</v>
      </c>
      <c r="AG84" s="333" t="s">
        <v>299</v>
      </c>
      <c r="AH84" s="332" t="s">
        <v>299</v>
      </c>
      <c r="AI84" s="333" t="s">
        <v>299</v>
      </c>
      <c r="AJ84" s="333" t="s">
        <v>299</v>
      </c>
      <c r="AK84" s="333" t="s">
        <v>299</v>
      </c>
      <c r="AL84" s="332" t="s">
        <v>299</v>
      </c>
      <c r="AM84" s="358">
        <f>AVERAGE(AL83:AM83)</f>
        <v>7.8258949999999992</v>
      </c>
      <c r="AN84" s="358">
        <f>AVERAGE(AM83:AN83)</f>
        <v>6.4990850000000009</v>
      </c>
      <c r="AO84" s="358">
        <f>AVERAGE(AN83:AO83)</f>
        <v>6.0884635000000031</v>
      </c>
      <c r="AP84" s="359">
        <f>AVERAGE(AO83:AP83)</f>
        <v>18.637676000000003</v>
      </c>
      <c r="AQ84" s="358">
        <f t="shared" ref="AQ84:AW84" si="113">AVERAGE(AP83:AQ83)</f>
        <v>9.4461255000000008</v>
      </c>
      <c r="AR84" s="358">
        <f t="shared" si="113"/>
        <v>12.631111000000001</v>
      </c>
      <c r="AS84" s="358">
        <f t="shared" si="113"/>
        <v>-22.171972499999999</v>
      </c>
      <c r="AT84" s="359">
        <f>AVERAGE(AS83:AT83)</f>
        <v>-34.591195499999998</v>
      </c>
      <c r="AU84" s="358">
        <f t="shared" si="113"/>
        <v>-19.209914399999999</v>
      </c>
      <c r="AV84" s="358">
        <f t="shared" si="113"/>
        <v>-26.508626400000001</v>
      </c>
      <c r="AW84" s="358">
        <f t="shared" si="113"/>
        <v>-28.303947000000001</v>
      </c>
      <c r="AX84" s="359">
        <f t="shared" ref="AX84:BE84" si="114">AVERAGE(AW83:AX83)</f>
        <v>-23.124449999999996</v>
      </c>
      <c r="AY84" s="358">
        <f t="shared" si="114"/>
        <v>-19.528281400000001</v>
      </c>
      <c r="AZ84" s="358">
        <f t="shared" si="114"/>
        <v>-21.476108400000001</v>
      </c>
      <c r="BA84" s="358">
        <f t="shared" si="114"/>
        <v>-5.2805179999999989</v>
      </c>
      <c r="BB84" s="359">
        <f t="shared" si="114"/>
        <v>8.0589000000000013</v>
      </c>
      <c r="BC84" s="358">
        <f t="shared" si="114"/>
        <v>9.1295300000000008</v>
      </c>
      <c r="BD84" s="358">
        <f t="shared" si="114"/>
        <v>10.114355</v>
      </c>
      <c r="BE84" s="358">
        <f t="shared" si="114"/>
        <v>6.2319720485242005</v>
      </c>
      <c r="BF84" s="296"/>
      <c r="BG84" s="296"/>
      <c r="BH84" s="296"/>
      <c r="BI84" s="296"/>
      <c r="BJ84" s="296"/>
      <c r="BK84" s="296"/>
      <c r="BL84" s="296"/>
      <c r="BM84" s="296"/>
      <c r="BN84" s="296"/>
      <c r="BO84" s="296"/>
      <c r="BP84" s="296"/>
      <c r="BQ84" s="296"/>
      <c r="BR84" s="296"/>
      <c r="BS84" s="296"/>
    </row>
    <row r="85" spans="1:71" x14ac:dyDescent="0.2">
      <c r="A85" s="361" t="str">
        <f>A72</f>
        <v>Other Revenue</v>
      </c>
      <c r="B85" s="409"/>
      <c r="C85" s="326"/>
      <c r="D85" s="326"/>
      <c r="E85" s="326"/>
      <c r="F85" s="353"/>
      <c r="G85" s="354"/>
      <c r="H85" s="354"/>
      <c r="I85" s="354"/>
      <c r="J85" s="353"/>
      <c r="K85" s="354"/>
      <c r="L85" s="354"/>
      <c r="M85" s="354"/>
      <c r="N85" s="335" t="s">
        <v>299</v>
      </c>
      <c r="O85" s="336" t="s">
        <v>299</v>
      </c>
      <c r="P85" s="336" t="s">
        <v>299</v>
      </c>
      <c r="Q85" s="336" t="s">
        <v>299</v>
      </c>
      <c r="R85" s="335" t="s">
        <v>299</v>
      </c>
      <c r="S85" s="336" t="s">
        <v>299</v>
      </c>
      <c r="T85" s="336" t="s">
        <v>299</v>
      </c>
      <c r="U85" s="336" t="s">
        <v>299</v>
      </c>
      <c r="V85" s="335" t="s">
        <v>299</v>
      </c>
      <c r="W85" s="336" t="s">
        <v>299</v>
      </c>
      <c r="X85" s="336" t="s">
        <v>299</v>
      </c>
      <c r="Y85" s="336" t="s">
        <v>299</v>
      </c>
      <c r="Z85" s="335" t="s">
        <v>299</v>
      </c>
      <c r="AA85" s="336" t="s">
        <v>299</v>
      </c>
      <c r="AB85" s="336" t="s">
        <v>299</v>
      </c>
      <c r="AC85" s="336" t="s">
        <v>299</v>
      </c>
      <c r="AD85" s="335" t="s">
        <v>299</v>
      </c>
      <c r="AE85" s="336" t="s">
        <v>299</v>
      </c>
      <c r="AF85" s="336" t="s">
        <v>299</v>
      </c>
      <c r="AG85" s="336" t="s">
        <v>299</v>
      </c>
      <c r="AH85" s="335" t="s">
        <v>299</v>
      </c>
      <c r="AI85" s="336" t="s">
        <v>299</v>
      </c>
      <c r="AJ85" s="336" t="s">
        <v>299</v>
      </c>
      <c r="AK85" s="336" t="s">
        <v>299</v>
      </c>
      <c r="AL85" s="353">
        <f t="shared" ref="AL85:BA85" si="115">AL72+AH72</f>
        <v>8.325648000000001</v>
      </c>
      <c r="AM85" s="354">
        <f t="shared" si="115"/>
        <v>7.3970719999999996</v>
      </c>
      <c r="AN85" s="354">
        <f t="shared" si="115"/>
        <v>17.575255000000002</v>
      </c>
      <c r="AO85" s="354">
        <f t="shared" si="115"/>
        <v>6.7097759999999997</v>
      </c>
      <c r="AP85" s="353">
        <f t="shared" si="115"/>
        <v>4.990533000000001</v>
      </c>
      <c r="AQ85" s="354">
        <f t="shared" si="115"/>
        <v>3.0889419999999999</v>
      </c>
      <c r="AR85" s="354">
        <f t="shared" si="115"/>
        <v>12.450499000000001</v>
      </c>
      <c r="AS85" s="354">
        <f t="shared" si="115"/>
        <v>2.706534</v>
      </c>
      <c r="AT85" s="353">
        <f t="shared" si="115"/>
        <v>1.3321599999999998</v>
      </c>
      <c r="AU85" s="354">
        <f t="shared" si="115"/>
        <v>1.228048</v>
      </c>
      <c r="AV85" s="354">
        <f t="shared" si="115"/>
        <v>-3.33412</v>
      </c>
      <c r="AW85" s="354">
        <f t="shared" si="115"/>
        <v>0.14671799999999999</v>
      </c>
      <c r="AX85" s="353">
        <f t="shared" si="115"/>
        <v>1.0593950000000001</v>
      </c>
      <c r="AY85" s="354">
        <f t="shared" si="115"/>
        <v>2.5418099999999999</v>
      </c>
      <c r="AZ85" s="354">
        <f t="shared" si="115"/>
        <v>-1.0332339999999998</v>
      </c>
      <c r="BA85" s="354">
        <f t="shared" si="115"/>
        <v>1.4736306409121886</v>
      </c>
      <c r="BB85" s="353">
        <f t="shared" ref="BB85" si="116">BB72+AX72</f>
        <v>2.8589464000000007</v>
      </c>
      <c r="BC85" s="354">
        <f t="shared" ref="BC85" si="117">BC72+AY72</f>
        <v>2.9451600000000004</v>
      </c>
      <c r="BD85" s="354">
        <f t="shared" ref="BD85" si="118">BD72+AZ72</f>
        <v>2.7706724000000005</v>
      </c>
      <c r="BE85" s="354">
        <f t="shared" ref="BE85" si="119">BE72+BA72</f>
        <v>2.9767338946426212</v>
      </c>
      <c r="BF85" s="296"/>
      <c r="BG85" s="296"/>
      <c r="BH85" s="296"/>
      <c r="BI85" s="296"/>
      <c r="BJ85" s="296"/>
      <c r="BK85" s="296"/>
      <c r="BL85" s="296"/>
      <c r="BM85" s="296"/>
      <c r="BN85" s="296"/>
      <c r="BO85" s="296"/>
      <c r="BP85" s="296"/>
      <c r="BQ85" s="296"/>
      <c r="BR85" s="296"/>
      <c r="BS85" s="296"/>
    </row>
    <row r="86" spans="1:71" x14ac:dyDescent="0.2">
      <c r="A86" s="305" t="s">
        <v>448</v>
      </c>
      <c r="B86" s="408"/>
      <c r="C86" s="356"/>
      <c r="D86" s="356"/>
      <c r="E86" s="356"/>
      <c r="F86" s="357"/>
      <c r="G86" s="356"/>
      <c r="H86" s="356"/>
      <c r="I86" s="356"/>
      <c r="J86" s="357"/>
      <c r="K86" s="356"/>
      <c r="L86" s="358"/>
      <c r="M86" s="358"/>
      <c r="N86" s="332" t="s">
        <v>299</v>
      </c>
      <c r="O86" s="333" t="s">
        <v>299</v>
      </c>
      <c r="P86" s="333" t="s">
        <v>299</v>
      </c>
      <c r="Q86" s="333" t="s">
        <v>299</v>
      </c>
      <c r="R86" s="332" t="s">
        <v>299</v>
      </c>
      <c r="S86" s="333" t="s">
        <v>299</v>
      </c>
      <c r="T86" s="333" t="s">
        <v>299</v>
      </c>
      <c r="U86" s="333" t="s">
        <v>299</v>
      </c>
      <c r="V86" s="332" t="s">
        <v>299</v>
      </c>
      <c r="W86" s="333" t="s">
        <v>299</v>
      </c>
      <c r="X86" s="333" t="s">
        <v>299</v>
      </c>
      <c r="Y86" s="333" t="s">
        <v>299</v>
      </c>
      <c r="Z86" s="332" t="s">
        <v>299</v>
      </c>
      <c r="AA86" s="333" t="s">
        <v>299</v>
      </c>
      <c r="AB86" s="333" t="s">
        <v>299</v>
      </c>
      <c r="AC86" s="333" t="s">
        <v>299</v>
      </c>
      <c r="AD86" s="332" t="s">
        <v>299</v>
      </c>
      <c r="AE86" s="333" t="s">
        <v>299</v>
      </c>
      <c r="AF86" s="333" t="s">
        <v>299</v>
      </c>
      <c r="AG86" s="333" t="s">
        <v>299</v>
      </c>
      <c r="AH86" s="332" t="s">
        <v>299</v>
      </c>
      <c r="AI86" s="333" t="s">
        <v>299</v>
      </c>
      <c r="AJ86" s="333" t="s">
        <v>299</v>
      </c>
      <c r="AK86" s="333" t="s">
        <v>299</v>
      </c>
      <c r="AL86" s="332" t="s">
        <v>299</v>
      </c>
      <c r="AM86" s="358">
        <f>AVERAGE(AL85:AM85)</f>
        <v>7.8613600000000003</v>
      </c>
      <c r="AN86" s="358">
        <f>AVERAGE(AM85:AN85)</f>
        <v>12.4861635</v>
      </c>
      <c r="AO86" s="358">
        <f>AVERAGE(AN85:AO85)</f>
        <v>12.142515500000002</v>
      </c>
      <c r="AP86" s="359">
        <f>AVERAGE(AO85:AP85)</f>
        <v>5.8501545000000004</v>
      </c>
      <c r="AQ86" s="358">
        <f t="shared" ref="AQ86:AW86" si="120">AVERAGE(AP85:AQ85)</f>
        <v>4.0397375000000002</v>
      </c>
      <c r="AR86" s="358">
        <f t="shared" si="120"/>
        <v>7.7697205</v>
      </c>
      <c r="AS86" s="358">
        <f t="shared" si="120"/>
        <v>7.5785165000000001</v>
      </c>
      <c r="AT86" s="359">
        <f>AVERAGE(AS85:AT85)</f>
        <v>2.0193469999999998</v>
      </c>
      <c r="AU86" s="358">
        <f t="shared" si="120"/>
        <v>1.2801039999999999</v>
      </c>
      <c r="AV86" s="358">
        <f t="shared" si="120"/>
        <v>-1.0530360000000001</v>
      </c>
      <c r="AW86" s="358">
        <f t="shared" si="120"/>
        <v>-1.593701</v>
      </c>
      <c r="AX86" s="359">
        <f t="shared" ref="AX86:BE86" si="121">AVERAGE(AW85:AX85)</f>
        <v>0.6030565</v>
      </c>
      <c r="AY86" s="358">
        <f t="shared" si="121"/>
        <v>1.8006025000000001</v>
      </c>
      <c r="AZ86" s="358">
        <f t="shared" si="121"/>
        <v>0.75428800000000007</v>
      </c>
      <c r="BA86" s="358">
        <f t="shared" si="121"/>
        <v>0.22019832045609444</v>
      </c>
      <c r="BB86" s="359">
        <f t="shared" si="121"/>
        <v>2.1662885204560949</v>
      </c>
      <c r="BC86" s="358">
        <f t="shared" si="121"/>
        <v>2.9020532000000006</v>
      </c>
      <c r="BD86" s="358">
        <f t="shared" si="121"/>
        <v>2.8579162000000005</v>
      </c>
      <c r="BE86" s="358">
        <f t="shared" si="121"/>
        <v>2.8737031473213106</v>
      </c>
      <c r="BF86" s="296"/>
      <c r="BG86" s="296"/>
      <c r="BH86" s="296"/>
      <c r="BI86" s="296"/>
      <c r="BJ86" s="296"/>
      <c r="BK86" s="296"/>
      <c r="BL86" s="296"/>
      <c r="BM86" s="296"/>
      <c r="BN86" s="296"/>
      <c r="BO86" s="296"/>
      <c r="BP86" s="296"/>
      <c r="BQ86" s="296"/>
      <c r="BR86" s="296"/>
      <c r="BS86" s="296"/>
    </row>
    <row r="87" spans="1:71" x14ac:dyDescent="0.2">
      <c r="A87" s="304" t="str">
        <f>A73</f>
        <v>Animal Health</v>
      </c>
      <c r="B87" s="409"/>
      <c r="C87" s="326"/>
      <c r="D87" s="326"/>
      <c r="E87" s="326"/>
      <c r="F87" s="353"/>
      <c r="G87" s="354"/>
      <c r="H87" s="354"/>
      <c r="I87" s="354"/>
      <c r="J87" s="353"/>
      <c r="K87" s="354"/>
      <c r="L87" s="354"/>
      <c r="M87" s="354"/>
      <c r="N87" s="335" t="s">
        <v>299</v>
      </c>
      <c r="O87" s="336" t="s">
        <v>299</v>
      </c>
      <c r="P87" s="336" t="s">
        <v>299</v>
      </c>
      <c r="Q87" s="336" t="s">
        <v>299</v>
      </c>
      <c r="R87" s="335" t="s">
        <v>299</v>
      </c>
      <c r="S87" s="336" t="s">
        <v>299</v>
      </c>
      <c r="T87" s="336" t="s">
        <v>299</v>
      </c>
      <c r="U87" s="336" t="s">
        <v>299</v>
      </c>
      <c r="V87" s="335" t="s">
        <v>299</v>
      </c>
      <c r="W87" s="336" t="s">
        <v>299</v>
      </c>
      <c r="X87" s="336" t="s">
        <v>299</v>
      </c>
      <c r="Y87" s="336" t="s">
        <v>299</v>
      </c>
      <c r="Z87" s="335" t="s">
        <v>299</v>
      </c>
      <c r="AA87" s="336" t="s">
        <v>299</v>
      </c>
      <c r="AB87" s="336" t="s">
        <v>299</v>
      </c>
      <c r="AC87" s="336" t="s">
        <v>299</v>
      </c>
      <c r="AD87" s="335" t="s">
        <v>299</v>
      </c>
      <c r="AE87" s="336" t="s">
        <v>299</v>
      </c>
      <c r="AF87" s="336" t="s">
        <v>299</v>
      </c>
      <c r="AG87" s="336" t="s">
        <v>299</v>
      </c>
      <c r="AH87" s="335" t="s">
        <v>299</v>
      </c>
      <c r="AI87" s="336" t="s">
        <v>299</v>
      </c>
      <c r="AJ87" s="336" t="s">
        <v>299</v>
      </c>
      <c r="AK87" s="336" t="s">
        <v>299</v>
      </c>
      <c r="AL87" s="335" t="s">
        <v>299</v>
      </c>
      <c r="AM87" s="336" t="s">
        <v>299</v>
      </c>
      <c r="AN87" s="336" t="s">
        <v>299</v>
      </c>
      <c r="AO87" s="336" t="s">
        <v>299</v>
      </c>
      <c r="AP87" s="353">
        <f t="shared" ref="AP87:BA87" si="122">AP73+AL73</f>
        <v>34.852512999999888</v>
      </c>
      <c r="AQ87" s="354">
        <f t="shared" si="122"/>
        <v>73.13158199999971</v>
      </c>
      <c r="AR87" s="354">
        <f t="shared" si="122"/>
        <v>57.941721500000014</v>
      </c>
      <c r="AS87" s="354">
        <f t="shared" si="122"/>
        <v>96.124842000000044</v>
      </c>
      <c r="AT87" s="353">
        <f t="shared" si="122"/>
        <v>51.168790999999842</v>
      </c>
      <c r="AU87" s="354">
        <f t="shared" ref="AU87" si="123">AU73+AQ73</f>
        <v>74.762216999999907</v>
      </c>
      <c r="AV87" s="354">
        <f t="shared" ref="AV87" si="124">AV73+AR73</f>
        <v>56.89957699999993</v>
      </c>
      <c r="AW87" s="354">
        <f t="shared" ref="AW87" si="125">AW73+AS73</f>
        <v>67.360759999999971</v>
      </c>
      <c r="AX87" s="353">
        <f t="shared" ref="AX87" si="126">AX73+AT73</f>
        <v>56.974894000000035</v>
      </c>
      <c r="AY87" s="354">
        <f t="shared" si="122"/>
        <v>62.78233100000017</v>
      </c>
      <c r="AZ87" s="354">
        <f t="shared" si="122"/>
        <v>51.621682000000028</v>
      </c>
      <c r="BA87" s="354">
        <f t="shared" si="122"/>
        <v>50.435392833527686</v>
      </c>
      <c r="BB87" s="353">
        <f t="shared" ref="BB87" si="127">BB73+AX73</f>
        <v>59.111592399999964</v>
      </c>
      <c r="BC87" s="354">
        <f t="shared" ref="BC87" si="128">BC73+AY73</f>
        <v>79.403623000000096</v>
      </c>
      <c r="BD87" s="354">
        <f t="shared" ref="BD87" si="129">BD73+AZ73</f>
        <v>60.766318799999858</v>
      </c>
      <c r="BE87" s="354">
        <f t="shared" ref="BE87" si="130">BE73+BA73</f>
        <v>81.277889185617596</v>
      </c>
      <c r="BF87" s="296"/>
      <c r="BG87" s="296"/>
      <c r="BH87" s="296"/>
      <c r="BI87" s="296"/>
      <c r="BJ87" s="296"/>
      <c r="BK87" s="296"/>
      <c r="BL87" s="296"/>
      <c r="BM87" s="296"/>
      <c r="BN87" s="296"/>
      <c r="BO87" s="296"/>
      <c r="BP87" s="296"/>
      <c r="BQ87" s="296"/>
      <c r="BR87" s="296"/>
      <c r="BS87" s="296"/>
    </row>
    <row r="88" spans="1:71" x14ac:dyDescent="0.2">
      <c r="A88" s="355" t="s">
        <v>448</v>
      </c>
      <c r="B88" s="408"/>
      <c r="C88" s="356"/>
      <c r="D88" s="356"/>
      <c r="E88" s="356"/>
      <c r="F88" s="357"/>
      <c r="G88" s="356"/>
      <c r="H88" s="356"/>
      <c r="I88" s="356"/>
      <c r="J88" s="357"/>
      <c r="K88" s="356"/>
      <c r="L88" s="358"/>
      <c r="M88" s="358"/>
      <c r="N88" s="332" t="s">
        <v>299</v>
      </c>
      <c r="O88" s="333" t="s">
        <v>299</v>
      </c>
      <c r="P88" s="333" t="s">
        <v>299</v>
      </c>
      <c r="Q88" s="333" t="s">
        <v>299</v>
      </c>
      <c r="R88" s="332" t="s">
        <v>299</v>
      </c>
      <c r="S88" s="333" t="s">
        <v>299</v>
      </c>
      <c r="T88" s="333" t="s">
        <v>299</v>
      </c>
      <c r="U88" s="333" t="s">
        <v>299</v>
      </c>
      <c r="V88" s="332" t="s">
        <v>299</v>
      </c>
      <c r="W88" s="333" t="s">
        <v>299</v>
      </c>
      <c r="X88" s="333" t="s">
        <v>299</v>
      </c>
      <c r="Y88" s="333" t="s">
        <v>299</v>
      </c>
      <c r="Z88" s="332" t="s">
        <v>299</v>
      </c>
      <c r="AA88" s="333" t="s">
        <v>299</v>
      </c>
      <c r="AB88" s="333" t="s">
        <v>299</v>
      </c>
      <c r="AC88" s="333" t="s">
        <v>299</v>
      </c>
      <c r="AD88" s="332" t="s">
        <v>299</v>
      </c>
      <c r="AE88" s="333" t="s">
        <v>299</v>
      </c>
      <c r="AF88" s="333" t="s">
        <v>299</v>
      </c>
      <c r="AG88" s="333" t="s">
        <v>299</v>
      </c>
      <c r="AH88" s="332" t="s">
        <v>299</v>
      </c>
      <c r="AI88" s="333" t="s">
        <v>299</v>
      </c>
      <c r="AJ88" s="333" t="s">
        <v>299</v>
      </c>
      <c r="AK88" s="333" t="s">
        <v>299</v>
      </c>
      <c r="AL88" s="332" t="s">
        <v>299</v>
      </c>
      <c r="AM88" s="333" t="s">
        <v>299</v>
      </c>
      <c r="AN88" s="333" t="s">
        <v>299</v>
      </c>
      <c r="AO88" s="333" t="s">
        <v>299</v>
      </c>
      <c r="AP88" s="332" t="s">
        <v>299</v>
      </c>
      <c r="AQ88" s="358">
        <f t="shared" ref="AQ88:AW88" si="131">AVERAGE(AP87:AQ87)</f>
        <v>53.992047499999799</v>
      </c>
      <c r="AR88" s="358">
        <f t="shared" si="131"/>
        <v>65.536651749999862</v>
      </c>
      <c r="AS88" s="358">
        <f t="shared" si="131"/>
        <v>77.033281750000029</v>
      </c>
      <c r="AT88" s="359">
        <f>AVERAGE(AS87:AT87)</f>
        <v>73.646816499999943</v>
      </c>
      <c r="AU88" s="358">
        <f t="shared" si="131"/>
        <v>62.965503999999875</v>
      </c>
      <c r="AV88" s="358">
        <f t="shared" si="131"/>
        <v>65.830896999999922</v>
      </c>
      <c r="AW88" s="358">
        <f t="shared" si="131"/>
        <v>62.130168499999954</v>
      </c>
      <c r="AX88" s="359">
        <f t="shared" ref="AX88:BE88" si="132">AVERAGE(AW87:AX87)</f>
        <v>62.167827000000003</v>
      </c>
      <c r="AY88" s="358">
        <f t="shared" si="132"/>
        <v>59.878612500000102</v>
      </c>
      <c r="AZ88" s="358">
        <f t="shared" si="132"/>
        <v>57.202006500000095</v>
      </c>
      <c r="BA88" s="358">
        <f t="shared" si="132"/>
        <v>51.028537416763854</v>
      </c>
      <c r="BB88" s="359">
        <f t="shared" si="132"/>
        <v>54.773492616763825</v>
      </c>
      <c r="BC88" s="358">
        <f t="shared" si="132"/>
        <v>69.257607700000023</v>
      </c>
      <c r="BD88" s="358">
        <f t="shared" si="132"/>
        <v>70.084970899999973</v>
      </c>
      <c r="BE88" s="358">
        <f t="shared" si="132"/>
        <v>71.022103992808724</v>
      </c>
      <c r="BF88" s="296"/>
      <c r="BG88" s="296"/>
      <c r="BH88" s="296"/>
      <c r="BI88" s="296"/>
      <c r="BJ88" s="296"/>
      <c r="BK88" s="296"/>
      <c r="BL88" s="296"/>
      <c r="BM88" s="296"/>
      <c r="BN88" s="296"/>
      <c r="BO88" s="296"/>
      <c r="BP88" s="296"/>
      <c r="BQ88" s="296"/>
      <c r="BR88" s="296"/>
      <c r="BS88" s="296"/>
    </row>
    <row r="89" spans="1:71" x14ac:dyDescent="0.2">
      <c r="A89" s="304" t="str">
        <f>A74</f>
        <v>Corporate Sales (reported)</v>
      </c>
      <c r="B89" s="409"/>
      <c r="C89" s="326"/>
      <c r="D89" s="326"/>
      <c r="E89" s="326"/>
      <c r="F89" s="353"/>
      <c r="G89" s="354"/>
      <c r="H89" s="354"/>
      <c r="I89" s="354"/>
      <c r="J89" s="353"/>
      <c r="K89" s="354"/>
      <c r="L89" s="354"/>
      <c r="M89" s="354"/>
      <c r="N89" s="335" t="s">
        <v>299</v>
      </c>
      <c r="O89" s="336" t="s">
        <v>299</v>
      </c>
      <c r="P89" s="336" t="s">
        <v>299</v>
      </c>
      <c r="Q89" s="336" t="s">
        <v>299</v>
      </c>
      <c r="R89" s="335" t="s">
        <v>299</v>
      </c>
      <c r="S89" s="336" t="s">
        <v>299</v>
      </c>
      <c r="T89" s="336" t="s">
        <v>299</v>
      </c>
      <c r="U89" s="336" t="s">
        <v>299</v>
      </c>
      <c r="V89" s="335" t="s">
        <v>299</v>
      </c>
      <c r="W89" s="336" t="s">
        <v>299</v>
      </c>
      <c r="X89" s="336" t="s">
        <v>299</v>
      </c>
      <c r="Y89" s="336" t="s">
        <v>299</v>
      </c>
      <c r="Z89" s="335" t="s">
        <v>299</v>
      </c>
      <c r="AA89" s="336" t="s">
        <v>299</v>
      </c>
      <c r="AB89" s="336" t="s">
        <v>299</v>
      </c>
      <c r="AC89" s="336" t="s">
        <v>299</v>
      </c>
      <c r="AD89" s="335" t="s">
        <v>299</v>
      </c>
      <c r="AE89" s="336" t="s">
        <v>299</v>
      </c>
      <c r="AF89" s="336" t="s">
        <v>299</v>
      </c>
      <c r="AG89" s="336" t="s">
        <v>299</v>
      </c>
      <c r="AH89" s="335" t="s">
        <v>299</v>
      </c>
      <c r="AI89" s="336" t="s">
        <v>299</v>
      </c>
      <c r="AJ89" s="336" t="s">
        <v>299</v>
      </c>
      <c r="AK89" s="336" t="s">
        <v>299</v>
      </c>
      <c r="AL89" s="335" t="s">
        <v>299</v>
      </c>
      <c r="AM89" s="336" t="s">
        <v>299</v>
      </c>
      <c r="AN89" s="336" t="s">
        <v>299</v>
      </c>
      <c r="AO89" s="336" t="s">
        <v>299</v>
      </c>
      <c r="AP89" s="353">
        <f t="shared" ref="AP89:BA89" si="133">AP74+AL74</f>
        <v>5.008</v>
      </c>
      <c r="AQ89" s="354">
        <f t="shared" si="133"/>
        <v>0.43200000000000083</v>
      </c>
      <c r="AR89" s="354">
        <f t="shared" si="133"/>
        <v>-1.660000000000001</v>
      </c>
      <c r="AS89" s="354">
        <f t="shared" si="133"/>
        <v>1.0000000000000564E-2</v>
      </c>
      <c r="AT89" s="353">
        <f t="shared" si="133"/>
        <v>-1.283999999999998</v>
      </c>
      <c r="AU89" s="354">
        <f t="shared" si="133"/>
        <v>-4.9110000000000014</v>
      </c>
      <c r="AV89" s="354">
        <f t="shared" si="133"/>
        <v>-11.011000000000001</v>
      </c>
      <c r="AW89" s="354">
        <f t="shared" si="133"/>
        <v>-5.7139999999999995</v>
      </c>
      <c r="AX89" s="353">
        <f t="shared" si="133"/>
        <v>-5.8014399999999986</v>
      </c>
      <c r="AY89" s="354">
        <f t="shared" si="133"/>
        <v>-1.1884800000000006</v>
      </c>
      <c r="AZ89" s="354">
        <f t="shared" si="133"/>
        <v>-6.0695599999999983</v>
      </c>
      <c r="BA89" s="354">
        <f t="shared" si="133"/>
        <v>-5.2285200000000005</v>
      </c>
      <c r="BB89" s="353">
        <f t="shared" ref="BB89" si="134">BB74+AX74</f>
        <v>-3.6688000000000276E-3</v>
      </c>
      <c r="BC89" s="354">
        <f t="shared" ref="BC89" si="135">BC74+AY74</f>
        <v>-3.4095999999999849E-3</v>
      </c>
      <c r="BD89" s="354">
        <f t="shared" ref="BD89" si="136">BD74+AZ74</f>
        <v>-9.9120000000000458E-4</v>
      </c>
      <c r="BE89" s="354">
        <f t="shared" ref="BE89" si="137">BE74+BA74</f>
        <v>-2.0504000000000078E-3</v>
      </c>
      <c r="BF89" s="296"/>
      <c r="BG89" s="296"/>
      <c r="BH89" s="296"/>
      <c r="BI89" s="296"/>
      <c r="BJ89" s="296"/>
      <c r="BK89" s="296"/>
      <c r="BL89" s="296"/>
      <c r="BM89" s="296"/>
      <c r="BN89" s="296"/>
      <c r="BO89" s="296"/>
      <c r="BP89" s="296"/>
      <c r="BQ89" s="296"/>
      <c r="BR89" s="296"/>
      <c r="BS89" s="296"/>
    </row>
    <row r="90" spans="1:71" x14ac:dyDescent="0.2">
      <c r="A90" s="355" t="s">
        <v>448</v>
      </c>
      <c r="B90" s="408"/>
      <c r="C90" s="356"/>
      <c r="D90" s="356"/>
      <c r="E90" s="356"/>
      <c r="F90" s="357"/>
      <c r="G90" s="356"/>
      <c r="H90" s="356"/>
      <c r="I90" s="356"/>
      <c r="J90" s="357"/>
      <c r="K90" s="356"/>
      <c r="L90" s="358"/>
      <c r="M90" s="358"/>
      <c r="N90" s="332" t="s">
        <v>299</v>
      </c>
      <c r="O90" s="333" t="s">
        <v>299</v>
      </c>
      <c r="P90" s="333" t="s">
        <v>299</v>
      </c>
      <c r="Q90" s="333" t="s">
        <v>299</v>
      </c>
      <c r="R90" s="332" t="s">
        <v>299</v>
      </c>
      <c r="S90" s="333" t="s">
        <v>299</v>
      </c>
      <c r="T90" s="333" t="s">
        <v>299</v>
      </c>
      <c r="U90" s="333" t="s">
        <v>299</v>
      </c>
      <c r="V90" s="332" t="s">
        <v>299</v>
      </c>
      <c r="W90" s="333" t="s">
        <v>299</v>
      </c>
      <c r="X90" s="333" t="s">
        <v>299</v>
      </c>
      <c r="Y90" s="333" t="s">
        <v>299</v>
      </c>
      <c r="Z90" s="332" t="s">
        <v>299</v>
      </c>
      <c r="AA90" s="333" t="s">
        <v>299</v>
      </c>
      <c r="AB90" s="333" t="s">
        <v>299</v>
      </c>
      <c r="AC90" s="333" t="s">
        <v>299</v>
      </c>
      <c r="AD90" s="332" t="s">
        <v>299</v>
      </c>
      <c r="AE90" s="333" t="s">
        <v>299</v>
      </c>
      <c r="AF90" s="333" t="s">
        <v>299</v>
      </c>
      <c r="AG90" s="333" t="s">
        <v>299</v>
      </c>
      <c r="AH90" s="332" t="s">
        <v>299</v>
      </c>
      <c r="AI90" s="333" t="s">
        <v>299</v>
      </c>
      <c r="AJ90" s="333" t="s">
        <v>299</v>
      </c>
      <c r="AK90" s="333" t="s">
        <v>299</v>
      </c>
      <c r="AL90" s="332" t="s">
        <v>299</v>
      </c>
      <c r="AM90" s="333" t="s">
        <v>299</v>
      </c>
      <c r="AN90" s="333" t="s">
        <v>299</v>
      </c>
      <c r="AO90" s="333" t="s">
        <v>299</v>
      </c>
      <c r="AP90" s="332" t="s">
        <v>299</v>
      </c>
      <c r="AQ90" s="358">
        <f t="shared" ref="AQ90:BA90" si="138">AVERAGE(AP89:AQ89)</f>
        <v>2.7200000000000006</v>
      </c>
      <c r="AR90" s="358">
        <f t="shared" si="138"/>
        <v>-0.6140000000000001</v>
      </c>
      <c r="AS90" s="358">
        <f t="shared" si="138"/>
        <v>-0.82500000000000018</v>
      </c>
      <c r="AT90" s="359">
        <f t="shared" si="138"/>
        <v>-0.63699999999999868</v>
      </c>
      <c r="AU90" s="358">
        <f t="shared" si="138"/>
        <v>-3.0974999999999997</v>
      </c>
      <c r="AV90" s="358">
        <f t="shared" si="138"/>
        <v>-7.9610000000000012</v>
      </c>
      <c r="AW90" s="358">
        <f t="shared" si="138"/>
        <v>-8.3625000000000007</v>
      </c>
      <c r="AX90" s="359">
        <f t="shared" si="138"/>
        <v>-5.7577199999999991</v>
      </c>
      <c r="AY90" s="358">
        <f t="shared" si="138"/>
        <v>-3.4949599999999998</v>
      </c>
      <c r="AZ90" s="358">
        <f t="shared" si="138"/>
        <v>-3.6290199999999997</v>
      </c>
      <c r="BA90" s="358">
        <f t="shared" si="138"/>
        <v>-5.6490399999999994</v>
      </c>
      <c r="BB90" s="359">
        <f t="shared" ref="BB90" si="139">AVERAGE(BA89:BB89)</f>
        <v>-2.6160944000000002</v>
      </c>
      <c r="BC90" s="358">
        <f t="shared" ref="BC90" si="140">AVERAGE(BB89:BC89)</f>
        <v>-3.5392000000000062E-3</v>
      </c>
      <c r="BD90" s="358">
        <f t="shared" ref="BD90" si="141">AVERAGE(BC89:BD89)</f>
        <v>-2.2003999999999947E-3</v>
      </c>
      <c r="BE90" s="358">
        <f t="shared" ref="BE90" si="142">AVERAGE(BD89:BE89)</f>
        <v>-1.5208000000000062E-3</v>
      </c>
      <c r="BF90" s="296"/>
      <c r="BG90" s="296"/>
      <c r="BH90" s="296"/>
      <c r="BI90" s="296"/>
      <c r="BJ90" s="296"/>
      <c r="BK90" s="296"/>
      <c r="BL90" s="296"/>
      <c r="BM90" s="296"/>
      <c r="BN90" s="296"/>
      <c r="BO90" s="296"/>
      <c r="BP90" s="296"/>
      <c r="BQ90" s="296"/>
      <c r="BR90" s="296"/>
      <c r="BS90" s="296"/>
    </row>
    <row r="91" spans="1:71" x14ac:dyDescent="0.2">
      <c r="A91" s="349" t="str">
        <f>A75</f>
        <v>Total Revenue</v>
      </c>
      <c r="B91" s="407"/>
      <c r="C91" s="324"/>
      <c r="D91" s="324"/>
      <c r="E91" s="324"/>
      <c r="F91" s="363"/>
      <c r="G91" s="327"/>
      <c r="H91" s="327"/>
      <c r="I91" s="327"/>
      <c r="J91" s="363">
        <f t="shared" ref="J91:BA91" si="143">J75+F75</f>
        <v>88.12849300000002</v>
      </c>
      <c r="K91" s="327">
        <f t="shared" si="143"/>
        <v>65.225819999999885</v>
      </c>
      <c r="L91" s="327">
        <f t="shared" si="143"/>
        <v>95.106809999999967</v>
      </c>
      <c r="M91" s="327">
        <f t="shared" si="143"/>
        <v>50.910214999999972</v>
      </c>
      <c r="N91" s="363">
        <f t="shared" si="143"/>
        <v>90.662460000000067</v>
      </c>
      <c r="O91" s="327">
        <f t="shared" si="143"/>
        <v>72.971857</v>
      </c>
      <c r="P91" s="327">
        <f t="shared" si="143"/>
        <v>47.602357999999811</v>
      </c>
      <c r="Q91" s="327">
        <f t="shared" si="143"/>
        <v>28.14111699999998</v>
      </c>
      <c r="R91" s="363">
        <f t="shared" si="143"/>
        <v>91.802225000000107</v>
      </c>
      <c r="S91" s="327">
        <f t="shared" si="143"/>
        <v>77.700514000000041</v>
      </c>
      <c r="T91" s="327">
        <f t="shared" si="143"/>
        <v>6.0182919999998372</v>
      </c>
      <c r="U91" s="327">
        <f t="shared" si="143"/>
        <v>62.965612999999941</v>
      </c>
      <c r="V91" s="363">
        <f t="shared" si="143"/>
        <v>36.628549</v>
      </c>
      <c r="W91" s="327">
        <f t="shared" si="143"/>
        <v>13.429537</v>
      </c>
      <c r="X91" s="327">
        <f t="shared" si="143"/>
        <v>50.381271999999996</v>
      </c>
      <c r="Y91" s="327">
        <f t="shared" si="143"/>
        <v>88.905065999999977</v>
      </c>
      <c r="Z91" s="363">
        <f t="shared" si="143"/>
        <v>33.030538</v>
      </c>
      <c r="AA91" s="327">
        <f t="shared" si="143"/>
        <v>-2.5760149999999999</v>
      </c>
      <c r="AB91" s="327">
        <f t="shared" si="143"/>
        <v>78.643180000000001</v>
      </c>
      <c r="AC91" s="327">
        <f t="shared" si="143"/>
        <v>71.516966000000011</v>
      </c>
      <c r="AD91" s="363">
        <f t="shared" si="143"/>
        <v>30.047359</v>
      </c>
      <c r="AE91" s="327">
        <f t="shared" si="143"/>
        <v>22.474791999999994</v>
      </c>
      <c r="AF91" s="327">
        <f t="shared" si="143"/>
        <v>39.048726999999992</v>
      </c>
      <c r="AG91" s="327">
        <f t="shared" si="143"/>
        <v>25.918343000000014</v>
      </c>
      <c r="AH91" s="363">
        <f t="shared" si="143"/>
        <v>22.142582761469519</v>
      </c>
      <c r="AI91" s="327">
        <f t="shared" si="143"/>
        <v>85.771943018337453</v>
      </c>
      <c r="AJ91" s="327">
        <f t="shared" si="143"/>
        <v>45.799744843808469</v>
      </c>
      <c r="AK91" s="327">
        <f t="shared" si="143"/>
        <v>71.513416000000021</v>
      </c>
      <c r="AL91" s="363">
        <f t="shared" si="143"/>
        <v>52.88599476146959</v>
      </c>
      <c r="AM91" s="327">
        <f t="shared" si="143"/>
        <v>99.43858601833729</v>
      </c>
      <c r="AN91" s="327">
        <f t="shared" si="143"/>
        <v>86.78737534380852</v>
      </c>
      <c r="AO91" s="327">
        <f t="shared" si="143"/>
        <v>99.467255000000193</v>
      </c>
      <c r="AP91" s="363">
        <f t="shared" si="143"/>
        <v>87.248397000000082</v>
      </c>
      <c r="AQ91" s="327">
        <f t="shared" si="143"/>
        <v>87.100919999999832</v>
      </c>
      <c r="AR91" s="327">
        <f t="shared" si="143"/>
        <v>85.327819500000047</v>
      </c>
      <c r="AS91" s="327">
        <f t="shared" si="143"/>
        <v>37.935187000000113</v>
      </c>
      <c r="AT91" s="363">
        <f t="shared" si="143"/>
        <v>51.62966400000002</v>
      </c>
      <c r="AU91" s="327">
        <f t="shared" si="143"/>
        <v>25.082277000000001</v>
      </c>
      <c r="AV91" s="327">
        <f t="shared" si="143"/>
        <v>-18.118343999999997</v>
      </c>
      <c r="AW91" s="327">
        <f t="shared" si="143"/>
        <v>-1.3554590000000335</v>
      </c>
      <c r="AX91" s="363">
        <f t="shared" si="143"/>
        <v>-7.8206859999999683</v>
      </c>
      <c r="AY91" s="327">
        <f t="shared" si="143"/>
        <v>14.92852700000017</v>
      </c>
      <c r="AZ91" s="327">
        <f t="shared" si="143"/>
        <v>-0.42398599999997089</v>
      </c>
      <c r="BA91" s="327">
        <f t="shared" si="143"/>
        <v>41.044514011437791</v>
      </c>
      <c r="BB91" s="363">
        <f t="shared" ref="BB91" si="144">BB75+AX75</f>
        <v>39.22749079999997</v>
      </c>
      <c r="BC91" s="327">
        <f t="shared" ref="BC91" si="145">BC75+AY75</f>
        <v>81.610404500000101</v>
      </c>
      <c r="BD91" s="327">
        <f t="shared" ref="BD91" si="146">BD75+AZ75</f>
        <v>74.922751199999851</v>
      </c>
      <c r="BE91" s="327">
        <f t="shared" ref="BE91" si="147">BE75+BA75</f>
        <v>94.724855256674431</v>
      </c>
      <c r="BF91" s="296"/>
      <c r="BG91" s="296"/>
      <c r="BH91" s="296"/>
      <c r="BI91" s="296"/>
      <c r="BJ91" s="296"/>
      <c r="BK91" s="296"/>
      <c r="BL91" s="296"/>
      <c r="BM91" s="296"/>
      <c r="BN91" s="296"/>
      <c r="BO91" s="296"/>
      <c r="BP91" s="296"/>
      <c r="BQ91" s="296"/>
      <c r="BR91" s="296"/>
      <c r="BS91" s="296"/>
    </row>
    <row r="92" spans="1:71" x14ac:dyDescent="0.2">
      <c r="A92" s="310" t="s">
        <v>448</v>
      </c>
      <c r="B92" s="408"/>
      <c r="C92" s="356"/>
      <c r="D92" s="356"/>
      <c r="E92" s="356"/>
      <c r="F92" s="357"/>
      <c r="G92" s="356"/>
      <c r="H92" s="356"/>
      <c r="I92" s="356"/>
      <c r="J92" s="357"/>
      <c r="K92" s="358">
        <f t="shared" ref="K92:AK92" si="148">AVERAGE(J91:K91)</f>
        <v>76.677156499999953</v>
      </c>
      <c r="L92" s="358">
        <f t="shared" si="148"/>
        <v>80.166314999999926</v>
      </c>
      <c r="M92" s="358">
        <f t="shared" si="148"/>
        <v>73.008512499999966</v>
      </c>
      <c r="N92" s="359">
        <f>AVERAGE(M91:N91)</f>
        <v>70.786337500000016</v>
      </c>
      <c r="O92" s="358">
        <f t="shared" si="148"/>
        <v>81.817158500000033</v>
      </c>
      <c r="P92" s="358">
        <f t="shared" si="148"/>
        <v>60.287107499999905</v>
      </c>
      <c r="Q92" s="358">
        <f t="shared" si="148"/>
        <v>37.871737499999895</v>
      </c>
      <c r="R92" s="359">
        <f>AVERAGE(Q91:R91)</f>
        <v>59.971671000000043</v>
      </c>
      <c r="S92" s="358">
        <f t="shared" si="148"/>
        <v>84.751369500000067</v>
      </c>
      <c r="T92" s="358">
        <f t="shared" si="148"/>
        <v>41.859402999999936</v>
      </c>
      <c r="U92" s="358">
        <f t="shared" si="148"/>
        <v>34.49195249999989</v>
      </c>
      <c r="V92" s="359">
        <f>AVERAGE(U91:V91)</f>
        <v>49.79708099999997</v>
      </c>
      <c r="W92" s="358">
        <f t="shared" si="148"/>
        <v>25.029043000000001</v>
      </c>
      <c r="X92" s="358">
        <f t="shared" si="148"/>
        <v>31.905404499999996</v>
      </c>
      <c r="Y92" s="358">
        <f t="shared" si="148"/>
        <v>69.643168999999986</v>
      </c>
      <c r="Z92" s="359">
        <f>AVERAGE(Y91:Z91)</f>
        <v>60.967801999999992</v>
      </c>
      <c r="AA92" s="358">
        <f t="shared" si="148"/>
        <v>15.227261500000001</v>
      </c>
      <c r="AB92" s="358">
        <f t="shared" si="148"/>
        <v>38.033582500000001</v>
      </c>
      <c r="AC92" s="358">
        <f t="shared" si="148"/>
        <v>75.080072999999999</v>
      </c>
      <c r="AD92" s="359">
        <f>AVERAGE(AC91:AD91)</f>
        <v>50.782162500000005</v>
      </c>
      <c r="AE92" s="358">
        <f>AVERAGE(AD91:AE91)</f>
        <v>26.261075499999997</v>
      </c>
      <c r="AF92" s="358">
        <f>AVERAGE(AE91:AF91)</f>
        <v>30.761759499999993</v>
      </c>
      <c r="AG92" s="358">
        <f>AVERAGE(AF91:AG91)</f>
        <v>32.483535000000003</v>
      </c>
      <c r="AH92" s="359">
        <f>AVERAGE(AG91:AH91)</f>
        <v>24.030462880734767</v>
      </c>
      <c r="AI92" s="358">
        <f t="shared" si="148"/>
        <v>53.95726288990349</v>
      </c>
      <c r="AJ92" s="358">
        <f t="shared" si="148"/>
        <v>65.785843931072961</v>
      </c>
      <c r="AK92" s="358">
        <f t="shared" si="148"/>
        <v>58.656580421904245</v>
      </c>
      <c r="AL92" s="359">
        <f>AVERAGE(AK91:AL91)</f>
        <v>62.199705380734805</v>
      </c>
      <c r="AM92" s="358">
        <f>AVERAGE(AL91:AM91)</f>
        <v>76.162290389903433</v>
      </c>
      <c r="AN92" s="358">
        <f>AVERAGE(AM91:AN91)</f>
        <v>93.112980681072912</v>
      </c>
      <c r="AO92" s="358">
        <f>AVERAGE(AN91:AO91)</f>
        <v>93.127315171904357</v>
      </c>
      <c r="AP92" s="359">
        <f>AVERAGE(AO91:AP91)</f>
        <v>93.357826000000131</v>
      </c>
      <c r="AQ92" s="358">
        <f t="shared" ref="AQ92:AW92" si="149">AVERAGE(AP91:AQ91)</f>
        <v>87.174658499999964</v>
      </c>
      <c r="AR92" s="358">
        <f t="shared" si="149"/>
        <v>86.214369749999946</v>
      </c>
      <c r="AS92" s="358">
        <f t="shared" si="149"/>
        <v>61.63150325000008</v>
      </c>
      <c r="AT92" s="359">
        <f>AVERAGE(AS91:AT91)</f>
        <v>44.782425500000066</v>
      </c>
      <c r="AU92" s="358">
        <f t="shared" si="149"/>
        <v>38.355970500000012</v>
      </c>
      <c r="AV92" s="358">
        <f t="shared" si="149"/>
        <v>3.4819665000000022</v>
      </c>
      <c r="AW92" s="358">
        <f t="shared" si="149"/>
        <v>-9.7369015000000161</v>
      </c>
      <c r="AX92" s="359">
        <f t="shared" ref="AX92:BE92" si="150">AVERAGE(AW91:AX91)</f>
        <v>-4.5880725000000009</v>
      </c>
      <c r="AY92" s="358">
        <f t="shared" si="150"/>
        <v>3.5539205000001006</v>
      </c>
      <c r="AZ92" s="358">
        <f t="shared" si="150"/>
        <v>7.2522705000000993</v>
      </c>
      <c r="BA92" s="358">
        <f t="shared" si="150"/>
        <v>20.31026400571891</v>
      </c>
      <c r="BB92" s="359">
        <f t="shared" si="150"/>
        <v>40.136002405718884</v>
      </c>
      <c r="BC92" s="358">
        <f t="shared" si="150"/>
        <v>60.418947650000035</v>
      </c>
      <c r="BD92" s="358">
        <f t="shared" si="150"/>
        <v>78.266577849999976</v>
      </c>
      <c r="BE92" s="358">
        <f t="shared" si="150"/>
        <v>84.823803228337141</v>
      </c>
      <c r="BF92" s="296"/>
      <c r="BG92" s="296"/>
      <c r="BH92" s="296"/>
      <c r="BI92" s="296"/>
      <c r="BJ92" s="296"/>
      <c r="BK92" s="296"/>
      <c r="BL92" s="296"/>
      <c r="BM92" s="296"/>
      <c r="BN92" s="296"/>
      <c r="BO92" s="296"/>
      <c r="BP92" s="296"/>
      <c r="BQ92" s="296"/>
      <c r="BR92" s="296"/>
      <c r="BS92" s="296"/>
    </row>
    <row r="93" spans="1:71" s="303" customFormat="1" x14ac:dyDescent="0.2">
      <c r="A93" s="364" t="s">
        <v>449</v>
      </c>
      <c r="B93" s="410"/>
      <c r="C93" s="365"/>
      <c r="D93" s="365"/>
      <c r="E93" s="365"/>
      <c r="F93" s="366"/>
      <c r="G93" s="365"/>
      <c r="H93" s="365"/>
      <c r="I93" s="365"/>
      <c r="J93" s="366"/>
      <c r="K93" s="365"/>
      <c r="L93" s="365"/>
      <c r="M93" s="365"/>
      <c r="N93" s="366"/>
      <c r="O93" s="365"/>
      <c r="P93" s="365"/>
      <c r="Q93" s="365"/>
      <c r="R93" s="366"/>
      <c r="S93" s="365"/>
      <c r="T93" s="365"/>
      <c r="U93" s="365"/>
      <c r="V93" s="366"/>
      <c r="W93" s="365"/>
      <c r="X93" s="365"/>
      <c r="Y93" s="365"/>
      <c r="Z93" s="366"/>
      <c r="AA93" s="365"/>
      <c r="AB93" s="365"/>
      <c r="AC93" s="365"/>
      <c r="AD93" s="367">
        <f t="shared" ref="AD93:BA93" si="151">+AD92/2/Z55</f>
        <v>2.8554169360960384E-2</v>
      </c>
      <c r="AE93" s="368">
        <f t="shared" si="151"/>
        <v>1.5141424976908253E-2</v>
      </c>
      <c r="AF93" s="368">
        <f t="shared" si="151"/>
        <v>1.6793901858469788E-2</v>
      </c>
      <c r="AG93" s="368">
        <f t="shared" si="151"/>
        <v>1.6832015797988049E-2</v>
      </c>
      <c r="AH93" s="367">
        <f t="shared" si="151"/>
        <v>1.3651732924717948E-2</v>
      </c>
      <c r="AI93" s="368">
        <f t="shared" si="151"/>
        <v>2.7010125250994402E-2</v>
      </c>
      <c r="AJ93" s="368">
        <f t="shared" si="151"/>
        <v>3.0381047351557097E-2</v>
      </c>
      <c r="AK93" s="368">
        <f t="shared" si="151"/>
        <v>2.6611834028794832E-2</v>
      </c>
      <c r="AL93" s="367">
        <f t="shared" si="151"/>
        <v>3.312173593902952E-2</v>
      </c>
      <c r="AM93" s="368">
        <f t="shared" si="151"/>
        <v>3.8929019233865304E-2</v>
      </c>
      <c r="AN93" s="368">
        <f t="shared" si="151"/>
        <v>4.8565752659568105E-2</v>
      </c>
      <c r="AO93" s="368">
        <f t="shared" si="151"/>
        <v>4.4986389774083056E-2</v>
      </c>
      <c r="AP93" s="367">
        <f t="shared" si="151"/>
        <v>4.0843589384619482E-2</v>
      </c>
      <c r="AQ93" s="368">
        <f t="shared" si="151"/>
        <v>3.1375623015958698E-2</v>
      </c>
      <c r="AR93" s="368">
        <f t="shared" si="151"/>
        <v>3.0772097339977836E-2</v>
      </c>
      <c r="AS93" s="368">
        <f t="shared" si="151"/>
        <v>2.1197129962098573E-2</v>
      </c>
      <c r="AT93" s="367">
        <f t="shared" si="151"/>
        <v>1.6804719138480223E-2</v>
      </c>
      <c r="AU93" s="368">
        <f t="shared" si="151"/>
        <v>1.352237401823809E-2</v>
      </c>
      <c r="AV93" s="368">
        <f t="shared" si="151"/>
        <v>1.2458571808864642E-3</v>
      </c>
      <c r="AW93" s="368">
        <f t="shared" si="151"/>
        <v>-3.3690954594777192E-3</v>
      </c>
      <c r="AX93" s="367">
        <f t="shared" si="151"/>
        <v>-1.7590751199089037E-3</v>
      </c>
      <c r="AY93" s="368">
        <f t="shared" si="151"/>
        <v>1.2823214289580567E-3</v>
      </c>
      <c r="AZ93" s="368">
        <f t="shared" si="151"/>
        <v>2.6367635552660223E-3</v>
      </c>
      <c r="BA93" s="368">
        <f t="shared" si="151"/>
        <v>7.0445298554846448E-3</v>
      </c>
      <c r="BB93" s="367">
        <f t="shared" ref="BB93" si="152">+BB92/2/AX55</f>
        <v>1.5310113044563756E-2</v>
      </c>
      <c r="BC93" s="368">
        <f t="shared" ref="BC93" si="153">+BC92/2/AY55</f>
        <v>2.1090546304790257E-2</v>
      </c>
      <c r="BD93" s="368">
        <f t="shared" ref="BD93" si="154">+BD92/2/AZ55</f>
        <v>2.7705400312786291E-2</v>
      </c>
      <c r="BE93" s="368">
        <f t="shared" ref="BE93" si="155">+BE92/2/BA55</f>
        <v>2.8347031172305671E-2</v>
      </c>
      <c r="BF93" s="326"/>
      <c r="BG93" s="326"/>
      <c r="BH93" s="326"/>
      <c r="BI93" s="326"/>
      <c r="BJ93" s="326"/>
      <c r="BK93" s="326"/>
      <c r="BL93" s="326"/>
      <c r="BM93" s="326"/>
      <c r="BN93" s="326"/>
      <c r="BO93" s="326"/>
      <c r="BP93" s="326"/>
      <c r="BQ93" s="326"/>
      <c r="BR93" s="326"/>
      <c r="BS93" s="326"/>
    </row>
    <row r="94" spans="1:71" s="303" customFormat="1" x14ac:dyDescent="0.2">
      <c r="A94" s="349" t="s">
        <v>450</v>
      </c>
      <c r="B94" s="407"/>
      <c r="C94" s="324"/>
      <c r="D94" s="324"/>
      <c r="E94" s="324"/>
      <c r="F94" s="363"/>
      <c r="G94" s="327"/>
      <c r="H94" s="327"/>
      <c r="I94" s="327"/>
      <c r="J94" s="363"/>
      <c r="K94" s="327"/>
      <c r="L94" s="327"/>
      <c r="M94" s="327">
        <f t="shared" ref="M94:BA94" si="156">AVERAGE(J91:M91)</f>
        <v>74.842834499999967</v>
      </c>
      <c r="N94" s="363">
        <f t="shared" si="156"/>
        <v>75.476326249999971</v>
      </c>
      <c r="O94" s="327">
        <f t="shared" si="156"/>
        <v>77.4128355</v>
      </c>
      <c r="P94" s="327">
        <f t="shared" si="156"/>
        <v>65.536722499999968</v>
      </c>
      <c r="Q94" s="327">
        <f t="shared" si="156"/>
        <v>59.844447999999964</v>
      </c>
      <c r="R94" s="363">
        <f t="shared" si="156"/>
        <v>60.129389249999974</v>
      </c>
      <c r="S94" s="327">
        <f t="shared" si="156"/>
        <v>61.311553499999988</v>
      </c>
      <c r="T94" s="327">
        <f t="shared" si="156"/>
        <v>50.915536999999993</v>
      </c>
      <c r="U94" s="327">
        <f t="shared" si="156"/>
        <v>59.621660999999975</v>
      </c>
      <c r="V94" s="363">
        <f t="shared" si="156"/>
        <v>45.828241999999953</v>
      </c>
      <c r="W94" s="327">
        <f t="shared" si="156"/>
        <v>29.760497749999946</v>
      </c>
      <c r="X94" s="327">
        <f t="shared" si="156"/>
        <v>40.851242749999983</v>
      </c>
      <c r="Y94" s="327">
        <f t="shared" si="156"/>
        <v>47.336105999999994</v>
      </c>
      <c r="Z94" s="363">
        <f t="shared" si="156"/>
        <v>46.436603249999997</v>
      </c>
      <c r="AA94" s="327">
        <f t="shared" si="156"/>
        <v>42.435215249999992</v>
      </c>
      <c r="AB94" s="327">
        <f t="shared" si="156"/>
        <v>49.50069225</v>
      </c>
      <c r="AC94" s="327">
        <f t="shared" si="156"/>
        <v>45.153667249999998</v>
      </c>
      <c r="AD94" s="363">
        <f t="shared" si="156"/>
        <v>44.407872500000003</v>
      </c>
      <c r="AE94" s="327">
        <f t="shared" si="156"/>
        <v>50.670574250000001</v>
      </c>
      <c r="AF94" s="327">
        <f t="shared" si="156"/>
        <v>40.771960999999997</v>
      </c>
      <c r="AG94" s="327">
        <f t="shared" si="156"/>
        <v>29.372305250000004</v>
      </c>
      <c r="AH94" s="363">
        <f t="shared" si="156"/>
        <v>27.396111190367378</v>
      </c>
      <c r="AI94" s="327">
        <f t="shared" si="156"/>
        <v>43.220398944951747</v>
      </c>
      <c r="AJ94" s="327">
        <f t="shared" si="156"/>
        <v>44.90815340590386</v>
      </c>
      <c r="AK94" s="327">
        <f t="shared" si="156"/>
        <v>56.306921655903864</v>
      </c>
      <c r="AL94" s="363">
        <f t="shared" si="156"/>
        <v>63.992774655903887</v>
      </c>
      <c r="AM94" s="327">
        <f t="shared" si="156"/>
        <v>67.409435405903835</v>
      </c>
      <c r="AN94" s="327">
        <f t="shared" si="156"/>
        <v>77.656343030903855</v>
      </c>
      <c r="AO94" s="327">
        <f t="shared" si="156"/>
        <v>84.644802780903888</v>
      </c>
      <c r="AP94" s="363">
        <f t="shared" si="156"/>
        <v>93.235403340536521</v>
      </c>
      <c r="AQ94" s="327">
        <f t="shared" si="156"/>
        <v>90.150986835952153</v>
      </c>
      <c r="AR94" s="327">
        <f t="shared" si="156"/>
        <v>89.786097875000024</v>
      </c>
      <c r="AS94" s="327">
        <f t="shared" si="156"/>
        <v>74.403080875000015</v>
      </c>
      <c r="AT94" s="363">
        <f t="shared" si="156"/>
        <v>65.498397624999996</v>
      </c>
      <c r="AU94" s="327">
        <f t="shared" si="156"/>
        <v>49.993736875000046</v>
      </c>
      <c r="AV94" s="327">
        <f t="shared" si="156"/>
        <v>24.132196000000036</v>
      </c>
      <c r="AW94" s="327">
        <f t="shared" si="156"/>
        <v>14.3095345</v>
      </c>
      <c r="AX94" s="363">
        <f t="shared" si="156"/>
        <v>-0.55305299999999935</v>
      </c>
      <c r="AY94" s="327">
        <f t="shared" si="156"/>
        <v>-3.0914904999999573</v>
      </c>
      <c r="AZ94" s="327">
        <f t="shared" si="156"/>
        <v>1.3320990000000492</v>
      </c>
      <c r="BA94" s="327">
        <f t="shared" si="156"/>
        <v>11.932092252859505</v>
      </c>
      <c r="BB94" s="363">
        <f t="shared" ref="BB94" si="157">AVERAGE(AY91:BB91)</f>
        <v>23.694136452859489</v>
      </c>
      <c r="BC94" s="327">
        <f t="shared" ref="BC94" si="158">AVERAGE(AZ91:BC91)</f>
        <v>40.364605827859471</v>
      </c>
      <c r="BD94" s="327">
        <f t="shared" ref="BD94" si="159">AVERAGE(BA91:BD91)</f>
        <v>59.20129012785943</v>
      </c>
      <c r="BE94" s="327">
        <f t="shared" ref="BE94" si="160">AVERAGE(BB91:BE91)</f>
        <v>72.621375439168588</v>
      </c>
      <c r="BF94" s="326"/>
      <c r="BG94" s="326"/>
      <c r="BH94" s="326"/>
      <c r="BI94" s="326"/>
      <c r="BJ94" s="326"/>
      <c r="BK94" s="326"/>
      <c r="BL94" s="326"/>
      <c r="BM94" s="326"/>
      <c r="BN94" s="326"/>
      <c r="BO94" s="326"/>
      <c r="BP94" s="326"/>
      <c r="BQ94" s="326"/>
      <c r="BR94" s="326"/>
      <c r="BS94" s="326"/>
    </row>
    <row r="95" spans="1:71" s="303" customFormat="1" x14ac:dyDescent="0.2">
      <c r="A95" s="364" t="s">
        <v>449</v>
      </c>
      <c r="B95" s="410"/>
      <c r="C95" s="365"/>
      <c r="D95" s="365"/>
      <c r="E95" s="365"/>
      <c r="F95" s="366"/>
      <c r="G95" s="365"/>
      <c r="H95" s="365"/>
      <c r="I95" s="365"/>
      <c r="J95" s="366"/>
      <c r="K95" s="365"/>
      <c r="L95" s="365"/>
      <c r="M95" s="365"/>
      <c r="N95" s="366"/>
      <c r="O95" s="365"/>
      <c r="P95" s="365"/>
      <c r="Q95" s="365"/>
      <c r="R95" s="366"/>
      <c r="S95" s="365"/>
      <c r="T95" s="365"/>
      <c r="U95" s="365"/>
      <c r="V95" s="366"/>
      <c r="W95" s="365"/>
      <c r="X95" s="365"/>
      <c r="Y95" s="365"/>
      <c r="Z95" s="366"/>
      <c r="AA95" s="365"/>
      <c r="AB95" s="365"/>
      <c r="AC95" s="365"/>
      <c r="AD95" s="367">
        <f t="shared" ref="AD95:BA95" si="161">+AD94/2/Z55</f>
        <v>2.4969986505102758E-2</v>
      </c>
      <c r="AE95" s="368">
        <f t="shared" si="161"/>
        <v>2.9215280940920879E-2</v>
      </c>
      <c r="AF95" s="368">
        <f t="shared" si="161"/>
        <v>2.2258814929339715E-2</v>
      </c>
      <c r="AG95" s="368">
        <f t="shared" si="161"/>
        <v>1.5219867726567545E-2</v>
      </c>
      <c r="AH95" s="367">
        <f t="shared" si="161"/>
        <v>1.5563761505676682E-2</v>
      </c>
      <c r="AI95" s="368">
        <f t="shared" si="161"/>
        <v>2.1635426379634524E-2</v>
      </c>
      <c r="AJ95" s="368">
        <f t="shared" si="161"/>
        <v>2.0739366610927092E-2</v>
      </c>
      <c r="AK95" s="368">
        <f t="shared" si="161"/>
        <v>2.5545820145009768E-2</v>
      </c>
      <c r="AL95" s="367">
        <f t="shared" si="161"/>
        <v>3.4076556652230715E-2</v>
      </c>
      <c r="AM95" s="368">
        <f t="shared" si="161"/>
        <v>3.4455150889321343E-2</v>
      </c>
      <c r="AN95" s="368">
        <f t="shared" si="161"/>
        <v>4.0503898817322179E-2</v>
      </c>
      <c r="AO95" s="368">
        <f t="shared" si="161"/>
        <v>4.0888799201643136E-2</v>
      </c>
      <c r="AP95" s="367">
        <f t="shared" si="161"/>
        <v>4.0790030073646406E-2</v>
      </c>
      <c r="AQ95" s="368">
        <f t="shared" si="161"/>
        <v>3.2446853548402384E-2</v>
      </c>
      <c r="AR95" s="368">
        <f t="shared" si="161"/>
        <v>3.2046937785406474E-2</v>
      </c>
      <c r="AS95" s="368">
        <f t="shared" si="161"/>
        <v>2.5589701560425657E-2</v>
      </c>
      <c r="AT95" s="367">
        <f t="shared" si="161"/>
        <v>2.4578440399764041E-2</v>
      </c>
      <c r="AU95" s="368">
        <f t="shared" si="161"/>
        <v>1.7625261459441675E-2</v>
      </c>
      <c r="AV95" s="368">
        <f t="shared" si="161"/>
        <v>8.6345660353595102E-3</v>
      </c>
      <c r="AW95" s="368">
        <f t="shared" si="161"/>
        <v>4.9512863728969321E-3</v>
      </c>
      <c r="AX95" s="367">
        <f t="shared" si="161"/>
        <v>-2.1204149940764398E-4</v>
      </c>
      <c r="AY95" s="368">
        <f t="shared" si="161"/>
        <v>-1.1154679784114727E-3</v>
      </c>
      <c r="AZ95" s="368">
        <f t="shared" si="161"/>
        <v>4.8432144046563002E-4</v>
      </c>
      <c r="BA95" s="368">
        <f t="shared" si="161"/>
        <v>4.1385961349393371E-3</v>
      </c>
      <c r="BB95" s="367">
        <f t="shared" ref="BB95" si="162">+BB94/2/AX55</f>
        <v>9.0382670381469986E-3</v>
      </c>
      <c r="BC95" s="368">
        <f t="shared" ref="BC95" si="163">+BC94/2/AY55</f>
        <v>1.4090142602592589E-2</v>
      </c>
      <c r="BD95" s="368">
        <f t="shared" ref="BD95" si="164">+BD94/2/AZ55</f>
        <v>2.0956524318326883E-2</v>
      </c>
      <c r="BE95" s="368">
        <f t="shared" ref="BE95" si="165">+BE94/2/BA55</f>
        <v>2.426913572606831E-2</v>
      </c>
      <c r="BF95" s="326"/>
      <c r="BG95" s="326"/>
      <c r="BH95" s="326"/>
      <c r="BI95" s="326"/>
      <c r="BJ95" s="326"/>
      <c r="BK95" s="326"/>
      <c r="BL95" s="326"/>
      <c r="BM95" s="326"/>
      <c r="BN95" s="326"/>
      <c r="BO95" s="326"/>
      <c r="BP95" s="326"/>
      <c r="BQ95" s="326"/>
      <c r="BR95" s="326"/>
      <c r="BS95" s="326"/>
    </row>
    <row r="96" spans="1:71" s="303" customFormat="1" x14ac:dyDescent="0.2">
      <c r="A96" s="324"/>
      <c r="B96" s="324"/>
      <c r="C96" s="324"/>
      <c r="D96" s="324"/>
      <c r="E96" s="324"/>
      <c r="F96" s="324"/>
      <c r="G96" s="324"/>
      <c r="H96" s="324"/>
      <c r="I96" s="324"/>
      <c r="J96" s="324"/>
      <c r="K96" s="324"/>
      <c r="L96" s="324"/>
      <c r="M96" s="324"/>
      <c r="N96" s="324"/>
      <c r="O96" s="324"/>
      <c r="P96" s="324"/>
      <c r="Q96" s="324"/>
      <c r="R96" s="324"/>
      <c r="S96" s="324"/>
      <c r="T96" s="324"/>
      <c r="U96" s="324"/>
      <c r="V96" s="324"/>
      <c r="W96" s="324"/>
      <c r="X96" s="324"/>
      <c r="Y96" s="324"/>
      <c r="Z96" s="324"/>
      <c r="AA96" s="324"/>
      <c r="AB96" s="324"/>
      <c r="AC96" s="324"/>
      <c r="AD96" s="324"/>
      <c r="AE96" s="324"/>
      <c r="AF96" s="324"/>
      <c r="AG96" s="324"/>
      <c r="AH96" s="324"/>
      <c r="AI96" s="324"/>
      <c r="AJ96" s="324"/>
      <c r="AK96" s="324"/>
      <c r="AL96" s="324"/>
      <c r="AM96" s="324"/>
      <c r="AN96" s="324"/>
      <c r="AO96" s="324"/>
      <c r="AP96" s="324"/>
      <c r="AQ96" s="324"/>
      <c r="AR96" s="324"/>
      <c r="AS96" s="324"/>
      <c r="AT96" s="324"/>
      <c r="AU96" s="324"/>
      <c r="AV96" s="324"/>
      <c r="AW96" s="324"/>
      <c r="AX96" s="324"/>
      <c r="AY96" s="324"/>
      <c r="AZ96" s="324"/>
      <c r="BA96" s="324"/>
      <c r="BB96" s="326"/>
      <c r="BC96" s="326"/>
      <c r="BD96" s="326"/>
      <c r="BE96" s="326"/>
      <c r="BF96" s="326"/>
      <c r="BG96" s="326"/>
      <c r="BH96" s="326"/>
      <c r="BI96" s="326"/>
      <c r="BJ96" s="326"/>
      <c r="BK96" s="326"/>
      <c r="BL96" s="326"/>
      <c r="BM96" s="326"/>
      <c r="BN96" s="326"/>
      <c r="BO96" s="326"/>
      <c r="BP96" s="326"/>
      <c r="BQ96" s="326"/>
      <c r="BR96" s="326"/>
      <c r="BS96" s="326"/>
    </row>
    <row r="97" spans="1:53" x14ac:dyDescent="0.2">
      <c r="A97" s="303"/>
      <c r="B97" s="303"/>
      <c r="C97" s="303"/>
      <c r="D97" s="303"/>
      <c r="E97" s="303"/>
      <c r="F97" s="303"/>
      <c r="G97" s="303"/>
      <c r="H97" s="303"/>
      <c r="I97" s="303"/>
      <c r="J97" s="303"/>
      <c r="K97" s="303"/>
      <c r="L97" s="303"/>
      <c r="M97" s="303"/>
      <c r="N97" s="303"/>
      <c r="O97" s="303"/>
      <c r="P97" s="303"/>
      <c r="Q97" s="303"/>
      <c r="R97" s="303"/>
      <c r="S97" s="303"/>
      <c r="T97" s="303"/>
      <c r="U97" s="303"/>
      <c r="V97" s="303"/>
      <c r="W97" s="303"/>
      <c r="X97" s="303"/>
      <c r="Y97" s="303"/>
      <c r="Z97" s="303"/>
      <c r="AA97" s="303"/>
      <c r="AB97" s="303"/>
      <c r="AC97" s="303"/>
      <c r="AD97" s="303"/>
      <c r="AE97" s="303"/>
      <c r="AF97" s="303"/>
      <c r="AG97" s="303"/>
      <c r="AH97" s="303"/>
      <c r="AI97" s="303"/>
      <c r="AJ97" s="303"/>
      <c r="AK97" s="303"/>
      <c r="AL97" s="303"/>
      <c r="AM97" s="303"/>
      <c r="AN97" s="303"/>
      <c r="AO97" s="303"/>
      <c r="AP97" s="303"/>
      <c r="AQ97" s="303"/>
      <c r="AR97" s="303"/>
      <c r="AS97" s="303"/>
      <c r="AT97" s="303"/>
      <c r="AU97" s="303"/>
      <c r="AV97" s="303"/>
      <c r="AW97" s="303"/>
      <c r="AX97" s="303"/>
      <c r="AY97" s="303"/>
      <c r="AZ97" s="303"/>
      <c r="BA97" s="303"/>
    </row>
  </sheetData>
  <printOptions horizontalCentered="1" verticalCentered="1"/>
  <pageMargins left="0" right="0" top="0" bottom="0" header="0" footer="0"/>
  <pageSetup paperSize="5" scale="45" orientation="landscape" r:id="rId1"/>
  <headerFooter alignWithMargins="0"/>
  <ignoredErrors>
    <ignoredError sqref="A78:E78 A91:E91 A80:E86 A79:E79 A88:E88 B87:E87 B89:E89 A90:E90 AQ90:AS90 K89:M89 K87:M87 K88:M88 N87:Q87 N89:Q89 N88:Q88 AP89:AS89 AT89:AW89 AX89:BA89 R87:U87 R88:U88 V87:Y87 V88:Y88 Z87:AC87 Z88:AC88 AD87:AG87 AD88:AG88 AH87:AK87 AH88:AK88 AL87:AO87 AL88:AO88 AP88 F78:I78 F91:I91 F80:I86 F79:I79 F88:I88 F87:I87 F89:I89 F90:I90 J78:M78 J91:M91 J80:M86 J88 J87 J89 J90:M90 N78:Q78 N91:Q91 R89:U89 R78:U78 R91:U91 V89:Y89 V78:Y78 V91:Y91 Z89:AC89 Z78:AC78 Z91:AC91 AD89:AG89 AD78:AG78 AD91:AG91 AH89:AK89 AH78:AK78 AH91:AK91 AL89:AO89 AL78:AO78 AL91:AO91 AP78:AS78 AP91:AS91 AT90:AW90 AT78:AW78 AT91:AW91 AX78:BA78 AX91:BA91" formula="1"/>
    <ignoredError sqref="N79:Q80 Z79:AC80 N81:Q86 AL81:AO81 AM86:AO86 AL85:AO85 AM84:AO84 AL83:AO83 AM82:AO82 AQ88:AS88 AP87:AS87 R81:U86 V81:Y86 Z81:AC86 AD79:AG80 AH79:AK80 AL79:AO80 AP81:AS81 AP86:AS86 AP85:AS85 AP84:AS84 AP83:AS83 AP82:AS82 AP79:AS80 AT88:AW88 AT87 AT81:AW81 AT86:AW86 AT85:AW85 AT84:AW84 AT83:AW83 AT82:AW82 AT79:AW80 AX88:BA88 AY87:BA87 AX81:BA81 AX86:BA86 AX85:BA85 AX84:BA84 AX83:BA83 AX82:BA82 AX79:BA80" evalError="1"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pageSetUpPr fitToPage="1"/>
  </sheetPr>
  <dimension ref="A1:CW199"/>
  <sheetViews>
    <sheetView showGridLines="0" zoomScaleNormal="100" workbookViewId="0">
      <pane xSplit="2" ySplit="6" topLeftCell="BD7" activePane="bottomRight" state="frozen"/>
      <selection pane="topRight" activeCell="C1" sqref="C1"/>
      <selection pane="bottomLeft" activeCell="A7" sqref="A7"/>
      <selection pane="bottomRight" sqref="A1:XFD1048576"/>
    </sheetView>
  </sheetViews>
  <sheetFormatPr defaultRowHeight="12.75" outlineLevelRow="1" outlineLevelCol="1" x14ac:dyDescent="0.2"/>
  <cols>
    <col min="1" max="1" width="1.7109375" style="9" customWidth="1"/>
    <col min="2" max="2" width="31.140625" style="9" customWidth="1"/>
    <col min="3" max="7" width="7.28515625" style="9" hidden="1" customWidth="1" outlineLevel="1"/>
    <col min="8" max="8" width="0.85546875" style="9" hidden="1" customWidth="1" outlineLevel="1"/>
    <col min="9" max="13" width="7.28515625" style="9" hidden="1" customWidth="1" outlineLevel="1"/>
    <col min="14" max="14" width="0.85546875" style="9" hidden="1" customWidth="1" outlineLevel="1"/>
    <col min="15" max="19" width="7.28515625" style="9" hidden="1" customWidth="1" outlineLevel="1"/>
    <col min="20" max="20" width="0.85546875" style="9" hidden="1" customWidth="1" outlineLevel="1"/>
    <col min="21" max="24" width="7.28515625" style="9" hidden="1" customWidth="1" outlineLevel="1"/>
    <col min="25" max="25" width="7.28515625" style="9" hidden="1" customWidth="1" outlineLevel="1" collapsed="1"/>
    <col min="26" max="26" width="0.85546875" style="9" hidden="1" customWidth="1" outlineLevel="1"/>
    <col min="27" max="31" width="7.28515625" style="9" hidden="1" customWidth="1" outlineLevel="1"/>
    <col min="32" max="32" width="0.85546875" style="9" hidden="1" customWidth="1" outlineLevel="1"/>
    <col min="33" max="36" width="7.28515625" style="9" hidden="1" customWidth="1" outlineLevel="1"/>
    <col min="37" max="37" width="7.28515625" style="9" customWidth="1" collapsed="1"/>
    <col min="38" max="38" width="0.85546875" style="9" customWidth="1"/>
    <col min="39" max="42" width="7.28515625" style="9" hidden="1" customWidth="1" outlineLevel="1"/>
    <col min="43" max="43" width="7.28515625" style="9" customWidth="1" collapsed="1"/>
    <col min="44" max="44" width="0.85546875" style="9" customWidth="1"/>
    <col min="45" max="48" width="7.28515625" style="9" hidden="1" customWidth="1" outlineLevel="1"/>
    <col min="49" max="49" width="7.28515625" style="9" customWidth="1" collapsed="1"/>
    <col min="50" max="50" width="0.85546875" style="9" customWidth="1"/>
    <col min="51" max="54" width="7.28515625" style="9" hidden="1" customWidth="1" outlineLevel="1"/>
    <col min="55" max="55" width="7.28515625" style="9" customWidth="1" collapsed="1"/>
    <col min="56" max="56" width="0.85546875" style="9" customWidth="1"/>
    <col min="57" max="60" width="7.28515625" style="9" hidden="1" customWidth="1" outlineLevel="1"/>
    <col min="61" max="61" width="7.28515625" style="9" customWidth="1" collapsed="1"/>
    <col min="62" max="62" width="0.85546875" style="9" customWidth="1"/>
    <col min="63" max="66" width="7.28515625" style="9" customWidth="1" outlineLevel="1"/>
    <col min="67" max="67" width="7.28515625" style="9" customWidth="1"/>
    <col min="68" max="68" width="0.85546875" style="9" customWidth="1"/>
    <col min="69" max="72" width="7.28515625" style="9" customWidth="1" outlineLevel="1"/>
    <col min="73" max="73" width="7.28515625" style="9" customWidth="1"/>
    <col min="74" max="74" width="0.85546875" style="9" customWidth="1"/>
    <col min="75" max="78" width="7.28515625" style="9" customWidth="1" outlineLevel="1"/>
    <col min="79" max="79" width="7.28515625" style="9" customWidth="1"/>
    <col min="80" max="80" width="0.85546875" style="9" customWidth="1"/>
    <col min="81" max="84" width="7.28515625" style="9" hidden="1" customWidth="1" outlineLevel="1"/>
    <col min="85" max="85" width="7.28515625" style="9" customWidth="1" collapsed="1"/>
    <col min="86" max="86" width="0.85546875" style="9" customWidth="1"/>
    <col min="87" max="90" width="7.28515625" style="9" hidden="1" customWidth="1" outlineLevel="1"/>
    <col min="91" max="91" width="7.28515625" style="9" customWidth="1" collapsed="1"/>
    <col min="92" max="94" width="7.28515625" style="9" customWidth="1"/>
    <col min="95" max="100" width="7.28515625" hidden="1" customWidth="1" outlineLevel="1"/>
    <col min="101" max="101" width="7.28515625" style="9" customWidth="1" collapsed="1"/>
    <col min="102" max="103" width="7.28515625" style="9" customWidth="1"/>
    <col min="104" max="16384" width="9.140625" style="9"/>
  </cols>
  <sheetData>
    <row r="1" spans="2:101" s="112" customFormat="1" ht="11.25" customHeight="1" x14ac:dyDescent="0.2">
      <c r="B1" s="411" t="s">
        <v>359</v>
      </c>
      <c r="C1" s="14"/>
      <c r="D1" s="14"/>
      <c r="E1" s="14"/>
      <c r="F1" s="14"/>
      <c r="G1" s="14"/>
      <c r="H1" s="1"/>
      <c r="I1" s="14"/>
      <c r="J1" s="14"/>
      <c r="K1" s="14"/>
      <c r="L1" s="14"/>
      <c r="M1" s="14"/>
      <c r="N1" s="1"/>
      <c r="O1" s="14"/>
      <c r="P1" s="14"/>
      <c r="Q1" s="14"/>
      <c r="R1" s="14"/>
      <c r="S1" s="14"/>
      <c r="T1" s="1"/>
      <c r="U1" s="14"/>
      <c r="V1" s="14"/>
      <c r="W1" s="14"/>
      <c r="X1" s="14"/>
      <c r="Y1" s="14"/>
      <c r="Z1" s="1"/>
      <c r="AA1" s="14"/>
      <c r="AB1" s="14"/>
      <c r="AC1" s="14"/>
      <c r="AD1" s="14"/>
      <c r="AE1" s="14"/>
      <c r="AF1" s="1"/>
      <c r="AG1" s="14"/>
      <c r="AH1" s="14"/>
      <c r="AI1" s="14"/>
      <c r="AJ1" s="14"/>
      <c r="AK1" s="14"/>
      <c r="AL1" s="1"/>
      <c r="AM1" s="14"/>
      <c r="AN1" s="14"/>
      <c r="AO1" s="14"/>
      <c r="AP1" s="14"/>
      <c r="AQ1" s="14"/>
      <c r="AR1" s="1"/>
      <c r="AS1" s="14"/>
      <c r="AT1" s="14"/>
      <c r="AU1" s="14"/>
      <c r="AV1" s="14"/>
      <c r="AW1" s="14"/>
      <c r="AX1" s="1"/>
      <c r="AY1" s="14"/>
      <c r="AZ1" s="14"/>
      <c r="BA1" s="14"/>
      <c r="BB1" s="14"/>
      <c r="BC1" s="14"/>
      <c r="BD1" s="1"/>
      <c r="BE1" s="14"/>
      <c r="BF1" s="14"/>
      <c r="BG1" s="14"/>
      <c r="BH1" s="14"/>
      <c r="BI1" s="14"/>
      <c r="BJ1" s="1"/>
      <c r="BK1" s="14"/>
      <c r="BL1" s="14"/>
      <c r="BM1" s="14"/>
      <c r="BN1" s="14"/>
      <c r="BO1" s="14"/>
      <c r="BP1" s="1"/>
      <c r="BQ1" s="14"/>
      <c r="BR1" s="14"/>
      <c r="BS1" s="14"/>
      <c r="BT1" s="14"/>
      <c r="BU1" s="14"/>
      <c r="BV1" s="1"/>
      <c r="BW1" s="14"/>
      <c r="BX1" s="14"/>
      <c r="BY1" s="14"/>
      <c r="BZ1" s="14"/>
      <c r="CA1" s="14"/>
      <c r="CB1" s="1"/>
      <c r="CC1" s="14"/>
      <c r="CD1" s="14"/>
      <c r="CE1" s="14"/>
      <c r="CF1" s="14"/>
      <c r="CG1" s="14"/>
      <c r="CH1" s="1"/>
      <c r="CI1" s="14"/>
      <c r="CJ1" s="14"/>
      <c r="CK1" s="14"/>
      <c r="CL1" s="14"/>
      <c r="CM1" s="14"/>
      <c r="CN1" s="11"/>
      <c r="CO1" s="14"/>
      <c r="CP1" s="14"/>
      <c r="CQ1"/>
      <c r="CR1"/>
      <c r="CS1"/>
      <c r="CT1"/>
      <c r="CU1"/>
      <c r="CV1"/>
      <c r="CW1" s="24"/>
    </row>
    <row r="2" spans="2:101" s="112" customFormat="1" ht="11.25" customHeight="1" x14ac:dyDescent="0.2">
      <c r="B2" s="414" t="s">
        <v>255</v>
      </c>
      <c r="C2" s="14"/>
      <c r="D2" s="14"/>
      <c r="E2" s="14"/>
      <c r="F2" s="14"/>
      <c r="G2" s="14"/>
      <c r="H2" s="1"/>
      <c r="I2" s="14"/>
      <c r="J2" s="14"/>
      <c r="K2" s="14"/>
      <c r="L2" s="14"/>
      <c r="M2" s="14"/>
      <c r="N2" s="1"/>
      <c r="O2" s="14"/>
      <c r="P2" s="14"/>
      <c r="Q2" s="14"/>
      <c r="R2" s="14"/>
      <c r="S2" s="14"/>
      <c r="T2" s="1"/>
      <c r="U2" s="14"/>
      <c r="V2" s="14"/>
      <c r="W2" s="14"/>
      <c r="X2" s="14"/>
      <c r="Y2" s="14"/>
      <c r="Z2" s="1"/>
      <c r="AA2" s="14"/>
      <c r="AB2" s="14"/>
      <c r="AC2" s="14"/>
      <c r="AD2" s="14"/>
      <c r="AE2" s="14"/>
      <c r="AF2" s="1"/>
      <c r="AG2" s="14"/>
      <c r="AH2" s="14"/>
      <c r="AI2" s="14"/>
      <c r="AJ2" s="14"/>
      <c r="AK2" s="14"/>
      <c r="AL2" s="1"/>
      <c r="AM2" s="14"/>
      <c r="AN2" s="14"/>
      <c r="AO2" s="14"/>
      <c r="AP2" s="14"/>
      <c r="AQ2" s="14"/>
      <c r="AR2" s="1"/>
      <c r="AS2" s="14"/>
      <c r="AT2" s="14"/>
      <c r="AU2" s="14"/>
      <c r="AV2" s="14"/>
      <c r="AW2" s="14"/>
      <c r="AX2" s="1"/>
      <c r="AY2" s="14"/>
      <c r="AZ2" s="14"/>
      <c r="BA2" s="14"/>
      <c r="BB2" s="14"/>
      <c r="BC2" s="14"/>
      <c r="BD2" s="1"/>
      <c r="BE2" s="14"/>
      <c r="BF2" s="14"/>
      <c r="BG2" s="14"/>
      <c r="BH2" s="14"/>
      <c r="BI2" s="249"/>
      <c r="BJ2" s="1"/>
      <c r="BK2" s="14"/>
      <c r="BL2" s="14"/>
      <c r="BM2" s="14"/>
      <c r="BN2" s="14"/>
      <c r="BO2" s="14"/>
      <c r="BP2" s="1"/>
      <c r="BQ2" s="14"/>
      <c r="BR2" s="14"/>
      <c r="BS2" s="14"/>
      <c r="BT2" s="14"/>
      <c r="BU2" s="14"/>
      <c r="BV2" s="1"/>
      <c r="BW2" s="14"/>
      <c r="BX2" s="14"/>
      <c r="BY2" s="14"/>
      <c r="BZ2" s="14"/>
      <c r="CA2" s="14"/>
      <c r="CB2" s="1"/>
      <c r="CC2" s="14"/>
      <c r="CD2" s="14"/>
      <c r="CE2" s="14"/>
      <c r="CF2" s="14"/>
      <c r="CG2" s="14"/>
      <c r="CH2" s="1"/>
      <c r="CI2" s="14"/>
      <c r="CJ2" s="14"/>
      <c r="CK2" s="14"/>
      <c r="CL2" s="14"/>
      <c r="CM2" s="14"/>
      <c r="CN2" s="11"/>
      <c r="CO2" s="14"/>
      <c r="CP2" s="14"/>
      <c r="CQ2"/>
      <c r="CR2"/>
      <c r="CS2"/>
      <c r="CT2"/>
      <c r="CU2"/>
      <c r="CV2"/>
      <c r="CW2" s="24"/>
    </row>
    <row r="3" spans="2:101" s="112" customFormat="1" ht="11.25" customHeight="1" x14ac:dyDescent="0.2">
      <c r="B3" s="4" t="s">
        <v>41</v>
      </c>
      <c r="C3" s="14"/>
      <c r="D3" s="14"/>
      <c r="E3" s="14"/>
      <c r="F3" s="14"/>
      <c r="G3" s="14"/>
      <c r="H3" s="1"/>
      <c r="I3" s="14"/>
      <c r="J3" s="14"/>
      <c r="K3" s="14"/>
      <c r="L3" s="14"/>
      <c r="M3" s="14"/>
      <c r="N3" s="1"/>
      <c r="O3" s="14"/>
      <c r="P3" s="14"/>
      <c r="Q3" s="14"/>
      <c r="R3" s="14"/>
      <c r="S3" s="14"/>
      <c r="T3" s="1"/>
      <c r="U3" s="14"/>
      <c r="V3" s="14"/>
      <c r="W3" s="14"/>
      <c r="X3" s="14"/>
      <c r="Y3" s="14"/>
      <c r="Z3" s="1"/>
      <c r="AA3" s="14"/>
      <c r="AB3" s="14"/>
      <c r="AC3" s="14"/>
      <c r="AD3" s="14"/>
      <c r="AE3" s="14"/>
      <c r="AF3" s="1"/>
      <c r="AG3" s="14"/>
      <c r="AH3" s="14"/>
      <c r="AI3" s="14"/>
      <c r="AJ3" s="14"/>
      <c r="AK3" s="14"/>
      <c r="AL3" s="1"/>
      <c r="AM3" s="14"/>
      <c r="AN3" s="14"/>
      <c r="AO3" s="14"/>
      <c r="AP3" s="14"/>
      <c r="AQ3" s="14"/>
      <c r="AR3" s="1"/>
      <c r="AS3" s="14"/>
      <c r="AT3" s="14"/>
      <c r="AU3" s="457"/>
      <c r="AV3" s="14"/>
      <c r="AW3" s="14"/>
      <c r="AX3" s="1"/>
      <c r="AY3" s="14"/>
      <c r="AZ3" s="14"/>
      <c r="BA3" s="14"/>
      <c r="BB3" s="14"/>
      <c r="BC3" s="14"/>
      <c r="BD3" s="1"/>
      <c r="BE3" s="14"/>
      <c r="BF3" s="14"/>
      <c r="BG3" s="14"/>
      <c r="BH3" s="14"/>
      <c r="BI3" s="14"/>
      <c r="BJ3" s="1"/>
      <c r="BK3" s="14"/>
      <c r="BL3" s="14"/>
      <c r="BM3" s="14"/>
      <c r="BN3" s="14"/>
      <c r="BO3" s="14"/>
      <c r="BP3" s="1"/>
      <c r="BQ3" s="14"/>
      <c r="BR3" s="14"/>
      <c r="BS3" s="14"/>
      <c r="BT3" s="14"/>
      <c r="BU3" s="14"/>
      <c r="BV3" s="1"/>
      <c r="BW3" s="14"/>
      <c r="BX3" s="14"/>
      <c r="BY3" s="14"/>
      <c r="BZ3" s="14"/>
      <c r="CA3" s="14"/>
      <c r="CB3" s="1"/>
      <c r="CC3" s="14"/>
      <c r="CD3" s="14"/>
      <c r="CE3" s="14"/>
      <c r="CF3" s="14"/>
      <c r="CG3" s="14"/>
      <c r="CH3" s="1"/>
      <c r="CI3" s="14"/>
      <c r="CJ3" s="14"/>
      <c r="CK3" s="14"/>
      <c r="CL3" s="14"/>
      <c r="CM3" s="14"/>
      <c r="CN3" s="11"/>
      <c r="CO3" s="14"/>
      <c r="CP3" s="14"/>
      <c r="CQ3"/>
      <c r="CR3"/>
      <c r="CS3"/>
      <c r="CT3"/>
      <c r="CU3"/>
      <c r="CV3"/>
      <c r="CW3" s="24"/>
    </row>
    <row r="4" spans="2:101" s="112" customFormat="1" ht="11.25" customHeight="1" x14ac:dyDescent="0.2">
      <c r="B4" s="5" t="s">
        <v>304</v>
      </c>
      <c r="C4" s="458"/>
      <c r="D4" s="458"/>
      <c r="E4" s="458"/>
      <c r="F4" s="458"/>
      <c r="G4" s="458"/>
      <c r="H4" s="113"/>
      <c r="I4" s="458"/>
      <c r="J4" s="458"/>
      <c r="K4" s="458"/>
      <c r="L4" s="458"/>
      <c r="M4" s="458"/>
      <c r="N4" s="113"/>
      <c r="O4" s="458"/>
      <c r="P4" s="458"/>
      <c r="Q4" s="458"/>
      <c r="R4" s="458"/>
      <c r="S4" s="458"/>
      <c r="T4" s="113"/>
      <c r="U4" s="458"/>
      <c r="V4" s="458"/>
      <c r="W4" s="458"/>
      <c r="X4" s="458"/>
      <c r="Y4" s="458"/>
      <c r="Z4" s="113"/>
      <c r="AA4" s="458"/>
      <c r="AB4" s="458"/>
      <c r="AC4" s="458"/>
      <c r="AD4" s="458"/>
      <c r="AE4" s="458"/>
      <c r="AF4" s="113"/>
      <c r="AG4" s="458"/>
      <c r="AH4" s="458"/>
      <c r="AI4" s="458"/>
      <c r="AJ4" s="458"/>
      <c r="AK4" s="458"/>
      <c r="AL4" s="113"/>
      <c r="AM4" s="458"/>
      <c r="AN4" s="458"/>
      <c r="AO4" s="458"/>
      <c r="AP4" s="458"/>
      <c r="AQ4" s="458"/>
      <c r="AR4" s="113"/>
      <c r="AS4" s="458"/>
      <c r="AT4" s="458"/>
      <c r="AU4" s="458"/>
      <c r="AV4" s="458"/>
      <c r="AW4" s="458"/>
      <c r="AX4" s="113"/>
      <c r="AY4" s="458"/>
      <c r="AZ4" s="458"/>
      <c r="BA4" s="458"/>
      <c r="BB4" s="14"/>
      <c r="BC4" s="14"/>
      <c r="BD4" s="1"/>
      <c r="BE4" s="14"/>
      <c r="BF4" s="14"/>
      <c r="BG4" s="14"/>
      <c r="BH4" s="14"/>
      <c r="BI4" s="14"/>
      <c r="BJ4" s="1"/>
      <c r="BK4" s="14"/>
      <c r="BL4" s="14"/>
      <c r="BM4" s="14"/>
      <c r="BN4" s="14"/>
      <c r="BO4" s="14"/>
      <c r="BP4" s="1"/>
      <c r="BQ4" s="14"/>
      <c r="BR4" s="14"/>
      <c r="BS4" s="14"/>
      <c r="BT4" s="14"/>
      <c r="BU4" s="14"/>
      <c r="BV4" s="1"/>
      <c r="BW4" s="14"/>
      <c r="BX4" s="14"/>
      <c r="BY4" s="14"/>
      <c r="BZ4" s="14"/>
      <c r="CA4" s="14"/>
      <c r="CB4" s="1"/>
      <c r="CC4" s="14"/>
      <c r="CD4" s="14"/>
      <c r="CE4" s="14"/>
      <c r="CF4" s="14"/>
      <c r="CG4" s="14"/>
      <c r="CH4" s="1"/>
      <c r="CI4" s="14"/>
      <c r="CJ4" s="14"/>
      <c r="CK4" s="14"/>
      <c r="CL4" s="14"/>
      <c r="CM4" s="14"/>
      <c r="CN4" s="11"/>
      <c r="CO4" s="14"/>
      <c r="CP4" s="14"/>
      <c r="CQ4"/>
      <c r="CR4"/>
      <c r="CS4"/>
      <c r="CT4"/>
      <c r="CU4"/>
      <c r="CV4"/>
      <c r="CW4" s="24"/>
    </row>
    <row r="5" spans="2:101" s="111" customFormat="1" ht="11.25" customHeight="1" x14ac:dyDescent="0.2">
      <c r="B5" s="5"/>
      <c r="C5" s="1401" t="s">
        <v>31</v>
      </c>
      <c r="D5" s="1402"/>
      <c r="E5" s="1402"/>
      <c r="F5" s="1402"/>
      <c r="G5" s="510" t="str">
        <f>C5</f>
        <v>2007A</v>
      </c>
      <c r="H5" s="575"/>
      <c r="I5" s="1404" t="s">
        <v>32</v>
      </c>
      <c r="J5" s="1405"/>
      <c r="K5" s="1405"/>
      <c r="L5" s="1405"/>
      <c r="M5" s="510" t="str">
        <f>I5</f>
        <v>2008A</v>
      </c>
      <c r="N5" s="575"/>
      <c r="O5" s="1404" t="s">
        <v>33</v>
      </c>
      <c r="P5" s="1405"/>
      <c r="Q5" s="1405"/>
      <c r="R5" s="1405"/>
      <c r="S5" s="510" t="str">
        <f>O5</f>
        <v>2009A</v>
      </c>
      <c r="T5" s="575"/>
      <c r="U5" s="1404" t="s">
        <v>103</v>
      </c>
      <c r="V5" s="1405"/>
      <c r="W5" s="1405"/>
      <c r="X5" s="1405"/>
      <c r="Y5" s="510" t="str">
        <f>U5</f>
        <v>2010A</v>
      </c>
      <c r="Z5" s="575"/>
      <c r="AA5" s="1404" t="s">
        <v>139</v>
      </c>
      <c r="AB5" s="1405"/>
      <c r="AC5" s="1405"/>
      <c r="AD5" s="1405"/>
      <c r="AE5" s="510" t="str">
        <f>AA5</f>
        <v>2011A</v>
      </c>
      <c r="AF5" s="575"/>
      <c r="AG5" s="1404" t="s">
        <v>140</v>
      </c>
      <c r="AH5" s="1405"/>
      <c r="AI5" s="1405"/>
      <c r="AJ5" s="1405"/>
      <c r="AK5" s="510" t="str">
        <f>AG5</f>
        <v>2012A</v>
      </c>
      <c r="AL5" s="575"/>
      <c r="AM5" s="1404" t="s">
        <v>141</v>
      </c>
      <c r="AN5" s="1405"/>
      <c r="AO5" s="1405"/>
      <c r="AP5" s="1405"/>
      <c r="AQ5" s="510" t="str">
        <f>AM5</f>
        <v>2013A</v>
      </c>
      <c r="AR5" s="575"/>
      <c r="AS5" s="1404" t="s">
        <v>245</v>
      </c>
      <c r="AT5" s="1405"/>
      <c r="AU5" s="1405"/>
      <c r="AV5" s="1405"/>
      <c r="AW5" s="510" t="str">
        <f>AS5</f>
        <v>2014A</v>
      </c>
      <c r="AX5" s="575"/>
      <c r="AY5" s="1404" t="s">
        <v>259</v>
      </c>
      <c r="AZ5" s="1405"/>
      <c r="BA5" s="1405"/>
      <c r="BB5" s="1405"/>
      <c r="BC5" s="510" t="str">
        <f>AY5</f>
        <v>2015A</v>
      </c>
      <c r="BD5" s="575"/>
      <c r="BE5" s="1404" t="s">
        <v>270</v>
      </c>
      <c r="BF5" s="1405"/>
      <c r="BG5" s="1405"/>
      <c r="BH5" s="1405"/>
      <c r="BI5" s="510" t="str">
        <f>BE5</f>
        <v>2016A</v>
      </c>
      <c r="BJ5" s="575"/>
      <c r="BK5" s="1404" t="s">
        <v>455</v>
      </c>
      <c r="BL5" s="1405"/>
      <c r="BM5" s="1405"/>
      <c r="BN5" s="1405"/>
      <c r="BO5" s="510" t="str">
        <f>BK5</f>
        <v>2017A</v>
      </c>
      <c r="BP5" s="575"/>
      <c r="BQ5" s="1401" t="s">
        <v>251</v>
      </c>
      <c r="BR5" s="1402"/>
      <c r="BS5" s="1402"/>
      <c r="BT5" s="1402"/>
      <c r="BU5" s="510" t="str">
        <f>BQ5</f>
        <v>2018E</v>
      </c>
      <c r="BV5" s="107"/>
      <c r="BW5" s="1401" t="s">
        <v>252</v>
      </c>
      <c r="BX5" s="1402"/>
      <c r="BY5" s="1402"/>
      <c r="BZ5" s="1402"/>
      <c r="CA5" s="510" t="str">
        <f>BW5</f>
        <v>2019E</v>
      </c>
      <c r="CB5" s="107"/>
      <c r="CC5" s="1401" t="s">
        <v>253</v>
      </c>
      <c r="CD5" s="1402"/>
      <c r="CE5" s="1402"/>
      <c r="CF5" s="1402"/>
      <c r="CG5" s="510" t="str">
        <f>CC5</f>
        <v>2020E</v>
      </c>
      <c r="CH5" s="107"/>
      <c r="CI5" s="1401" t="s">
        <v>565</v>
      </c>
      <c r="CJ5" s="1402"/>
      <c r="CK5" s="1402"/>
      <c r="CL5" s="1402"/>
      <c r="CM5" s="510" t="str">
        <f>CI5</f>
        <v>2021E</v>
      </c>
      <c r="CN5" s="109"/>
      <c r="CO5" s="138"/>
      <c r="CP5" s="138"/>
      <c r="CQ5"/>
      <c r="CR5"/>
      <c r="CS5"/>
      <c r="CT5"/>
      <c r="CU5"/>
      <c r="CV5"/>
      <c r="CW5" s="38"/>
    </row>
    <row r="6" spans="2:101" s="112" customFormat="1" ht="11.25" customHeight="1" x14ac:dyDescent="0.2">
      <c r="B6" s="14"/>
      <c r="C6" s="509">
        <v>38929</v>
      </c>
      <c r="D6" s="256">
        <v>39021</v>
      </c>
      <c r="E6" s="256">
        <v>39113</v>
      </c>
      <c r="F6" s="256">
        <v>39202</v>
      </c>
      <c r="G6" s="513" t="str">
        <f>+C5</f>
        <v>2007A</v>
      </c>
      <c r="H6" s="99"/>
      <c r="I6" s="512">
        <f>O6-365</f>
        <v>39294</v>
      </c>
      <c r="J6" s="94">
        <f>P6-365</f>
        <v>39386</v>
      </c>
      <c r="K6" s="94">
        <f>Q6-365</f>
        <v>39478</v>
      </c>
      <c r="L6" s="94">
        <f>R6-365</f>
        <v>39568</v>
      </c>
      <c r="M6" s="511" t="str">
        <f>+I5</f>
        <v>2008A</v>
      </c>
      <c r="N6" s="99"/>
      <c r="O6" s="512">
        <f>U6-365</f>
        <v>39659</v>
      </c>
      <c r="P6" s="94">
        <f>V6-365</f>
        <v>39751</v>
      </c>
      <c r="Q6" s="94">
        <f>W6-365</f>
        <v>39843</v>
      </c>
      <c r="R6" s="94">
        <f>X6-365</f>
        <v>39933</v>
      </c>
      <c r="S6" s="511" t="str">
        <f>+O5</f>
        <v>2009A</v>
      </c>
      <c r="T6" s="99"/>
      <c r="U6" s="512">
        <f>AA6-365</f>
        <v>40024</v>
      </c>
      <c r="V6" s="94">
        <f>AB6-365</f>
        <v>40116</v>
      </c>
      <c r="W6" s="94">
        <f>AC6-365</f>
        <v>40208</v>
      </c>
      <c r="X6" s="94">
        <f>AD6-365</f>
        <v>40298</v>
      </c>
      <c r="Y6" s="511" t="str">
        <f>+U5</f>
        <v>2010A</v>
      </c>
      <c r="Z6" s="99"/>
      <c r="AA6" s="512">
        <v>40389</v>
      </c>
      <c r="AB6" s="94">
        <v>40481</v>
      </c>
      <c r="AC6" s="94">
        <v>40573</v>
      </c>
      <c r="AD6" s="94">
        <v>40663</v>
      </c>
      <c r="AE6" s="511" t="str">
        <f>+AA5</f>
        <v>2011A</v>
      </c>
      <c r="AF6" s="99"/>
      <c r="AG6" s="512">
        <v>40754</v>
      </c>
      <c r="AH6" s="94">
        <v>40846</v>
      </c>
      <c r="AI6" s="94">
        <v>40938</v>
      </c>
      <c r="AJ6" s="94">
        <v>41029</v>
      </c>
      <c r="AK6" s="511" t="str">
        <f>+AG5</f>
        <v>2012A</v>
      </c>
      <c r="AL6" s="99"/>
      <c r="AM6" s="512">
        <v>41120</v>
      </c>
      <c r="AN6" s="94">
        <v>41212</v>
      </c>
      <c r="AO6" s="94">
        <v>41304</v>
      </c>
      <c r="AP6" s="94">
        <v>41394</v>
      </c>
      <c r="AQ6" s="511" t="str">
        <f>+AM5</f>
        <v>2013A</v>
      </c>
      <c r="AR6" s="99"/>
      <c r="AS6" s="512">
        <v>41485</v>
      </c>
      <c r="AT6" s="94">
        <v>41577</v>
      </c>
      <c r="AU6" s="94">
        <v>41669</v>
      </c>
      <c r="AV6" s="94">
        <v>41759</v>
      </c>
      <c r="AW6" s="511" t="str">
        <f>+AS5</f>
        <v>2014A</v>
      </c>
      <c r="AX6" s="99"/>
      <c r="AY6" s="512">
        <v>41850</v>
      </c>
      <c r="AZ6" s="94">
        <v>41942</v>
      </c>
      <c r="BA6" s="94">
        <v>42034</v>
      </c>
      <c r="BB6" s="94">
        <v>42124</v>
      </c>
      <c r="BC6" s="511" t="str">
        <f>+AY5</f>
        <v>2015A</v>
      </c>
      <c r="BD6" s="99"/>
      <c r="BE6" s="512">
        <v>42215</v>
      </c>
      <c r="BF6" s="94">
        <v>42307</v>
      </c>
      <c r="BG6" s="94">
        <v>42399</v>
      </c>
      <c r="BH6" s="94">
        <v>42490</v>
      </c>
      <c r="BI6" s="511" t="str">
        <f>+BE5</f>
        <v>2016A</v>
      </c>
      <c r="BJ6" s="99"/>
      <c r="BK6" s="512">
        <v>42581</v>
      </c>
      <c r="BL6" s="94">
        <v>42673</v>
      </c>
      <c r="BM6" s="94">
        <v>42765</v>
      </c>
      <c r="BN6" s="94">
        <v>42855</v>
      </c>
      <c r="BO6" s="511" t="str">
        <f>+BK5</f>
        <v>2017A</v>
      </c>
      <c r="BP6" s="99"/>
      <c r="BQ6" s="1284">
        <v>42946</v>
      </c>
      <c r="BR6" s="1313">
        <v>43038</v>
      </c>
      <c r="BS6" s="94">
        <v>43130</v>
      </c>
      <c r="BT6" s="92">
        <v>43220</v>
      </c>
      <c r="BU6" s="516" t="str">
        <f>+BQ5</f>
        <v>2018E</v>
      </c>
      <c r="BV6" s="99"/>
      <c r="BW6" s="515">
        <v>43311</v>
      </c>
      <c r="BX6" s="92">
        <v>43403</v>
      </c>
      <c r="BY6" s="92">
        <v>43495</v>
      </c>
      <c r="BZ6" s="92">
        <v>43585</v>
      </c>
      <c r="CA6" s="516" t="str">
        <f>+BW5</f>
        <v>2019E</v>
      </c>
      <c r="CB6" s="99"/>
      <c r="CC6" s="515">
        <f>+BW6+365.25</f>
        <v>43676.25</v>
      </c>
      <c r="CD6" s="92">
        <f>+BX6+365.25</f>
        <v>43768.25</v>
      </c>
      <c r="CE6" s="92">
        <f>+BY6+365.25</f>
        <v>43860.25</v>
      </c>
      <c r="CF6" s="92">
        <f>+BZ6+365.25</f>
        <v>43950.25</v>
      </c>
      <c r="CG6" s="516" t="str">
        <f>+CC5</f>
        <v>2020E</v>
      </c>
      <c r="CH6" s="99"/>
      <c r="CI6" s="515">
        <f>+CC6+365.25</f>
        <v>44041.5</v>
      </c>
      <c r="CJ6" s="92">
        <f>+CD6+365.25</f>
        <v>44133.5</v>
      </c>
      <c r="CK6" s="92">
        <f>+CE6+365.25</f>
        <v>44225.5</v>
      </c>
      <c r="CL6" s="92">
        <f>+CF6+365.25</f>
        <v>44315.5</v>
      </c>
      <c r="CM6" s="516" t="str">
        <f>+CI5</f>
        <v>2021E</v>
      </c>
      <c r="CN6" s="11"/>
      <c r="CO6" s="14"/>
      <c r="CP6" s="14"/>
      <c r="CQ6"/>
      <c r="CR6"/>
      <c r="CS6"/>
      <c r="CT6"/>
      <c r="CU6"/>
      <c r="CV6"/>
      <c r="CW6" s="24"/>
    </row>
    <row r="7" spans="2:101" s="112" customFormat="1" ht="11.25" customHeight="1" x14ac:dyDescent="0.2">
      <c r="B7" s="816" t="s">
        <v>34</v>
      </c>
      <c r="C7" s="15"/>
      <c r="D7" s="15"/>
      <c r="E7" s="15"/>
      <c r="F7" s="15"/>
      <c r="G7" s="491"/>
      <c r="H7" s="2"/>
      <c r="I7" s="144"/>
      <c r="J7" s="15"/>
      <c r="K7" s="15"/>
      <c r="L7" s="15"/>
      <c r="M7" s="491"/>
      <c r="N7" s="2"/>
      <c r="O7" s="144"/>
      <c r="P7" s="15"/>
      <c r="Q7" s="15"/>
      <c r="R7" s="15"/>
      <c r="S7" s="491"/>
      <c r="T7" s="2"/>
      <c r="U7" s="144"/>
      <c r="V7" s="15"/>
      <c r="W7" s="15"/>
      <c r="X7" s="15"/>
      <c r="Y7" s="491"/>
      <c r="Z7" s="2"/>
      <c r="AA7" s="144"/>
      <c r="AB7" s="15"/>
      <c r="AC7" s="15"/>
      <c r="AD7" s="15"/>
      <c r="AE7" s="491"/>
      <c r="AF7" s="2"/>
      <c r="AG7" s="144"/>
      <c r="AH7" s="15"/>
      <c r="AI7" s="15"/>
      <c r="AJ7" s="15"/>
      <c r="AK7" s="491"/>
      <c r="AL7" s="2"/>
      <c r="AM7" s="144"/>
      <c r="AN7" s="15"/>
      <c r="AO7" s="15"/>
      <c r="AP7" s="15"/>
      <c r="AQ7" s="491"/>
      <c r="AR7" s="2"/>
      <c r="AS7" s="144"/>
      <c r="AT7" s="15"/>
      <c r="AU7" s="15"/>
      <c r="AV7" s="15"/>
      <c r="AW7" s="491"/>
      <c r="AX7" s="2"/>
      <c r="AY7" s="144"/>
      <c r="AZ7" s="15"/>
      <c r="BA7" s="15"/>
      <c r="BB7" s="15"/>
      <c r="BC7" s="491"/>
      <c r="BD7" s="2"/>
      <c r="BE7" s="144"/>
      <c r="BF7" s="15"/>
      <c r="BG7" s="15"/>
      <c r="BH7" s="15"/>
      <c r="BI7" s="491"/>
      <c r="BJ7" s="2"/>
      <c r="BK7" s="517"/>
      <c r="BL7" s="518"/>
      <c r="BM7" s="518"/>
      <c r="BN7" s="518"/>
      <c r="BO7" s="665"/>
      <c r="BP7" s="2"/>
      <c r="BQ7" s="517"/>
      <c r="BR7" s="518"/>
      <c r="BS7" s="518"/>
      <c r="BT7" s="518"/>
      <c r="BU7" s="665"/>
      <c r="BV7" s="2"/>
      <c r="BW7" s="517"/>
      <c r="BX7" s="518"/>
      <c r="BY7" s="518"/>
      <c r="BZ7" s="518"/>
      <c r="CA7" s="665"/>
      <c r="CB7" s="2"/>
      <c r="CC7" s="517"/>
      <c r="CD7" s="518"/>
      <c r="CE7" s="518"/>
      <c r="CF7" s="518"/>
      <c r="CG7" s="665"/>
      <c r="CH7" s="2"/>
      <c r="CI7" s="517"/>
      <c r="CJ7" s="518"/>
      <c r="CK7" s="518"/>
      <c r="CL7" s="518"/>
      <c r="CM7" s="665"/>
      <c r="CN7" s="11"/>
      <c r="CO7" s="14"/>
      <c r="CP7" s="14"/>
      <c r="CQ7"/>
      <c r="CR7"/>
      <c r="CS7"/>
      <c r="CT7"/>
      <c r="CU7"/>
      <c r="CV7"/>
      <c r="CW7" s="24"/>
    </row>
    <row r="8" spans="2:101" s="112" customFormat="1" ht="11.25" customHeight="1" x14ac:dyDescent="0.2">
      <c r="B8" s="655" t="s">
        <v>192</v>
      </c>
      <c r="C8" s="15"/>
      <c r="D8" s="15"/>
      <c r="E8" s="15"/>
      <c r="F8" s="15"/>
      <c r="G8" s="665"/>
      <c r="H8" s="2"/>
      <c r="I8" s="517"/>
      <c r="J8" s="15"/>
      <c r="K8" s="15"/>
      <c r="L8" s="15"/>
      <c r="M8" s="665"/>
      <c r="N8" s="2"/>
      <c r="O8" s="517"/>
      <c r="P8" s="15"/>
      <c r="Q8" s="15"/>
      <c r="R8" s="15"/>
      <c r="S8" s="665"/>
      <c r="T8" s="2"/>
      <c r="U8" s="517"/>
      <c r="V8" s="15"/>
      <c r="W8" s="15"/>
      <c r="X8" s="15"/>
      <c r="Y8" s="665"/>
      <c r="Z8" s="2"/>
      <c r="AA8" s="517"/>
      <c r="AB8" s="15"/>
      <c r="AC8" s="15"/>
      <c r="AD8" s="15"/>
      <c r="AE8" s="665"/>
      <c r="AF8" s="2"/>
      <c r="AG8" s="517"/>
      <c r="AH8" s="15"/>
      <c r="AI8" s="15"/>
      <c r="AJ8" s="15"/>
      <c r="AK8" s="665"/>
      <c r="AL8" s="2"/>
      <c r="AM8" s="517"/>
      <c r="AN8" s="15"/>
      <c r="AO8" s="15"/>
      <c r="AP8" s="15"/>
      <c r="AQ8" s="665"/>
      <c r="AR8" s="2"/>
      <c r="AS8" s="517"/>
      <c r="AT8" s="15"/>
      <c r="AU8" s="15"/>
      <c r="AV8" s="15"/>
      <c r="AW8" s="665"/>
      <c r="AX8" s="2"/>
      <c r="AY8" s="517"/>
      <c r="AZ8" s="15"/>
      <c r="BA8" s="15"/>
      <c r="BB8" s="15"/>
      <c r="BC8" s="665"/>
      <c r="BD8" s="2"/>
      <c r="BE8" s="517"/>
      <c r="BF8" s="15"/>
      <c r="BG8" s="15"/>
      <c r="BH8" s="15"/>
      <c r="BI8" s="665"/>
      <c r="BJ8" s="2"/>
      <c r="BK8" s="517"/>
      <c r="BL8" s="518"/>
      <c r="BM8" s="518"/>
      <c r="BN8" s="518"/>
      <c r="BO8" s="665"/>
      <c r="BP8" s="2"/>
      <c r="BQ8" s="517"/>
      <c r="BR8" s="518"/>
      <c r="BS8" s="518"/>
      <c r="BT8" s="518"/>
      <c r="BU8" s="665"/>
      <c r="BV8" s="2"/>
      <c r="BW8" s="517"/>
      <c r="BX8" s="518"/>
      <c r="BY8" s="518"/>
      <c r="BZ8" s="518"/>
      <c r="CA8" s="665"/>
      <c r="CB8" s="2"/>
      <c r="CC8" s="517"/>
      <c r="CD8" s="518"/>
      <c r="CE8" s="518"/>
      <c r="CF8" s="518"/>
      <c r="CG8" s="665"/>
      <c r="CH8" s="2"/>
      <c r="CI8" s="517"/>
      <c r="CJ8" s="518"/>
      <c r="CK8" s="518"/>
      <c r="CL8" s="518"/>
      <c r="CM8" s="665"/>
      <c r="CN8" s="11"/>
      <c r="CO8" s="14"/>
      <c r="CP8" s="14"/>
      <c r="CQ8"/>
      <c r="CR8"/>
      <c r="CS8"/>
      <c r="CT8"/>
      <c r="CU8"/>
      <c r="CV8"/>
      <c r="CW8" s="24"/>
    </row>
    <row r="9" spans="2:101" s="112" customFormat="1" ht="11.25" customHeight="1" x14ac:dyDescent="0.2">
      <c r="B9" s="656" t="s">
        <v>147</v>
      </c>
      <c r="C9" s="459">
        <v>265.22399999999999</v>
      </c>
      <c r="D9" s="459">
        <v>181.55799999999999</v>
      </c>
      <c r="E9" s="459">
        <v>152.464</v>
      </c>
      <c r="F9" s="459">
        <v>241.791</v>
      </c>
      <c r="G9" s="666">
        <f t="shared" ref="G9:G14" si="0">F9</f>
        <v>241.791</v>
      </c>
      <c r="H9" s="89"/>
      <c r="I9" s="676">
        <v>294.23200000000003</v>
      </c>
      <c r="J9" s="459">
        <v>345.142</v>
      </c>
      <c r="K9" s="459">
        <v>171.22800000000001</v>
      </c>
      <c r="L9" s="459">
        <v>308.16399999999999</v>
      </c>
      <c r="M9" s="666">
        <f t="shared" ref="M9:M14" si="1">L9</f>
        <v>308.16399999999999</v>
      </c>
      <c r="N9" s="89"/>
      <c r="O9" s="676">
        <v>331.15</v>
      </c>
      <c r="P9" s="459">
        <v>256.64299999999997</v>
      </c>
      <c r="Q9" s="459">
        <v>161.88399999999999</v>
      </c>
      <c r="R9" s="459">
        <v>158.065</v>
      </c>
      <c r="S9" s="666">
        <f t="shared" ref="S9:S14" si="2">R9</f>
        <v>158.065</v>
      </c>
      <c r="T9" s="89"/>
      <c r="U9" s="676">
        <v>175.37700000000001</v>
      </c>
      <c r="V9" s="459">
        <v>170.15100000000001</v>
      </c>
      <c r="W9" s="459">
        <v>267.78199999999998</v>
      </c>
      <c r="X9" s="459">
        <v>340.59100000000001</v>
      </c>
      <c r="Y9" s="666">
        <f t="shared" ref="Y9:Y14" si="3">X9</f>
        <v>340.59100000000001</v>
      </c>
      <c r="Z9" s="89"/>
      <c r="AA9" s="676">
        <v>298.42700000000002</v>
      </c>
      <c r="AB9" s="459">
        <v>328.74400000000003</v>
      </c>
      <c r="AC9" s="459">
        <v>388.03899999999999</v>
      </c>
      <c r="AD9" s="459">
        <v>388.66500000000002</v>
      </c>
      <c r="AE9" s="666">
        <f t="shared" ref="AE9:AE14" si="4">AD9</f>
        <v>388.66500000000002</v>
      </c>
      <c r="AF9" s="89"/>
      <c r="AG9" s="676">
        <v>373.77600000000001</v>
      </c>
      <c r="AH9" s="459">
        <v>250.06800000000001</v>
      </c>
      <c r="AI9" s="459">
        <v>538.09199999999998</v>
      </c>
      <c r="AJ9" s="459">
        <v>573.78099999999995</v>
      </c>
      <c r="AK9" s="666">
        <f t="shared" ref="AK9:AK14" si="5">AJ9</f>
        <v>573.78099999999995</v>
      </c>
      <c r="AL9" s="89"/>
      <c r="AM9" s="676">
        <v>580.75300000000004</v>
      </c>
      <c r="AN9" s="459">
        <v>500.37400000000002</v>
      </c>
      <c r="AO9" s="459">
        <v>472.44900000000001</v>
      </c>
      <c r="AP9" s="459">
        <v>505.22800000000001</v>
      </c>
      <c r="AQ9" s="666">
        <f t="shared" ref="AQ9:AQ14" si="6">AP9</f>
        <v>505.22800000000001</v>
      </c>
      <c r="AR9" s="89"/>
      <c r="AS9" s="676">
        <v>603.36900000000003</v>
      </c>
      <c r="AT9" s="459">
        <v>516.05799999999999</v>
      </c>
      <c r="AU9" s="459">
        <v>423.97500000000002</v>
      </c>
      <c r="AV9" s="459">
        <v>264.90800000000002</v>
      </c>
      <c r="AW9" s="666">
        <f t="shared" ref="AW9:AW14" si="7">AV9</f>
        <v>264.90800000000002</v>
      </c>
      <c r="AX9" s="89"/>
      <c r="AY9" s="676">
        <v>260.74</v>
      </c>
      <c r="AZ9" s="459">
        <v>284.87200000000001</v>
      </c>
      <c r="BA9" s="459">
        <v>289.72199999999998</v>
      </c>
      <c r="BB9" s="459">
        <v>347.26</v>
      </c>
      <c r="BC9" s="666">
        <f t="shared" ref="BC9:BC14" si="8">BB9</f>
        <v>347.26</v>
      </c>
      <c r="BD9" s="89"/>
      <c r="BE9" s="676">
        <v>186.44</v>
      </c>
      <c r="BF9" s="459">
        <v>95.450999999999993</v>
      </c>
      <c r="BG9" s="459">
        <v>97.700999999999993</v>
      </c>
      <c r="BH9" s="459">
        <v>137.453</v>
      </c>
      <c r="BI9" s="666">
        <f t="shared" ref="BI9:BI14" si="9">BH9</f>
        <v>137.453</v>
      </c>
      <c r="BJ9" s="89"/>
      <c r="BK9" s="676">
        <v>89.977999999999994</v>
      </c>
      <c r="BL9" s="687">
        <v>110.387</v>
      </c>
      <c r="BM9" s="687">
        <v>121.739</v>
      </c>
      <c r="BN9" s="459">
        <v>94.959000000000003</v>
      </c>
      <c r="BO9" s="666">
        <f t="shared" ref="BO9:BO14" si="10">BN9</f>
        <v>94.959000000000003</v>
      </c>
      <c r="BP9" s="89"/>
      <c r="BQ9" s="676">
        <v>99.778999999999996</v>
      </c>
      <c r="BR9" s="687">
        <v>101.456</v>
      </c>
      <c r="BS9" s="687">
        <v>118.005</v>
      </c>
      <c r="BT9" s="688">
        <f>'Cash Flow'!BT53</f>
        <v>161.79112934788165</v>
      </c>
      <c r="BU9" s="694">
        <f t="shared" ref="BU9:BU14" si="11">BT9</f>
        <v>161.79112934788165</v>
      </c>
      <c r="BV9" s="89"/>
      <c r="BW9" s="693">
        <f>'Cash Flow'!BW53</f>
        <v>197.54840425689537</v>
      </c>
      <c r="BX9" s="688">
        <f>'Cash Flow'!BX53</f>
        <v>139.9417640822752</v>
      </c>
      <c r="BY9" s="688">
        <f>'Cash Flow'!BY53</f>
        <v>155.52530250062895</v>
      </c>
      <c r="BZ9" s="688">
        <f>'Cash Flow'!BZ53</f>
        <v>176.14640810852535</v>
      </c>
      <c r="CA9" s="694">
        <f t="shared" ref="CA9:CA14" si="12">BZ9</f>
        <v>176.14640810852535</v>
      </c>
      <c r="CB9" s="89"/>
      <c r="CC9" s="693">
        <f>'Cash Flow'!CC53</f>
        <v>185.26816488287108</v>
      </c>
      <c r="CD9" s="688">
        <f>'Cash Flow'!CD53</f>
        <v>124.71173619600502</v>
      </c>
      <c r="CE9" s="688">
        <f>'Cash Flow'!CE53</f>
        <v>138.91200191091076</v>
      </c>
      <c r="CF9" s="688">
        <f>'Cash Flow'!CF53</f>
        <v>160.90370888520951</v>
      </c>
      <c r="CG9" s="694">
        <f t="shared" ref="CG9:CG14" si="13">CF9</f>
        <v>160.90370888520951</v>
      </c>
      <c r="CH9" s="89"/>
      <c r="CI9" s="693">
        <f>'Cash Flow'!CI53</f>
        <v>166.06921497088581</v>
      </c>
      <c r="CJ9" s="688">
        <f>'Cash Flow'!CJ53</f>
        <v>99.110129426956959</v>
      </c>
      <c r="CK9" s="688">
        <f>'Cash Flow'!CK53</f>
        <v>110.51423026619581</v>
      </c>
      <c r="CL9" s="688">
        <f>'Cash Flow'!CL53</f>
        <v>129.08337542778327</v>
      </c>
      <c r="CM9" s="694">
        <f t="shared" ref="CM9:CM14" si="14">CL9</f>
        <v>129.08337542778327</v>
      </c>
      <c r="CN9" s="22"/>
      <c r="CO9" s="461"/>
      <c r="CP9" s="460"/>
      <c r="CQ9"/>
      <c r="CR9"/>
      <c r="CS9"/>
      <c r="CT9"/>
      <c r="CU9"/>
      <c r="CV9"/>
      <c r="CW9" s="24"/>
    </row>
    <row r="10" spans="2:101" ht="11.25" customHeight="1" x14ac:dyDescent="0.2">
      <c r="B10" s="657" t="s">
        <v>210</v>
      </c>
      <c r="C10" s="196">
        <v>0</v>
      </c>
      <c r="D10" s="196">
        <v>0</v>
      </c>
      <c r="E10" s="196">
        <v>0</v>
      </c>
      <c r="F10" s="196">
        <v>0</v>
      </c>
      <c r="G10" s="667">
        <f t="shared" si="0"/>
        <v>0</v>
      </c>
      <c r="H10" s="48"/>
      <c r="I10" s="677">
        <v>0</v>
      </c>
      <c r="J10" s="196">
        <v>0</v>
      </c>
      <c r="K10" s="196">
        <v>0</v>
      </c>
      <c r="L10" s="196">
        <v>0</v>
      </c>
      <c r="M10" s="667">
        <f t="shared" si="1"/>
        <v>0</v>
      </c>
      <c r="N10" s="48"/>
      <c r="O10" s="677">
        <v>0</v>
      </c>
      <c r="P10" s="196">
        <v>0</v>
      </c>
      <c r="Q10" s="196">
        <v>0</v>
      </c>
      <c r="R10" s="196">
        <v>0</v>
      </c>
      <c r="S10" s="667">
        <f t="shared" si="2"/>
        <v>0</v>
      </c>
      <c r="T10" s="48"/>
      <c r="U10" s="677">
        <v>0</v>
      </c>
      <c r="V10" s="196">
        <v>0</v>
      </c>
      <c r="W10" s="196">
        <v>0</v>
      </c>
      <c r="X10" s="196">
        <v>0</v>
      </c>
      <c r="Y10" s="667">
        <f t="shared" si="3"/>
        <v>0</v>
      </c>
      <c r="Z10" s="48"/>
      <c r="AA10" s="677">
        <v>0</v>
      </c>
      <c r="AB10" s="196">
        <v>0</v>
      </c>
      <c r="AC10" s="196">
        <v>0</v>
      </c>
      <c r="AD10" s="196">
        <v>0</v>
      </c>
      <c r="AE10" s="667">
        <f t="shared" si="4"/>
        <v>0</v>
      </c>
      <c r="AF10" s="48"/>
      <c r="AG10" s="677">
        <v>0</v>
      </c>
      <c r="AH10" s="196">
        <v>0</v>
      </c>
      <c r="AI10" s="196">
        <v>0</v>
      </c>
      <c r="AJ10" s="196">
        <v>0</v>
      </c>
      <c r="AK10" s="667">
        <f t="shared" si="5"/>
        <v>0</v>
      </c>
      <c r="AL10" s="48"/>
      <c r="AM10" s="677">
        <v>0</v>
      </c>
      <c r="AN10" s="196">
        <v>0</v>
      </c>
      <c r="AO10" s="196">
        <v>0</v>
      </c>
      <c r="AP10" s="196">
        <v>0</v>
      </c>
      <c r="AQ10" s="667">
        <f t="shared" si="6"/>
        <v>0</v>
      </c>
      <c r="AR10" s="48"/>
      <c r="AS10" s="677">
        <v>0</v>
      </c>
      <c r="AT10" s="196">
        <v>0</v>
      </c>
      <c r="AU10" s="196">
        <v>40.594999999999999</v>
      </c>
      <c r="AV10" s="196">
        <v>40.774999999999999</v>
      </c>
      <c r="AW10" s="667">
        <f t="shared" si="7"/>
        <v>40.774999999999999</v>
      </c>
      <c r="AX10" s="48"/>
      <c r="AY10" s="677">
        <v>41.606999999999999</v>
      </c>
      <c r="AZ10" s="196">
        <v>57.85</v>
      </c>
      <c r="BA10" s="196">
        <v>52.325000000000003</v>
      </c>
      <c r="BB10" s="196">
        <v>53.372</v>
      </c>
      <c r="BC10" s="667">
        <f t="shared" si="8"/>
        <v>53.372</v>
      </c>
      <c r="BD10" s="48"/>
      <c r="BE10" s="677">
        <v>49.651000000000003</v>
      </c>
      <c r="BF10" s="196">
        <v>0</v>
      </c>
      <c r="BG10" s="196">
        <v>0</v>
      </c>
      <c r="BH10" s="196">
        <v>0</v>
      </c>
      <c r="BI10" s="667">
        <f t="shared" si="9"/>
        <v>0</v>
      </c>
      <c r="BJ10" s="48"/>
      <c r="BK10" s="690">
        <v>0</v>
      </c>
      <c r="BL10" s="691">
        <v>0</v>
      </c>
      <c r="BM10" s="691">
        <v>0</v>
      </c>
      <c r="BN10" s="196">
        <v>0</v>
      </c>
      <c r="BO10" s="667">
        <f t="shared" si="10"/>
        <v>0</v>
      </c>
      <c r="BP10" s="48"/>
      <c r="BQ10" s="690">
        <v>0</v>
      </c>
      <c r="BR10" s="691">
        <v>0</v>
      </c>
      <c r="BS10" s="691">
        <v>0</v>
      </c>
      <c r="BT10" s="189">
        <f>BS10</f>
        <v>0</v>
      </c>
      <c r="BU10" s="695">
        <f t="shared" si="11"/>
        <v>0</v>
      </c>
      <c r="BV10" s="48"/>
      <c r="BW10" s="560">
        <f>BU10</f>
        <v>0</v>
      </c>
      <c r="BX10" s="189">
        <f>BW10</f>
        <v>0</v>
      </c>
      <c r="BY10" s="189">
        <f>BX10</f>
        <v>0</v>
      </c>
      <c r="BZ10" s="189">
        <f>BY10</f>
        <v>0</v>
      </c>
      <c r="CA10" s="695">
        <f t="shared" si="12"/>
        <v>0</v>
      </c>
      <c r="CB10" s="48"/>
      <c r="CC10" s="560">
        <f>CA10</f>
        <v>0</v>
      </c>
      <c r="CD10" s="189">
        <f>CC10</f>
        <v>0</v>
      </c>
      <c r="CE10" s="189">
        <f>CD10</f>
        <v>0</v>
      </c>
      <c r="CF10" s="189">
        <f>CE10</f>
        <v>0</v>
      </c>
      <c r="CG10" s="695">
        <f t="shared" si="13"/>
        <v>0</v>
      </c>
      <c r="CH10" s="48"/>
      <c r="CI10" s="560">
        <f>CG10</f>
        <v>0</v>
      </c>
      <c r="CJ10" s="189">
        <f>CI10</f>
        <v>0</v>
      </c>
      <c r="CK10" s="189">
        <f>CJ10</f>
        <v>0</v>
      </c>
      <c r="CL10" s="189">
        <f>CK10</f>
        <v>0</v>
      </c>
      <c r="CM10" s="695">
        <f t="shared" si="14"/>
        <v>0</v>
      </c>
      <c r="CN10" s="41"/>
      <c r="CO10" s="462"/>
      <c r="CP10" s="11"/>
      <c r="CW10" s="17"/>
    </row>
    <row r="11" spans="2:101" ht="11.25" customHeight="1" x14ac:dyDescent="0.2">
      <c r="B11" s="656" t="s">
        <v>271</v>
      </c>
      <c r="C11" s="463">
        <v>327.92</v>
      </c>
      <c r="D11" s="463">
        <v>335.97</v>
      </c>
      <c r="E11" s="463">
        <v>345.44900000000001</v>
      </c>
      <c r="F11" s="463">
        <v>361.40100000000001</v>
      </c>
      <c r="G11" s="667">
        <f t="shared" si="0"/>
        <v>361.40100000000001</v>
      </c>
      <c r="H11" s="193"/>
      <c r="I11" s="678">
        <v>333.642</v>
      </c>
      <c r="J11" s="463">
        <v>348.346</v>
      </c>
      <c r="K11" s="463">
        <v>366.83800000000002</v>
      </c>
      <c r="L11" s="463">
        <v>364.05</v>
      </c>
      <c r="M11" s="667">
        <f t="shared" si="1"/>
        <v>364.05</v>
      </c>
      <c r="N11" s="193"/>
      <c r="O11" s="678">
        <v>348.95400000000001</v>
      </c>
      <c r="P11" s="463">
        <v>365.18900000000002</v>
      </c>
      <c r="Q11" s="463">
        <v>436.57400000000001</v>
      </c>
      <c r="R11" s="463">
        <v>476.15600000000001</v>
      </c>
      <c r="S11" s="667">
        <f t="shared" si="2"/>
        <v>476.15600000000001</v>
      </c>
      <c r="T11" s="193"/>
      <c r="U11" s="678">
        <v>484.12799999999999</v>
      </c>
      <c r="V11" s="463">
        <v>503.16199999999998</v>
      </c>
      <c r="W11" s="463">
        <v>471.31599999999997</v>
      </c>
      <c r="X11" s="463">
        <v>452.74599999999998</v>
      </c>
      <c r="Y11" s="667">
        <f t="shared" si="3"/>
        <v>452.74599999999998</v>
      </c>
      <c r="Z11" s="193"/>
      <c r="AA11" s="678">
        <v>454.94099999999997</v>
      </c>
      <c r="AB11" s="463">
        <v>427.27600000000001</v>
      </c>
      <c r="AC11" s="463">
        <v>420.77800000000002</v>
      </c>
      <c r="AD11" s="463">
        <v>465.17</v>
      </c>
      <c r="AE11" s="667">
        <f t="shared" si="4"/>
        <v>465.17</v>
      </c>
      <c r="AF11" s="193"/>
      <c r="AG11" s="678">
        <v>423.28500000000003</v>
      </c>
      <c r="AH11" s="463">
        <v>416.80900000000003</v>
      </c>
      <c r="AI11" s="463">
        <v>428.58699999999999</v>
      </c>
      <c r="AJ11" s="463">
        <v>464.86900000000003</v>
      </c>
      <c r="AK11" s="667">
        <f t="shared" si="5"/>
        <v>464.86900000000003</v>
      </c>
      <c r="AL11" s="193"/>
      <c r="AM11" s="678">
        <v>413.69</v>
      </c>
      <c r="AN11" s="463">
        <v>407.83499999999998</v>
      </c>
      <c r="AO11" s="463">
        <v>421.50599999999997</v>
      </c>
      <c r="AP11" s="463">
        <v>448.15800000000002</v>
      </c>
      <c r="AQ11" s="667">
        <f t="shared" si="6"/>
        <v>448.15800000000002</v>
      </c>
      <c r="AR11" s="193"/>
      <c r="AS11" s="678">
        <v>400.54</v>
      </c>
      <c r="AT11" s="463">
        <v>550.76900000000001</v>
      </c>
      <c r="AU11" s="463">
        <v>557.57600000000002</v>
      </c>
      <c r="AV11" s="463">
        <v>607.58000000000004</v>
      </c>
      <c r="AW11" s="667">
        <f t="shared" si="7"/>
        <v>607.58000000000004</v>
      </c>
      <c r="AX11" s="193"/>
      <c r="AY11" s="678">
        <v>564.45799999999997</v>
      </c>
      <c r="AZ11" s="463">
        <v>587.83500000000004</v>
      </c>
      <c r="BA11" s="463">
        <v>590.26</v>
      </c>
      <c r="BB11" s="463">
        <v>586.26300000000003</v>
      </c>
      <c r="BC11" s="667">
        <f t="shared" si="8"/>
        <v>586.26300000000003</v>
      </c>
      <c r="BD11" s="193"/>
      <c r="BE11" s="678">
        <v>624.34</v>
      </c>
      <c r="BF11" s="463">
        <v>734.46100000000001</v>
      </c>
      <c r="BG11" s="463">
        <v>698.91099999999994</v>
      </c>
      <c r="BH11" s="463">
        <v>796.69299999999998</v>
      </c>
      <c r="BI11" s="667">
        <f t="shared" si="9"/>
        <v>796.69299999999998</v>
      </c>
      <c r="BJ11" s="193"/>
      <c r="BK11" s="690">
        <v>719.21799999999996</v>
      </c>
      <c r="BL11" s="691">
        <v>822.73400000000004</v>
      </c>
      <c r="BM11" s="691">
        <v>810.15499999999997</v>
      </c>
      <c r="BN11" s="463">
        <v>884.803</v>
      </c>
      <c r="BO11" s="667">
        <f t="shared" si="10"/>
        <v>884.803</v>
      </c>
      <c r="BP11" s="193"/>
      <c r="BQ11" s="690">
        <v>841.28399999999999</v>
      </c>
      <c r="BR11" s="691">
        <v>849.20500000000004</v>
      </c>
      <c r="BS11" s="691">
        <v>863.45500000000004</v>
      </c>
      <c r="BT11" s="199">
        <f>BT74*('P&amp;L'!BT8/'P&amp;L'!BT7)</f>
        <v>864.9376646436948</v>
      </c>
      <c r="BU11" s="695">
        <f t="shared" si="11"/>
        <v>864.9376646436948</v>
      </c>
      <c r="BV11" s="193"/>
      <c r="BW11" s="175">
        <f>BW74*('P&amp;L'!BW8/'P&amp;L'!BW7)</f>
        <v>860.24411579989578</v>
      </c>
      <c r="BX11" s="199">
        <f>BX74*('P&amp;L'!BX8/'P&amp;L'!BX7)</f>
        <v>865.90438693173098</v>
      </c>
      <c r="BY11" s="199">
        <f>BY74*('P&amp;L'!BY8/'P&amp;L'!BY7)</f>
        <v>871.85269524654973</v>
      </c>
      <c r="BZ11" s="199">
        <f>BZ74*('P&amp;L'!BZ8/'P&amp;L'!BZ7)</f>
        <v>889.3883503926819</v>
      </c>
      <c r="CA11" s="695">
        <f t="shared" si="12"/>
        <v>889.3883503926819</v>
      </c>
      <c r="CB11" s="193"/>
      <c r="CC11" s="175">
        <f>CC74*('P&amp;L'!CC8/'P&amp;L'!CC7)</f>
        <v>871.84408852085426</v>
      </c>
      <c r="CD11" s="199">
        <f>CD74*('P&amp;L'!CD8/'P&amp;L'!CD7)</f>
        <v>879.07213253031262</v>
      </c>
      <c r="CE11" s="199">
        <f>CE74*('P&amp;L'!CE8/'P&amp;L'!CE7)</f>
        <v>887.22021790062036</v>
      </c>
      <c r="CF11" s="199">
        <f>CF74*('P&amp;L'!CF8/'P&amp;L'!CF7)</f>
        <v>904.70150778811228</v>
      </c>
      <c r="CG11" s="695">
        <f t="shared" si="13"/>
        <v>904.70150778811228</v>
      </c>
      <c r="CH11" s="193"/>
      <c r="CI11" s="175">
        <f>CI74*('P&amp;L'!CI8/'P&amp;L'!CI7)</f>
        <v>887.84231563782669</v>
      </c>
      <c r="CJ11" s="199">
        <f>CJ74*('P&amp;L'!CJ8/'P&amp;L'!CJ7)</f>
        <v>894.68027078365458</v>
      </c>
      <c r="CK11" s="199">
        <f>CK74*('P&amp;L'!CK8/'P&amp;L'!CK7)</f>
        <v>902.88124517258791</v>
      </c>
      <c r="CL11" s="199">
        <f>CL74*('P&amp;L'!CL8/'P&amp;L'!CL7)</f>
        <v>920.29214389327603</v>
      </c>
      <c r="CM11" s="695">
        <f t="shared" si="14"/>
        <v>920.29214389327603</v>
      </c>
      <c r="CN11" s="200"/>
      <c r="CO11" s="464"/>
      <c r="CP11" s="11"/>
      <c r="CW11" s="17"/>
    </row>
    <row r="12" spans="2:101" ht="11.25" customHeight="1" x14ac:dyDescent="0.2">
      <c r="B12" s="656" t="s">
        <v>191</v>
      </c>
      <c r="C12" s="463">
        <v>261.959</v>
      </c>
      <c r="D12" s="463">
        <v>235.733</v>
      </c>
      <c r="E12" s="463">
        <v>242.95099999999999</v>
      </c>
      <c r="F12" s="463">
        <v>250.20699999999999</v>
      </c>
      <c r="G12" s="667">
        <f t="shared" si="0"/>
        <v>250.20699999999999</v>
      </c>
      <c r="H12" s="193"/>
      <c r="I12" s="678">
        <v>280.87799999999999</v>
      </c>
      <c r="J12" s="463">
        <v>280.44400000000002</v>
      </c>
      <c r="K12" s="463">
        <v>288.77699999999999</v>
      </c>
      <c r="L12" s="463">
        <v>281.238</v>
      </c>
      <c r="M12" s="667">
        <f t="shared" si="1"/>
        <v>281.238</v>
      </c>
      <c r="N12" s="193"/>
      <c r="O12" s="678">
        <v>319.22000000000003</v>
      </c>
      <c r="P12" s="463">
        <v>311.637</v>
      </c>
      <c r="Q12" s="463">
        <v>285.29700000000003</v>
      </c>
      <c r="R12" s="463">
        <v>269.93400000000003</v>
      </c>
      <c r="S12" s="667">
        <f t="shared" si="2"/>
        <v>269.93400000000003</v>
      </c>
      <c r="T12" s="193"/>
      <c r="U12" s="678">
        <v>299.48099999999999</v>
      </c>
      <c r="V12" s="463">
        <v>294.64600000000002</v>
      </c>
      <c r="W12" s="463">
        <v>302.637</v>
      </c>
      <c r="X12" s="463">
        <v>288.72500000000002</v>
      </c>
      <c r="Y12" s="667">
        <f t="shared" si="3"/>
        <v>288.72500000000002</v>
      </c>
      <c r="Z12" s="193"/>
      <c r="AA12" s="678">
        <v>336.38200000000001</v>
      </c>
      <c r="AB12" s="463">
        <v>306.67500000000001</v>
      </c>
      <c r="AC12" s="463">
        <v>323.27</v>
      </c>
      <c r="AD12" s="463">
        <v>336.09399999999999</v>
      </c>
      <c r="AE12" s="667">
        <f t="shared" si="4"/>
        <v>336.09399999999999</v>
      </c>
      <c r="AF12" s="193"/>
      <c r="AG12" s="678">
        <v>346.476</v>
      </c>
      <c r="AH12" s="463">
        <v>347.34800000000001</v>
      </c>
      <c r="AI12" s="463">
        <v>334.77499999999998</v>
      </c>
      <c r="AJ12" s="463">
        <v>319.952</v>
      </c>
      <c r="AK12" s="667">
        <f t="shared" si="5"/>
        <v>319.952</v>
      </c>
      <c r="AL12" s="193"/>
      <c r="AM12" s="678">
        <v>318.12799999999999</v>
      </c>
      <c r="AN12" s="463">
        <v>330.95299999999997</v>
      </c>
      <c r="AO12" s="463">
        <v>352.64600000000002</v>
      </c>
      <c r="AP12" s="463">
        <v>360.56299999999999</v>
      </c>
      <c r="AQ12" s="667">
        <f t="shared" si="6"/>
        <v>360.56299999999999</v>
      </c>
      <c r="AR12" s="193"/>
      <c r="AS12" s="678">
        <v>388.26</v>
      </c>
      <c r="AT12" s="463">
        <v>442.125</v>
      </c>
      <c r="AU12" s="463">
        <v>451.11</v>
      </c>
      <c r="AV12" s="463">
        <v>436.46300000000002</v>
      </c>
      <c r="AW12" s="667">
        <f t="shared" si="7"/>
        <v>436.46300000000002</v>
      </c>
      <c r="AX12" s="193"/>
      <c r="AY12" s="678">
        <v>518.85699999999997</v>
      </c>
      <c r="AZ12" s="463">
        <v>499.89299999999997</v>
      </c>
      <c r="BA12" s="463">
        <v>514.61900000000003</v>
      </c>
      <c r="BB12" s="463">
        <v>408.42200000000003</v>
      </c>
      <c r="BC12" s="667">
        <f t="shared" si="8"/>
        <v>408.42200000000003</v>
      </c>
      <c r="BD12" s="193"/>
      <c r="BE12" s="678">
        <v>716.70699999999999</v>
      </c>
      <c r="BF12" s="463">
        <v>752.84900000000005</v>
      </c>
      <c r="BG12" s="463">
        <v>814.41300000000001</v>
      </c>
      <c r="BH12" s="463">
        <v>722.14</v>
      </c>
      <c r="BI12" s="667">
        <f t="shared" si="9"/>
        <v>722.14</v>
      </c>
      <c r="BJ12" s="193"/>
      <c r="BK12" s="690">
        <v>799.17600000000004</v>
      </c>
      <c r="BL12" s="691">
        <v>795.45399999999995</v>
      </c>
      <c r="BM12" s="691">
        <v>827.05700000000002</v>
      </c>
      <c r="BN12" s="463">
        <v>711.90300000000002</v>
      </c>
      <c r="BO12" s="667">
        <f t="shared" si="10"/>
        <v>711.90300000000002</v>
      </c>
      <c r="BP12" s="193"/>
      <c r="BQ12" s="690">
        <v>777.35400000000004</v>
      </c>
      <c r="BR12" s="691">
        <v>796.36900000000003</v>
      </c>
      <c r="BS12" s="691">
        <v>882.01800000000003</v>
      </c>
      <c r="BT12" s="199">
        <f>BT75*('P&amp;L'!BT9/'P&amp;L'!BT7)</f>
        <v>765.55546548863231</v>
      </c>
      <c r="BU12" s="695">
        <f t="shared" si="11"/>
        <v>765.55546548863231</v>
      </c>
      <c r="BV12" s="193"/>
      <c r="BW12" s="175">
        <f>BW75*('P&amp;L'!BW9/'P&amp;L'!BW7)</f>
        <v>750.64192166223359</v>
      </c>
      <c r="BX12" s="199">
        <f>BX75*('P&amp;L'!BX9/'P&amp;L'!BX7)</f>
        <v>819.58056964853483</v>
      </c>
      <c r="BY12" s="199">
        <f>BY75*('P&amp;L'!BY9/'P&amp;L'!BY7)</f>
        <v>851.3633406401932</v>
      </c>
      <c r="BZ12" s="199">
        <f>BZ75*('P&amp;L'!BZ9/'P&amp;L'!BZ7)</f>
        <v>778.5225237093448</v>
      </c>
      <c r="CA12" s="695">
        <f t="shared" si="12"/>
        <v>778.5225237093448</v>
      </c>
      <c r="CB12" s="193"/>
      <c r="CC12" s="175">
        <f>CC75*('P&amp;L'!CC9/'P&amp;L'!CC7)</f>
        <v>767.99631351963365</v>
      </c>
      <c r="CD12" s="199">
        <f>CD75*('P&amp;L'!CD9/'P&amp;L'!CD7)</f>
        <v>840.49731380138428</v>
      </c>
      <c r="CE12" s="199">
        <f>CE75*('P&amp;L'!CE9/'P&amp;L'!CE7)</f>
        <v>875.06408591989066</v>
      </c>
      <c r="CF12" s="199">
        <f>CF75*('P&amp;L'!CF9/'P&amp;L'!CF7)</f>
        <v>800.26032771834514</v>
      </c>
      <c r="CG12" s="695">
        <f t="shared" si="13"/>
        <v>800.26032771834514</v>
      </c>
      <c r="CH12" s="193"/>
      <c r="CI12" s="175">
        <f>CI75*('P&amp;L'!CI9/'P&amp;L'!CI7)</f>
        <v>792.47842229087814</v>
      </c>
      <c r="CJ12" s="199">
        <f>CJ75*('P&amp;L'!CJ9/'P&amp;L'!CJ7)</f>
        <v>867.32187526432517</v>
      </c>
      <c r="CK12" s="199">
        <f>CK75*('P&amp;L'!CK9/'P&amp;L'!CK7)</f>
        <v>902.89307684303537</v>
      </c>
      <c r="CL12" s="199">
        <f>CL75*('P&amp;L'!CL9/'P&amp;L'!CL7)</f>
        <v>825.77355143135844</v>
      </c>
      <c r="CM12" s="695">
        <f t="shared" si="14"/>
        <v>825.77355143135844</v>
      </c>
      <c r="CN12" s="200"/>
      <c r="CO12" s="464"/>
      <c r="CP12" s="11"/>
      <c r="CW12" s="17"/>
    </row>
    <row r="13" spans="2:101" ht="11.25" customHeight="1" x14ac:dyDescent="0.2">
      <c r="B13" s="656" t="s">
        <v>17</v>
      </c>
      <c r="C13" s="196">
        <v>25.802</v>
      </c>
      <c r="D13" s="196">
        <v>25.206</v>
      </c>
      <c r="E13" s="196">
        <v>27.986000000000001</v>
      </c>
      <c r="F13" s="196">
        <v>33.091000000000001</v>
      </c>
      <c r="G13" s="667">
        <f t="shared" si="0"/>
        <v>33.091000000000001</v>
      </c>
      <c r="H13" s="216"/>
      <c r="I13" s="677">
        <v>34.588999999999999</v>
      </c>
      <c r="J13" s="196">
        <v>37.64</v>
      </c>
      <c r="K13" s="196">
        <v>36.680999999999997</v>
      </c>
      <c r="L13" s="196">
        <v>31.588999999999999</v>
      </c>
      <c r="M13" s="667">
        <f t="shared" si="1"/>
        <v>31.588999999999999</v>
      </c>
      <c r="N13" s="216"/>
      <c r="O13" s="677">
        <v>33.433</v>
      </c>
      <c r="P13" s="196">
        <v>38.366</v>
      </c>
      <c r="Q13" s="196">
        <v>33.314999999999998</v>
      </c>
      <c r="R13" s="196">
        <v>33.44</v>
      </c>
      <c r="S13" s="667">
        <f t="shared" si="2"/>
        <v>33.44</v>
      </c>
      <c r="T13" s="216"/>
      <c r="U13" s="677">
        <v>40.823</v>
      </c>
      <c r="V13" s="196">
        <v>44.343000000000004</v>
      </c>
      <c r="W13" s="196">
        <v>35.902999999999999</v>
      </c>
      <c r="X13" s="196">
        <v>51.695999999999998</v>
      </c>
      <c r="Y13" s="667">
        <f t="shared" si="3"/>
        <v>51.695999999999998</v>
      </c>
      <c r="Z13" s="216"/>
      <c r="AA13" s="677">
        <v>44.7</v>
      </c>
      <c r="AB13" s="196">
        <v>50.854999999999997</v>
      </c>
      <c r="AC13" s="196">
        <v>43.865000000000002</v>
      </c>
      <c r="AD13" s="196">
        <v>40.78</v>
      </c>
      <c r="AE13" s="667">
        <f t="shared" si="4"/>
        <v>40.78</v>
      </c>
      <c r="AF13" s="216"/>
      <c r="AG13" s="677">
        <v>35.195</v>
      </c>
      <c r="AH13" s="196">
        <v>44.856999999999999</v>
      </c>
      <c r="AI13" s="196">
        <v>39.048000000000002</v>
      </c>
      <c r="AJ13" s="196">
        <v>44.911000000000001</v>
      </c>
      <c r="AK13" s="667">
        <f t="shared" si="5"/>
        <v>44.911000000000001</v>
      </c>
      <c r="AL13" s="216"/>
      <c r="AM13" s="677">
        <v>49.039000000000001</v>
      </c>
      <c r="AN13" s="196">
        <v>37.860999999999997</v>
      </c>
      <c r="AO13" s="196">
        <v>41.527000000000001</v>
      </c>
      <c r="AP13" s="196">
        <v>47.387</v>
      </c>
      <c r="AQ13" s="667">
        <f t="shared" si="6"/>
        <v>47.387</v>
      </c>
      <c r="AR13" s="216"/>
      <c r="AS13" s="677">
        <v>54.868000000000002</v>
      </c>
      <c r="AT13" s="196">
        <v>57.975000000000001</v>
      </c>
      <c r="AU13" s="196">
        <v>63.877000000000002</v>
      </c>
      <c r="AV13" s="196">
        <v>65.991</v>
      </c>
      <c r="AW13" s="667">
        <f t="shared" si="7"/>
        <v>65.991</v>
      </c>
      <c r="AX13" s="216"/>
      <c r="AY13" s="677">
        <v>59.524000000000001</v>
      </c>
      <c r="AZ13" s="196">
        <v>59.276000000000003</v>
      </c>
      <c r="BA13" s="196">
        <v>54.34</v>
      </c>
      <c r="BB13" s="196">
        <v>59.561</v>
      </c>
      <c r="BC13" s="667">
        <f t="shared" si="8"/>
        <v>59.561</v>
      </c>
      <c r="BD13" s="216"/>
      <c r="BE13" s="677">
        <v>94.358000000000004</v>
      </c>
      <c r="BF13" s="196">
        <v>83.168999999999997</v>
      </c>
      <c r="BG13" s="196">
        <v>99.831000000000003</v>
      </c>
      <c r="BH13" s="196">
        <v>91.254999999999995</v>
      </c>
      <c r="BI13" s="667">
        <f t="shared" si="9"/>
        <v>91.254999999999995</v>
      </c>
      <c r="BJ13" s="216"/>
      <c r="BK13" s="690">
        <v>82.695999999999998</v>
      </c>
      <c r="BL13" s="691">
        <v>104.25700000000001</v>
      </c>
      <c r="BM13" s="691">
        <v>112.265</v>
      </c>
      <c r="BN13" s="196">
        <v>111.928</v>
      </c>
      <c r="BO13" s="667">
        <f t="shared" si="10"/>
        <v>111.928</v>
      </c>
      <c r="BP13" s="216"/>
      <c r="BQ13" s="690">
        <v>97.676000000000002</v>
      </c>
      <c r="BR13" s="691">
        <v>96.578000000000003</v>
      </c>
      <c r="BS13" s="691">
        <v>116.31</v>
      </c>
      <c r="BT13" s="199">
        <f>BT87*'P&amp;L'!BT8*4</f>
        <v>121.92079990807319</v>
      </c>
      <c r="BU13" s="695">
        <f t="shared" si="11"/>
        <v>121.92079990807319</v>
      </c>
      <c r="BV13" s="216"/>
      <c r="BW13" s="175">
        <f>BW87*'P&amp;L'!BW8*4</f>
        <v>103.41734437129259</v>
      </c>
      <c r="BX13" s="199">
        <f>BX87*'P&amp;L'!BX8*4</f>
        <v>113.01159179162484</v>
      </c>
      <c r="BY13" s="199">
        <f>BY87*'P&amp;L'!BY8*4</f>
        <v>111.44217515809603</v>
      </c>
      <c r="BZ13" s="199">
        <f>BZ87*'P&amp;L'!BZ8*4</f>
        <v>118.0450619489767</v>
      </c>
      <c r="CA13" s="695">
        <f t="shared" si="12"/>
        <v>118.0450619489767</v>
      </c>
      <c r="CB13" s="216"/>
      <c r="CC13" s="175">
        <f>CC87*'P&amp;L'!CC8*4</f>
        <v>111.36050826843666</v>
      </c>
      <c r="CD13" s="199">
        <f>CD87*'P&amp;L'!CD8*4</f>
        <v>121.64032662543143</v>
      </c>
      <c r="CE13" s="199">
        <f>CE87*'P&amp;L'!CE8*4</f>
        <v>120.21445634651792</v>
      </c>
      <c r="CF13" s="199">
        <f>CF87*'P&amp;L'!CF8*4</f>
        <v>127.35546695320521</v>
      </c>
      <c r="CG13" s="695">
        <f t="shared" si="13"/>
        <v>127.35546695320521</v>
      </c>
      <c r="CH13" s="216"/>
      <c r="CI13" s="175">
        <f>CI87*'P&amp;L'!CI8*4</f>
        <v>119.88810008721994</v>
      </c>
      <c r="CJ13" s="199">
        <f>CJ87*'P&amp;L'!CJ8*4</f>
        <v>130.96171613066292</v>
      </c>
      <c r="CK13" s="199">
        <f>CK87*'P&amp;L'!CK8*4</f>
        <v>129.38878886760884</v>
      </c>
      <c r="CL13" s="199">
        <f>CL87*'P&amp;L'!CL8*4</f>
        <v>137.09455761325196</v>
      </c>
      <c r="CM13" s="695">
        <f t="shared" si="14"/>
        <v>137.09455761325196</v>
      </c>
      <c r="CN13" s="199"/>
      <c r="CO13" s="464"/>
      <c r="CP13" s="11"/>
      <c r="CW13" s="17"/>
    </row>
    <row r="14" spans="2:101" ht="11.25" customHeight="1" x14ac:dyDescent="0.2">
      <c r="B14" s="656" t="s">
        <v>143</v>
      </c>
      <c r="C14" s="196">
        <v>0</v>
      </c>
      <c r="D14" s="196">
        <v>0</v>
      </c>
      <c r="E14" s="196">
        <v>0</v>
      </c>
      <c r="F14" s="196">
        <v>0</v>
      </c>
      <c r="G14" s="667">
        <f t="shared" si="0"/>
        <v>0</v>
      </c>
      <c r="H14" s="216"/>
      <c r="I14" s="677">
        <v>0</v>
      </c>
      <c r="J14" s="196">
        <v>0</v>
      </c>
      <c r="K14" s="196">
        <v>0</v>
      </c>
      <c r="L14" s="196">
        <v>0</v>
      </c>
      <c r="M14" s="667">
        <f t="shared" si="1"/>
        <v>0</v>
      </c>
      <c r="N14" s="216"/>
      <c r="O14" s="677">
        <v>0</v>
      </c>
      <c r="P14" s="196">
        <v>0</v>
      </c>
      <c r="Q14" s="196">
        <v>0</v>
      </c>
      <c r="R14" s="196">
        <v>0</v>
      </c>
      <c r="S14" s="667">
        <f t="shared" si="2"/>
        <v>0</v>
      </c>
      <c r="T14" s="216"/>
      <c r="U14" s="677">
        <v>0</v>
      </c>
      <c r="V14" s="196">
        <v>0</v>
      </c>
      <c r="W14" s="196">
        <v>0</v>
      </c>
      <c r="X14" s="196">
        <v>0</v>
      </c>
      <c r="Y14" s="667">
        <f t="shared" si="3"/>
        <v>0</v>
      </c>
      <c r="Z14" s="216"/>
      <c r="AA14" s="677">
        <v>0</v>
      </c>
      <c r="AB14" s="196">
        <v>122.348</v>
      </c>
      <c r="AC14" s="196">
        <v>0</v>
      </c>
      <c r="AD14" s="196">
        <v>0</v>
      </c>
      <c r="AE14" s="667">
        <f t="shared" si="4"/>
        <v>0</v>
      </c>
      <c r="AF14" s="216"/>
      <c r="AG14" s="677">
        <v>0</v>
      </c>
      <c r="AH14" s="196">
        <v>0</v>
      </c>
      <c r="AI14" s="196">
        <v>0</v>
      </c>
      <c r="AJ14" s="196">
        <v>0</v>
      </c>
      <c r="AK14" s="667">
        <f t="shared" si="5"/>
        <v>0</v>
      </c>
      <c r="AL14" s="216"/>
      <c r="AM14" s="677">
        <v>0</v>
      </c>
      <c r="AN14" s="196">
        <v>0</v>
      </c>
      <c r="AO14" s="196">
        <v>0</v>
      </c>
      <c r="AP14" s="196">
        <v>0</v>
      </c>
      <c r="AQ14" s="667">
        <f t="shared" si="6"/>
        <v>0</v>
      </c>
      <c r="AR14" s="216"/>
      <c r="AS14" s="677">
        <v>0</v>
      </c>
      <c r="AT14" s="196">
        <v>0</v>
      </c>
      <c r="AU14" s="196">
        <v>0</v>
      </c>
      <c r="AV14" s="196">
        <v>0</v>
      </c>
      <c r="AW14" s="667">
        <f t="shared" si="7"/>
        <v>0</v>
      </c>
      <c r="AX14" s="216"/>
      <c r="AY14" s="677">
        <v>0</v>
      </c>
      <c r="AZ14" s="196">
        <v>0</v>
      </c>
      <c r="BA14" s="196">
        <v>0</v>
      </c>
      <c r="BB14" s="196">
        <v>118.34699999999999</v>
      </c>
      <c r="BC14" s="667">
        <f t="shared" si="8"/>
        <v>118.34699999999999</v>
      </c>
      <c r="BD14" s="216"/>
      <c r="BE14" s="677">
        <f>636.756+130.306</f>
        <v>767.06200000000001</v>
      </c>
      <c r="BF14" s="196">
        <v>0</v>
      </c>
      <c r="BG14" s="196">
        <v>0</v>
      </c>
      <c r="BH14" s="196">
        <v>0</v>
      </c>
      <c r="BI14" s="667">
        <f t="shared" si="9"/>
        <v>0</v>
      </c>
      <c r="BJ14" s="216"/>
      <c r="BK14" s="690">
        <v>0</v>
      </c>
      <c r="BL14" s="691">
        <v>0</v>
      </c>
      <c r="BM14" s="691">
        <v>0</v>
      </c>
      <c r="BN14" s="196">
        <v>0</v>
      </c>
      <c r="BO14" s="667">
        <f t="shared" si="10"/>
        <v>0</v>
      </c>
      <c r="BP14" s="216"/>
      <c r="BQ14" s="690">
        <v>0</v>
      </c>
      <c r="BR14" s="691">
        <v>0</v>
      </c>
      <c r="BS14" s="691">
        <v>0</v>
      </c>
      <c r="BT14" s="199">
        <f>BS14-'Cash Flow'!BT13</f>
        <v>0</v>
      </c>
      <c r="BU14" s="695">
        <f t="shared" si="11"/>
        <v>0</v>
      </c>
      <c r="BV14" s="216"/>
      <c r="BW14" s="175">
        <f>BU14-'Cash Flow'!BW13</f>
        <v>0</v>
      </c>
      <c r="BX14" s="199">
        <f>BW14-'Cash Flow'!BX13</f>
        <v>0</v>
      </c>
      <c r="BY14" s="199">
        <f>BX14-'Cash Flow'!BY13</f>
        <v>0</v>
      </c>
      <c r="BZ14" s="199">
        <f>BY14-'Cash Flow'!BZ13</f>
        <v>0</v>
      </c>
      <c r="CA14" s="695">
        <f t="shared" si="12"/>
        <v>0</v>
      </c>
      <c r="CB14" s="216"/>
      <c r="CC14" s="175">
        <f>CA14-'Cash Flow'!CC13</f>
        <v>0</v>
      </c>
      <c r="CD14" s="199">
        <f>CC14-'Cash Flow'!CD13</f>
        <v>0</v>
      </c>
      <c r="CE14" s="199">
        <f>CD14-'Cash Flow'!CE13</f>
        <v>0</v>
      </c>
      <c r="CF14" s="199">
        <f>CE14-'Cash Flow'!CF13</f>
        <v>0</v>
      </c>
      <c r="CG14" s="695">
        <f t="shared" si="13"/>
        <v>0</v>
      </c>
      <c r="CH14" s="216"/>
      <c r="CI14" s="175">
        <f>CG14-'Cash Flow'!CI13</f>
        <v>0</v>
      </c>
      <c r="CJ14" s="199">
        <f>CI14-'Cash Flow'!CJ13</f>
        <v>0</v>
      </c>
      <c r="CK14" s="199">
        <f>CJ14-'Cash Flow'!CK13</f>
        <v>0</v>
      </c>
      <c r="CL14" s="199">
        <f>CK14-'Cash Flow'!CL13</f>
        <v>0</v>
      </c>
      <c r="CM14" s="695">
        <f t="shared" si="14"/>
        <v>0</v>
      </c>
      <c r="CN14" s="199"/>
      <c r="CO14" s="464"/>
      <c r="CP14" s="11"/>
      <c r="CW14" s="17"/>
    </row>
    <row r="15" spans="2:101" ht="11.25" customHeight="1" x14ac:dyDescent="0.2">
      <c r="B15" s="700" t="s">
        <v>35</v>
      </c>
      <c r="C15" s="201">
        <f>SUM(C9:C14)</f>
        <v>880.90500000000009</v>
      </c>
      <c r="D15" s="201">
        <f>SUM(D9:D14)</f>
        <v>778.46699999999998</v>
      </c>
      <c r="E15" s="201">
        <f>SUM(E9:E14)</f>
        <v>768.85</v>
      </c>
      <c r="F15" s="201">
        <f>SUM(F9:F14)</f>
        <v>886.49</v>
      </c>
      <c r="G15" s="668">
        <f>SUM(G9:G14)</f>
        <v>886.49</v>
      </c>
      <c r="H15" s="193"/>
      <c r="I15" s="679">
        <f>SUM(I9:I14)</f>
        <v>943.34099999999989</v>
      </c>
      <c r="J15" s="201">
        <f>SUM(J9:J14)</f>
        <v>1011.572</v>
      </c>
      <c r="K15" s="201">
        <f>SUM(K9:K14)</f>
        <v>863.52400000000011</v>
      </c>
      <c r="L15" s="201">
        <f>SUM(L9:L14)</f>
        <v>985.04099999999994</v>
      </c>
      <c r="M15" s="668">
        <f>SUM(M9:M14)</f>
        <v>985.04099999999994</v>
      </c>
      <c r="N15" s="193"/>
      <c r="O15" s="679">
        <f>SUM(O9:O14)</f>
        <v>1032.7570000000001</v>
      </c>
      <c r="P15" s="201">
        <f>SUM(P9:P14)</f>
        <v>971.83500000000004</v>
      </c>
      <c r="Q15" s="201">
        <f>SUM(Q9:Q14)</f>
        <v>917.06999999999994</v>
      </c>
      <c r="R15" s="201">
        <f>SUM(R9:R14)</f>
        <v>937.59500000000003</v>
      </c>
      <c r="S15" s="668">
        <f>SUM(S9:S14)</f>
        <v>937.59500000000003</v>
      </c>
      <c r="T15" s="193"/>
      <c r="U15" s="679">
        <f>SUM(U9:U14)</f>
        <v>999.80899999999997</v>
      </c>
      <c r="V15" s="201">
        <f>SUM(V9:V14)</f>
        <v>1012.302</v>
      </c>
      <c r="W15" s="201">
        <f>SUM(W9:W14)</f>
        <v>1077.6379999999999</v>
      </c>
      <c r="X15" s="201">
        <f>SUM(X9:X14)</f>
        <v>1133.7579999999998</v>
      </c>
      <c r="Y15" s="668">
        <f>SUM(Y9:Y14)</f>
        <v>1133.7579999999998</v>
      </c>
      <c r="Z15" s="193"/>
      <c r="AA15" s="679">
        <f>SUM(AA9:AA14)</f>
        <v>1134.45</v>
      </c>
      <c r="AB15" s="201">
        <f>SUM(AB9:AB14)</f>
        <v>1235.8979999999999</v>
      </c>
      <c r="AC15" s="201">
        <f>SUM(AC9:AC14)</f>
        <v>1175.952</v>
      </c>
      <c r="AD15" s="201">
        <f>SUM(AD9:AD14)</f>
        <v>1230.7090000000001</v>
      </c>
      <c r="AE15" s="668">
        <f>SUM(AE9:AE14)</f>
        <v>1230.7090000000001</v>
      </c>
      <c r="AF15" s="193"/>
      <c r="AG15" s="679">
        <f>SUM(AG9:AG14)</f>
        <v>1178.732</v>
      </c>
      <c r="AH15" s="201">
        <f>SUM(AH9:AH14)</f>
        <v>1059.0820000000001</v>
      </c>
      <c r="AI15" s="201">
        <f>SUM(AI9:AI14)</f>
        <v>1340.502</v>
      </c>
      <c r="AJ15" s="201">
        <f>SUM(AJ9:AJ14)</f>
        <v>1403.5130000000001</v>
      </c>
      <c r="AK15" s="668">
        <f>SUM(AK9:AK14)</f>
        <v>1403.5130000000001</v>
      </c>
      <c r="AL15" s="193"/>
      <c r="AM15" s="679">
        <f>SUM(AM9:AM14)</f>
        <v>1361.61</v>
      </c>
      <c r="AN15" s="201">
        <f>SUM(AN9:AN14)</f>
        <v>1277.0230000000001</v>
      </c>
      <c r="AO15" s="201">
        <f>SUM(AO9:AO14)</f>
        <v>1288.1279999999999</v>
      </c>
      <c r="AP15" s="201">
        <f>SUM(AP9:AP14)</f>
        <v>1361.336</v>
      </c>
      <c r="AQ15" s="668">
        <f>SUM(AQ9:AQ14)</f>
        <v>1361.336</v>
      </c>
      <c r="AR15" s="193"/>
      <c r="AS15" s="679">
        <f>SUM(AS9:AS14)</f>
        <v>1447.037</v>
      </c>
      <c r="AT15" s="201">
        <f>SUM(AT9:AT14)</f>
        <v>1566.9269999999999</v>
      </c>
      <c r="AU15" s="201">
        <f>SUM(AU9:AU14)</f>
        <v>1537.133</v>
      </c>
      <c r="AV15" s="201">
        <f>SUM(AV9:AV14)</f>
        <v>1415.7170000000001</v>
      </c>
      <c r="AW15" s="668">
        <f>SUM(AW9:AW14)</f>
        <v>1415.7170000000001</v>
      </c>
      <c r="AX15" s="193"/>
      <c r="AY15" s="679">
        <f>SUM(AY9:AY14)</f>
        <v>1445.1859999999997</v>
      </c>
      <c r="AZ15" s="201">
        <f>SUM(AZ9:AZ14)</f>
        <v>1489.7260000000001</v>
      </c>
      <c r="BA15" s="201">
        <f>SUM(BA9:BA14)</f>
        <v>1501.2659999999998</v>
      </c>
      <c r="BB15" s="201">
        <f>SUM(BB9:BB14)</f>
        <v>1573.2249999999999</v>
      </c>
      <c r="BC15" s="668">
        <f>SUM(BC9:BC14)</f>
        <v>1573.2249999999999</v>
      </c>
      <c r="BD15" s="193"/>
      <c r="BE15" s="679">
        <f>SUM(BE9:BE14)</f>
        <v>2438.558</v>
      </c>
      <c r="BF15" s="201">
        <f>SUM(BF9:BF14)</f>
        <v>1665.93</v>
      </c>
      <c r="BG15" s="201">
        <f>SUM(BG9:BG14)</f>
        <v>1710.856</v>
      </c>
      <c r="BH15" s="201">
        <f>SUM(BH9:BH14)</f>
        <v>1747.5410000000002</v>
      </c>
      <c r="BI15" s="668">
        <f>SUM(BI9:BI14)</f>
        <v>1747.5410000000002</v>
      </c>
      <c r="BJ15" s="193"/>
      <c r="BK15" s="682">
        <f>SUM(BK9:BK14)</f>
        <v>1691.0679999999998</v>
      </c>
      <c r="BL15" s="203">
        <f>SUM(BL9:BL14)</f>
        <v>1832.8320000000001</v>
      </c>
      <c r="BM15" s="203">
        <f>SUM(BM9:BM14)</f>
        <v>1871.2160000000001</v>
      </c>
      <c r="BN15" s="201">
        <f>SUM(BN9:BN14)</f>
        <v>1803.5929999999998</v>
      </c>
      <c r="BO15" s="668">
        <f>SUM(BO9:BO14)</f>
        <v>1803.5929999999998</v>
      </c>
      <c r="BP15" s="193"/>
      <c r="BQ15" s="682">
        <f>SUM(BQ9:BQ14)</f>
        <v>1816.0929999999998</v>
      </c>
      <c r="BR15" s="203">
        <f>SUM(BR9:BR14)</f>
        <v>1843.6080000000002</v>
      </c>
      <c r="BS15" s="203">
        <f>SUM(BS9:BS14)</f>
        <v>1979.788</v>
      </c>
      <c r="BT15" s="203">
        <f>SUM(BT9:BT14)</f>
        <v>1914.2050593882818</v>
      </c>
      <c r="BU15" s="671">
        <f>SUM(BU9:BU14)</f>
        <v>1914.2050593882818</v>
      </c>
      <c r="BV15" s="193"/>
      <c r="BW15" s="682">
        <f>SUM(BW9:BW14)</f>
        <v>1911.8517860903171</v>
      </c>
      <c r="BX15" s="203">
        <f>SUM(BX9:BX14)</f>
        <v>1938.4383124541657</v>
      </c>
      <c r="BY15" s="203">
        <f>SUM(BY9:BY14)</f>
        <v>1990.1835135454678</v>
      </c>
      <c r="BZ15" s="203">
        <f>SUM(BZ9:BZ14)</f>
        <v>1962.1023441595289</v>
      </c>
      <c r="CA15" s="671">
        <f>SUM(CA9:CA14)</f>
        <v>1962.1023441595289</v>
      </c>
      <c r="CB15" s="193"/>
      <c r="CC15" s="682">
        <f>SUM(CC9:CC14)</f>
        <v>1936.4690751917956</v>
      </c>
      <c r="CD15" s="203">
        <f>SUM(CD9:CD14)</f>
        <v>1965.9215091531335</v>
      </c>
      <c r="CE15" s="203">
        <f>SUM(CE9:CE14)</f>
        <v>2021.4107620779396</v>
      </c>
      <c r="CF15" s="203">
        <f>SUM(CF9:CF14)</f>
        <v>1993.2210113448721</v>
      </c>
      <c r="CG15" s="671">
        <f>SUM(CG9:CG14)</f>
        <v>1993.2210113448721</v>
      </c>
      <c r="CH15" s="193"/>
      <c r="CI15" s="682">
        <f>SUM(CI9:CI14)</f>
        <v>1966.2780529868105</v>
      </c>
      <c r="CJ15" s="203">
        <f>SUM(CJ9:CJ14)</f>
        <v>1992.0739916055995</v>
      </c>
      <c r="CK15" s="203">
        <f>SUM(CK9:CK14)</f>
        <v>2045.677341149428</v>
      </c>
      <c r="CL15" s="203">
        <f>SUM(CL9:CL14)</f>
        <v>2012.2436283656696</v>
      </c>
      <c r="CM15" s="671">
        <f>SUM(CM9:CM14)</f>
        <v>2012.2436283656696</v>
      </c>
      <c r="CN15" s="200"/>
      <c r="CO15" s="464"/>
      <c r="CP15" s="11"/>
      <c r="CW15" s="17"/>
    </row>
    <row r="16" spans="2:101" ht="11.25" customHeight="1" x14ac:dyDescent="0.2">
      <c r="B16" s="566"/>
      <c r="C16" s="197"/>
      <c r="D16" s="197"/>
      <c r="E16" s="197"/>
      <c r="F16" s="197"/>
      <c r="G16" s="669"/>
      <c r="H16" s="202"/>
      <c r="I16" s="680"/>
      <c r="J16" s="197"/>
      <c r="K16" s="197"/>
      <c r="L16" s="197"/>
      <c r="M16" s="669"/>
      <c r="N16" s="202"/>
      <c r="O16" s="680"/>
      <c r="P16" s="197"/>
      <c r="Q16" s="197"/>
      <c r="R16" s="197"/>
      <c r="S16" s="669"/>
      <c r="T16" s="202"/>
      <c r="U16" s="680"/>
      <c r="V16" s="197"/>
      <c r="W16" s="197"/>
      <c r="X16" s="197"/>
      <c r="Y16" s="669"/>
      <c r="Z16" s="202"/>
      <c r="AA16" s="680"/>
      <c r="AB16" s="197"/>
      <c r="AC16" s="197"/>
      <c r="AD16" s="197"/>
      <c r="AE16" s="669"/>
      <c r="AF16" s="202"/>
      <c r="AG16" s="680"/>
      <c r="AH16" s="197"/>
      <c r="AI16" s="197"/>
      <c r="AJ16" s="197"/>
      <c r="AK16" s="669"/>
      <c r="AL16" s="202"/>
      <c r="AM16" s="680"/>
      <c r="AN16" s="197"/>
      <c r="AO16" s="197"/>
      <c r="AP16" s="197"/>
      <c r="AQ16" s="669"/>
      <c r="AR16" s="202"/>
      <c r="AS16" s="680"/>
      <c r="AT16" s="197"/>
      <c r="AU16" s="197"/>
      <c r="AV16" s="197"/>
      <c r="AW16" s="669"/>
      <c r="AX16" s="202"/>
      <c r="AY16" s="680"/>
      <c r="AZ16" s="197"/>
      <c r="BA16" s="197"/>
      <c r="BB16" s="197"/>
      <c r="BC16" s="669"/>
      <c r="BD16" s="202"/>
      <c r="BE16" s="680"/>
      <c r="BF16" s="197"/>
      <c r="BG16" s="197"/>
      <c r="BH16" s="197"/>
      <c r="BI16" s="669"/>
      <c r="BJ16" s="202"/>
      <c r="BK16" s="175"/>
      <c r="BL16" s="199"/>
      <c r="BM16" s="199"/>
      <c r="BN16" s="197"/>
      <c r="BO16" s="669"/>
      <c r="BP16" s="202"/>
      <c r="BQ16" s="175"/>
      <c r="BR16" s="199"/>
      <c r="BS16" s="199"/>
      <c r="BT16" s="199"/>
      <c r="BU16" s="695"/>
      <c r="BV16" s="202"/>
      <c r="BW16" s="175"/>
      <c r="BX16" s="199"/>
      <c r="BY16" s="199"/>
      <c r="BZ16" s="199"/>
      <c r="CA16" s="695"/>
      <c r="CB16" s="202"/>
      <c r="CC16" s="175"/>
      <c r="CD16" s="199"/>
      <c r="CE16" s="199"/>
      <c r="CF16" s="199"/>
      <c r="CG16" s="695"/>
      <c r="CH16" s="202"/>
      <c r="CI16" s="175"/>
      <c r="CJ16" s="199"/>
      <c r="CK16" s="199"/>
      <c r="CL16" s="199"/>
      <c r="CM16" s="695"/>
      <c r="CN16" s="203"/>
      <c r="CO16" s="464"/>
      <c r="CP16" s="11"/>
      <c r="CW16" s="17"/>
    </row>
    <row r="17" spans="1:101" ht="11.25" customHeight="1" x14ac:dyDescent="0.2">
      <c r="B17" s="658" t="s">
        <v>275</v>
      </c>
      <c r="C17" s="196">
        <v>143.39699999999999</v>
      </c>
      <c r="D17" s="196">
        <v>141.267</v>
      </c>
      <c r="E17" s="196">
        <v>132.29900000000001</v>
      </c>
      <c r="F17" s="196">
        <v>131.952</v>
      </c>
      <c r="G17" s="667">
        <f>F17</f>
        <v>131.952</v>
      </c>
      <c r="H17" s="193"/>
      <c r="I17" s="677">
        <v>132.179</v>
      </c>
      <c r="J17" s="196">
        <v>132.39099999999999</v>
      </c>
      <c r="K17" s="196">
        <v>133.97999999999999</v>
      </c>
      <c r="L17" s="196">
        <v>148.93199999999999</v>
      </c>
      <c r="M17" s="667">
        <f>L17</f>
        <v>148.93199999999999</v>
      </c>
      <c r="N17" s="193"/>
      <c r="O17" s="677">
        <v>155.446</v>
      </c>
      <c r="P17" s="196">
        <v>158.41800000000001</v>
      </c>
      <c r="Q17" s="196">
        <v>158.59100000000001</v>
      </c>
      <c r="R17" s="196">
        <v>166.5</v>
      </c>
      <c r="S17" s="667">
        <f>R17</f>
        <v>166.5</v>
      </c>
      <c r="T17" s="193"/>
      <c r="U17" s="677">
        <v>170.863</v>
      </c>
      <c r="V17" s="196">
        <v>170.56100000000001</v>
      </c>
      <c r="W17" s="196">
        <v>168.65700000000001</v>
      </c>
      <c r="X17" s="196">
        <v>169.59800000000001</v>
      </c>
      <c r="Y17" s="667">
        <f>X17</f>
        <v>169.59800000000001</v>
      </c>
      <c r="Z17" s="193"/>
      <c r="AA17" s="677">
        <v>178.721</v>
      </c>
      <c r="AB17" s="196">
        <v>182.83</v>
      </c>
      <c r="AC17" s="196">
        <v>185.572</v>
      </c>
      <c r="AD17" s="196">
        <v>189.583</v>
      </c>
      <c r="AE17" s="667">
        <f>AD17</f>
        <v>189.583</v>
      </c>
      <c r="AF17" s="193"/>
      <c r="AG17" s="677">
        <v>196.24299999999999</v>
      </c>
      <c r="AH17" s="196">
        <v>201.17</v>
      </c>
      <c r="AI17" s="196">
        <v>196.59800000000001</v>
      </c>
      <c r="AJ17" s="196">
        <v>195.465</v>
      </c>
      <c r="AK17" s="667">
        <f>AJ17</f>
        <v>195.465</v>
      </c>
      <c r="AL17" s="193"/>
      <c r="AM17" s="677">
        <v>193.495</v>
      </c>
      <c r="AN17" s="196">
        <v>192.35400000000001</v>
      </c>
      <c r="AO17" s="196">
        <v>191.38499999999999</v>
      </c>
      <c r="AP17" s="196">
        <v>192.02</v>
      </c>
      <c r="AQ17" s="667">
        <f>AP17</f>
        <v>192.02</v>
      </c>
      <c r="AR17" s="193"/>
      <c r="AS17" s="677">
        <v>193.68799999999999</v>
      </c>
      <c r="AT17" s="196">
        <v>198.917</v>
      </c>
      <c r="AU17" s="196">
        <v>204.58600000000001</v>
      </c>
      <c r="AV17" s="196">
        <v>204.93899999999999</v>
      </c>
      <c r="AW17" s="667">
        <f>AV17</f>
        <v>204.93899999999999</v>
      </c>
      <c r="AX17" s="193"/>
      <c r="AY17" s="677">
        <v>214.453</v>
      </c>
      <c r="AZ17" s="196">
        <v>219.541</v>
      </c>
      <c r="BA17" s="196">
        <v>225.41800000000001</v>
      </c>
      <c r="BB17" s="196">
        <v>204.13300000000001</v>
      </c>
      <c r="BC17" s="667">
        <f>BB17</f>
        <v>204.13300000000001</v>
      </c>
      <c r="BD17" s="193"/>
      <c r="BE17" s="677">
        <v>258.964</v>
      </c>
      <c r="BF17" s="196">
        <v>272.19</v>
      </c>
      <c r="BG17" s="196">
        <v>278.28800000000001</v>
      </c>
      <c r="BH17" s="196">
        <v>293.315</v>
      </c>
      <c r="BI17" s="667">
        <f>BH17</f>
        <v>293.315</v>
      </c>
      <c r="BJ17" s="193"/>
      <c r="BK17" s="677">
        <v>298.10399999999998</v>
      </c>
      <c r="BL17" s="193">
        <v>303.34199999999998</v>
      </c>
      <c r="BM17" s="193">
        <v>300.39499999999998</v>
      </c>
      <c r="BN17" s="196">
        <v>298.452</v>
      </c>
      <c r="BO17" s="667">
        <f>BN17</f>
        <v>298.452</v>
      </c>
      <c r="BP17" s="193"/>
      <c r="BQ17" s="677">
        <v>294.81900000000002</v>
      </c>
      <c r="BR17" s="193">
        <v>286.71499999999997</v>
      </c>
      <c r="BS17" s="193">
        <v>287.43900000000002</v>
      </c>
      <c r="BT17" s="199">
        <f>+BT117</f>
        <v>288.03400901779276</v>
      </c>
      <c r="BU17" s="695">
        <f>BT17</f>
        <v>288.03400901779276</v>
      </c>
      <c r="BV17" s="193"/>
      <c r="BW17" s="175">
        <f>+BW117</f>
        <v>286.48532444318727</v>
      </c>
      <c r="BX17" s="199">
        <f>+BX117</f>
        <v>285.6957873594929</v>
      </c>
      <c r="BY17" s="199">
        <f>+BY117</f>
        <v>284.51361995684709</v>
      </c>
      <c r="BZ17" s="199">
        <f>+BZ117</f>
        <v>283.77070660913984</v>
      </c>
      <c r="CA17" s="695">
        <f>BZ17</f>
        <v>283.77070660913984</v>
      </c>
      <c r="CB17" s="193"/>
      <c r="CC17" s="175">
        <f>+CC117</f>
        <v>281.56126826255559</v>
      </c>
      <c r="CD17" s="199">
        <f>+CD117</f>
        <v>280.12488753871412</v>
      </c>
      <c r="CE17" s="199">
        <f>+CE117</f>
        <v>278.31170652896765</v>
      </c>
      <c r="CF17" s="199">
        <f>+CF117</f>
        <v>276.95126555500315</v>
      </c>
      <c r="CG17" s="695">
        <f>CF17</f>
        <v>276.95126555500315</v>
      </c>
      <c r="CH17" s="193"/>
      <c r="CI17" s="175">
        <f>+CI117</f>
        <v>274.08719781416033</v>
      </c>
      <c r="CJ17" s="199">
        <f>+CJ117</f>
        <v>272.01768442825545</v>
      </c>
      <c r="CK17" s="199">
        <f>+CK117</f>
        <v>269.55769066468957</v>
      </c>
      <c r="CL17" s="199">
        <f>+CL117</f>
        <v>267.56437915825165</v>
      </c>
      <c r="CM17" s="695">
        <f>CL17</f>
        <v>267.56437915825165</v>
      </c>
      <c r="CN17" s="200"/>
      <c r="CO17" s="464"/>
      <c r="CP17" s="11"/>
      <c r="CW17" s="17"/>
    </row>
    <row r="18" spans="1:101" ht="11.25" customHeight="1" x14ac:dyDescent="0.2">
      <c r="B18" s="658" t="s">
        <v>272</v>
      </c>
      <c r="C18" s="196">
        <v>51.320999999999998</v>
      </c>
      <c r="D18" s="196">
        <v>72.638000000000005</v>
      </c>
      <c r="E18" s="196">
        <v>78.468000000000004</v>
      </c>
      <c r="F18" s="196">
        <v>52.018999999999998</v>
      </c>
      <c r="G18" s="667">
        <f>F18</f>
        <v>52.018999999999998</v>
      </c>
      <c r="H18" s="193"/>
      <c r="I18" s="677">
        <v>49.829000000000001</v>
      </c>
      <c r="J18" s="196">
        <v>49.348999999999997</v>
      </c>
      <c r="K18" s="196">
        <v>52.393000000000001</v>
      </c>
      <c r="L18" s="196">
        <v>54.392000000000003</v>
      </c>
      <c r="M18" s="667">
        <f>L18</f>
        <v>54.392000000000003</v>
      </c>
      <c r="N18" s="193"/>
      <c r="O18" s="677">
        <v>50.49</v>
      </c>
      <c r="P18" s="196">
        <v>49.622</v>
      </c>
      <c r="Q18" s="196">
        <v>52.283000000000001</v>
      </c>
      <c r="R18" s="196">
        <v>51.572000000000003</v>
      </c>
      <c r="S18" s="667">
        <f>R18</f>
        <v>51.572000000000003</v>
      </c>
      <c r="T18" s="193"/>
      <c r="U18" s="677">
        <v>57.587000000000003</v>
      </c>
      <c r="V18" s="196">
        <v>57.085999999999999</v>
      </c>
      <c r="W18" s="196">
        <v>64.932000000000002</v>
      </c>
      <c r="X18" s="196">
        <v>75.072999999999993</v>
      </c>
      <c r="Y18" s="667">
        <f>X18</f>
        <v>75.072999999999993</v>
      </c>
      <c r="Z18" s="193"/>
      <c r="AA18" s="677">
        <v>78.085999999999999</v>
      </c>
      <c r="AB18" s="196">
        <v>82.686999999999998</v>
      </c>
      <c r="AC18" s="196">
        <v>91.893000000000001</v>
      </c>
      <c r="AD18" s="196">
        <v>90.284999999999997</v>
      </c>
      <c r="AE18" s="667">
        <f>AD18</f>
        <v>90.284999999999997</v>
      </c>
      <c r="AF18" s="193"/>
      <c r="AG18" s="677">
        <v>95.078000000000003</v>
      </c>
      <c r="AH18" s="196">
        <v>92.444000000000003</v>
      </c>
      <c r="AI18" s="196">
        <v>83.93</v>
      </c>
      <c r="AJ18" s="196">
        <v>92.049000000000007</v>
      </c>
      <c r="AK18" s="667">
        <f>AJ18</f>
        <v>92.049000000000007</v>
      </c>
      <c r="AL18" s="193"/>
      <c r="AM18" s="677">
        <v>101.30800000000001</v>
      </c>
      <c r="AN18" s="196">
        <v>102.88</v>
      </c>
      <c r="AO18" s="196">
        <v>111.57899999999999</v>
      </c>
      <c r="AP18" s="196">
        <v>85.427000000000007</v>
      </c>
      <c r="AQ18" s="667">
        <f>AP18</f>
        <v>85.427000000000007</v>
      </c>
      <c r="AR18" s="193"/>
      <c r="AS18" s="677">
        <v>83.48</v>
      </c>
      <c r="AT18" s="196">
        <v>81.275999999999996</v>
      </c>
      <c r="AU18" s="196">
        <v>76.649000000000001</v>
      </c>
      <c r="AV18" s="196">
        <v>90.534999999999997</v>
      </c>
      <c r="AW18" s="667">
        <f>AV18</f>
        <v>90.534999999999997</v>
      </c>
      <c r="AX18" s="193"/>
      <c r="AY18" s="677">
        <v>88.334999999999994</v>
      </c>
      <c r="AZ18" s="196">
        <v>72.793000000000006</v>
      </c>
      <c r="BA18" s="196">
        <v>67.209000000000003</v>
      </c>
      <c r="BB18" s="196">
        <v>71.686000000000007</v>
      </c>
      <c r="BC18" s="667">
        <f>BB18</f>
        <v>71.686000000000007</v>
      </c>
      <c r="BD18" s="193"/>
      <c r="BE18" s="677">
        <v>84.269000000000005</v>
      </c>
      <c r="BF18" s="196">
        <v>75.784000000000006</v>
      </c>
      <c r="BG18" s="196">
        <v>145.53899999999999</v>
      </c>
      <c r="BH18" s="196">
        <v>88.248000000000005</v>
      </c>
      <c r="BI18" s="667">
        <f>BH18</f>
        <v>88.248000000000005</v>
      </c>
      <c r="BJ18" s="193"/>
      <c r="BK18" s="677">
        <v>135.73599999999999</v>
      </c>
      <c r="BL18" s="193">
        <v>97.114000000000004</v>
      </c>
      <c r="BM18" s="193">
        <v>107.511</v>
      </c>
      <c r="BN18" s="196">
        <v>101.529</v>
      </c>
      <c r="BO18" s="667">
        <f>BN18</f>
        <v>101.529</v>
      </c>
      <c r="BP18" s="193"/>
      <c r="BQ18" s="677">
        <v>88.433999999999997</v>
      </c>
      <c r="BR18" s="193">
        <v>111.184</v>
      </c>
      <c r="BS18" s="193">
        <f>190.757-BS21</f>
        <v>123.29700000000001</v>
      </c>
      <c r="BT18" s="199">
        <f>BT88*'P&amp;L'!BT8*4</f>
        <v>129.24485311895538</v>
      </c>
      <c r="BU18" s="695">
        <f>BT18</f>
        <v>129.24485311895538</v>
      </c>
      <c r="BV18" s="193"/>
      <c r="BW18" s="175">
        <f>BW88*'P&amp;L'!BW8*4</f>
        <v>94.128198240667601</v>
      </c>
      <c r="BX18" s="199">
        <f>BX88*'P&amp;L'!BX8*4</f>
        <v>102.86067177923329</v>
      </c>
      <c r="BY18" s="199">
        <f>BY88*'P&amp;L'!BY8*4</f>
        <v>101.43222318677448</v>
      </c>
      <c r="BZ18" s="199">
        <f>BZ88*'P&amp;L'!BZ8*4</f>
        <v>107.44202590015016</v>
      </c>
      <c r="CA18" s="695">
        <f>BZ18</f>
        <v>107.44202590015016</v>
      </c>
      <c r="CB18" s="193"/>
      <c r="CC18" s="175">
        <f>CC88*'P&amp;L'!CC8*4</f>
        <v>101.84053695231499</v>
      </c>
      <c r="CD18" s="199">
        <f>CD88*'P&amp;L'!CD8*4</f>
        <v>111.2415556574832</v>
      </c>
      <c r="CE18" s="199">
        <f>CE88*'P&amp;L'!CE8*4</f>
        <v>109.93757997448017</v>
      </c>
      <c r="CF18" s="199">
        <f>CF88*'P&amp;L'!CF8*4</f>
        <v>116.46812088054513</v>
      </c>
      <c r="CG18" s="695">
        <f>CF18</f>
        <v>116.46812088054513</v>
      </c>
      <c r="CH18" s="193"/>
      <c r="CI18" s="175">
        <f>CI88*'P&amp;L'!CI8*4</f>
        <v>110.11089200721096</v>
      </c>
      <c r="CJ18" s="199">
        <f>CJ88*'P&amp;L'!CJ8*4</f>
        <v>120.28142385650874</v>
      </c>
      <c r="CK18" s="199">
        <f>CK88*'P&amp;L'!CK8*4</f>
        <v>118.83677318749869</v>
      </c>
      <c r="CL18" s="199">
        <f>CL88*'P&amp;L'!CL8*4</f>
        <v>125.91411505518001</v>
      </c>
      <c r="CM18" s="695">
        <f>CL18</f>
        <v>125.91411505518001</v>
      </c>
      <c r="CN18" s="200"/>
      <c r="CO18" s="464"/>
      <c r="CP18" s="11"/>
      <c r="CW18" s="17"/>
    </row>
    <row r="19" spans="1:101" ht="11.25" customHeight="1" x14ac:dyDescent="0.2">
      <c r="B19" s="658" t="s">
        <v>193</v>
      </c>
      <c r="C19" s="196">
        <v>660.20699999999999</v>
      </c>
      <c r="D19" s="196">
        <v>657.16700000000003</v>
      </c>
      <c r="E19" s="196">
        <v>660.35799999999995</v>
      </c>
      <c r="F19" s="196">
        <v>660.57299999999998</v>
      </c>
      <c r="G19" s="667">
        <f>F19</f>
        <v>660.57299999999998</v>
      </c>
      <c r="H19" s="193"/>
      <c r="I19" s="677">
        <v>663.28499999999997</v>
      </c>
      <c r="J19" s="196">
        <v>670.72500000000002</v>
      </c>
      <c r="K19" s="196">
        <v>672.27300000000002</v>
      </c>
      <c r="L19" s="196">
        <v>681.35199999999998</v>
      </c>
      <c r="M19" s="667">
        <f>L19</f>
        <v>681.35199999999998</v>
      </c>
      <c r="N19" s="193"/>
      <c r="O19" s="677">
        <v>681.88599999999997</v>
      </c>
      <c r="P19" s="196">
        <v>729.44100000000003</v>
      </c>
      <c r="Q19" s="196">
        <v>769.505</v>
      </c>
      <c r="R19" s="196">
        <v>747.10400000000004</v>
      </c>
      <c r="S19" s="667">
        <f>R19</f>
        <v>747.10400000000004</v>
      </c>
      <c r="T19" s="193"/>
      <c r="U19" s="677">
        <v>781.05799999999999</v>
      </c>
      <c r="V19" s="196">
        <v>767.49400000000003</v>
      </c>
      <c r="W19" s="196">
        <v>770.08500000000004</v>
      </c>
      <c r="X19" s="196">
        <v>782.08299999999997</v>
      </c>
      <c r="Y19" s="667">
        <f>X19</f>
        <v>782.08299999999997</v>
      </c>
      <c r="Z19" s="193"/>
      <c r="AA19" s="677">
        <v>804.74599999999998</v>
      </c>
      <c r="AB19" s="196">
        <v>786.71799999999996</v>
      </c>
      <c r="AC19" s="196">
        <v>793.48800000000006</v>
      </c>
      <c r="AD19" s="196">
        <v>795.61599999999999</v>
      </c>
      <c r="AE19" s="667">
        <f>AD19</f>
        <v>795.61599999999999</v>
      </c>
      <c r="AF19" s="193"/>
      <c r="AG19" s="677">
        <v>795.88199999999995</v>
      </c>
      <c r="AH19" s="196">
        <v>798.55100000000004</v>
      </c>
      <c r="AI19" s="196">
        <v>803.125</v>
      </c>
      <c r="AJ19" s="196">
        <v>810.25199999999995</v>
      </c>
      <c r="AK19" s="667">
        <f>AJ19</f>
        <v>810.25199999999995</v>
      </c>
      <c r="AL19" s="193"/>
      <c r="AM19" s="677">
        <v>812.16300000000001</v>
      </c>
      <c r="AN19" s="196">
        <v>816.51499999999999</v>
      </c>
      <c r="AO19" s="196">
        <v>818.78399999999999</v>
      </c>
      <c r="AP19" s="196">
        <v>823.74</v>
      </c>
      <c r="AQ19" s="667">
        <f>AP19</f>
        <v>823.74</v>
      </c>
      <c r="AR19" s="193"/>
      <c r="AS19" s="677">
        <v>822.14099999999996</v>
      </c>
      <c r="AT19" s="196">
        <v>839.93200000000002</v>
      </c>
      <c r="AU19" s="196">
        <v>844.15800000000002</v>
      </c>
      <c r="AV19" s="196">
        <v>844.43299999999999</v>
      </c>
      <c r="AW19" s="667">
        <f>AV19</f>
        <v>844.43299999999999</v>
      </c>
      <c r="AX19" s="193"/>
      <c r="AY19" s="677">
        <v>845.12400000000002</v>
      </c>
      <c r="AZ19" s="196">
        <v>839.63599999999997</v>
      </c>
      <c r="BA19" s="196">
        <v>835.09699999999998</v>
      </c>
      <c r="BB19" s="196">
        <v>299.92399999999998</v>
      </c>
      <c r="BC19" s="667">
        <f>BB19</f>
        <v>299.92399999999998</v>
      </c>
      <c r="BD19" s="193"/>
      <c r="BE19" s="677">
        <v>817.48099999999999</v>
      </c>
      <c r="BF19" s="196">
        <v>817.59500000000003</v>
      </c>
      <c r="BG19" s="196">
        <v>815.31600000000003</v>
      </c>
      <c r="BH19" s="196">
        <v>816.59199999999998</v>
      </c>
      <c r="BI19" s="667">
        <f>BH19</f>
        <v>816.59199999999998</v>
      </c>
      <c r="BJ19" s="193"/>
      <c r="BK19" s="677">
        <v>814.20699999999999</v>
      </c>
      <c r="BL19" s="193">
        <v>812.41899999999998</v>
      </c>
      <c r="BM19" s="193">
        <v>813.09400000000005</v>
      </c>
      <c r="BN19" s="196">
        <v>813.54700000000003</v>
      </c>
      <c r="BO19" s="667">
        <f>BN19</f>
        <v>813.54700000000003</v>
      </c>
      <c r="BP19" s="193"/>
      <c r="BQ19" s="677">
        <v>814.42200000000003</v>
      </c>
      <c r="BR19" s="193">
        <v>814.22400000000005</v>
      </c>
      <c r="BS19" s="193">
        <f>1216.374-BS20</f>
        <v>809.73299999999995</v>
      </c>
      <c r="BT19" s="199">
        <f>+BT133</f>
        <v>809.73299999999995</v>
      </c>
      <c r="BU19" s="695">
        <f>BT19</f>
        <v>809.73299999999995</v>
      </c>
      <c r="BV19" s="193"/>
      <c r="BW19" s="175">
        <f>+BW133</f>
        <v>809.73299999999995</v>
      </c>
      <c r="BX19" s="199">
        <f>+BX133</f>
        <v>809.73299999999995</v>
      </c>
      <c r="BY19" s="199">
        <f>+BY133</f>
        <v>809.73299999999995</v>
      </c>
      <c r="BZ19" s="199">
        <f>+BZ133</f>
        <v>809.73299999999995</v>
      </c>
      <c r="CA19" s="695">
        <f>BZ19</f>
        <v>809.73299999999995</v>
      </c>
      <c r="CB19" s="193"/>
      <c r="CC19" s="175">
        <f>+CC133</f>
        <v>809.73299999999995</v>
      </c>
      <c r="CD19" s="199">
        <f>+CD133</f>
        <v>809.73299999999995</v>
      </c>
      <c r="CE19" s="199">
        <f>+CE133</f>
        <v>809.73299999999995</v>
      </c>
      <c r="CF19" s="199">
        <f>+CF133</f>
        <v>809.73299999999995</v>
      </c>
      <c r="CG19" s="695">
        <f>CF19</f>
        <v>809.73299999999995</v>
      </c>
      <c r="CH19" s="193"/>
      <c r="CI19" s="175">
        <f>+CI133</f>
        <v>809.73299999999995</v>
      </c>
      <c r="CJ19" s="199">
        <f>+CJ133</f>
        <v>809.73299999999995</v>
      </c>
      <c r="CK19" s="199">
        <f>+CK133</f>
        <v>809.73299999999995</v>
      </c>
      <c r="CL19" s="199">
        <f>+CL133</f>
        <v>809.73299999999995</v>
      </c>
      <c r="CM19" s="695">
        <f>CL19</f>
        <v>809.73299999999995</v>
      </c>
      <c r="CN19" s="200"/>
      <c r="CO19" s="464"/>
      <c r="CP19" s="11"/>
      <c r="CW19" s="17"/>
    </row>
    <row r="20" spans="1:101" ht="11.25" customHeight="1" x14ac:dyDescent="0.2">
      <c r="B20" s="658" t="s">
        <v>273</v>
      </c>
      <c r="C20" s="196">
        <v>106.627</v>
      </c>
      <c r="D20" s="196">
        <v>105.191</v>
      </c>
      <c r="E20" s="196">
        <v>103.68600000000001</v>
      </c>
      <c r="F20" s="196">
        <v>102.357</v>
      </c>
      <c r="G20" s="667">
        <f>F20</f>
        <v>102.357</v>
      </c>
      <c r="H20" s="193"/>
      <c r="I20" s="677">
        <v>101.161</v>
      </c>
      <c r="J20" s="196">
        <v>102.119</v>
      </c>
      <c r="K20" s="196">
        <v>100.873</v>
      </c>
      <c r="L20" s="196">
        <v>200.398</v>
      </c>
      <c r="M20" s="667">
        <f>L20</f>
        <v>200.398</v>
      </c>
      <c r="N20" s="193"/>
      <c r="O20" s="677">
        <v>198.93899999999999</v>
      </c>
      <c r="P20" s="196">
        <v>195.465</v>
      </c>
      <c r="Q20" s="196">
        <v>193.678</v>
      </c>
      <c r="R20" s="196">
        <v>220.93199999999999</v>
      </c>
      <c r="S20" s="667">
        <f>R20</f>
        <v>220.93199999999999</v>
      </c>
      <c r="T20" s="193"/>
      <c r="U20" s="677">
        <v>219.88900000000001</v>
      </c>
      <c r="V20" s="196">
        <v>229.62700000000001</v>
      </c>
      <c r="W20" s="196">
        <v>226.26</v>
      </c>
      <c r="X20" s="196">
        <v>223.59399999999999</v>
      </c>
      <c r="Y20" s="667">
        <f>X20</f>
        <v>223.59399999999999</v>
      </c>
      <c r="Z20" s="193"/>
      <c r="AA20" s="677">
        <v>220.00700000000001</v>
      </c>
      <c r="AB20" s="196">
        <v>233.37</v>
      </c>
      <c r="AC20" s="196">
        <v>230.001</v>
      </c>
      <c r="AD20" s="196">
        <v>227.21600000000001</v>
      </c>
      <c r="AE20" s="667">
        <f>AD20</f>
        <v>227.21600000000001</v>
      </c>
      <c r="AF20" s="193"/>
      <c r="AG20" s="677">
        <v>223.101</v>
      </c>
      <c r="AH20" s="196">
        <v>220.56899999999999</v>
      </c>
      <c r="AI20" s="196">
        <v>215.529</v>
      </c>
      <c r="AJ20" s="196">
        <v>212.55699999999999</v>
      </c>
      <c r="AK20" s="667">
        <f>AJ20</f>
        <v>212.55699999999999</v>
      </c>
      <c r="AL20" s="193"/>
      <c r="AM20" s="677">
        <v>207.00200000000001</v>
      </c>
      <c r="AN20" s="196">
        <v>207.10400000000001</v>
      </c>
      <c r="AO20" s="196">
        <v>203.65299999999999</v>
      </c>
      <c r="AP20" s="196">
        <v>196.65600000000001</v>
      </c>
      <c r="AQ20" s="667">
        <f>AP20</f>
        <v>196.65600000000001</v>
      </c>
      <c r="AR20" s="193"/>
      <c r="AS20" s="677">
        <v>191.81</v>
      </c>
      <c r="AT20" s="196">
        <v>238.77600000000001</v>
      </c>
      <c r="AU20" s="196">
        <v>228.155</v>
      </c>
      <c r="AV20" s="196">
        <v>223.15</v>
      </c>
      <c r="AW20" s="667">
        <f>AV20</f>
        <v>223.15</v>
      </c>
      <c r="AX20" s="193"/>
      <c r="AY20" s="677">
        <v>219.28700000000001</v>
      </c>
      <c r="AZ20" s="196">
        <v>209.52699999999999</v>
      </c>
      <c r="BA20" s="196">
        <v>205.42</v>
      </c>
      <c r="BB20" s="196">
        <v>125.02500000000001</v>
      </c>
      <c r="BC20" s="667">
        <f>BB20</f>
        <v>125.02500000000001</v>
      </c>
      <c r="BD20" s="193"/>
      <c r="BE20" s="677">
        <v>551.33699999999999</v>
      </c>
      <c r="BF20" s="196">
        <v>537.07899999999995</v>
      </c>
      <c r="BG20" s="196">
        <v>522.21500000000003</v>
      </c>
      <c r="BH20" s="196">
        <v>509.29700000000003</v>
      </c>
      <c r="BI20" s="667">
        <f>BH20</f>
        <v>509.29700000000003</v>
      </c>
      <c r="BJ20" s="193"/>
      <c r="BK20" s="677">
        <v>494.98099999999999</v>
      </c>
      <c r="BL20" s="193">
        <v>479.97699999999998</v>
      </c>
      <c r="BM20" s="193">
        <v>434.38600000000002</v>
      </c>
      <c r="BN20" s="196">
        <v>425.43599999999998</v>
      </c>
      <c r="BO20" s="667">
        <f>BN20</f>
        <v>425.43599999999998</v>
      </c>
      <c r="BP20" s="193"/>
      <c r="BQ20" s="677">
        <v>416.29599999999999</v>
      </c>
      <c r="BR20" s="193">
        <v>406.64100000000002</v>
      </c>
      <c r="BS20" s="193">
        <f>+BR20</f>
        <v>406.64100000000002</v>
      </c>
      <c r="BT20" s="199">
        <f>+BT126</f>
        <v>397.86799999999999</v>
      </c>
      <c r="BU20" s="695">
        <f>BT20</f>
        <v>397.86799999999999</v>
      </c>
      <c r="BV20" s="193"/>
      <c r="BW20" s="175">
        <f>+BW126</f>
        <v>388.36799999999999</v>
      </c>
      <c r="BX20" s="199">
        <f>+BX126</f>
        <v>378.86799999999999</v>
      </c>
      <c r="BY20" s="199">
        <f>+BY126</f>
        <v>369.36799999999999</v>
      </c>
      <c r="BZ20" s="199">
        <f>+BZ126</f>
        <v>359.86799999999999</v>
      </c>
      <c r="CA20" s="695">
        <f>BZ20</f>
        <v>359.86799999999999</v>
      </c>
      <c r="CB20" s="193"/>
      <c r="CC20" s="175">
        <f>+CC126</f>
        <v>351.11799999999999</v>
      </c>
      <c r="CD20" s="199">
        <f>+CD126</f>
        <v>342.36799999999999</v>
      </c>
      <c r="CE20" s="199">
        <f>+CE126</f>
        <v>333.61799999999999</v>
      </c>
      <c r="CF20" s="199">
        <f>+CF126</f>
        <v>324.86799999999999</v>
      </c>
      <c r="CG20" s="695">
        <f>CF20</f>
        <v>324.86799999999999</v>
      </c>
      <c r="CH20" s="193"/>
      <c r="CI20" s="175">
        <f>+CI126</f>
        <v>316.11799999999999</v>
      </c>
      <c r="CJ20" s="199">
        <f>+CJ126</f>
        <v>307.36799999999999</v>
      </c>
      <c r="CK20" s="199">
        <f>+CK126</f>
        <v>298.61799999999999</v>
      </c>
      <c r="CL20" s="199">
        <f>+CL126</f>
        <v>289.86799999999999</v>
      </c>
      <c r="CM20" s="695">
        <f>CL20</f>
        <v>289.86799999999999</v>
      </c>
      <c r="CN20" s="200"/>
      <c r="CO20" s="464"/>
      <c r="CP20" s="11"/>
      <c r="CW20" s="17"/>
    </row>
    <row r="21" spans="1:101" ht="11.25" customHeight="1" x14ac:dyDescent="0.2">
      <c r="B21" s="658" t="s">
        <v>274</v>
      </c>
      <c r="C21" s="193">
        <f>100+7.8</f>
        <v>107.8</v>
      </c>
      <c r="D21" s="193">
        <f>100+7.51</f>
        <v>107.51</v>
      </c>
      <c r="E21" s="193">
        <f>100+6.184</f>
        <v>106.184</v>
      </c>
      <c r="F21" s="193">
        <f>100+6.929</f>
        <v>106.929</v>
      </c>
      <c r="G21" s="667">
        <f>F21</f>
        <v>106.929</v>
      </c>
      <c r="H21" s="193"/>
      <c r="I21" s="677">
        <f>100+7.005</f>
        <v>107.005</v>
      </c>
      <c r="J21" s="193">
        <f>99.756+9.014</f>
        <v>108.77</v>
      </c>
      <c r="K21" s="193">
        <f>98.649+7.978</f>
        <v>106.627</v>
      </c>
      <c r="L21" s="193">
        <v>6.258</v>
      </c>
      <c r="M21" s="667">
        <f>L21</f>
        <v>6.258</v>
      </c>
      <c r="N21" s="193"/>
      <c r="O21" s="677">
        <v>6.2750000000000004</v>
      </c>
      <c r="P21" s="193">
        <v>6.3070000000000004</v>
      </c>
      <c r="Q21" s="193">
        <v>5.83</v>
      </c>
      <c r="R21" s="193">
        <v>9.9169999999999998</v>
      </c>
      <c r="S21" s="667">
        <f>R21</f>
        <v>9.9169999999999998</v>
      </c>
      <c r="T21" s="193"/>
      <c r="U21" s="677">
        <v>19.36</v>
      </c>
      <c r="V21" s="193">
        <v>17.062999999999999</v>
      </c>
      <c r="W21" s="193">
        <v>15.243</v>
      </c>
      <c r="X21" s="193">
        <v>38.863</v>
      </c>
      <c r="Y21" s="667">
        <f>X21</f>
        <v>38.863</v>
      </c>
      <c r="Z21" s="193"/>
      <c r="AA21" s="677">
        <v>31.942</v>
      </c>
      <c r="AB21" s="193">
        <v>28.544</v>
      </c>
      <c r="AC21" s="193">
        <v>26.678999999999998</v>
      </c>
      <c r="AD21" s="193">
        <v>31.559000000000001</v>
      </c>
      <c r="AE21" s="667">
        <f>AD21</f>
        <v>31.559000000000001</v>
      </c>
      <c r="AF21" s="193"/>
      <c r="AG21" s="677">
        <v>28.477</v>
      </c>
      <c r="AH21" s="193">
        <v>25.946999999999999</v>
      </c>
      <c r="AI21" s="193">
        <v>26.140999999999998</v>
      </c>
      <c r="AJ21" s="193">
        <v>25.532</v>
      </c>
      <c r="AK21" s="667">
        <f>AJ21</f>
        <v>25.532</v>
      </c>
      <c r="AL21" s="193"/>
      <c r="AM21" s="677">
        <v>24.893999999999998</v>
      </c>
      <c r="AN21" s="193">
        <v>24.364000000000001</v>
      </c>
      <c r="AO21" s="193">
        <v>23.960999999999999</v>
      </c>
      <c r="AP21" s="193">
        <v>22.599</v>
      </c>
      <c r="AQ21" s="667">
        <f>AP21</f>
        <v>22.599</v>
      </c>
      <c r="AR21" s="193"/>
      <c r="AS21" s="677">
        <v>23.491</v>
      </c>
      <c r="AT21" s="193">
        <v>23.471</v>
      </c>
      <c r="AU21" s="193">
        <v>85.466999999999999</v>
      </c>
      <c r="AV21" s="193">
        <v>85.903000000000006</v>
      </c>
      <c r="AW21" s="667">
        <f>AV21</f>
        <v>85.903000000000006</v>
      </c>
      <c r="AX21" s="193"/>
      <c r="AY21" s="677">
        <v>86.787000000000006</v>
      </c>
      <c r="AZ21" s="193">
        <v>26.225999999999999</v>
      </c>
      <c r="BA21" s="193">
        <v>37.122</v>
      </c>
      <c r="BB21" s="193">
        <f>635.794+35.461</f>
        <v>671.255</v>
      </c>
      <c r="BC21" s="667">
        <f>BB21</f>
        <v>671.255</v>
      </c>
      <c r="BD21" s="193"/>
      <c r="BE21" s="677">
        <v>89.045000000000002</v>
      </c>
      <c r="BF21" s="193">
        <v>83.26</v>
      </c>
      <c r="BG21" s="193">
        <v>83.456000000000003</v>
      </c>
      <c r="BH21" s="193">
        <v>65.811000000000007</v>
      </c>
      <c r="BI21" s="667">
        <f>BH21</f>
        <v>65.811000000000007</v>
      </c>
      <c r="BJ21" s="193"/>
      <c r="BK21" s="677">
        <v>65.171000000000006</v>
      </c>
      <c r="BL21" s="193">
        <v>64.683999999999997</v>
      </c>
      <c r="BM21" s="193">
        <v>67.459999999999994</v>
      </c>
      <c r="BN21" s="193">
        <v>65.355999999999995</v>
      </c>
      <c r="BO21" s="667">
        <f>BN21</f>
        <v>65.355999999999995</v>
      </c>
      <c r="BP21" s="193"/>
      <c r="BQ21" s="677">
        <v>65.177999999999997</v>
      </c>
      <c r="BR21" s="193">
        <v>66.106999999999999</v>
      </c>
      <c r="BS21" s="193">
        <v>67.459999999999994</v>
      </c>
      <c r="BT21" s="199">
        <f>BS21-'Cash Flow'!BT39-'Cash Flow'!BT45</f>
        <v>67.459999999999994</v>
      </c>
      <c r="BU21" s="695">
        <f>BT21</f>
        <v>67.459999999999994</v>
      </c>
      <c r="BV21" s="193"/>
      <c r="BW21" s="175">
        <f>BU21-'Cash Flow'!BW39-'Cash Flow'!BW45</f>
        <v>67.459999999999994</v>
      </c>
      <c r="BX21" s="199">
        <f>BW21-'Cash Flow'!BX39-'Cash Flow'!BX45</f>
        <v>67.459999999999994</v>
      </c>
      <c r="BY21" s="199">
        <f>BX21-'Cash Flow'!BY39-'Cash Flow'!BY45</f>
        <v>67.459999999999994</v>
      </c>
      <c r="BZ21" s="199">
        <f>BY21-'Cash Flow'!BZ39-'Cash Flow'!BZ45</f>
        <v>67.459999999999994</v>
      </c>
      <c r="CA21" s="695">
        <f>BZ21</f>
        <v>67.459999999999994</v>
      </c>
      <c r="CB21" s="193"/>
      <c r="CC21" s="175">
        <f>CA21-'Cash Flow'!CC39-'Cash Flow'!CC45</f>
        <v>67.459999999999994</v>
      </c>
      <c r="CD21" s="199">
        <f>CC21-'Cash Flow'!CD39-'Cash Flow'!CD45</f>
        <v>67.459999999999994</v>
      </c>
      <c r="CE21" s="199">
        <f>CD21-'Cash Flow'!CE39-'Cash Flow'!CE45</f>
        <v>67.459999999999994</v>
      </c>
      <c r="CF21" s="199">
        <f>CE21-'Cash Flow'!CF39-'Cash Flow'!CF45</f>
        <v>67.459999999999994</v>
      </c>
      <c r="CG21" s="695">
        <f>CF21</f>
        <v>67.459999999999994</v>
      </c>
      <c r="CH21" s="193"/>
      <c r="CI21" s="175">
        <f>CG21-'Cash Flow'!CI39-'Cash Flow'!CI45</f>
        <v>67.459999999999994</v>
      </c>
      <c r="CJ21" s="199">
        <f>CI21-'Cash Flow'!CJ39-'Cash Flow'!CJ45</f>
        <v>67.459999999999994</v>
      </c>
      <c r="CK21" s="199">
        <f>CJ21-'Cash Flow'!CK39-'Cash Flow'!CK45</f>
        <v>67.459999999999994</v>
      </c>
      <c r="CL21" s="199">
        <f>CK21-'Cash Flow'!CL39-'Cash Flow'!CL45</f>
        <v>67.459999999999994</v>
      </c>
      <c r="CM21" s="695">
        <f>CL21</f>
        <v>67.459999999999994</v>
      </c>
      <c r="CN21" s="200"/>
      <c r="CO21" s="464"/>
      <c r="CP21" s="11"/>
      <c r="CW21" s="17"/>
    </row>
    <row r="22" spans="1:101" ht="11.25" customHeight="1" thickBot="1" x14ac:dyDescent="0.25">
      <c r="B22" s="699" t="s">
        <v>38</v>
      </c>
      <c r="C22" s="213">
        <f>C15+SUM(C17:C21)</f>
        <v>1950.2570000000001</v>
      </c>
      <c r="D22" s="213">
        <f>D15+SUM(D17:D21)</f>
        <v>1862.2400000000002</v>
      </c>
      <c r="E22" s="213">
        <f>E15+SUM(E17:E21)</f>
        <v>1849.8450000000003</v>
      </c>
      <c r="F22" s="213">
        <f>F15+SUM(F17:F21)</f>
        <v>1940.32</v>
      </c>
      <c r="G22" s="670">
        <f>G15+SUM(G17:G21)</f>
        <v>1940.32</v>
      </c>
      <c r="H22" s="193"/>
      <c r="I22" s="681">
        <f>I15+SUM(I17:I21)</f>
        <v>1996.7999999999997</v>
      </c>
      <c r="J22" s="213">
        <f>J15+SUM(J17:J21)</f>
        <v>2074.9259999999999</v>
      </c>
      <c r="K22" s="213">
        <f>K15+SUM(K17:K21)</f>
        <v>1929.67</v>
      </c>
      <c r="L22" s="213">
        <f>L15+SUM(L17:L21)</f>
        <v>2076.3729999999996</v>
      </c>
      <c r="M22" s="670">
        <f>M15+SUM(M17:M21)</f>
        <v>2076.3729999999996</v>
      </c>
      <c r="N22" s="193"/>
      <c r="O22" s="681">
        <f>O15+SUM(O17:O21)</f>
        <v>2125.7930000000001</v>
      </c>
      <c r="P22" s="213">
        <f>P15+SUM(P17:P21)</f>
        <v>2111.0879999999997</v>
      </c>
      <c r="Q22" s="213">
        <f>Q15+SUM(Q17:Q21)</f>
        <v>2096.9569999999999</v>
      </c>
      <c r="R22" s="213">
        <f>R15+SUM(R17:R21)</f>
        <v>2133.62</v>
      </c>
      <c r="S22" s="670">
        <f>S15+SUM(S17:S21)</f>
        <v>2133.62</v>
      </c>
      <c r="T22" s="193"/>
      <c r="U22" s="681">
        <f>U15+SUM(U17:U21)</f>
        <v>2248.5659999999998</v>
      </c>
      <c r="V22" s="213">
        <f>V15+SUM(V17:V21)</f>
        <v>2254.1330000000003</v>
      </c>
      <c r="W22" s="213">
        <f>W15+SUM(W17:W21)</f>
        <v>2322.8149999999996</v>
      </c>
      <c r="X22" s="213">
        <f>X15+SUM(X17:X21)</f>
        <v>2422.9690000000001</v>
      </c>
      <c r="Y22" s="670">
        <f>Y15+SUM(Y17:Y21)</f>
        <v>2422.9690000000001</v>
      </c>
      <c r="Z22" s="193"/>
      <c r="AA22" s="681">
        <f>AA15+SUM(AA17:AA21)</f>
        <v>2447.9520000000002</v>
      </c>
      <c r="AB22" s="213">
        <f>AB15+SUM(AB17:AB21)</f>
        <v>2550.047</v>
      </c>
      <c r="AC22" s="213">
        <f>AC15+SUM(AC17:AC21)</f>
        <v>2503.585</v>
      </c>
      <c r="AD22" s="213">
        <f>AD15+SUM(AD17:AD21)</f>
        <v>2564.9679999999998</v>
      </c>
      <c r="AE22" s="670">
        <f>AE15+SUM(AE17:AE21)</f>
        <v>2564.9679999999998</v>
      </c>
      <c r="AF22" s="193"/>
      <c r="AG22" s="681">
        <f>AG15+SUM(AG17:AG21)</f>
        <v>2517.5129999999999</v>
      </c>
      <c r="AH22" s="213">
        <f>AH15+SUM(AH17:AH21)</f>
        <v>2397.7629999999999</v>
      </c>
      <c r="AI22" s="213">
        <f>AI15+SUM(AI17:AI21)</f>
        <v>2665.8249999999998</v>
      </c>
      <c r="AJ22" s="213">
        <f>AJ15+SUM(AJ17:AJ21)</f>
        <v>2739.3680000000004</v>
      </c>
      <c r="AK22" s="670">
        <f>AK15+SUM(AK17:AK21)</f>
        <v>2739.3680000000004</v>
      </c>
      <c r="AL22" s="193"/>
      <c r="AM22" s="681">
        <f>AM15+SUM(AM17:AM21)</f>
        <v>2700.4719999999998</v>
      </c>
      <c r="AN22" s="213">
        <f>AN15+SUM(AN17:AN21)</f>
        <v>2620.2400000000002</v>
      </c>
      <c r="AO22" s="213">
        <f>AO15+SUM(AO17:AO21)</f>
        <v>2637.49</v>
      </c>
      <c r="AP22" s="213">
        <f>AP15+SUM(AP17:AP21)</f>
        <v>2681.7779999999998</v>
      </c>
      <c r="AQ22" s="670">
        <f>AQ15+SUM(AQ17:AQ21)</f>
        <v>2681.7779999999998</v>
      </c>
      <c r="AR22" s="193"/>
      <c r="AS22" s="681">
        <f>AS15+SUM(AS17:AS21)</f>
        <v>2761.6469999999999</v>
      </c>
      <c r="AT22" s="213">
        <f>AT15+SUM(AT17:AT21)</f>
        <v>2949.299</v>
      </c>
      <c r="AU22" s="213">
        <f>AU15+SUM(AU17:AU21)</f>
        <v>2976.1480000000001</v>
      </c>
      <c r="AV22" s="213">
        <f>AV15+SUM(AV17:AV21)</f>
        <v>2864.6770000000001</v>
      </c>
      <c r="AW22" s="670">
        <f>AW15+SUM(AW17:AW21)</f>
        <v>2864.6770000000001</v>
      </c>
      <c r="AX22" s="193"/>
      <c r="AY22" s="681">
        <f>AY15+SUM(AY17:AY21)</f>
        <v>2899.1719999999996</v>
      </c>
      <c r="AZ22" s="213">
        <f>AZ15+SUM(AZ17:AZ21)</f>
        <v>2857.4490000000001</v>
      </c>
      <c r="BA22" s="213">
        <f>BA15+SUM(BA17:BA21)</f>
        <v>2871.5320000000002</v>
      </c>
      <c r="BB22" s="213">
        <f>BB15+SUM(BB17:BB21)</f>
        <v>2945.2479999999996</v>
      </c>
      <c r="BC22" s="670">
        <f>BC15+SUM(BC17:BC21)</f>
        <v>2945.2479999999996</v>
      </c>
      <c r="BD22" s="193"/>
      <c r="BE22" s="681">
        <f>BE15+SUM(BE17:BE21)</f>
        <v>4239.6540000000005</v>
      </c>
      <c r="BF22" s="213">
        <f>BF15+SUM(BF17:BF21)</f>
        <v>3451.8379999999997</v>
      </c>
      <c r="BG22" s="213">
        <f>BG15+SUM(BG17:BG21)</f>
        <v>3555.67</v>
      </c>
      <c r="BH22" s="213">
        <f>BH15+SUM(BH17:BH21)</f>
        <v>3520.8040000000001</v>
      </c>
      <c r="BI22" s="670">
        <f>BI15+SUM(BI17:BI21)</f>
        <v>3520.8040000000001</v>
      </c>
      <c r="BJ22" s="193"/>
      <c r="BK22" s="686">
        <f>BK15+SUM(BK17:BK21)</f>
        <v>3499.2669999999998</v>
      </c>
      <c r="BL22" s="219">
        <f>BL15+SUM(BL17:BL21)</f>
        <v>3590.3679999999999</v>
      </c>
      <c r="BM22" s="219">
        <f>BM15+SUM(BM17:BM21)</f>
        <v>3594.0619999999999</v>
      </c>
      <c r="BN22" s="213">
        <f>BN15+SUM(BN17:BN21)</f>
        <v>3507.9129999999996</v>
      </c>
      <c r="BO22" s="670">
        <f>BO15+SUM(BO17:BO21)</f>
        <v>3507.9129999999996</v>
      </c>
      <c r="BP22" s="193"/>
      <c r="BQ22" s="686">
        <f>BQ15+SUM(BQ17:BQ21)</f>
        <v>3495.2420000000002</v>
      </c>
      <c r="BR22" s="219">
        <f>BR15+SUM(BR17:BR21)</f>
        <v>3528.4790000000003</v>
      </c>
      <c r="BS22" s="219">
        <f>BS15+SUM(BS17:BS21)</f>
        <v>3674.3580000000002</v>
      </c>
      <c r="BT22" s="219">
        <f>BT15+SUM(BT17:BT21)</f>
        <v>3606.5449215250301</v>
      </c>
      <c r="BU22" s="675">
        <f>BU15+SUM(BU17:BU21)</f>
        <v>3606.5449215250301</v>
      </c>
      <c r="BV22" s="193"/>
      <c r="BW22" s="686">
        <f>BW15+SUM(BW17:BW21)</f>
        <v>3558.0263087741719</v>
      </c>
      <c r="BX22" s="219">
        <f>BX15+SUM(BX17:BX21)</f>
        <v>3583.0557715928917</v>
      </c>
      <c r="BY22" s="219">
        <f>BY15+SUM(BY17:BY21)</f>
        <v>3622.6903566890896</v>
      </c>
      <c r="BZ22" s="219">
        <f>BZ15+SUM(BZ17:BZ21)</f>
        <v>3590.3760766688188</v>
      </c>
      <c r="CA22" s="675">
        <f>CA15+SUM(CA17:CA21)</f>
        <v>3590.3760766688188</v>
      </c>
      <c r="CB22" s="193"/>
      <c r="CC22" s="686">
        <f>CC15+SUM(CC17:CC21)</f>
        <v>3548.1818804066661</v>
      </c>
      <c r="CD22" s="219">
        <f>CD15+SUM(CD17:CD21)</f>
        <v>3576.8489523493308</v>
      </c>
      <c r="CE22" s="219">
        <f>CE15+SUM(CE17:CE21)</f>
        <v>3620.4710485813875</v>
      </c>
      <c r="CF22" s="219">
        <f>CF15+SUM(CF17:CF21)</f>
        <v>3588.7013977804199</v>
      </c>
      <c r="CG22" s="675">
        <f>CG15+SUM(CG17:CG21)</f>
        <v>3588.7013977804199</v>
      </c>
      <c r="CH22" s="193"/>
      <c r="CI22" s="686">
        <f>CI15+SUM(CI17:CI21)</f>
        <v>3543.7871428081817</v>
      </c>
      <c r="CJ22" s="219">
        <f>CJ15+SUM(CJ17:CJ21)</f>
        <v>3568.9340998903635</v>
      </c>
      <c r="CK22" s="219">
        <f>CK15+SUM(CK17:CK21)</f>
        <v>3609.8828050016164</v>
      </c>
      <c r="CL22" s="219">
        <f>CL15+SUM(CL17:CL21)</f>
        <v>3572.7831225791015</v>
      </c>
      <c r="CM22" s="675">
        <f>CM15+SUM(CM17:CM21)</f>
        <v>3572.7831225791015</v>
      </c>
      <c r="CN22" s="200"/>
      <c r="CO22" s="464"/>
      <c r="CP22" s="11"/>
      <c r="CW22" s="17"/>
    </row>
    <row r="23" spans="1:101" ht="11.25" customHeight="1" thickTop="1" x14ac:dyDescent="0.2">
      <c r="B23" s="817" t="s">
        <v>194</v>
      </c>
      <c r="C23" s="197"/>
      <c r="D23" s="197"/>
      <c r="E23" s="197"/>
      <c r="F23" s="197"/>
      <c r="G23" s="669"/>
      <c r="H23" s="193"/>
      <c r="I23" s="680"/>
      <c r="J23" s="197"/>
      <c r="K23" s="197"/>
      <c r="L23" s="197"/>
      <c r="M23" s="669"/>
      <c r="N23" s="193"/>
      <c r="O23" s="680"/>
      <c r="P23" s="197"/>
      <c r="Q23" s="197"/>
      <c r="R23" s="197"/>
      <c r="S23" s="669"/>
      <c r="T23" s="193"/>
      <c r="U23" s="680"/>
      <c r="V23" s="197"/>
      <c r="W23" s="197"/>
      <c r="X23" s="197"/>
      <c r="Y23" s="669"/>
      <c r="Z23" s="193"/>
      <c r="AA23" s="680"/>
      <c r="AB23" s="197"/>
      <c r="AC23" s="197"/>
      <c r="AD23" s="197"/>
      <c r="AE23" s="669"/>
      <c r="AF23" s="193"/>
      <c r="AG23" s="680"/>
      <c r="AH23" s="197"/>
      <c r="AI23" s="197"/>
      <c r="AJ23" s="197"/>
      <c r="AK23" s="669"/>
      <c r="AL23" s="193"/>
      <c r="AM23" s="680"/>
      <c r="AN23" s="197"/>
      <c r="AO23" s="197"/>
      <c r="AP23" s="197"/>
      <c r="AQ23" s="669"/>
      <c r="AR23" s="193"/>
      <c r="AS23" s="680"/>
      <c r="AT23" s="197"/>
      <c r="AU23" s="197"/>
      <c r="AV23" s="197"/>
      <c r="AW23" s="669"/>
      <c r="AX23" s="193"/>
      <c r="AY23" s="680"/>
      <c r="AZ23" s="197"/>
      <c r="BA23" s="197"/>
      <c r="BB23" s="197"/>
      <c r="BC23" s="669"/>
      <c r="BD23" s="193"/>
      <c r="BE23" s="680"/>
      <c r="BF23" s="197"/>
      <c r="BG23" s="197"/>
      <c r="BH23" s="197"/>
      <c r="BI23" s="669"/>
      <c r="BJ23" s="193"/>
      <c r="BK23" s="175"/>
      <c r="BL23" s="199"/>
      <c r="BM23" s="199"/>
      <c r="BN23" s="197"/>
      <c r="BO23" s="669"/>
      <c r="BP23" s="193"/>
      <c r="BQ23" s="175"/>
      <c r="BR23" s="199"/>
      <c r="BS23" s="199"/>
      <c r="BT23" s="199"/>
      <c r="BU23" s="695"/>
      <c r="BV23" s="193"/>
      <c r="BW23" s="175"/>
      <c r="BX23" s="199"/>
      <c r="BY23" s="199"/>
      <c r="BZ23" s="199"/>
      <c r="CA23" s="695"/>
      <c r="CB23" s="193"/>
      <c r="CC23" s="175"/>
      <c r="CD23" s="199"/>
      <c r="CE23" s="199"/>
      <c r="CF23" s="199"/>
      <c r="CG23" s="695"/>
      <c r="CH23" s="193"/>
      <c r="CI23" s="175"/>
      <c r="CJ23" s="199"/>
      <c r="CK23" s="199"/>
      <c r="CL23" s="199"/>
      <c r="CM23" s="695"/>
      <c r="CN23" s="200"/>
      <c r="CO23" s="464"/>
      <c r="CP23" s="11"/>
      <c r="CW23" s="17"/>
    </row>
    <row r="24" spans="1:101" ht="11.25" customHeight="1" x14ac:dyDescent="0.2">
      <c r="B24" s="658" t="s">
        <v>195</v>
      </c>
      <c r="C24" s="201"/>
      <c r="D24" s="201"/>
      <c r="E24" s="201"/>
      <c r="F24" s="201"/>
      <c r="G24" s="668"/>
      <c r="H24" s="204"/>
      <c r="I24" s="679"/>
      <c r="J24" s="201"/>
      <c r="K24" s="201"/>
      <c r="L24" s="201"/>
      <c r="M24" s="668"/>
      <c r="N24" s="204"/>
      <c r="O24" s="679"/>
      <c r="P24" s="201"/>
      <c r="Q24" s="201"/>
      <c r="R24" s="201"/>
      <c r="S24" s="668"/>
      <c r="T24" s="204"/>
      <c r="U24" s="679"/>
      <c r="V24" s="201"/>
      <c r="W24" s="201"/>
      <c r="X24" s="201"/>
      <c r="Y24" s="668"/>
      <c r="Z24" s="204"/>
      <c r="AA24" s="679"/>
      <c r="AB24" s="201"/>
      <c r="AC24" s="201"/>
      <c r="AD24" s="201"/>
      <c r="AE24" s="668"/>
      <c r="AF24" s="204"/>
      <c r="AG24" s="679"/>
      <c r="AH24" s="201"/>
      <c r="AI24" s="201"/>
      <c r="AJ24" s="201"/>
      <c r="AK24" s="668"/>
      <c r="AL24" s="204"/>
      <c r="AM24" s="679"/>
      <c r="AN24" s="201"/>
      <c r="AO24" s="201"/>
      <c r="AP24" s="201"/>
      <c r="AQ24" s="668"/>
      <c r="AR24" s="204"/>
      <c r="AS24" s="679"/>
      <c r="AT24" s="201"/>
      <c r="AU24" s="201"/>
      <c r="AV24" s="201"/>
      <c r="AW24" s="668"/>
      <c r="AX24" s="204"/>
      <c r="AY24" s="679"/>
      <c r="AZ24" s="201"/>
      <c r="BA24" s="201"/>
      <c r="BB24" s="201"/>
      <c r="BC24" s="668"/>
      <c r="BD24" s="204"/>
      <c r="BE24" s="679"/>
      <c r="BF24" s="201"/>
      <c r="BG24" s="201"/>
      <c r="BH24" s="201"/>
      <c r="BI24" s="668"/>
      <c r="BJ24" s="204"/>
      <c r="BK24" s="682"/>
      <c r="BL24" s="203"/>
      <c r="BM24" s="203"/>
      <c r="BN24" s="201"/>
      <c r="BO24" s="668"/>
      <c r="BP24" s="204"/>
      <c r="BQ24" s="682"/>
      <c r="BR24" s="203"/>
      <c r="BS24" s="203"/>
      <c r="BT24" s="203"/>
      <c r="BU24" s="671"/>
      <c r="BV24" s="204"/>
      <c r="BW24" s="682"/>
      <c r="BX24" s="203"/>
      <c r="BY24" s="203"/>
      <c r="BZ24" s="203"/>
      <c r="CA24" s="671"/>
      <c r="CB24" s="204"/>
      <c r="CC24" s="682"/>
      <c r="CD24" s="203"/>
      <c r="CE24" s="203"/>
      <c r="CF24" s="203"/>
      <c r="CG24" s="671"/>
      <c r="CH24" s="204"/>
      <c r="CI24" s="682"/>
      <c r="CJ24" s="203"/>
      <c r="CK24" s="203"/>
      <c r="CL24" s="203"/>
      <c r="CM24" s="671"/>
      <c r="CN24" s="217"/>
      <c r="CO24" s="464"/>
      <c r="CP24" s="11"/>
      <c r="CW24" s="17"/>
    </row>
    <row r="25" spans="1:101" ht="11.25" customHeight="1" x14ac:dyDescent="0.2">
      <c r="B25" s="656" t="s">
        <v>98</v>
      </c>
      <c r="C25" s="196">
        <v>154.18100000000001</v>
      </c>
      <c r="D25" s="196">
        <v>136.517</v>
      </c>
      <c r="E25" s="196">
        <v>141.74199999999999</v>
      </c>
      <c r="F25" s="196">
        <v>182.761</v>
      </c>
      <c r="G25" s="667">
        <f t="shared" ref="G25:G30" si="15">F25</f>
        <v>182.761</v>
      </c>
      <c r="H25" s="202"/>
      <c r="I25" s="677">
        <v>171.40299999999999</v>
      </c>
      <c r="J25" s="196">
        <v>181.774</v>
      </c>
      <c r="K25" s="196">
        <v>187.03100000000001</v>
      </c>
      <c r="L25" s="196">
        <v>194.405</v>
      </c>
      <c r="M25" s="667">
        <f t="shared" ref="M25:M30" si="16">L25</f>
        <v>194.405</v>
      </c>
      <c r="N25" s="202"/>
      <c r="O25" s="677">
        <v>183.64400000000001</v>
      </c>
      <c r="P25" s="196">
        <v>188.523</v>
      </c>
      <c r="Q25" s="196">
        <v>173.27799999999999</v>
      </c>
      <c r="R25" s="196">
        <v>180.93299999999999</v>
      </c>
      <c r="S25" s="667">
        <f t="shared" ref="S25:S30" si="17">R25</f>
        <v>180.93299999999999</v>
      </c>
      <c r="T25" s="202"/>
      <c r="U25" s="677">
        <v>199.381</v>
      </c>
      <c r="V25" s="196">
        <v>174.06100000000001</v>
      </c>
      <c r="W25" s="196">
        <v>184.035</v>
      </c>
      <c r="X25" s="196">
        <v>193.626</v>
      </c>
      <c r="Y25" s="667">
        <f t="shared" ref="Y25:Y30" si="18">X25</f>
        <v>193.626</v>
      </c>
      <c r="Z25" s="202"/>
      <c r="AA25" s="677">
        <v>180.47200000000001</v>
      </c>
      <c r="AB25" s="196">
        <v>164.34200000000001</v>
      </c>
      <c r="AC25" s="196">
        <v>172.227</v>
      </c>
      <c r="AD25" s="196">
        <v>210.03299999999999</v>
      </c>
      <c r="AE25" s="667">
        <f t="shared" ref="AE25:AE30" si="19">AD25</f>
        <v>210.03299999999999</v>
      </c>
      <c r="AF25" s="202"/>
      <c r="AG25" s="677">
        <v>201.80099999999999</v>
      </c>
      <c r="AH25" s="196">
        <v>186.01900000000001</v>
      </c>
      <c r="AI25" s="196">
        <v>189.40700000000001</v>
      </c>
      <c r="AJ25" s="196">
        <v>207.91499999999999</v>
      </c>
      <c r="AK25" s="667">
        <f t="shared" ref="AK25:AK30" si="20">AJ25</f>
        <v>207.91499999999999</v>
      </c>
      <c r="AL25" s="202"/>
      <c r="AM25" s="677">
        <v>202.25299999999999</v>
      </c>
      <c r="AN25" s="196">
        <v>223.035</v>
      </c>
      <c r="AO25" s="196">
        <v>220.87</v>
      </c>
      <c r="AP25" s="196">
        <v>249.79499999999999</v>
      </c>
      <c r="AQ25" s="667">
        <f t="shared" ref="AQ25:AQ30" si="21">AP25</f>
        <v>249.79499999999999</v>
      </c>
      <c r="AR25" s="202"/>
      <c r="AS25" s="677">
        <v>227.786</v>
      </c>
      <c r="AT25" s="196">
        <v>353.399</v>
      </c>
      <c r="AU25" s="196">
        <v>330.80099999999999</v>
      </c>
      <c r="AV25" s="196">
        <v>342.05599999999998</v>
      </c>
      <c r="AW25" s="667">
        <f t="shared" ref="AW25:AW30" si="22">AV25</f>
        <v>342.05599999999998</v>
      </c>
      <c r="AX25" s="202"/>
      <c r="AY25" s="677">
        <v>388.17099999999999</v>
      </c>
      <c r="AZ25" s="196">
        <v>337.76100000000002</v>
      </c>
      <c r="BA25" s="196">
        <v>341.42500000000001</v>
      </c>
      <c r="BB25" s="196">
        <v>323.29399999999998</v>
      </c>
      <c r="BC25" s="667">
        <f t="shared" ref="BC25:BC30" si="23">BB25</f>
        <v>323.29399999999998</v>
      </c>
      <c r="BD25" s="202"/>
      <c r="BE25" s="677">
        <v>456.25900000000001</v>
      </c>
      <c r="BF25" s="196">
        <v>492.46899999999999</v>
      </c>
      <c r="BG25" s="196">
        <v>503.52300000000002</v>
      </c>
      <c r="BH25" s="196">
        <v>566.25300000000004</v>
      </c>
      <c r="BI25" s="667">
        <f t="shared" ref="BI25:BI30" si="24">BH25</f>
        <v>566.25300000000004</v>
      </c>
      <c r="BJ25" s="202"/>
      <c r="BK25" s="677">
        <v>523.10500000000002</v>
      </c>
      <c r="BL25" s="193">
        <v>545.36599999999999</v>
      </c>
      <c r="BM25" s="193">
        <v>547.66200000000003</v>
      </c>
      <c r="BN25" s="196">
        <v>616.85900000000004</v>
      </c>
      <c r="BO25" s="667">
        <f t="shared" ref="BO25:BO30" si="25">BN25</f>
        <v>616.85900000000004</v>
      </c>
      <c r="BP25" s="202"/>
      <c r="BQ25" s="677">
        <v>536.02</v>
      </c>
      <c r="BR25" s="193">
        <v>634.59400000000005</v>
      </c>
      <c r="BS25" s="193">
        <v>654.79200000000003</v>
      </c>
      <c r="BT25" s="199">
        <f>BT76*('P&amp;L'!BT9/'P&amp;L'!BT7)</f>
        <v>611.13871882503702</v>
      </c>
      <c r="BU25" s="695">
        <f t="shared" ref="BU25:BU30" si="26">BT25</f>
        <v>611.13871882503702</v>
      </c>
      <c r="BV25" s="202"/>
      <c r="BW25" s="175">
        <f>BW76*('P&amp;L'!BW9/'P&amp;L'!BW7)</f>
        <v>578.5420022820565</v>
      </c>
      <c r="BX25" s="199">
        <f>BX76*('P&amp;L'!BX9/'P&amp;L'!BX7)</f>
        <v>606.49553546965717</v>
      </c>
      <c r="BY25" s="199">
        <f>BY76*('P&amp;L'!BY9/'P&amp;L'!BY7)</f>
        <v>651.24154698971699</v>
      </c>
      <c r="BZ25" s="199">
        <f>BZ76*('P&amp;L'!BZ9/'P&amp;L'!BZ7)</f>
        <v>618.84734211748776</v>
      </c>
      <c r="CA25" s="695">
        <f t="shared" ref="CA25:CA30" si="27">BZ25</f>
        <v>618.84734211748776</v>
      </c>
      <c r="CB25" s="202"/>
      <c r="CC25" s="175">
        <f>CC76*('P&amp;L'!CC9/'P&amp;L'!CC7)</f>
        <v>591.91754703092215</v>
      </c>
      <c r="CD25" s="199">
        <f>CD76*('P&amp;L'!CD9/'P&amp;L'!CD7)</f>
        <v>621.97407707381501</v>
      </c>
      <c r="CE25" s="199">
        <f>CE76*('P&amp;L'!CE9/'P&amp;L'!CE7)</f>
        <v>669.37118598633265</v>
      </c>
      <c r="CF25" s="199">
        <f>CF76*('P&amp;L'!CF9/'P&amp;L'!CF7)</f>
        <v>636.12671660539036</v>
      </c>
      <c r="CG25" s="695">
        <f t="shared" ref="CG25:CG30" si="28">CF25</f>
        <v>636.12671660539036</v>
      </c>
      <c r="CH25" s="202"/>
      <c r="CI25" s="175">
        <f>CI76*('P&amp;L'!CI9/'P&amp;L'!CI7)</f>
        <v>610.78663470089668</v>
      </c>
      <c r="CJ25" s="199">
        <f>CJ76*('P&amp;L'!CJ9/'P&amp;L'!CJ7)</f>
        <v>641.82444611707069</v>
      </c>
      <c r="CK25" s="199">
        <f>CK76*('P&amp;L'!CK9/'P&amp;L'!CK7)</f>
        <v>690.65868362080141</v>
      </c>
      <c r="CL25" s="199">
        <f>CL76*('P&amp;L'!CL9/'P&amp;L'!CL7)</f>
        <v>656.40717118802718</v>
      </c>
      <c r="CM25" s="695">
        <f t="shared" ref="CM25:CM30" si="29">CL25</f>
        <v>656.40717118802718</v>
      </c>
      <c r="CN25" s="203"/>
      <c r="CO25" s="464"/>
      <c r="CP25" s="11"/>
      <c r="CW25" s="17"/>
    </row>
    <row r="26" spans="1:101" ht="11.25" customHeight="1" x14ac:dyDescent="0.2">
      <c r="B26" s="656" t="s">
        <v>276</v>
      </c>
      <c r="C26" s="196">
        <v>41.85</v>
      </c>
      <c r="D26" s="196">
        <v>49.106999999999999</v>
      </c>
      <c r="E26" s="196">
        <v>52.783000000000001</v>
      </c>
      <c r="F26" s="196">
        <v>54.100999999999999</v>
      </c>
      <c r="G26" s="667">
        <f t="shared" si="15"/>
        <v>54.100999999999999</v>
      </c>
      <c r="H26" s="193"/>
      <c r="I26" s="677">
        <v>41.423000000000002</v>
      </c>
      <c r="J26" s="196">
        <v>48.92</v>
      </c>
      <c r="K26" s="196">
        <v>55.066000000000003</v>
      </c>
      <c r="L26" s="196">
        <v>51.56</v>
      </c>
      <c r="M26" s="667">
        <f t="shared" si="16"/>
        <v>51.56</v>
      </c>
      <c r="N26" s="193"/>
      <c r="O26" s="677">
        <v>40.588000000000001</v>
      </c>
      <c r="P26" s="196">
        <v>43.566000000000003</v>
      </c>
      <c r="Q26" s="196">
        <v>43.923999999999999</v>
      </c>
      <c r="R26" s="196">
        <v>45.104999999999997</v>
      </c>
      <c r="S26" s="667">
        <f t="shared" si="17"/>
        <v>45.104999999999997</v>
      </c>
      <c r="T26" s="193"/>
      <c r="U26" s="677">
        <v>34.494999999999997</v>
      </c>
      <c r="V26" s="196">
        <v>49.670999999999999</v>
      </c>
      <c r="W26" s="196">
        <v>58.16</v>
      </c>
      <c r="X26" s="196">
        <v>67.808999999999997</v>
      </c>
      <c r="Y26" s="667">
        <f t="shared" si="18"/>
        <v>67.808999999999997</v>
      </c>
      <c r="Z26" s="193"/>
      <c r="AA26" s="677">
        <v>27.869</v>
      </c>
      <c r="AB26" s="196">
        <v>36.165999999999997</v>
      </c>
      <c r="AC26" s="196">
        <v>55.811</v>
      </c>
      <c r="AD26" s="196">
        <v>56.575000000000003</v>
      </c>
      <c r="AE26" s="667">
        <f t="shared" si="19"/>
        <v>56.575000000000003</v>
      </c>
      <c r="AF26" s="193"/>
      <c r="AG26" s="677">
        <v>33.021000000000001</v>
      </c>
      <c r="AH26" s="196">
        <v>46.091999999999999</v>
      </c>
      <c r="AI26" s="196">
        <v>55.835999999999999</v>
      </c>
      <c r="AJ26" s="196">
        <v>66.385999999999996</v>
      </c>
      <c r="AK26" s="667">
        <f t="shared" si="20"/>
        <v>66.385999999999996</v>
      </c>
      <c r="AL26" s="193"/>
      <c r="AM26" s="677">
        <v>43.033000000000001</v>
      </c>
      <c r="AN26" s="196">
        <v>56.896999999999998</v>
      </c>
      <c r="AO26" s="196">
        <v>75.468999999999994</v>
      </c>
      <c r="AP26" s="196">
        <v>70.686999999999998</v>
      </c>
      <c r="AQ26" s="667">
        <f t="shared" si="21"/>
        <v>70.686999999999998</v>
      </c>
      <c r="AR26" s="193"/>
      <c r="AS26" s="677">
        <v>47.530999999999999</v>
      </c>
      <c r="AT26" s="196">
        <v>60.133000000000003</v>
      </c>
      <c r="AU26" s="196">
        <v>71.415000000000006</v>
      </c>
      <c r="AV26" s="196">
        <v>66.566999999999993</v>
      </c>
      <c r="AW26" s="667">
        <f t="shared" si="22"/>
        <v>66.566999999999993</v>
      </c>
      <c r="AX26" s="193"/>
      <c r="AY26" s="677">
        <v>45.165999999999997</v>
      </c>
      <c r="AZ26" s="196">
        <v>61.747999999999998</v>
      </c>
      <c r="BA26" s="196">
        <v>69.47</v>
      </c>
      <c r="BB26" s="196">
        <v>72.463999999999999</v>
      </c>
      <c r="BC26" s="667">
        <f t="shared" si="23"/>
        <v>72.463999999999999</v>
      </c>
      <c r="BD26" s="193"/>
      <c r="BE26" s="677">
        <v>33.076999999999998</v>
      </c>
      <c r="BF26" s="196">
        <v>47.670999999999999</v>
      </c>
      <c r="BG26" s="196">
        <v>60.994</v>
      </c>
      <c r="BH26" s="196">
        <v>75.447999999999993</v>
      </c>
      <c r="BI26" s="667">
        <f t="shared" si="24"/>
        <v>75.447999999999993</v>
      </c>
      <c r="BJ26" s="193"/>
      <c r="BK26" s="677">
        <v>38.942</v>
      </c>
      <c r="BL26" s="193">
        <v>69.271000000000001</v>
      </c>
      <c r="BM26" s="193">
        <v>72.296999999999997</v>
      </c>
      <c r="BN26" s="196">
        <v>56.881</v>
      </c>
      <c r="BO26" s="667">
        <f t="shared" si="25"/>
        <v>56.881</v>
      </c>
      <c r="BP26" s="193"/>
      <c r="BQ26" s="677">
        <v>41.567</v>
      </c>
      <c r="BR26" s="193">
        <v>57.151000000000003</v>
      </c>
      <c r="BS26" s="193">
        <v>60</v>
      </c>
      <c r="BT26" s="199">
        <f>BT89*('P&amp;L'!BT11*4)</f>
        <v>62.570491233724589</v>
      </c>
      <c r="BU26" s="695">
        <f t="shared" si="26"/>
        <v>62.570491233724589</v>
      </c>
      <c r="BV26" s="193"/>
      <c r="BW26" s="175">
        <f>BW89*('P&amp;L'!BW11*4)</f>
        <v>57.649176113667941</v>
      </c>
      <c r="BX26" s="199">
        <f>BX89*('P&amp;L'!BX11*4)</f>
        <v>61.197486945845156</v>
      </c>
      <c r="BY26" s="199">
        <f>BY89*('P&amp;L'!BY11*4)</f>
        <v>60.305042454409062</v>
      </c>
      <c r="BZ26" s="199">
        <f>BZ89*('P&amp;L'!BZ11*4)</f>
        <v>63.547168449811558</v>
      </c>
      <c r="CA26" s="695">
        <f t="shared" si="27"/>
        <v>63.547168449811558</v>
      </c>
      <c r="CB26" s="193"/>
      <c r="CC26" s="175">
        <f>CC89*('P&amp;L'!CC11*4)</f>
        <v>57.809121975857842</v>
      </c>
      <c r="CD26" s="199">
        <f>CD89*('P&amp;L'!CD11*4)</f>
        <v>61.331022144548186</v>
      </c>
      <c r="CE26" s="199">
        <f>CE89*('P&amp;L'!CE11*4)</f>
        <v>60.569077389123017</v>
      </c>
      <c r="CF26" s="199">
        <f>CF89*('P&amp;L'!CF11*4)</f>
        <v>63.832638282668853</v>
      </c>
      <c r="CG26" s="695">
        <f t="shared" si="28"/>
        <v>63.832638282668853</v>
      </c>
      <c r="CH26" s="193"/>
      <c r="CI26" s="175">
        <f>CI89*('P&amp;L'!CI11*4)</f>
        <v>58.075245497762431</v>
      </c>
      <c r="CJ26" s="199">
        <f>CJ89*('P&amp;L'!CJ11*4)</f>
        <v>61.605929224890517</v>
      </c>
      <c r="CK26" s="199">
        <f>CK89*('P&amp;L'!CK11*4)</f>
        <v>60.822547079367588</v>
      </c>
      <c r="CL26" s="199">
        <f>CL89*('P&amp;L'!CL11*4)</f>
        <v>64.107015535182228</v>
      </c>
      <c r="CM26" s="695">
        <f t="shared" si="29"/>
        <v>64.107015535182228</v>
      </c>
      <c r="CN26" s="200"/>
      <c r="CO26" s="464"/>
      <c r="CP26" s="11"/>
      <c r="CW26" s="17"/>
    </row>
    <row r="27" spans="1:101" ht="11.25" customHeight="1" x14ac:dyDescent="0.2">
      <c r="B27" s="656" t="s">
        <v>277</v>
      </c>
      <c r="C27" s="196">
        <v>83.423000000000002</v>
      </c>
      <c r="D27" s="196">
        <v>94.968000000000004</v>
      </c>
      <c r="E27" s="196">
        <v>86.415999999999997</v>
      </c>
      <c r="F27" s="196">
        <v>86.347999999999999</v>
      </c>
      <c r="G27" s="667">
        <f t="shared" si="15"/>
        <v>86.347999999999999</v>
      </c>
      <c r="H27" s="193"/>
      <c r="I27" s="677">
        <v>82.031999999999996</v>
      </c>
      <c r="J27" s="196">
        <v>85.055999999999997</v>
      </c>
      <c r="K27" s="196">
        <v>113.94199999999999</v>
      </c>
      <c r="L27" s="196">
        <v>90.091999999999999</v>
      </c>
      <c r="M27" s="667">
        <f t="shared" si="16"/>
        <v>90.091999999999999</v>
      </c>
      <c r="N27" s="193"/>
      <c r="O27" s="677">
        <v>90.694999999999993</v>
      </c>
      <c r="P27" s="196">
        <v>80.099999999999994</v>
      </c>
      <c r="Q27" s="196">
        <v>85.947999999999993</v>
      </c>
      <c r="R27" s="196">
        <v>84.855000000000004</v>
      </c>
      <c r="S27" s="667">
        <f t="shared" si="17"/>
        <v>84.855000000000004</v>
      </c>
      <c r="T27" s="193"/>
      <c r="U27" s="677">
        <v>95.545000000000002</v>
      </c>
      <c r="V27" s="196">
        <v>89.906999999999996</v>
      </c>
      <c r="W27" s="196">
        <v>88.956999999999994</v>
      </c>
      <c r="X27" s="196">
        <v>86.915999999999997</v>
      </c>
      <c r="Y27" s="667">
        <f t="shared" si="18"/>
        <v>86.915999999999997</v>
      </c>
      <c r="Z27" s="193"/>
      <c r="AA27" s="677">
        <v>105.657</v>
      </c>
      <c r="AB27" s="196">
        <v>95.576999999999998</v>
      </c>
      <c r="AC27" s="196">
        <v>97.325000000000003</v>
      </c>
      <c r="AD27" s="196">
        <v>100.82299999999999</v>
      </c>
      <c r="AE27" s="667">
        <f t="shared" si="19"/>
        <v>100.82299999999999</v>
      </c>
      <c r="AF27" s="193"/>
      <c r="AG27" s="677">
        <v>102.71599999999999</v>
      </c>
      <c r="AH27" s="196">
        <v>107.464</v>
      </c>
      <c r="AI27" s="196">
        <v>102.24</v>
      </c>
      <c r="AJ27" s="196">
        <v>130.34700000000001</v>
      </c>
      <c r="AK27" s="667">
        <f t="shared" si="20"/>
        <v>130.34700000000001</v>
      </c>
      <c r="AL27" s="193"/>
      <c r="AM27" s="677">
        <v>131.06800000000001</v>
      </c>
      <c r="AN27" s="196">
        <v>102.782</v>
      </c>
      <c r="AO27" s="196">
        <v>110.688</v>
      </c>
      <c r="AP27" s="196">
        <v>128.03700000000001</v>
      </c>
      <c r="AQ27" s="667">
        <f t="shared" si="21"/>
        <v>128.03700000000001</v>
      </c>
      <c r="AR27" s="193"/>
      <c r="AS27" s="677">
        <v>117.19499999999999</v>
      </c>
      <c r="AT27" s="196">
        <v>118.101</v>
      </c>
      <c r="AU27" s="196">
        <v>140.96600000000001</v>
      </c>
      <c r="AV27" s="196">
        <v>134.84</v>
      </c>
      <c r="AW27" s="667">
        <f t="shared" si="22"/>
        <v>134.84</v>
      </c>
      <c r="AX27" s="193"/>
      <c r="AY27" s="677">
        <v>149.62899999999999</v>
      </c>
      <c r="AZ27" s="196">
        <v>147.577</v>
      </c>
      <c r="BA27" s="196">
        <v>158.167</v>
      </c>
      <c r="BB27" s="196">
        <v>142.61099999999999</v>
      </c>
      <c r="BC27" s="667">
        <f t="shared" si="23"/>
        <v>142.61099999999999</v>
      </c>
      <c r="BD27" s="193"/>
      <c r="BE27" s="677">
        <v>165.27600000000001</v>
      </c>
      <c r="BF27" s="196">
        <v>162.22499999999999</v>
      </c>
      <c r="BG27" s="196">
        <v>136.58099999999999</v>
      </c>
      <c r="BH27" s="196">
        <v>151.13399999999999</v>
      </c>
      <c r="BI27" s="667">
        <f t="shared" si="24"/>
        <v>151.13399999999999</v>
      </c>
      <c r="BJ27" s="193"/>
      <c r="BK27" s="677">
        <v>148.39400000000001</v>
      </c>
      <c r="BL27" s="193">
        <v>148.40700000000001</v>
      </c>
      <c r="BM27" s="193">
        <v>155.74</v>
      </c>
      <c r="BN27" s="196">
        <v>156.43700000000001</v>
      </c>
      <c r="BO27" s="667">
        <f t="shared" si="25"/>
        <v>156.43700000000001</v>
      </c>
      <c r="BP27" s="193"/>
      <c r="BQ27" s="677">
        <v>146.72300000000001</v>
      </c>
      <c r="BR27" s="193">
        <v>152.13200000000001</v>
      </c>
      <c r="BS27" s="193">
        <f>191.54-BS26</f>
        <v>131.54</v>
      </c>
      <c r="BT27" s="189">
        <f>BS27</f>
        <v>131.54</v>
      </c>
      <c r="BU27" s="695">
        <f t="shared" si="26"/>
        <v>131.54</v>
      </c>
      <c r="BV27" s="193"/>
      <c r="BW27" s="560">
        <f>BU27</f>
        <v>131.54</v>
      </c>
      <c r="BX27" s="189">
        <f>BW27</f>
        <v>131.54</v>
      </c>
      <c r="BY27" s="189">
        <f>BX27</f>
        <v>131.54</v>
      </c>
      <c r="BZ27" s="189">
        <f>BY27</f>
        <v>131.54</v>
      </c>
      <c r="CA27" s="695">
        <f t="shared" si="27"/>
        <v>131.54</v>
      </c>
      <c r="CB27" s="193"/>
      <c r="CC27" s="560">
        <f>CA27</f>
        <v>131.54</v>
      </c>
      <c r="CD27" s="189">
        <f>CC27</f>
        <v>131.54</v>
      </c>
      <c r="CE27" s="189">
        <f>CD27</f>
        <v>131.54</v>
      </c>
      <c r="CF27" s="189">
        <f>CE27</f>
        <v>131.54</v>
      </c>
      <c r="CG27" s="695">
        <f t="shared" si="28"/>
        <v>131.54</v>
      </c>
      <c r="CH27" s="193"/>
      <c r="CI27" s="560">
        <f>CG27</f>
        <v>131.54</v>
      </c>
      <c r="CJ27" s="189">
        <f>CI27</f>
        <v>131.54</v>
      </c>
      <c r="CK27" s="189">
        <f>CJ27</f>
        <v>131.54</v>
      </c>
      <c r="CL27" s="189">
        <f>CK27</f>
        <v>131.54</v>
      </c>
      <c r="CM27" s="695">
        <f t="shared" si="29"/>
        <v>131.54</v>
      </c>
      <c r="CN27" s="200"/>
      <c r="CO27" s="464"/>
      <c r="CP27" s="11"/>
      <c r="CW27" s="17"/>
    </row>
    <row r="28" spans="1:101" ht="11.25" customHeight="1" x14ac:dyDescent="0.2">
      <c r="B28" s="656" t="s">
        <v>278</v>
      </c>
      <c r="C28" s="196">
        <v>90.028999999999996</v>
      </c>
      <c r="D28" s="196">
        <v>90.021000000000001</v>
      </c>
      <c r="E28" s="196">
        <v>70.013999999999996</v>
      </c>
      <c r="F28" s="196">
        <v>50.014000000000003</v>
      </c>
      <c r="G28" s="667">
        <f t="shared" si="15"/>
        <v>50.014000000000003</v>
      </c>
      <c r="H28" s="193"/>
      <c r="I28" s="677">
        <v>50.008000000000003</v>
      </c>
      <c r="J28" s="196">
        <v>50.008000000000003</v>
      </c>
      <c r="K28" s="196">
        <v>130.05199999999999</v>
      </c>
      <c r="L28" s="196">
        <v>130.01</v>
      </c>
      <c r="M28" s="667">
        <f t="shared" si="16"/>
        <v>130.01</v>
      </c>
      <c r="N28" s="193"/>
      <c r="O28" s="677">
        <v>130.00800000000001</v>
      </c>
      <c r="P28" s="196">
        <v>130.006</v>
      </c>
      <c r="Q28" s="196">
        <v>63.006</v>
      </c>
      <c r="R28" s="196">
        <v>22</v>
      </c>
      <c r="S28" s="667">
        <f t="shared" si="17"/>
        <v>22</v>
      </c>
      <c r="T28" s="193"/>
      <c r="U28" s="677">
        <v>14</v>
      </c>
      <c r="V28" s="196">
        <v>0</v>
      </c>
      <c r="W28" s="196">
        <v>0</v>
      </c>
      <c r="X28" s="196">
        <v>0</v>
      </c>
      <c r="Y28" s="667">
        <f t="shared" si="18"/>
        <v>0</v>
      </c>
      <c r="Z28" s="193"/>
      <c r="AA28" s="677">
        <v>0</v>
      </c>
      <c r="AB28" s="196">
        <v>0</v>
      </c>
      <c r="AC28" s="196">
        <v>0</v>
      </c>
      <c r="AD28" s="196">
        <v>0</v>
      </c>
      <c r="AE28" s="667">
        <f t="shared" si="19"/>
        <v>0</v>
      </c>
      <c r="AF28" s="193"/>
      <c r="AG28" s="677">
        <v>0</v>
      </c>
      <c r="AH28" s="196">
        <v>0</v>
      </c>
      <c r="AI28" s="196">
        <v>0</v>
      </c>
      <c r="AJ28" s="196">
        <v>125</v>
      </c>
      <c r="AK28" s="667">
        <f t="shared" si="20"/>
        <v>125</v>
      </c>
      <c r="AL28" s="193"/>
      <c r="AM28" s="677">
        <v>125</v>
      </c>
      <c r="AN28" s="196">
        <v>50</v>
      </c>
      <c r="AO28" s="196">
        <v>50</v>
      </c>
      <c r="AP28" s="196">
        <v>0</v>
      </c>
      <c r="AQ28" s="667">
        <f t="shared" si="21"/>
        <v>0</v>
      </c>
      <c r="AR28" s="193"/>
      <c r="AS28" s="677">
        <v>0</v>
      </c>
      <c r="AT28" s="196">
        <v>0</v>
      </c>
      <c r="AU28" s="196">
        <v>0</v>
      </c>
      <c r="AV28" s="196">
        <v>0</v>
      </c>
      <c r="AW28" s="667">
        <f t="shared" si="22"/>
        <v>0</v>
      </c>
      <c r="AX28" s="193"/>
      <c r="AY28" s="677">
        <v>0</v>
      </c>
      <c r="AZ28" s="196">
        <v>0</v>
      </c>
      <c r="BA28" s="196">
        <v>0</v>
      </c>
      <c r="BB28" s="196">
        <v>0</v>
      </c>
      <c r="BC28" s="667">
        <f t="shared" si="23"/>
        <v>0</v>
      </c>
      <c r="BD28" s="193"/>
      <c r="BE28" s="677">
        <v>39.523000000000003</v>
      </c>
      <c r="BF28" s="196">
        <v>15.991</v>
      </c>
      <c r="BG28" s="196">
        <v>16.5</v>
      </c>
      <c r="BH28" s="196">
        <v>16.5</v>
      </c>
      <c r="BI28" s="667">
        <f t="shared" si="24"/>
        <v>16.5</v>
      </c>
      <c r="BJ28" s="193"/>
      <c r="BK28" s="677">
        <v>18.562999999999999</v>
      </c>
      <c r="BL28" s="193">
        <v>20.625</v>
      </c>
      <c r="BM28" s="193">
        <v>14.754</v>
      </c>
      <c r="BN28" s="196">
        <v>14.754</v>
      </c>
      <c r="BO28" s="667">
        <f t="shared" si="25"/>
        <v>14.754</v>
      </c>
      <c r="BP28" s="193"/>
      <c r="BQ28" s="677">
        <v>14.754</v>
      </c>
      <c r="BR28" s="193">
        <v>14.754</v>
      </c>
      <c r="BS28" s="193">
        <v>74.754000000000005</v>
      </c>
      <c r="BT28" s="185">
        <f>Debt!BS20*-1</f>
        <v>74.754000000000005</v>
      </c>
      <c r="BU28" s="695">
        <f t="shared" si="26"/>
        <v>74.754000000000005</v>
      </c>
      <c r="BV28" s="193"/>
      <c r="BW28" s="475">
        <f>Debt!BV20*-1</f>
        <v>74.754000000000005</v>
      </c>
      <c r="BX28" s="185">
        <f>Debt!BW20*-1</f>
        <v>74.754000000000005</v>
      </c>
      <c r="BY28" s="185">
        <f>Debt!BX20*-1</f>
        <v>74.754000000000005</v>
      </c>
      <c r="BZ28" s="185">
        <f>Debt!BY20*-1</f>
        <v>74.754000000000005</v>
      </c>
      <c r="CA28" s="695">
        <f t="shared" si="27"/>
        <v>74.754000000000005</v>
      </c>
      <c r="CB28" s="193"/>
      <c r="CC28" s="475">
        <f>Debt!CB20*-1</f>
        <v>74.754000000000005</v>
      </c>
      <c r="CD28" s="185">
        <f>Debt!CC20*-1</f>
        <v>74.754000000000005</v>
      </c>
      <c r="CE28" s="185">
        <f>Debt!CD20*-1</f>
        <v>74.754000000000005</v>
      </c>
      <c r="CF28" s="185">
        <f>Debt!CE20*-1</f>
        <v>74.754000000000005</v>
      </c>
      <c r="CG28" s="695">
        <f t="shared" si="28"/>
        <v>74.754000000000005</v>
      </c>
      <c r="CH28" s="193"/>
      <c r="CI28" s="475">
        <f>Debt!CH20*-1</f>
        <v>74.754000000000005</v>
      </c>
      <c r="CJ28" s="185">
        <f>Debt!CI20*-1</f>
        <v>74.754000000000005</v>
      </c>
      <c r="CK28" s="185">
        <f>Debt!CJ20*-1</f>
        <v>74.754000000000005</v>
      </c>
      <c r="CL28" s="185">
        <f>Debt!CK20*-1</f>
        <v>74.754000000000005</v>
      </c>
      <c r="CM28" s="695">
        <f t="shared" si="29"/>
        <v>74.754000000000005</v>
      </c>
      <c r="CN28" s="200"/>
      <c r="CO28" s="464"/>
      <c r="CP28" s="11"/>
      <c r="CW28" s="17"/>
    </row>
    <row r="29" spans="1:101" ht="11.25" customHeight="1" x14ac:dyDescent="0.2">
      <c r="B29" s="656" t="s">
        <v>279</v>
      </c>
      <c r="C29" s="196">
        <v>0</v>
      </c>
      <c r="D29" s="196">
        <v>0</v>
      </c>
      <c r="E29" s="196">
        <v>0</v>
      </c>
      <c r="F29" s="196">
        <v>0</v>
      </c>
      <c r="G29" s="667">
        <f t="shared" si="15"/>
        <v>0</v>
      </c>
      <c r="H29" s="193"/>
      <c r="I29" s="677">
        <v>0</v>
      </c>
      <c r="J29" s="196">
        <v>0</v>
      </c>
      <c r="K29" s="196">
        <v>0</v>
      </c>
      <c r="L29" s="196">
        <v>0</v>
      </c>
      <c r="M29" s="667">
        <f t="shared" si="16"/>
        <v>0</v>
      </c>
      <c r="N29" s="193"/>
      <c r="O29" s="677">
        <v>0</v>
      </c>
      <c r="P29" s="196">
        <v>0</v>
      </c>
      <c r="Q29" s="196">
        <v>0</v>
      </c>
      <c r="R29" s="196">
        <v>0</v>
      </c>
      <c r="S29" s="667">
        <f t="shared" si="17"/>
        <v>0</v>
      </c>
      <c r="T29" s="193"/>
      <c r="U29" s="677">
        <v>0</v>
      </c>
      <c r="V29" s="196">
        <v>0</v>
      </c>
      <c r="W29" s="196">
        <v>0</v>
      </c>
      <c r="X29" s="196">
        <v>0</v>
      </c>
      <c r="Y29" s="667">
        <f t="shared" si="18"/>
        <v>0</v>
      </c>
      <c r="Z29" s="193"/>
      <c r="AA29" s="677">
        <v>0</v>
      </c>
      <c r="AB29" s="196">
        <v>0</v>
      </c>
      <c r="AC29" s="196">
        <v>0</v>
      </c>
      <c r="AD29" s="196">
        <v>0</v>
      </c>
      <c r="AE29" s="667">
        <f t="shared" si="19"/>
        <v>0</v>
      </c>
      <c r="AF29" s="193"/>
      <c r="AG29" s="677">
        <v>0</v>
      </c>
      <c r="AH29" s="196">
        <v>20</v>
      </c>
      <c r="AI29" s="196">
        <v>0</v>
      </c>
      <c r="AJ29" s="196">
        <v>0</v>
      </c>
      <c r="AK29" s="667">
        <f t="shared" si="20"/>
        <v>0</v>
      </c>
      <c r="AL29" s="193"/>
      <c r="AM29" s="677">
        <v>0</v>
      </c>
      <c r="AN29" s="196">
        <v>0</v>
      </c>
      <c r="AO29" s="196">
        <v>0</v>
      </c>
      <c r="AP29" s="196">
        <v>0</v>
      </c>
      <c r="AQ29" s="667">
        <f t="shared" si="21"/>
        <v>0</v>
      </c>
      <c r="AR29" s="193"/>
      <c r="AS29" s="677">
        <v>135</v>
      </c>
      <c r="AT29" s="196">
        <v>135</v>
      </c>
      <c r="AU29" s="196">
        <v>135</v>
      </c>
      <c r="AV29" s="196">
        <v>0</v>
      </c>
      <c r="AW29" s="667">
        <f t="shared" si="22"/>
        <v>0</v>
      </c>
      <c r="AX29" s="193"/>
      <c r="AY29" s="677">
        <v>0</v>
      </c>
      <c r="AZ29" s="196">
        <v>0</v>
      </c>
      <c r="BA29" s="196">
        <v>0</v>
      </c>
      <c r="BB29" s="196">
        <v>0</v>
      </c>
      <c r="BC29" s="667">
        <f t="shared" si="23"/>
        <v>0</v>
      </c>
      <c r="BD29" s="193"/>
      <c r="BE29" s="677">
        <v>0</v>
      </c>
      <c r="BF29" s="196">
        <v>80</v>
      </c>
      <c r="BG29" s="196">
        <v>198</v>
      </c>
      <c r="BH29" s="196">
        <v>20</v>
      </c>
      <c r="BI29" s="667">
        <f t="shared" si="24"/>
        <v>20</v>
      </c>
      <c r="BJ29" s="193"/>
      <c r="BK29" s="677">
        <v>108</v>
      </c>
      <c r="BL29" s="193">
        <v>163</v>
      </c>
      <c r="BM29" s="193">
        <v>198</v>
      </c>
      <c r="BN29" s="196">
        <v>59</v>
      </c>
      <c r="BO29" s="667">
        <f t="shared" si="25"/>
        <v>59</v>
      </c>
      <c r="BP29" s="193"/>
      <c r="BQ29" s="677">
        <v>163</v>
      </c>
      <c r="BR29" s="193">
        <v>92</v>
      </c>
      <c r="BS29" s="193">
        <v>179</v>
      </c>
      <c r="BT29" s="189">
        <f t="shared" ref="BS29:BT30" si="30">BS29</f>
        <v>179</v>
      </c>
      <c r="BU29" s="695">
        <f t="shared" si="26"/>
        <v>179</v>
      </c>
      <c r="BV29" s="193"/>
      <c r="BW29" s="560">
        <f>BU29</f>
        <v>179</v>
      </c>
      <c r="BX29" s="189">
        <f t="shared" ref="BX29:BZ30" si="31">BW29</f>
        <v>179</v>
      </c>
      <c r="BY29" s="189">
        <f t="shared" si="31"/>
        <v>179</v>
      </c>
      <c r="BZ29" s="189">
        <f t="shared" si="31"/>
        <v>179</v>
      </c>
      <c r="CA29" s="695">
        <f t="shared" si="27"/>
        <v>179</v>
      </c>
      <c r="CB29" s="193"/>
      <c r="CC29" s="560">
        <f>CA29</f>
        <v>179</v>
      </c>
      <c r="CD29" s="189">
        <f t="shared" ref="CD29:CF30" si="32">CC29</f>
        <v>179</v>
      </c>
      <c r="CE29" s="189">
        <f t="shared" si="32"/>
        <v>179</v>
      </c>
      <c r="CF29" s="189">
        <f t="shared" si="32"/>
        <v>179</v>
      </c>
      <c r="CG29" s="695">
        <f t="shared" si="28"/>
        <v>179</v>
      </c>
      <c r="CH29" s="193"/>
      <c r="CI29" s="560">
        <f>CG29</f>
        <v>179</v>
      </c>
      <c r="CJ29" s="189">
        <f t="shared" ref="CJ29:CJ30" si="33">CI29</f>
        <v>179</v>
      </c>
      <c r="CK29" s="189">
        <f t="shared" ref="CK29:CK30" si="34">CJ29</f>
        <v>179</v>
      </c>
      <c r="CL29" s="189">
        <f t="shared" ref="CL29:CL30" si="35">CK29</f>
        <v>179</v>
      </c>
      <c r="CM29" s="695">
        <f t="shared" si="29"/>
        <v>179</v>
      </c>
      <c r="CN29" s="200"/>
      <c r="CO29" s="464"/>
      <c r="CP29" s="11"/>
      <c r="CW29" s="17"/>
    </row>
    <row r="30" spans="1:101" ht="11.25" customHeight="1" x14ac:dyDescent="0.2">
      <c r="B30" s="656" t="s">
        <v>148</v>
      </c>
      <c r="C30" s="196">
        <v>38.000999999999998</v>
      </c>
      <c r="D30" s="196">
        <v>1.4470000000000001</v>
      </c>
      <c r="E30" s="196">
        <v>0.86799999999999999</v>
      </c>
      <c r="F30" s="196">
        <v>4.2450000000000001</v>
      </c>
      <c r="G30" s="667">
        <f t="shared" si="15"/>
        <v>4.2450000000000001</v>
      </c>
      <c r="H30" s="193"/>
      <c r="I30" s="677">
        <v>14.946</v>
      </c>
      <c r="J30" s="196">
        <v>0</v>
      </c>
      <c r="K30" s="196">
        <v>6.6230000000000002</v>
      </c>
      <c r="L30" s="196">
        <v>0</v>
      </c>
      <c r="M30" s="667">
        <f t="shared" si="16"/>
        <v>0</v>
      </c>
      <c r="N30" s="193"/>
      <c r="O30" s="677">
        <v>20.196999999999999</v>
      </c>
      <c r="P30" s="196">
        <v>0</v>
      </c>
      <c r="Q30" s="196">
        <v>2.093</v>
      </c>
      <c r="R30" s="196">
        <v>1.407</v>
      </c>
      <c r="S30" s="667">
        <f t="shared" si="17"/>
        <v>1.407</v>
      </c>
      <c r="T30" s="193"/>
      <c r="U30" s="677">
        <v>20.033999999999999</v>
      </c>
      <c r="V30" s="196">
        <v>0</v>
      </c>
      <c r="W30" s="196">
        <v>0</v>
      </c>
      <c r="X30" s="196">
        <v>0</v>
      </c>
      <c r="Y30" s="667">
        <f t="shared" si="18"/>
        <v>0</v>
      </c>
      <c r="Z30" s="193"/>
      <c r="AA30" s="677">
        <v>15.311999999999999</v>
      </c>
      <c r="AB30" s="196">
        <f>122.348+1.993</f>
        <v>124.34099999999999</v>
      </c>
      <c r="AC30" s="196">
        <v>1.347</v>
      </c>
      <c r="AD30" s="196">
        <v>0</v>
      </c>
      <c r="AE30" s="667">
        <f t="shared" si="19"/>
        <v>0</v>
      </c>
      <c r="AF30" s="193"/>
      <c r="AG30" s="677">
        <v>12.172000000000001</v>
      </c>
      <c r="AH30" s="196">
        <v>3.653</v>
      </c>
      <c r="AI30" s="196">
        <v>13.462</v>
      </c>
      <c r="AJ30" s="196">
        <v>0</v>
      </c>
      <c r="AK30" s="667">
        <f t="shared" si="20"/>
        <v>0</v>
      </c>
      <c r="AL30" s="193"/>
      <c r="AM30" s="677">
        <v>0</v>
      </c>
      <c r="AN30" s="196">
        <v>0</v>
      </c>
      <c r="AO30" s="196">
        <v>0</v>
      </c>
      <c r="AP30" s="196">
        <v>0</v>
      </c>
      <c r="AQ30" s="667">
        <f t="shared" si="21"/>
        <v>0</v>
      </c>
      <c r="AR30" s="193"/>
      <c r="AS30" s="677">
        <v>0</v>
      </c>
      <c r="AT30" s="196">
        <v>0</v>
      </c>
      <c r="AU30" s="196">
        <v>0</v>
      </c>
      <c r="AV30" s="196">
        <v>0</v>
      </c>
      <c r="AW30" s="667">
        <f t="shared" si="22"/>
        <v>0</v>
      </c>
      <c r="AX30" s="193"/>
      <c r="AY30" s="677">
        <v>0</v>
      </c>
      <c r="AZ30" s="196">
        <v>0</v>
      </c>
      <c r="BA30" s="196">
        <v>0</v>
      </c>
      <c r="BB30" s="196">
        <v>39.316000000000003</v>
      </c>
      <c r="BC30" s="667">
        <f t="shared" si="23"/>
        <v>39.316000000000003</v>
      </c>
      <c r="BD30" s="193"/>
      <c r="BE30" s="677">
        <v>0</v>
      </c>
      <c r="BF30" s="196">
        <v>0</v>
      </c>
      <c r="BG30" s="196">
        <v>0</v>
      </c>
      <c r="BH30" s="196">
        <v>0</v>
      </c>
      <c r="BI30" s="667">
        <f t="shared" si="24"/>
        <v>0</v>
      </c>
      <c r="BJ30" s="193"/>
      <c r="BK30" s="677">
        <v>0</v>
      </c>
      <c r="BL30" s="193">
        <v>0</v>
      </c>
      <c r="BM30" s="193">
        <v>0</v>
      </c>
      <c r="BN30" s="196">
        <v>0</v>
      </c>
      <c r="BO30" s="667">
        <f t="shared" si="25"/>
        <v>0</v>
      </c>
      <c r="BP30" s="193"/>
      <c r="BQ30" s="677">
        <v>0</v>
      </c>
      <c r="BR30" s="193">
        <v>0</v>
      </c>
      <c r="BS30" s="193">
        <v>0</v>
      </c>
      <c r="BT30" s="189">
        <f t="shared" si="30"/>
        <v>0</v>
      </c>
      <c r="BU30" s="695">
        <f t="shared" si="26"/>
        <v>0</v>
      </c>
      <c r="BV30" s="193"/>
      <c r="BW30" s="560">
        <f>BU30</f>
        <v>0</v>
      </c>
      <c r="BX30" s="189">
        <f t="shared" si="31"/>
        <v>0</v>
      </c>
      <c r="BY30" s="189">
        <f t="shared" si="31"/>
        <v>0</v>
      </c>
      <c r="BZ30" s="189">
        <f t="shared" si="31"/>
        <v>0</v>
      </c>
      <c r="CA30" s="695">
        <f t="shared" si="27"/>
        <v>0</v>
      </c>
      <c r="CB30" s="193"/>
      <c r="CC30" s="560">
        <f>CA30</f>
        <v>0</v>
      </c>
      <c r="CD30" s="189">
        <f t="shared" si="32"/>
        <v>0</v>
      </c>
      <c r="CE30" s="189">
        <f t="shared" si="32"/>
        <v>0</v>
      </c>
      <c r="CF30" s="189">
        <f t="shared" si="32"/>
        <v>0</v>
      </c>
      <c r="CG30" s="695">
        <f t="shared" si="28"/>
        <v>0</v>
      </c>
      <c r="CH30" s="193"/>
      <c r="CI30" s="560">
        <f>CG30</f>
        <v>0</v>
      </c>
      <c r="CJ30" s="189">
        <f t="shared" si="33"/>
        <v>0</v>
      </c>
      <c r="CK30" s="189">
        <f t="shared" si="34"/>
        <v>0</v>
      </c>
      <c r="CL30" s="189">
        <f t="shared" si="35"/>
        <v>0</v>
      </c>
      <c r="CM30" s="695">
        <f t="shared" si="29"/>
        <v>0</v>
      </c>
      <c r="CN30" s="200"/>
      <c r="CO30" s="464"/>
      <c r="CP30" s="11"/>
      <c r="CW30" s="17"/>
    </row>
    <row r="31" spans="1:101" ht="11.25" customHeight="1" x14ac:dyDescent="0.2">
      <c r="B31" s="700" t="s">
        <v>39</v>
      </c>
      <c r="C31" s="205">
        <f>SUM(C25:C30)</f>
        <v>407.48399999999998</v>
      </c>
      <c r="D31" s="205">
        <f>SUM(D25:D30)</f>
        <v>372.06</v>
      </c>
      <c r="E31" s="205">
        <f>SUM(E25:E30)</f>
        <v>351.82299999999998</v>
      </c>
      <c r="F31" s="205">
        <f>SUM(F25:F30)</f>
        <v>377.46899999999999</v>
      </c>
      <c r="G31" s="671">
        <f>SUM(G25:G30)</f>
        <v>377.46899999999999</v>
      </c>
      <c r="H31" s="193"/>
      <c r="I31" s="682">
        <f>SUM(I25:I30)</f>
        <v>359.81200000000001</v>
      </c>
      <c r="J31" s="205">
        <f>SUM(J25:J30)</f>
        <v>365.75799999999998</v>
      </c>
      <c r="K31" s="205">
        <f>SUM(K25:K30)</f>
        <v>492.714</v>
      </c>
      <c r="L31" s="205">
        <f>SUM(L25:L30)</f>
        <v>466.06700000000001</v>
      </c>
      <c r="M31" s="671">
        <f>SUM(M25:M30)</f>
        <v>466.06700000000001</v>
      </c>
      <c r="N31" s="193"/>
      <c r="O31" s="682">
        <f>SUM(O25:O30)</f>
        <v>465.13200000000006</v>
      </c>
      <c r="P31" s="205">
        <f>SUM(P25:P30)</f>
        <v>442.19499999999994</v>
      </c>
      <c r="Q31" s="205">
        <f>SUM(Q25:Q30)</f>
        <v>368.24899999999997</v>
      </c>
      <c r="R31" s="205">
        <f>SUM(R25:R30)</f>
        <v>334.29999999999995</v>
      </c>
      <c r="S31" s="671">
        <f>SUM(S25:S30)</f>
        <v>334.29999999999995</v>
      </c>
      <c r="T31" s="193"/>
      <c r="U31" s="682">
        <f>SUM(U25:U30)</f>
        <v>363.45499999999998</v>
      </c>
      <c r="V31" s="205">
        <f>SUM(V25:V30)</f>
        <v>313.63900000000001</v>
      </c>
      <c r="W31" s="205">
        <f>SUM(W25:W30)</f>
        <v>331.15199999999999</v>
      </c>
      <c r="X31" s="205">
        <f>SUM(X25:X30)</f>
        <v>348.351</v>
      </c>
      <c r="Y31" s="671">
        <f>SUM(Y25:Y30)</f>
        <v>348.351</v>
      </c>
      <c r="Z31" s="193"/>
      <c r="AA31" s="682">
        <f>SUM(AA25:AA30)</f>
        <v>329.31</v>
      </c>
      <c r="AB31" s="205">
        <f>SUM(AB25:AB30)</f>
        <v>420.42600000000004</v>
      </c>
      <c r="AC31" s="205">
        <f>SUM(AC25:AC30)</f>
        <v>326.70999999999998</v>
      </c>
      <c r="AD31" s="205">
        <f>SUM(AD25:AD30)</f>
        <v>367.43099999999998</v>
      </c>
      <c r="AE31" s="671">
        <f>SUM(AE25:AE30)</f>
        <v>367.43099999999998</v>
      </c>
      <c r="AF31" s="193"/>
      <c r="AG31" s="682">
        <f>SUM(AG25:AG30)</f>
        <v>349.71000000000004</v>
      </c>
      <c r="AH31" s="205">
        <f>SUM(AH25:AH30)</f>
        <v>363.22800000000001</v>
      </c>
      <c r="AI31" s="205">
        <f>SUM(AI25:AI30)</f>
        <v>360.94499999999999</v>
      </c>
      <c r="AJ31" s="205">
        <f>SUM(AJ25:AJ30)</f>
        <v>529.64800000000002</v>
      </c>
      <c r="AK31" s="671">
        <f>SUM(AK25:AK30)</f>
        <v>529.64800000000002</v>
      </c>
      <c r="AL31" s="193"/>
      <c r="AM31" s="682">
        <f>SUM(AM25:AM30)</f>
        <v>501.35400000000004</v>
      </c>
      <c r="AN31" s="205">
        <f>SUM(AN25:AN30)</f>
        <v>432.714</v>
      </c>
      <c r="AO31" s="205">
        <f>SUM(AO25:AO30)</f>
        <v>457.02699999999999</v>
      </c>
      <c r="AP31" s="205">
        <f>SUM(AP25:AP30)</f>
        <v>448.51900000000001</v>
      </c>
      <c r="AQ31" s="671">
        <f>SUM(AQ25:AQ30)</f>
        <v>448.51900000000001</v>
      </c>
      <c r="AR31" s="193"/>
      <c r="AS31" s="682">
        <f>SUM(AS25:AS30)</f>
        <v>527.51199999999994</v>
      </c>
      <c r="AT31" s="205">
        <f>SUM(AT25:AT30)</f>
        <v>666.63300000000004</v>
      </c>
      <c r="AU31" s="205">
        <f>SUM(AU25:AU30)</f>
        <v>678.18200000000002</v>
      </c>
      <c r="AV31" s="205">
        <f>SUM(AV25:AV30)</f>
        <v>543.46299999999997</v>
      </c>
      <c r="AW31" s="671">
        <f>SUM(AW25:AW30)</f>
        <v>543.46299999999997</v>
      </c>
      <c r="AX31" s="193"/>
      <c r="AY31" s="682">
        <f>SUM(AY25:AY30)</f>
        <v>582.96600000000001</v>
      </c>
      <c r="AZ31" s="205">
        <f>SUM(AZ25:AZ30)</f>
        <v>547.08600000000001</v>
      </c>
      <c r="BA31" s="205">
        <f>SUM(BA25:BA30)</f>
        <v>569.06200000000001</v>
      </c>
      <c r="BB31" s="205">
        <f>SUM(BB25:BB30)</f>
        <v>577.68499999999995</v>
      </c>
      <c r="BC31" s="671">
        <f>SUM(BC25:BC30)</f>
        <v>577.68499999999995</v>
      </c>
      <c r="BD31" s="193"/>
      <c r="BE31" s="682">
        <f>SUM(BE25:BE30)</f>
        <v>694.1350000000001</v>
      </c>
      <c r="BF31" s="205">
        <f>SUM(BF25:BF30)</f>
        <v>798.35599999999999</v>
      </c>
      <c r="BG31" s="205">
        <f>SUM(BG25:BG30)</f>
        <v>915.59800000000007</v>
      </c>
      <c r="BH31" s="205">
        <f>SUM(BH25:BH30)</f>
        <v>829.33500000000004</v>
      </c>
      <c r="BI31" s="671">
        <f>SUM(BI25:BI30)</f>
        <v>829.33500000000004</v>
      </c>
      <c r="BJ31" s="193"/>
      <c r="BK31" s="682">
        <f>SUM(BK25:BK30)</f>
        <v>837.00400000000002</v>
      </c>
      <c r="BL31" s="203">
        <f>SUM(BL25:BL30)</f>
        <v>946.66899999999998</v>
      </c>
      <c r="BM31" s="203">
        <f>SUM(BM25:BM30)</f>
        <v>988.45300000000009</v>
      </c>
      <c r="BN31" s="205">
        <f>SUM(BN25:BN30)</f>
        <v>903.93100000000004</v>
      </c>
      <c r="BO31" s="671">
        <f>SUM(BO25:BO30)</f>
        <v>903.93100000000004</v>
      </c>
      <c r="BP31" s="193"/>
      <c r="BQ31" s="682">
        <f>SUM(BQ25:BQ30)</f>
        <v>902.06399999999996</v>
      </c>
      <c r="BR31" s="203">
        <f>SUM(BR25:BR30)</f>
        <v>950.63099999999997</v>
      </c>
      <c r="BS31" s="203">
        <f>SUM(BS25:BS30)</f>
        <v>1100.086</v>
      </c>
      <c r="BT31" s="203">
        <f>SUM(BT25:BT30)</f>
        <v>1059.0032100587616</v>
      </c>
      <c r="BU31" s="671">
        <f>SUM(BU25:BU30)</f>
        <v>1059.0032100587616</v>
      </c>
      <c r="BV31" s="193"/>
      <c r="BW31" s="682">
        <f>SUM(BW25:BW30)</f>
        <v>1021.4851783957245</v>
      </c>
      <c r="BX31" s="203">
        <f>SUM(BX25:BX30)</f>
        <v>1052.9870224155025</v>
      </c>
      <c r="BY31" s="203">
        <f>SUM(BY25:BY30)</f>
        <v>1096.8405894441262</v>
      </c>
      <c r="BZ31" s="203">
        <f>SUM(BZ25:BZ30)</f>
        <v>1067.6885105672993</v>
      </c>
      <c r="CA31" s="671">
        <f>SUM(CA25:CA30)</f>
        <v>1067.6885105672993</v>
      </c>
      <c r="CB31" s="193"/>
      <c r="CC31" s="682">
        <f>SUM(CC25:CC30)</f>
        <v>1035.0206690067798</v>
      </c>
      <c r="CD31" s="203">
        <f>SUM(CD25:CD30)</f>
        <v>1068.5990992183633</v>
      </c>
      <c r="CE31" s="203">
        <f>SUM(CE25:CE30)</f>
        <v>1115.2342633754556</v>
      </c>
      <c r="CF31" s="203">
        <f>SUM(CF25:CF30)</f>
        <v>1085.2533548880592</v>
      </c>
      <c r="CG31" s="671">
        <f>SUM(CG25:CG30)</f>
        <v>1085.2533548880592</v>
      </c>
      <c r="CH31" s="193"/>
      <c r="CI31" s="682">
        <f>SUM(CI25:CI30)</f>
        <v>1054.1558801986591</v>
      </c>
      <c r="CJ31" s="203">
        <f>SUM(CJ25:CJ30)</f>
        <v>1088.7243753419611</v>
      </c>
      <c r="CK31" s="203">
        <f>SUM(CK25:CK30)</f>
        <v>1136.775230700169</v>
      </c>
      <c r="CL31" s="203">
        <f>SUM(CL25:CL30)</f>
        <v>1105.8081867232095</v>
      </c>
      <c r="CM31" s="671">
        <f>SUM(CM25:CM30)</f>
        <v>1105.8081867232095</v>
      </c>
      <c r="CN31" s="200"/>
      <c r="CO31" s="464"/>
      <c r="CP31" s="11"/>
      <c r="CW31" s="17"/>
    </row>
    <row r="32" spans="1:101" s="112" customFormat="1" ht="11.25" customHeight="1" x14ac:dyDescent="0.2">
      <c r="A32" s="9"/>
      <c r="B32" s="566"/>
      <c r="C32" s="197"/>
      <c r="D32" s="197"/>
      <c r="E32" s="197"/>
      <c r="F32" s="197"/>
      <c r="G32" s="669"/>
      <c r="H32" s="193"/>
      <c r="I32" s="680"/>
      <c r="J32" s="197"/>
      <c r="K32" s="197"/>
      <c r="L32" s="197"/>
      <c r="M32" s="669"/>
      <c r="N32" s="193"/>
      <c r="O32" s="680"/>
      <c r="P32" s="197"/>
      <c r="Q32" s="197"/>
      <c r="R32" s="197"/>
      <c r="S32" s="669"/>
      <c r="T32" s="193"/>
      <c r="U32" s="680"/>
      <c r="V32" s="197"/>
      <c r="W32" s="197"/>
      <c r="X32" s="197"/>
      <c r="Y32" s="669"/>
      <c r="Z32" s="193"/>
      <c r="AA32" s="680"/>
      <c r="AB32" s="197"/>
      <c r="AC32" s="197"/>
      <c r="AD32" s="197"/>
      <c r="AE32" s="669"/>
      <c r="AF32" s="193"/>
      <c r="AG32" s="680"/>
      <c r="AH32" s="197"/>
      <c r="AI32" s="197"/>
      <c r="AJ32" s="197"/>
      <c r="AK32" s="669"/>
      <c r="AL32" s="193"/>
      <c r="AM32" s="680"/>
      <c r="AN32" s="197"/>
      <c r="AO32" s="197"/>
      <c r="AP32" s="197"/>
      <c r="AQ32" s="669"/>
      <c r="AR32" s="193"/>
      <c r="AS32" s="680"/>
      <c r="AT32" s="197"/>
      <c r="AU32" s="197"/>
      <c r="AV32" s="197"/>
      <c r="AW32" s="669"/>
      <c r="AX32" s="193"/>
      <c r="AY32" s="680"/>
      <c r="AZ32" s="197"/>
      <c r="BA32" s="197"/>
      <c r="BB32" s="197"/>
      <c r="BC32" s="669"/>
      <c r="BD32" s="193"/>
      <c r="BE32" s="680"/>
      <c r="BF32" s="197"/>
      <c r="BG32" s="197"/>
      <c r="BH32" s="197"/>
      <c r="BI32" s="669"/>
      <c r="BJ32" s="193"/>
      <c r="BK32" s="175"/>
      <c r="BL32" s="199"/>
      <c r="BM32" s="991"/>
      <c r="BN32" s="197"/>
      <c r="BO32" s="669"/>
      <c r="BP32" s="193"/>
      <c r="BQ32" s="175"/>
      <c r="BR32" s="199"/>
      <c r="BS32" s="991"/>
      <c r="BT32" s="199"/>
      <c r="BU32" s="695"/>
      <c r="BV32" s="193"/>
      <c r="BW32" s="175"/>
      <c r="BX32" s="199"/>
      <c r="BY32" s="199"/>
      <c r="BZ32" s="199"/>
      <c r="CA32" s="695"/>
      <c r="CB32" s="193"/>
      <c r="CC32" s="175"/>
      <c r="CD32" s="199"/>
      <c r="CE32" s="199"/>
      <c r="CF32" s="199"/>
      <c r="CG32" s="695"/>
      <c r="CH32" s="193"/>
      <c r="CI32" s="175"/>
      <c r="CJ32" s="199"/>
      <c r="CK32" s="199"/>
      <c r="CL32" s="199"/>
      <c r="CM32" s="695"/>
      <c r="CN32" s="200"/>
      <c r="CO32" s="464"/>
      <c r="CP32" s="14"/>
      <c r="CQ32"/>
      <c r="CR32"/>
      <c r="CS32"/>
      <c r="CT32"/>
      <c r="CU32"/>
      <c r="CV32"/>
      <c r="CW32" s="24"/>
    </row>
    <row r="33" spans="1:101" s="112" customFormat="1" ht="11.25" customHeight="1" x14ac:dyDescent="0.2">
      <c r="A33" s="9"/>
      <c r="B33" s="658" t="s">
        <v>212</v>
      </c>
      <c r="C33" s="196">
        <v>205.01</v>
      </c>
      <c r="D33" s="196">
        <v>200.00700000000001</v>
      </c>
      <c r="E33" s="196">
        <v>145.01400000000001</v>
      </c>
      <c r="F33" s="196">
        <v>130.01</v>
      </c>
      <c r="G33" s="667">
        <f>F33</f>
        <v>130.01</v>
      </c>
      <c r="H33" s="202"/>
      <c r="I33" s="677">
        <v>130.077</v>
      </c>
      <c r="J33" s="196">
        <v>130.06899999999999</v>
      </c>
      <c r="K33" s="196">
        <v>60.057000000000002</v>
      </c>
      <c r="L33" s="196">
        <v>525.024</v>
      </c>
      <c r="M33" s="667">
        <f>L33</f>
        <v>525.024</v>
      </c>
      <c r="N33" s="202"/>
      <c r="O33" s="677">
        <v>525.024</v>
      </c>
      <c r="P33" s="196">
        <v>525.33299999999997</v>
      </c>
      <c r="Q33" s="196">
        <v>525.04</v>
      </c>
      <c r="R33" s="196">
        <v>525</v>
      </c>
      <c r="S33" s="667">
        <f>R33</f>
        <v>525</v>
      </c>
      <c r="T33" s="202"/>
      <c r="U33" s="677">
        <v>525</v>
      </c>
      <c r="V33" s="196">
        <v>525</v>
      </c>
      <c r="W33" s="196">
        <v>525</v>
      </c>
      <c r="X33" s="196">
        <v>525</v>
      </c>
      <c r="Y33" s="667">
        <f>X33</f>
        <v>525</v>
      </c>
      <c r="Z33" s="202"/>
      <c r="AA33" s="677">
        <v>525</v>
      </c>
      <c r="AB33" s="196">
        <v>525</v>
      </c>
      <c r="AC33" s="196">
        <v>525</v>
      </c>
      <c r="AD33" s="196">
        <v>525</v>
      </c>
      <c r="AE33" s="667">
        <f>AD33</f>
        <v>525</v>
      </c>
      <c r="AF33" s="202"/>
      <c r="AG33" s="677">
        <v>525</v>
      </c>
      <c r="AH33" s="196">
        <v>525</v>
      </c>
      <c r="AI33" s="196">
        <v>850</v>
      </c>
      <c r="AJ33" s="196">
        <v>725</v>
      </c>
      <c r="AK33" s="667">
        <f>AJ33</f>
        <v>725</v>
      </c>
      <c r="AL33" s="202"/>
      <c r="AM33" s="677">
        <v>725</v>
      </c>
      <c r="AN33" s="196">
        <v>725</v>
      </c>
      <c r="AO33" s="196">
        <v>725</v>
      </c>
      <c r="AP33" s="196">
        <v>725</v>
      </c>
      <c r="AQ33" s="667">
        <f>AP33</f>
        <v>725</v>
      </c>
      <c r="AR33" s="202"/>
      <c r="AS33" s="677">
        <v>725</v>
      </c>
      <c r="AT33" s="196">
        <v>725</v>
      </c>
      <c r="AU33" s="196">
        <v>725</v>
      </c>
      <c r="AV33" s="196">
        <v>725</v>
      </c>
      <c r="AW33" s="667">
        <f>AV33</f>
        <v>725</v>
      </c>
      <c r="AX33" s="202"/>
      <c r="AY33" s="677">
        <v>725</v>
      </c>
      <c r="AZ33" s="196">
        <v>725</v>
      </c>
      <c r="BA33" s="196">
        <v>725</v>
      </c>
      <c r="BB33" s="196">
        <v>722.54200000000003</v>
      </c>
      <c r="BC33" s="667">
        <f>BB33</f>
        <v>722.54200000000003</v>
      </c>
      <c r="BD33" s="202"/>
      <c r="BE33" s="677">
        <v>1725</v>
      </c>
      <c r="BF33" s="196">
        <v>1034.884</v>
      </c>
      <c r="BG33" s="196">
        <v>1030.25</v>
      </c>
      <c r="BH33" s="196">
        <v>1022.155</v>
      </c>
      <c r="BI33" s="667">
        <f>BH33</f>
        <v>1022.155</v>
      </c>
      <c r="BJ33" s="202"/>
      <c r="BK33" s="677">
        <v>1016.184</v>
      </c>
      <c r="BL33" s="193">
        <v>1010.211</v>
      </c>
      <c r="BM33" s="193">
        <v>1001.775</v>
      </c>
      <c r="BN33" s="196">
        <v>998.27200000000005</v>
      </c>
      <c r="BO33" s="667">
        <f>BN33</f>
        <v>998.27200000000005</v>
      </c>
      <c r="BP33" s="202"/>
      <c r="BQ33" s="677">
        <v>998.45699999999999</v>
      </c>
      <c r="BR33" s="193">
        <v>991.23199999999997</v>
      </c>
      <c r="BS33" s="193">
        <v>931.41899999999998</v>
      </c>
      <c r="BT33" s="185">
        <f>Debt!BS21</f>
        <v>931.41899999999998</v>
      </c>
      <c r="BU33" s="695">
        <f>BT33</f>
        <v>931.41899999999998</v>
      </c>
      <c r="BV33" s="202"/>
      <c r="BW33" s="475">
        <f>Debt!BV21</f>
        <v>931.41899999999998</v>
      </c>
      <c r="BX33" s="185">
        <f>Debt!BW21</f>
        <v>931.41899999999998</v>
      </c>
      <c r="BY33" s="185">
        <f>Debt!BX21</f>
        <v>931.41899999999998</v>
      </c>
      <c r="BZ33" s="185">
        <f>Debt!BY21</f>
        <v>931.41899999999998</v>
      </c>
      <c r="CA33" s="695">
        <f>BZ33</f>
        <v>931.41899999999998</v>
      </c>
      <c r="CB33" s="202"/>
      <c r="CC33" s="475">
        <f>Debt!CB21</f>
        <v>931.41899999999998</v>
      </c>
      <c r="CD33" s="185">
        <f>Debt!CC21</f>
        <v>931.41899999999998</v>
      </c>
      <c r="CE33" s="185">
        <f>Debt!CD21</f>
        <v>931.41899999999998</v>
      </c>
      <c r="CF33" s="185">
        <f>Debt!CE21</f>
        <v>931.41899999999998</v>
      </c>
      <c r="CG33" s="695">
        <f>CF33</f>
        <v>931.41899999999998</v>
      </c>
      <c r="CH33" s="202"/>
      <c r="CI33" s="475">
        <f>Debt!CH21</f>
        <v>931.41899999999998</v>
      </c>
      <c r="CJ33" s="185">
        <f>Debt!CI21</f>
        <v>931.41899999999998</v>
      </c>
      <c r="CK33" s="185">
        <f>Debt!CJ21</f>
        <v>931.41899999999998</v>
      </c>
      <c r="CL33" s="185">
        <f>Debt!CK21</f>
        <v>931.41899999999998</v>
      </c>
      <c r="CM33" s="695">
        <f>CL33</f>
        <v>931.41899999999998</v>
      </c>
      <c r="CN33" s="203"/>
      <c r="CO33" s="464"/>
      <c r="CP33" s="14"/>
      <c r="CQ33"/>
      <c r="CR33"/>
      <c r="CS33"/>
      <c r="CT33"/>
      <c r="CU33"/>
      <c r="CV33"/>
      <c r="CW33" s="24"/>
    </row>
    <row r="34" spans="1:101" s="128" customFormat="1" ht="11.25" customHeight="1" x14ac:dyDescent="0.2">
      <c r="A34" s="9"/>
      <c r="B34" s="658" t="s">
        <v>284</v>
      </c>
      <c r="C34" s="196">
        <v>48.201999999999998</v>
      </c>
      <c r="D34" s="196">
        <v>48.094000000000001</v>
      </c>
      <c r="E34" s="196">
        <v>49.213999999999999</v>
      </c>
      <c r="F34" s="196">
        <v>53.627000000000002</v>
      </c>
      <c r="G34" s="667">
        <f>F34</f>
        <v>53.627000000000002</v>
      </c>
      <c r="H34" s="202"/>
      <c r="I34" s="677">
        <v>68.02</v>
      </c>
      <c r="J34" s="196">
        <v>67.531999999999996</v>
      </c>
      <c r="K34" s="196">
        <v>70.415000000000006</v>
      </c>
      <c r="L34" s="196">
        <v>57.805999999999997</v>
      </c>
      <c r="M34" s="667">
        <f>L34</f>
        <v>57.805999999999997</v>
      </c>
      <c r="N34" s="202"/>
      <c r="O34" s="677">
        <v>0</v>
      </c>
      <c r="P34" s="196">
        <v>0</v>
      </c>
      <c r="Q34" s="196">
        <v>0</v>
      </c>
      <c r="R34" s="196">
        <v>64.141000000000005</v>
      </c>
      <c r="S34" s="667">
        <f>R34</f>
        <v>64.141000000000005</v>
      </c>
      <c r="T34" s="202"/>
      <c r="U34" s="677">
        <v>0</v>
      </c>
      <c r="V34" s="196">
        <v>0</v>
      </c>
      <c r="W34" s="196">
        <v>0</v>
      </c>
      <c r="X34" s="196">
        <v>72.164000000000001</v>
      </c>
      <c r="Y34" s="667">
        <f>X34</f>
        <v>72.164000000000001</v>
      </c>
      <c r="Z34" s="202"/>
      <c r="AA34" s="677">
        <v>0</v>
      </c>
      <c r="AB34" s="196">
        <v>0</v>
      </c>
      <c r="AC34" s="196">
        <v>0</v>
      </c>
      <c r="AD34" s="196">
        <v>78.239000000000004</v>
      </c>
      <c r="AE34" s="667">
        <f>AD34</f>
        <v>78.239000000000004</v>
      </c>
      <c r="AF34" s="202"/>
      <c r="AG34" s="677">
        <v>0</v>
      </c>
      <c r="AH34" s="196">
        <v>0</v>
      </c>
      <c r="AI34" s="196">
        <v>0</v>
      </c>
      <c r="AJ34" s="196">
        <v>81.855999999999995</v>
      </c>
      <c r="AK34" s="667">
        <f>AJ34</f>
        <v>81.855999999999995</v>
      </c>
      <c r="AL34" s="202"/>
      <c r="AM34" s="677">
        <v>0</v>
      </c>
      <c r="AN34" s="196">
        <v>0</v>
      </c>
      <c r="AO34" s="196">
        <v>0</v>
      </c>
      <c r="AP34" s="196">
        <v>93.328999999999994</v>
      </c>
      <c r="AQ34" s="667">
        <f>AP34</f>
        <v>93.328999999999994</v>
      </c>
      <c r="AR34" s="202"/>
      <c r="AS34" s="677">
        <v>0</v>
      </c>
      <c r="AT34" s="196">
        <v>0</v>
      </c>
      <c r="AU34" s="196">
        <v>0</v>
      </c>
      <c r="AV34" s="196">
        <v>94.004000000000005</v>
      </c>
      <c r="AW34" s="667">
        <f>AV34</f>
        <v>94.004000000000005</v>
      </c>
      <c r="AX34" s="202"/>
      <c r="AY34" s="677">
        <v>0</v>
      </c>
      <c r="AZ34" s="196">
        <v>0</v>
      </c>
      <c r="BA34" s="196">
        <v>0</v>
      </c>
      <c r="BB34" s="196">
        <v>88.263999999999996</v>
      </c>
      <c r="BC34" s="667">
        <f>BB34</f>
        <v>88.263999999999996</v>
      </c>
      <c r="BD34" s="202"/>
      <c r="BE34" s="677">
        <v>0</v>
      </c>
      <c r="BF34" s="196">
        <v>0</v>
      </c>
      <c r="BG34" s="196">
        <v>0</v>
      </c>
      <c r="BH34" s="196">
        <v>206.89599999999999</v>
      </c>
      <c r="BI34" s="667">
        <f>BH34</f>
        <v>206.89599999999999</v>
      </c>
      <c r="BJ34" s="202"/>
      <c r="BK34" s="677">
        <v>0</v>
      </c>
      <c r="BL34" s="193">
        <v>0</v>
      </c>
      <c r="BM34" s="193">
        <v>0</v>
      </c>
      <c r="BN34" s="196">
        <v>191.68600000000001</v>
      </c>
      <c r="BO34" s="667">
        <f>BN34</f>
        <v>191.68600000000001</v>
      </c>
      <c r="BP34" s="202"/>
      <c r="BQ34" s="677">
        <v>0</v>
      </c>
      <c r="BR34" s="193">
        <v>0</v>
      </c>
      <c r="BS34" s="193">
        <v>0</v>
      </c>
      <c r="BT34" s="189">
        <f t="shared" ref="BS34:BU35" si="36">BS34</f>
        <v>0</v>
      </c>
      <c r="BU34" s="695">
        <f t="shared" si="36"/>
        <v>0</v>
      </c>
      <c r="BV34" s="202"/>
      <c r="BW34" s="560">
        <f>BU34</f>
        <v>0</v>
      </c>
      <c r="BX34" s="189">
        <f>BW34</f>
        <v>0</v>
      </c>
      <c r="BY34" s="189">
        <f>BX34</f>
        <v>0</v>
      </c>
      <c r="BZ34" s="189">
        <f>BY34</f>
        <v>0</v>
      </c>
      <c r="CA34" s="695">
        <f>BZ34</f>
        <v>0</v>
      </c>
      <c r="CB34" s="202"/>
      <c r="CC34" s="560">
        <f>CA34</f>
        <v>0</v>
      </c>
      <c r="CD34" s="189">
        <f>CC34</f>
        <v>0</v>
      </c>
      <c r="CE34" s="189">
        <f>CD34</f>
        <v>0</v>
      </c>
      <c r="CF34" s="189">
        <f>CE34</f>
        <v>0</v>
      </c>
      <c r="CG34" s="695">
        <f>CF34</f>
        <v>0</v>
      </c>
      <c r="CH34" s="202"/>
      <c r="CI34" s="560">
        <f>CG34</f>
        <v>0</v>
      </c>
      <c r="CJ34" s="189">
        <f>CI34</f>
        <v>0</v>
      </c>
      <c r="CK34" s="189">
        <f>CJ34</f>
        <v>0</v>
      </c>
      <c r="CL34" s="189">
        <f>CK34</f>
        <v>0</v>
      </c>
      <c r="CM34" s="695">
        <f>CL34</f>
        <v>0</v>
      </c>
      <c r="CN34" s="203"/>
      <c r="CO34" s="464"/>
      <c r="CP34" s="14"/>
      <c r="CQ34"/>
      <c r="CR34"/>
      <c r="CS34"/>
      <c r="CT34"/>
      <c r="CU34"/>
      <c r="CV34"/>
      <c r="CW34" s="24"/>
    </row>
    <row r="35" spans="1:101" s="128" customFormat="1" ht="11.25" customHeight="1" x14ac:dyDescent="0.2">
      <c r="A35" s="9"/>
      <c r="B35" s="662" t="s">
        <v>280</v>
      </c>
      <c r="C35" s="196">
        <v>0</v>
      </c>
      <c r="D35" s="196">
        <v>0</v>
      </c>
      <c r="E35" s="196">
        <v>0</v>
      </c>
      <c r="F35" s="196">
        <v>0</v>
      </c>
      <c r="G35" s="667">
        <f>F35</f>
        <v>0</v>
      </c>
      <c r="H35" s="202"/>
      <c r="I35" s="677">
        <v>0</v>
      </c>
      <c r="J35" s="196">
        <v>0</v>
      </c>
      <c r="K35" s="196">
        <v>0</v>
      </c>
      <c r="L35" s="196">
        <v>22.689</v>
      </c>
      <c r="M35" s="667">
        <f>L35</f>
        <v>22.689</v>
      </c>
      <c r="N35" s="202"/>
      <c r="O35" s="677">
        <v>80.891000000000005</v>
      </c>
      <c r="P35" s="196">
        <v>80.861999999999995</v>
      </c>
      <c r="Q35" s="196">
        <v>82.429000000000002</v>
      </c>
      <c r="R35" s="196">
        <v>23.859000000000002</v>
      </c>
      <c r="S35" s="667">
        <f>R35</f>
        <v>23.859000000000002</v>
      </c>
      <c r="T35" s="202"/>
      <c r="U35" s="677">
        <v>100.352</v>
      </c>
      <c r="V35" s="196">
        <v>96.391000000000005</v>
      </c>
      <c r="W35" s="196">
        <v>88.311000000000007</v>
      </c>
      <c r="X35" s="196">
        <v>35.942999999999998</v>
      </c>
      <c r="Y35" s="667">
        <f>X35</f>
        <v>35.942999999999998</v>
      </c>
      <c r="Z35" s="202"/>
      <c r="AA35" s="677">
        <v>107.761</v>
      </c>
      <c r="AB35" s="196">
        <v>103.21899999999999</v>
      </c>
      <c r="AC35" s="196">
        <v>100.319</v>
      </c>
      <c r="AD35" s="196">
        <v>33.758000000000003</v>
      </c>
      <c r="AE35" s="667">
        <f>AD35</f>
        <v>33.758000000000003</v>
      </c>
      <c r="AF35" s="202"/>
      <c r="AG35" s="677">
        <v>108.652</v>
      </c>
      <c r="AH35" s="196">
        <v>105.39</v>
      </c>
      <c r="AI35" s="196">
        <v>103.79300000000001</v>
      </c>
      <c r="AJ35" s="196">
        <v>27.661999999999999</v>
      </c>
      <c r="AK35" s="667">
        <f>AJ35</f>
        <v>27.661999999999999</v>
      </c>
      <c r="AL35" s="202"/>
      <c r="AM35" s="677">
        <v>108.376</v>
      </c>
      <c r="AN35" s="196">
        <v>105.78</v>
      </c>
      <c r="AO35" s="196">
        <v>104.73</v>
      </c>
      <c r="AP35" s="196">
        <v>20.475000000000001</v>
      </c>
      <c r="AQ35" s="667">
        <f>AP35</f>
        <v>20.475000000000001</v>
      </c>
      <c r="AR35" s="202"/>
      <c r="AS35" s="677">
        <v>113.221</v>
      </c>
      <c r="AT35" s="196">
        <v>116.05200000000001</v>
      </c>
      <c r="AU35" s="196">
        <v>116.616</v>
      </c>
      <c r="AV35" s="196">
        <v>30.545999999999999</v>
      </c>
      <c r="AW35" s="667">
        <f>AV35</f>
        <v>30.545999999999999</v>
      </c>
      <c r="AX35" s="202"/>
      <c r="AY35" s="677">
        <v>123.105</v>
      </c>
      <c r="AZ35" s="196">
        <v>121.66200000000001</v>
      </c>
      <c r="BA35" s="196">
        <v>122.782</v>
      </c>
      <c r="BB35" s="196">
        <v>42.634</v>
      </c>
      <c r="BC35" s="667">
        <f>BB35</f>
        <v>42.634</v>
      </c>
      <c r="BD35" s="202"/>
      <c r="BE35" s="677">
        <f>49.189+257.277</f>
        <v>306.46600000000001</v>
      </c>
      <c r="BF35" s="196">
        <v>255.34100000000001</v>
      </c>
      <c r="BG35" s="196">
        <v>247.27500000000001</v>
      </c>
      <c r="BH35" s="196">
        <v>20.672000000000001</v>
      </c>
      <c r="BI35" s="667">
        <f>BH35</f>
        <v>20.672000000000001</v>
      </c>
      <c r="BJ35" s="202"/>
      <c r="BK35" s="677">
        <v>228.042</v>
      </c>
      <c r="BL35" s="193">
        <v>227.43600000000001</v>
      </c>
      <c r="BM35" s="193">
        <v>217.75899999999999</v>
      </c>
      <c r="BN35" s="196">
        <v>19.591000000000001</v>
      </c>
      <c r="BO35" s="667">
        <f>BN35</f>
        <v>19.591000000000001</v>
      </c>
      <c r="BP35" s="202"/>
      <c r="BQ35" s="677">
        <v>210.21899999999999</v>
      </c>
      <c r="BR35" s="193">
        <v>219.67599999999999</v>
      </c>
      <c r="BS35" s="193">
        <v>179.863</v>
      </c>
      <c r="BT35" s="691">
        <f>BS35+'Cash Flow'!BT31</f>
        <v>179.863</v>
      </c>
      <c r="BU35" s="695">
        <f t="shared" si="36"/>
        <v>179.863</v>
      </c>
      <c r="BV35" s="202"/>
      <c r="BW35" s="690">
        <f>BU35+'Cash Flow'!BW31</f>
        <v>179.863</v>
      </c>
      <c r="BX35" s="691">
        <f>BW35+'Cash Flow'!BX31</f>
        <v>179.863</v>
      </c>
      <c r="BY35" s="691">
        <f>BX35+'Cash Flow'!BY31</f>
        <v>179.863</v>
      </c>
      <c r="BZ35" s="691">
        <f>BY35+'Cash Flow'!BZ31</f>
        <v>179.863</v>
      </c>
      <c r="CA35" s="695">
        <f>BZ35</f>
        <v>179.863</v>
      </c>
      <c r="CB35" s="202"/>
      <c r="CC35" s="690">
        <f>CA35+'Cash Flow'!CC31</f>
        <v>179.863</v>
      </c>
      <c r="CD35" s="691">
        <f>CC35+'Cash Flow'!CD31</f>
        <v>179.863</v>
      </c>
      <c r="CE35" s="691">
        <f>CD35+'Cash Flow'!CE31</f>
        <v>179.863</v>
      </c>
      <c r="CF35" s="691">
        <f>CE35+'Cash Flow'!CF31</f>
        <v>179.863</v>
      </c>
      <c r="CG35" s="695">
        <f>CF35</f>
        <v>179.863</v>
      </c>
      <c r="CH35" s="202"/>
      <c r="CI35" s="690">
        <f>CG35+'Cash Flow'!CI31</f>
        <v>179.863</v>
      </c>
      <c r="CJ35" s="691">
        <f>CI35+'Cash Flow'!CJ31</f>
        <v>179.863</v>
      </c>
      <c r="CK35" s="691">
        <f>CJ35+'Cash Flow'!CK31</f>
        <v>179.863</v>
      </c>
      <c r="CL35" s="691">
        <f>CK35+'Cash Flow'!CL31</f>
        <v>179.863</v>
      </c>
      <c r="CM35" s="695">
        <f>CL35</f>
        <v>179.863</v>
      </c>
      <c r="CN35" s="203"/>
      <c r="CO35" s="464"/>
      <c r="CP35" s="14"/>
      <c r="CQ35"/>
      <c r="CR35"/>
      <c r="CS35"/>
      <c r="CT35"/>
      <c r="CU35"/>
      <c r="CV35"/>
      <c r="CW35" s="24"/>
    </row>
    <row r="36" spans="1:101" s="112" customFormat="1" ht="11.25" customHeight="1" x14ac:dyDescent="0.2">
      <c r="A36" s="9"/>
      <c r="B36" s="700" t="s">
        <v>40</v>
      </c>
      <c r="C36" s="218">
        <f>+SUM(C33:C35)+C31</f>
        <v>660.69599999999991</v>
      </c>
      <c r="D36" s="218">
        <f>+SUM(D33:D35)+D31</f>
        <v>620.16100000000006</v>
      </c>
      <c r="E36" s="218">
        <f>+SUM(E33:E35)+E31</f>
        <v>546.05099999999993</v>
      </c>
      <c r="F36" s="218">
        <f>+SUM(F33:F35)+F31</f>
        <v>561.10599999999999</v>
      </c>
      <c r="G36" s="672">
        <f>+SUM(G33:G35)+G31</f>
        <v>561.10599999999999</v>
      </c>
      <c r="H36" s="202"/>
      <c r="I36" s="683">
        <f>+SUM(I33:I35)+I31</f>
        <v>557.90899999999999</v>
      </c>
      <c r="J36" s="218">
        <f>+SUM(J33:J35)+J31</f>
        <v>563.35899999999992</v>
      </c>
      <c r="K36" s="218">
        <f>+SUM(K33:K35)+K31</f>
        <v>623.18600000000004</v>
      </c>
      <c r="L36" s="218">
        <f>+SUM(L33:L35)+L31</f>
        <v>1071.586</v>
      </c>
      <c r="M36" s="672">
        <f>+SUM(M33:M35)+M31</f>
        <v>1071.586</v>
      </c>
      <c r="N36" s="202"/>
      <c r="O36" s="683">
        <f>+SUM(O33:O35)+O31</f>
        <v>1071.047</v>
      </c>
      <c r="P36" s="218">
        <f>+SUM(P33:P35)+P31</f>
        <v>1048.3899999999999</v>
      </c>
      <c r="Q36" s="218">
        <f>+SUM(Q33:Q35)+Q31</f>
        <v>975.71799999999985</v>
      </c>
      <c r="R36" s="218">
        <f>+SUM(R33:R35)+R31</f>
        <v>947.3</v>
      </c>
      <c r="S36" s="672">
        <f>+SUM(S33:S35)+S31</f>
        <v>947.3</v>
      </c>
      <c r="T36" s="202"/>
      <c r="U36" s="683">
        <f>+SUM(U33:U35)+U31</f>
        <v>988.80700000000002</v>
      </c>
      <c r="V36" s="218">
        <f>+SUM(V33:V35)+V31</f>
        <v>935.03</v>
      </c>
      <c r="W36" s="218">
        <f>+SUM(W33:W35)+W31</f>
        <v>944.46299999999997</v>
      </c>
      <c r="X36" s="218">
        <f>+SUM(X33:X35)+X31</f>
        <v>981.45799999999997</v>
      </c>
      <c r="Y36" s="672">
        <f>+SUM(Y33:Y35)+Y31</f>
        <v>981.45799999999997</v>
      </c>
      <c r="Z36" s="202"/>
      <c r="AA36" s="683">
        <f>+SUM(AA33:AA35)+AA31</f>
        <v>962.07099999999991</v>
      </c>
      <c r="AB36" s="218">
        <f>+SUM(AB33:AB35)+AB31</f>
        <v>1048.645</v>
      </c>
      <c r="AC36" s="218">
        <f>+SUM(AC33:AC35)+AC31</f>
        <v>952.029</v>
      </c>
      <c r="AD36" s="218">
        <f>+SUM(AD33:AD35)+AD31</f>
        <v>1004.4280000000001</v>
      </c>
      <c r="AE36" s="672">
        <f>+SUM(AE33:AE35)+AE31</f>
        <v>1004.4280000000001</v>
      </c>
      <c r="AF36" s="202"/>
      <c r="AG36" s="683">
        <f>+SUM(AG33:AG35)+AG31</f>
        <v>983.36200000000008</v>
      </c>
      <c r="AH36" s="218">
        <f>+SUM(AH33:AH35)+AH31</f>
        <v>993.61799999999994</v>
      </c>
      <c r="AI36" s="218">
        <f>+SUM(AI33:AI35)+AI31</f>
        <v>1314.7380000000001</v>
      </c>
      <c r="AJ36" s="218">
        <f>+SUM(AJ33:AJ35)+AJ31</f>
        <v>1364.1660000000002</v>
      </c>
      <c r="AK36" s="672">
        <f>+SUM(AK33:AK35)+AK31</f>
        <v>1364.1660000000002</v>
      </c>
      <c r="AL36" s="202"/>
      <c r="AM36" s="683">
        <f>+SUM(AM33:AM35)+AM31</f>
        <v>1334.73</v>
      </c>
      <c r="AN36" s="218">
        <f>+SUM(AN33:AN35)+AN31</f>
        <v>1263.4939999999999</v>
      </c>
      <c r="AO36" s="218">
        <f>+SUM(AO33:AO35)+AO31</f>
        <v>1286.7570000000001</v>
      </c>
      <c r="AP36" s="218">
        <f>+SUM(AP33:AP35)+AP31</f>
        <v>1287.3229999999999</v>
      </c>
      <c r="AQ36" s="672">
        <f>+SUM(AQ33:AQ35)+AQ31</f>
        <v>1287.3229999999999</v>
      </c>
      <c r="AR36" s="202"/>
      <c r="AS36" s="683">
        <f>+SUM(AS33:AS35)+AS31</f>
        <v>1365.7329999999999</v>
      </c>
      <c r="AT36" s="218">
        <f>+SUM(AT33:AT35)+AT31</f>
        <v>1507.6849999999999</v>
      </c>
      <c r="AU36" s="218">
        <f>+SUM(AU33:AU35)+AU31</f>
        <v>1519.798</v>
      </c>
      <c r="AV36" s="218">
        <f>+SUM(AV33:AV35)+AV31</f>
        <v>1393.0129999999999</v>
      </c>
      <c r="AW36" s="672">
        <f>+SUM(AW33:AW35)+AW31</f>
        <v>1393.0129999999999</v>
      </c>
      <c r="AX36" s="202"/>
      <c r="AY36" s="683">
        <f>+SUM(AY33:AY35)+AY31</f>
        <v>1431.0709999999999</v>
      </c>
      <c r="AZ36" s="218">
        <f>+SUM(AZ33:AZ35)+AZ31</f>
        <v>1393.748</v>
      </c>
      <c r="BA36" s="218">
        <f>+SUM(BA33:BA35)+BA31</f>
        <v>1416.8440000000001</v>
      </c>
      <c r="BB36" s="218">
        <f>+SUM(BB33:BB35)+BB31</f>
        <v>1431.125</v>
      </c>
      <c r="BC36" s="672">
        <f>+SUM(BC33:BC35)+BC31</f>
        <v>1431.125</v>
      </c>
      <c r="BD36" s="202"/>
      <c r="BE36" s="683">
        <f>+SUM(BE33:BE35)+BE31</f>
        <v>2725.6010000000001</v>
      </c>
      <c r="BF36" s="218">
        <f>+SUM(BF33:BF35)+BF31</f>
        <v>2088.5810000000001</v>
      </c>
      <c r="BG36" s="218">
        <f>+SUM(BG33:BG35)+BG31</f>
        <v>2193.123</v>
      </c>
      <c r="BH36" s="218">
        <f>+SUM(BH33:BH35)+BH31</f>
        <v>2079.058</v>
      </c>
      <c r="BI36" s="672">
        <f>+SUM(BI33:BI35)+BI31</f>
        <v>2079.058</v>
      </c>
      <c r="BJ36" s="202"/>
      <c r="BK36" s="683">
        <f>+SUM(BK33:BK35)+BK31</f>
        <v>2081.23</v>
      </c>
      <c r="BL36" s="218">
        <f>+SUM(BL33:BL35)+BL31</f>
        <v>2184.3159999999998</v>
      </c>
      <c r="BM36" s="218">
        <f>+SUM(BM33:BM35)+BM31</f>
        <v>2207.9870000000001</v>
      </c>
      <c r="BN36" s="218">
        <f>+SUM(BN33:BN35)+BN31</f>
        <v>2113.48</v>
      </c>
      <c r="BO36" s="672">
        <f>+SUM(BO33:BO35)+BO31</f>
        <v>2113.48</v>
      </c>
      <c r="BP36" s="202"/>
      <c r="BQ36" s="683">
        <f>+SUM(BQ33:BQ35)+BQ31</f>
        <v>2110.7399999999998</v>
      </c>
      <c r="BR36" s="218">
        <f>+SUM(BR33:BR35)+BR31</f>
        <v>2161.5389999999998</v>
      </c>
      <c r="BS36" s="218">
        <f>+SUM(BS33:BS35)+BS31</f>
        <v>2211.3679999999999</v>
      </c>
      <c r="BT36" s="218">
        <f>+SUM(BT33:BT35)+BT31</f>
        <v>2170.2852100587615</v>
      </c>
      <c r="BU36" s="672">
        <f>+SUM(BU33:BU35)+BU31</f>
        <v>2170.2852100587615</v>
      </c>
      <c r="BV36" s="202"/>
      <c r="BW36" s="683">
        <f>+SUM(BW33:BW35)+BW31</f>
        <v>2132.7671783957244</v>
      </c>
      <c r="BX36" s="218">
        <f>+SUM(BX33:BX35)+BX31</f>
        <v>2164.2690224155021</v>
      </c>
      <c r="BY36" s="218">
        <f>+SUM(BY33:BY35)+BY31</f>
        <v>2208.1225894441259</v>
      </c>
      <c r="BZ36" s="218">
        <f>+SUM(BZ33:BZ35)+BZ31</f>
        <v>2178.9705105672992</v>
      </c>
      <c r="CA36" s="672">
        <f>+SUM(CA33:CA35)+CA31</f>
        <v>2178.9705105672992</v>
      </c>
      <c r="CB36" s="202"/>
      <c r="CC36" s="683">
        <f>+SUM(CC33:CC35)+CC31</f>
        <v>2146.30266900678</v>
      </c>
      <c r="CD36" s="218">
        <f>+SUM(CD33:CD35)+CD31</f>
        <v>2179.8810992183635</v>
      </c>
      <c r="CE36" s="218">
        <f>+SUM(CE33:CE35)+CE31</f>
        <v>2226.5162633754553</v>
      </c>
      <c r="CF36" s="218">
        <f>+SUM(CF33:CF35)+CF31</f>
        <v>2196.5353548880594</v>
      </c>
      <c r="CG36" s="672">
        <f>+SUM(CG33:CG35)+CG31</f>
        <v>2196.5353548880594</v>
      </c>
      <c r="CH36" s="202"/>
      <c r="CI36" s="683">
        <f>+SUM(CI33:CI35)+CI31</f>
        <v>2165.4378801986591</v>
      </c>
      <c r="CJ36" s="218">
        <f>+SUM(CJ33:CJ35)+CJ31</f>
        <v>2200.0063753419608</v>
      </c>
      <c r="CK36" s="218">
        <f>+SUM(CK33:CK35)+CK31</f>
        <v>2248.0572307001689</v>
      </c>
      <c r="CL36" s="218">
        <f>+SUM(CL33:CL35)+CL31</f>
        <v>2217.0901867232096</v>
      </c>
      <c r="CM36" s="672">
        <f>+SUM(CM33:CM35)+CM31</f>
        <v>2217.0901867232096</v>
      </c>
      <c r="CN36" s="203"/>
      <c r="CO36" s="464"/>
      <c r="CP36" s="14"/>
      <c r="CQ36"/>
      <c r="CR36"/>
      <c r="CS36"/>
      <c r="CT36"/>
      <c r="CU36"/>
      <c r="CV36"/>
      <c r="CW36" s="24"/>
    </row>
    <row r="37" spans="1:101" s="112" customFormat="1" ht="11.25" customHeight="1" x14ac:dyDescent="0.2">
      <c r="A37" s="9"/>
      <c r="B37" s="566"/>
      <c r="C37" s="80"/>
      <c r="D37" s="80"/>
      <c r="E37" s="80"/>
      <c r="F37" s="80"/>
      <c r="G37" s="673"/>
      <c r="H37" s="193"/>
      <c r="I37" s="684"/>
      <c r="J37" s="80"/>
      <c r="K37" s="80"/>
      <c r="L37" s="80"/>
      <c r="M37" s="673"/>
      <c r="N37" s="193"/>
      <c r="O37" s="684"/>
      <c r="P37" s="80"/>
      <c r="Q37" s="80"/>
      <c r="R37" s="80"/>
      <c r="S37" s="673"/>
      <c r="T37" s="193"/>
      <c r="U37" s="684"/>
      <c r="V37" s="80"/>
      <c r="W37" s="80"/>
      <c r="X37" s="80"/>
      <c r="Y37" s="673"/>
      <c r="Z37" s="193"/>
      <c r="AA37" s="684"/>
      <c r="AB37" s="80"/>
      <c r="AC37" s="80"/>
      <c r="AD37" s="80"/>
      <c r="AE37" s="673"/>
      <c r="AF37" s="193"/>
      <c r="AG37" s="684"/>
      <c r="AH37" s="80"/>
      <c r="AI37" s="80"/>
      <c r="AJ37" s="80"/>
      <c r="AK37" s="673"/>
      <c r="AL37" s="193"/>
      <c r="AM37" s="684"/>
      <c r="AN37" s="80"/>
      <c r="AO37" s="80"/>
      <c r="AP37" s="80"/>
      <c r="AQ37" s="673"/>
      <c r="AR37" s="193"/>
      <c r="AS37" s="684"/>
      <c r="AT37" s="80"/>
      <c r="AU37" s="80"/>
      <c r="AV37" s="80"/>
      <c r="AW37" s="673"/>
      <c r="AX37" s="193"/>
      <c r="AY37" s="684"/>
      <c r="AZ37" s="80"/>
      <c r="BA37" s="80"/>
      <c r="BB37" s="80"/>
      <c r="BC37" s="673"/>
      <c r="BD37" s="193"/>
      <c r="BE37" s="684"/>
      <c r="BF37" s="80"/>
      <c r="BG37" s="80"/>
      <c r="BH37" s="80"/>
      <c r="BI37" s="673"/>
      <c r="BJ37" s="193"/>
      <c r="BK37" s="692"/>
      <c r="BL37" s="19"/>
      <c r="BM37" s="19"/>
      <c r="BN37" s="80"/>
      <c r="BO37" s="673"/>
      <c r="BP37" s="193"/>
      <c r="BQ37" s="692"/>
      <c r="BR37" s="19"/>
      <c r="BS37" s="19"/>
      <c r="BT37" s="19"/>
      <c r="BU37" s="270"/>
      <c r="BV37" s="193"/>
      <c r="BW37" s="692"/>
      <c r="BX37" s="19"/>
      <c r="BY37" s="19"/>
      <c r="BZ37" s="19"/>
      <c r="CA37" s="270"/>
      <c r="CB37" s="193"/>
      <c r="CC37" s="692"/>
      <c r="CD37" s="19"/>
      <c r="CE37" s="19"/>
      <c r="CF37" s="19"/>
      <c r="CG37" s="270"/>
      <c r="CH37" s="193"/>
      <c r="CI37" s="692"/>
      <c r="CJ37" s="19"/>
      <c r="CK37" s="19"/>
      <c r="CL37" s="19"/>
      <c r="CM37" s="270"/>
      <c r="CN37" s="200"/>
      <c r="CO37" s="464"/>
      <c r="CP37" s="14"/>
      <c r="CQ37"/>
      <c r="CR37"/>
      <c r="CS37"/>
      <c r="CT37"/>
      <c r="CU37"/>
      <c r="CV37"/>
      <c r="CW37" s="24"/>
    </row>
    <row r="38" spans="1:101" s="112" customFormat="1" ht="11.25" customHeight="1" x14ac:dyDescent="0.2">
      <c r="A38" s="9"/>
      <c r="B38" s="818" t="s">
        <v>180</v>
      </c>
      <c r="C38" s="80"/>
      <c r="D38" s="80"/>
      <c r="E38" s="80"/>
      <c r="F38" s="80"/>
      <c r="G38" s="673"/>
      <c r="H38" s="193"/>
      <c r="I38" s="684"/>
      <c r="J38" s="80"/>
      <c r="K38" s="80"/>
      <c r="L38" s="80"/>
      <c r="M38" s="673"/>
      <c r="N38" s="193"/>
      <c r="O38" s="684"/>
      <c r="P38" s="80"/>
      <c r="Q38" s="80"/>
      <c r="R38" s="80"/>
      <c r="S38" s="673"/>
      <c r="T38" s="193"/>
      <c r="U38" s="684"/>
      <c r="V38" s="80"/>
      <c r="W38" s="80"/>
      <c r="X38" s="80"/>
      <c r="Y38" s="673"/>
      <c r="Z38" s="193"/>
      <c r="AA38" s="684"/>
      <c r="AB38" s="80"/>
      <c r="AC38" s="80"/>
      <c r="AD38" s="80"/>
      <c r="AE38" s="673"/>
      <c r="AF38" s="193"/>
      <c r="AG38" s="684"/>
      <c r="AH38" s="80"/>
      <c r="AI38" s="80"/>
      <c r="AJ38" s="80"/>
      <c r="AK38" s="673"/>
      <c r="AL38" s="193"/>
      <c r="AM38" s="684"/>
      <c r="AN38" s="80"/>
      <c r="AO38" s="80"/>
      <c r="AP38" s="80"/>
      <c r="AQ38" s="673"/>
      <c r="AR38" s="193"/>
      <c r="AS38" s="684"/>
      <c r="AT38" s="80"/>
      <c r="AU38" s="80"/>
      <c r="AV38" s="80"/>
      <c r="AW38" s="673"/>
      <c r="AX38" s="193"/>
      <c r="AY38" s="684"/>
      <c r="AZ38" s="80"/>
      <c r="BA38" s="80"/>
      <c r="BB38" s="80"/>
      <c r="BC38" s="673"/>
      <c r="BD38" s="193"/>
      <c r="BE38" s="684"/>
      <c r="BF38" s="80"/>
      <c r="BG38" s="80"/>
      <c r="BH38" s="80"/>
      <c r="BI38" s="673"/>
      <c r="BJ38" s="193"/>
      <c r="BK38" s="692"/>
      <c r="BL38" s="19"/>
      <c r="BM38" s="19"/>
      <c r="BN38" s="80"/>
      <c r="BO38" s="673"/>
      <c r="BP38" s="193"/>
      <c r="BQ38" s="692"/>
      <c r="BR38" s="19"/>
      <c r="BS38" s="19"/>
      <c r="BT38" s="19"/>
      <c r="BU38" s="270"/>
      <c r="BV38" s="193"/>
      <c r="BW38" s="692"/>
      <c r="BX38" s="19"/>
      <c r="BY38" s="19"/>
      <c r="BZ38" s="19"/>
      <c r="CA38" s="270"/>
      <c r="CB38" s="193"/>
      <c r="CC38" s="692"/>
      <c r="CD38" s="19"/>
      <c r="CE38" s="19"/>
      <c r="CF38" s="19"/>
      <c r="CG38" s="270"/>
      <c r="CH38" s="193"/>
      <c r="CI38" s="692"/>
      <c r="CJ38" s="19"/>
      <c r="CK38" s="19"/>
      <c r="CL38" s="19"/>
      <c r="CM38" s="270"/>
      <c r="CN38" s="200"/>
      <c r="CO38" s="464"/>
      <c r="CP38" s="14"/>
      <c r="CQ38"/>
      <c r="CR38"/>
      <c r="CS38"/>
      <c r="CT38"/>
      <c r="CU38"/>
      <c r="CV38"/>
      <c r="CW38" s="24"/>
    </row>
    <row r="39" spans="1:101" s="112" customFormat="1" ht="11.25" customHeight="1" x14ac:dyDescent="0.2">
      <c r="A39" s="9"/>
      <c r="B39" s="656" t="s">
        <v>149</v>
      </c>
      <c r="C39" s="196">
        <v>1.389</v>
      </c>
      <c r="D39" s="196">
        <v>1.391</v>
      </c>
      <c r="E39" s="196">
        <v>1.3939999999999999</v>
      </c>
      <c r="F39" s="196">
        <v>1.395</v>
      </c>
      <c r="G39" s="667">
        <f>F39</f>
        <v>1.395</v>
      </c>
      <c r="H39" s="193"/>
      <c r="I39" s="677">
        <v>1.3959999999999999</v>
      </c>
      <c r="J39" s="196">
        <v>1.397</v>
      </c>
      <c r="K39" s="196">
        <v>1.319</v>
      </c>
      <c r="L39" s="196">
        <v>1.224</v>
      </c>
      <c r="M39" s="667">
        <f>L39</f>
        <v>1.224</v>
      </c>
      <c r="N39" s="193"/>
      <c r="O39" s="677">
        <v>1.214</v>
      </c>
      <c r="P39" s="196">
        <v>1.216</v>
      </c>
      <c r="Q39" s="196">
        <v>1.2190000000000001</v>
      </c>
      <c r="R39" s="196">
        <v>1.22</v>
      </c>
      <c r="S39" s="667">
        <f>R39</f>
        <v>1.22</v>
      </c>
      <c r="T39" s="193"/>
      <c r="U39" s="677">
        <v>1.2230000000000001</v>
      </c>
      <c r="V39" s="196">
        <v>1.2250000000000001</v>
      </c>
      <c r="W39" s="196">
        <v>1.228</v>
      </c>
      <c r="X39" s="196">
        <v>1.234</v>
      </c>
      <c r="Y39" s="667">
        <f>X39</f>
        <v>1.234</v>
      </c>
      <c r="Z39" s="193"/>
      <c r="AA39" s="677">
        <v>1.24</v>
      </c>
      <c r="AB39" s="196">
        <v>1.228</v>
      </c>
      <c r="AC39" s="196">
        <v>1.2290000000000001</v>
      </c>
      <c r="AD39" s="196">
        <v>1.2110000000000001</v>
      </c>
      <c r="AE39" s="667">
        <f>AD39</f>
        <v>1.2110000000000001</v>
      </c>
      <c r="AF39" s="193"/>
      <c r="AG39" s="677">
        <v>1.1950000000000001</v>
      </c>
      <c r="AH39" s="196">
        <v>1.1399999999999999</v>
      </c>
      <c r="AI39" s="196">
        <v>1.1100000000000001</v>
      </c>
      <c r="AJ39" s="196">
        <v>1.099</v>
      </c>
      <c r="AK39" s="667">
        <f>AJ39</f>
        <v>1.099</v>
      </c>
      <c r="AL39" s="193"/>
      <c r="AM39" s="677">
        <v>1.0920000000000001</v>
      </c>
      <c r="AN39" s="196">
        <v>1.0780000000000001</v>
      </c>
      <c r="AO39" s="196">
        <v>1.0649999999999999</v>
      </c>
      <c r="AP39" s="196">
        <v>1.056</v>
      </c>
      <c r="AQ39" s="667">
        <f>AP39</f>
        <v>1.056</v>
      </c>
      <c r="AR39" s="193"/>
      <c r="AS39" s="677">
        <v>1.0529999999999999</v>
      </c>
      <c r="AT39" s="196">
        <v>1.054</v>
      </c>
      <c r="AU39" s="196">
        <v>1.05</v>
      </c>
      <c r="AV39" s="196">
        <v>1.04</v>
      </c>
      <c r="AW39" s="667">
        <f>AV39</f>
        <v>1.04</v>
      </c>
      <c r="AX39" s="193"/>
      <c r="AY39" s="677">
        <v>1.0289999999999999</v>
      </c>
      <c r="AZ39" s="196">
        <v>1.0289999999999999</v>
      </c>
      <c r="BA39" s="196">
        <v>1.0309999999999999</v>
      </c>
      <c r="BB39" s="196">
        <v>1.0329999999999999</v>
      </c>
      <c r="BC39" s="667">
        <f>BB39</f>
        <v>1.0329999999999999</v>
      </c>
      <c r="BD39" s="193"/>
      <c r="BE39" s="677">
        <v>1.034</v>
      </c>
      <c r="BF39" s="196">
        <v>0.995</v>
      </c>
      <c r="BG39" s="196">
        <v>0.99099999999999999</v>
      </c>
      <c r="BH39" s="196">
        <v>0.99099999999999999</v>
      </c>
      <c r="BI39" s="667">
        <f>BH39</f>
        <v>0.99099999999999999</v>
      </c>
      <c r="BJ39" s="193"/>
      <c r="BK39" s="677">
        <v>0.98599999999999999</v>
      </c>
      <c r="BL39" s="193">
        <v>0.98199999999999998</v>
      </c>
      <c r="BM39" s="193">
        <v>0.97399999999999998</v>
      </c>
      <c r="BN39" s="196">
        <v>0.96599999999999997</v>
      </c>
      <c r="BO39" s="667">
        <f>BN39</f>
        <v>0.96599999999999997</v>
      </c>
      <c r="BP39" s="193"/>
      <c r="BQ39" s="677">
        <v>0.95799999999999996</v>
      </c>
      <c r="BR39" s="1276">
        <v>0.94899999999999995</v>
      </c>
      <c r="BS39" s="193">
        <f>+BR39</f>
        <v>0.94899999999999995</v>
      </c>
      <c r="BT39" s="19">
        <f>BS39</f>
        <v>0.94899999999999995</v>
      </c>
      <c r="BU39" s="270">
        <f>BT39</f>
        <v>0.94899999999999995</v>
      </c>
      <c r="BV39" s="193"/>
      <c r="BW39" s="692">
        <f>BU39</f>
        <v>0.94899999999999995</v>
      </c>
      <c r="BX39" s="19">
        <f>BW39</f>
        <v>0.94899999999999995</v>
      </c>
      <c r="BY39" s="19">
        <f>BX39</f>
        <v>0.94899999999999995</v>
      </c>
      <c r="BZ39" s="19">
        <f>BY39</f>
        <v>0.94899999999999995</v>
      </c>
      <c r="CA39" s="270">
        <f>BZ39</f>
        <v>0.94899999999999995</v>
      </c>
      <c r="CB39" s="193"/>
      <c r="CC39" s="692">
        <f>CA39</f>
        <v>0.94899999999999995</v>
      </c>
      <c r="CD39" s="19">
        <f>CC39</f>
        <v>0.94899999999999995</v>
      </c>
      <c r="CE39" s="19">
        <f>CD39</f>
        <v>0.94899999999999995</v>
      </c>
      <c r="CF39" s="19">
        <f>CE39</f>
        <v>0.94899999999999995</v>
      </c>
      <c r="CG39" s="270">
        <f>CF39</f>
        <v>0.94899999999999995</v>
      </c>
      <c r="CH39" s="193"/>
      <c r="CI39" s="692">
        <f>CG39</f>
        <v>0.94899999999999995</v>
      </c>
      <c r="CJ39" s="19">
        <f>CI39</f>
        <v>0.94899999999999995</v>
      </c>
      <c r="CK39" s="19">
        <f>CJ39</f>
        <v>0.94899999999999995</v>
      </c>
      <c r="CL39" s="19">
        <f>CK39</f>
        <v>0.94899999999999995</v>
      </c>
      <c r="CM39" s="270">
        <f>CL39</f>
        <v>0.94899999999999995</v>
      </c>
      <c r="CN39" s="200"/>
      <c r="CO39" s="464"/>
      <c r="CP39" s="14"/>
      <c r="CQ39"/>
      <c r="CR39"/>
      <c r="CS39"/>
      <c r="CT39"/>
      <c r="CU39"/>
      <c r="CV39"/>
      <c r="CW39" s="24"/>
    </row>
    <row r="40" spans="1:101" s="112" customFormat="1" ht="11.25" customHeight="1" x14ac:dyDescent="0.2">
      <c r="A40" s="9"/>
      <c r="B40" s="656" t="s">
        <v>281</v>
      </c>
      <c r="C40" s="196">
        <v>152.99299999999999</v>
      </c>
      <c r="D40" s="196">
        <v>160.41900000000001</v>
      </c>
      <c r="E40" s="196">
        <v>167.11799999999999</v>
      </c>
      <c r="F40" s="196">
        <v>174.42</v>
      </c>
      <c r="G40" s="667">
        <f>F40</f>
        <v>174.42</v>
      </c>
      <c r="H40" s="193"/>
      <c r="I40" s="677">
        <v>180.47900000000001</v>
      </c>
      <c r="J40" s="196">
        <v>185.52500000000001</v>
      </c>
      <c r="K40" s="196">
        <v>0</v>
      </c>
      <c r="L40" s="196">
        <v>0</v>
      </c>
      <c r="M40" s="667">
        <f>L40</f>
        <v>0</v>
      </c>
      <c r="N40" s="193"/>
      <c r="O40" s="677">
        <v>4.3209999999999997</v>
      </c>
      <c r="P40" s="196">
        <v>9.5530000000000008</v>
      </c>
      <c r="Q40" s="196">
        <v>16.356000000000002</v>
      </c>
      <c r="R40" s="196">
        <v>20.32</v>
      </c>
      <c r="S40" s="667">
        <f>R40</f>
        <v>20.32</v>
      </c>
      <c r="T40" s="193"/>
      <c r="U40" s="677">
        <v>25.771999999999998</v>
      </c>
      <c r="V40" s="196">
        <v>30.337</v>
      </c>
      <c r="W40" s="196">
        <v>36.482999999999997</v>
      </c>
      <c r="X40" s="196">
        <v>41.703000000000003</v>
      </c>
      <c r="Y40" s="667">
        <f>X40</f>
        <v>41.703000000000003</v>
      </c>
      <c r="Z40" s="193"/>
      <c r="AA40" s="677">
        <v>49.850999999999999</v>
      </c>
      <c r="AB40" s="196">
        <v>17.405000000000001</v>
      </c>
      <c r="AC40" s="196">
        <v>21.344000000000001</v>
      </c>
      <c r="AD40" s="196">
        <v>0</v>
      </c>
      <c r="AE40" s="667">
        <f>AD40</f>
        <v>0</v>
      </c>
      <c r="AF40" s="193"/>
      <c r="AG40" s="677">
        <v>0</v>
      </c>
      <c r="AH40" s="196">
        <v>0</v>
      </c>
      <c r="AI40" s="196">
        <v>0</v>
      </c>
      <c r="AJ40" s="196">
        <v>0</v>
      </c>
      <c r="AK40" s="667">
        <f>AJ40</f>
        <v>0</v>
      </c>
      <c r="AL40" s="193"/>
      <c r="AM40" s="677">
        <v>0</v>
      </c>
      <c r="AN40" s="196">
        <v>0</v>
      </c>
      <c r="AO40" s="196">
        <v>0</v>
      </c>
      <c r="AP40" s="196">
        <v>0</v>
      </c>
      <c r="AQ40" s="667">
        <f>AP40</f>
        <v>0</v>
      </c>
      <c r="AR40" s="193"/>
      <c r="AS40" s="677">
        <v>0</v>
      </c>
      <c r="AT40" s="196">
        <v>7.6340000000000003</v>
      </c>
      <c r="AU40" s="196">
        <v>0</v>
      </c>
      <c r="AV40" s="196">
        <v>0</v>
      </c>
      <c r="AW40" s="667">
        <f>AV40</f>
        <v>0</v>
      </c>
      <c r="AX40" s="193"/>
      <c r="AY40" s="677">
        <v>0</v>
      </c>
      <c r="AZ40" s="196">
        <v>2.6150000000000002</v>
      </c>
      <c r="BA40" s="196">
        <v>12.015000000000001</v>
      </c>
      <c r="BB40" s="196">
        <v>21.026</v>
      </c>
      <c r="BC40" s="667">
        <f>BB40</f>
        <v>21.026</v>
      </c>
      <c r="BD40" s="193"/>
      <c r="BE40" s="677">
        <v>24.181999999999999</v>
      </c>
      <c r="BF40" s="196">
        <v>27.759</v>
      </c>
      <c r="BG40" s="196">
        <v>34.369</v>
      </c>
      <c r="BH40" s="196">
        <v>48.476999999999997</v>
      </c>
      <c r="BI40" s="667">
        <f>BH40</f>
        <v>48.476999999999997</v>
      </c>
      <c r="BJ40" s="193"/>
      <c r="BK40" s="677">
        <v>53.854999999999997</v>
      </c>
      <c r="BL40" s="193">
        <v>57.542000000000002</v>
      </c>
      <c r="BM40" s="193">
        <v>66.274000000000001</v>
      </c>
      <c r="BN40" s="196">
        <v>72.972999999999999</v>
      </c>
      <c r="BO40" s="667">
        <f>BN40</f>
        <v>72.972999999999999</v>
      </c>
      <c r="BP40" s="193"/>
      <c r="BQ40" s="677">
        <v>81.584999999999994</v>
      </c>
      <c r="BR40" s="847">
        <v>88.069000000000003</v>
      </c>
      <c r="BS40" s="193">
        <v>66.274000000000001</v>
      </c>
      <c r="BT40" s="199">
        <f>BS40+'Cash Flow'!BT14+'Cash Flow'!BT15+'Cash Flow'!BT44+'Cash Flow'!BT43+'Cash Flow'!BT37+'Cash Flow'!BT42</f>
        <v>39.551591592889388</v>
      </c>
      <c r="BU40" s="695">
        <f>BT40</f>
        <v>39.551591592889388</v>
      </c>
      <c r="BV40" s="193"/>
      <c r="BW40" s="175">
        <f>BU40+'Cash Flow'!BW14+'Cash Flow'!BW15+'Cash Flow'!BW44+'Cash Flow'!BW43+'Cash Flow'!BW37+'Cash Flow'!BW42</f>
        <v>22.104524071027313</v>
      </c>
      <c r="BX40" s="199">
        <f>BW40+'Cash Flow'!BX14+'Cash Flow'!BX15+'Cash Flow'!BX44+'Cash Flow'!BX43+'Cash Flow'!BX37+'Cash Flow'!BX42</f>
        <v>5.3588818099962481</v>
      </c>
      <c r="BY40" s="199">
        <f>BX40+'Cash Flow'!BY14+'Cash Flow'!BY15+'Cash Flow'!BY44+'Cash Flow'!BY43+'Cash Flow'!BY37+'Cash Flow'!BY42</f>
        <v>-11.524922800803409</v>
      </c>
      <c r="BZ40" s="199">
        <f>BY40+'Cash Flow'!BZ14+'Cash Flow'!BZ15+'Cash Flow'!BZ44+'Cash Flow'!BZ43+'Cash Flow'!BZ37+'Cash Flow'!BZ42</f>
        <v>-27.925991448632534</v>
      </c>
      <c r="CA40" s="695">
        <f>BZ40</f>
        <v>-27.925991448632534</v>
      </c>
      <c r="CB40" s="193"/>
      <c r="CC40" s="175">
        <f>CA40+'Cash Flow'!CC14+'Cash Flow'!CC15+'Cash Flow'!CC44+'Cash Flow'!CC43+'Cash Flow'!CC37+'Cash Flow'!CC42</f>
        <v>-45.186749631673422</v>
      </c>
      <c r="CD40" s="199">
        <f>CC40+'Cash Flow'!CD14+'Cash Flow'!CD15+'Cash Flow'!CD44+'Cash Flow'!CD43+'Cash Flow'!CD37+'Cash Flow'!CD42</f>
        <v>-61.732155500203007</v>
      </c>
      <c r="CE40" s="199">
        <f>CD40+'Cash Flow'!CE14+'Cash Flow'!CE15+'Cash Flow'!CE44+'Cash Flow'!CE43+'Cash Flow'!CE37+'Cash Flow'!CE42</f>
        <v>-78.400445336784344</v>
      </c>
      <c r="CF40" s="199">
        <f>CE40+'Cash Flow'!CF14+'Cash Flow'!CF15+'Cash Flow'!CF44+'Cash Flow'!CF43+'Cash Flow'!CF37+'Cash Flow'!CF42</f>
        <v>-94.572371189368241</v>
      </c>
      <c r="CG40" s="695">
        <f>CF40</f>
        <v>-94.572371189368241</v>
      </c>
      <c r="CH40" s="193"/>
      <c r="CI40" s="175">
        <f>CG40+'Cash Flow'!CI14+'Cash Flow'!CI15+'Cash Flow'!CI44+'Cash Flow'!CI43+'Cash Flow'!CI37+'Cash Flow'!CI42</f>
        <v>-111.60156213178159</v>
      </c>
      <c r="CJ40" s="199">
        <f>CI40+'Cash Flow'!CJ14+'Cash Flow'!CJ15+'Cash Flow'!CJ44+'Cash Flow'!CJ43+'Cash Flow'!CJ37+'Cash Flow'!CJ42</f>
        <v>-127.89345256622723</v>
      </c>
      <c r="CK40" s="199">
        <f>CJ40+'Cash Flow'!CK14+'Cash Flow'!CK15+'Cash Flow'!CK44+'Cash Flow'!CK43+'Cash Flow'!CK37+'Cash Flow'!CK42</f>
        <v>-144.31317698460288</v>
      </c>
      <c r="CL40" s="199">
        <f>CK40+'Cash Flow'!CL14+'Cash Flow'!CL15+'Cash Flow'!CL44+'Cash Flow'!CL43+'Cash Flow'!CL37+'Cash Flow'!CL42</f>
        <v>-160.22088999629744</v>
      </c>
      <c r="CM40" s="695">
        <f>CL40</f>
        <v>-160.22088999629744</v>
      </c>
      <c r="CN40" s="200"/>
      <c r="CO40" s="464"/>
      <c r="CP40" s="14"/>
      <c r="CQ40"/>
      <c r="CR40"/>
      <c r="CS40"/>
      <c r="CT40"/>
      <c r="CU40"/>
      <c r="CV40"/>
      <c r="CW40" s="24"/>
    </row>
    <row r="41" spans="1:101" s="128" customFormat="1" ht="11.25" customHeight="1" x14ac:dyDescent="0.2">
      <c r="A41" s="9"/>
      <c r="B41" s="656" t="s">
        <v>282</v>
      </c>
      <c r="C41" s="196">
        <v>13.106</v>
      </c>
      <c r="D41" s="196">
        <v>14.959</v>
      </c>
      <c r="E41" s="196">
        <v>11.381</v>
      </c>
      <c r="F41" s="196">
        <v>18.372</v>
      </c>
      <c r="G41" s="667">
        <f>F41</f>
        <v>18.372</v>
      </c>
      <c r="H41" s="193"/>
      <c r="I41" s="677">
        <v>24.445</v>
      </c>
      <c r="J41" s="196">
        <v>38.332000000000001</v>
      </c>
      <c r="K41" s="196">
        <v>30.7</v>
      </c>
      <c r="L41" s="196">
        <v>31.352</v>
      </c>
      <c r="M41" s="667">
        <f>L41</f>
        <v>31.352</v>
      </c>
      <c r="N41" s="193"/>
      <c r="O41" s="677">
        <v>31.036000000000001</v>
      </c>
      <c r="P41" s="196">
        <v>-13.148999999999999</v>
      </c>
      <c r="Q41" s="196">
        <v>-14.221</v>
      </c>
      <c r="R41" s="196">
        <v>-8.8670000000000009</v>
      </c>
      <c r="S41" s="667">
        <f>R41</f>
        <v>-8.8670000000000009</v>
      </c>
      <c r="T41" s="193"/>
      <c r="U41" s="677">
        <v>14.06</v>
      </c>
      <c r="V41" s="196">
        <v>19.494</v>
      </c>
      <c r="W41" s="196">
        <v>16.545000000000002</v>
      </c>
      <c r="X41" s="196">
        <v>23.291</v>
      </c>
      <c r="Y41" s="667">
        <f>X41</f>
        <v>23.291</v>
      </c>
      <c r="Z41" s="193"/>
      <c r="AA41" s="677">
        <v>15.978999999999999</v>
      </c>
      <c r="AB41" s="196">
        <v>22.529</v>
      </c>
      <c r="AC41" s="196">
        <v>25.268000000000001</v>
      </c>
      <c r="AD41" s="196">
        <v>41.95</v>
      </c>
      <c r="AE41" s="667">
        <f>AD41</f>
        <v>41.95</v>
      </c>
      <c r="AF41" s="193"/>
      <c r="AG41" s="677">
        <v>39.94</v>
      </c>
      <c r="AH41" s="196">
        <v>30.902999999999999</v>
      </c>
      <c r="AI41" s="196">
        <v>25.242000000000001</v>
      </c>
      <c r="AJ41" s="196">
        <v>32.454999999999998</v>
      </c>
      <c r="AK41" s="667">
        <f>AJ41</f>
        <v>32.454999999999998</v>
      </c>
      <c r="AL41" s="193"/>
      <c r="AM41" s="677">
        <v>21.140999999999998</v>
      </c>
      <c r="AN41" s="196">
        <v>29.629000000000001</v>
      </c>
      <c r="AO41" s="196">
        <v>26.853000000000002</v>
      </c>
      <c r="AP41" s="196">
        <v>25.164999999999999</v>
      </c>
      <c r="AQ41" s="667">
        <f>AP41</f>
        <v>25.164999999999999</v>
      </c>
      <c r="AR41" s="193"/>
      <c r="AS41" s="677">
        <v>16.811</v>
      </c>
      <c r="AT41" s="196">
        <v>31.462</v>
      </c>
      <c r="AU41" s="196">
        <v>38.020000000000003</v>
      </c>
      <c r="AV41" s="196">
        <v>25.37</v>
      </c>
      <c r="AW41" s="667">
        <f>AV41</f>
        <v>25.37</v>
      </c>
      <c r="AX41" s="193"/>
      <c r="AY41" s="677">
        <v>33.371000000000002</v>
      </c>
      <c r="AZ41" s="196">
        <v>-7.3120000000000003</v>
      </c>
      <c r="BA41" s="196">
        <v>-60.235999999999997</v>
      </c>
      <c r="BB41" s="196">
        <v>-60.345999999999997</v>
      </c>
      <c r="BC41" s="667">
        <f>BB41</f>
        <v>-60.345999999999997</v>
      </c>
      <c r="BD41" s="193"/>
      <c r="BE41" s="677">
        <v>-71.004000000000005</v>
      </c>
      <c r="BF41" s="196">
        <v>-63.625999999999998</v>
      </c>
      <c r="BG41" s="196">
        <v>-81.863</v>
      </c>
      <c r="BH41" s="196">
        <v>-67.963999999999999</v>
      </c>
      <c r="BI41" s="667">
        <f>BH41</f>
        <v>-67.963999999999999</v>
      </c>
      <c r="BJ41" s="193"/>
      <c r="BK41" s="677">
        <v>-87.787999999999997</v>
      </c>
      <c r="BL41" s="193">
        <v>-101.352</v>
      </c>
      <c r="BM41" s="193">
        <v>-94.832999999999998</v>
      </c>
      <c r="BN41" s="196">
        <v>-92.668999999999997</v>
      </c>
      <c r="BO41" s="667">
        <f>BN41</f>
        <v>-92.668999999999997</v>
      </c>
      <c r="BP41" s="193"/>
      <c r="BQ41" s="677">
        <v>-80.147999999999996</v>
      </c>
      <c r="BR41" s="847">
        <v>-83.674999999999997</v>
      </c>
      <c r="BS41" s="193">
        <v>-94.832999999999998</v>
      </c>
      <c r="BT41" s="199">
        <f>BS41+'Cash Flow'!BT48</f>
        <v>-94.832999999999998</v>
      </c>
      <c r="BU41" s="695">
        <f>BT41</f>
        <v>-94.832999999999998</v>
      </c>
      <c r="BV41" s="193"/>
      <c r="BW41" s="175">
        <f>BU41+'Cash Flow'!BW48</f>
        <v>-94.832999999999998</v>
      </c>
      <c r="BX41" s="199">
        <f>BW41+'Cash Flow'!BX48</f>
        <v>-94.832999999999998</v>
      </c>
      <c r="BY41" s="199">
        <f>BX41+'Cash Flow'!BY48</f>
        <v>-94.832999999999998</v>
      </c>
      <c r="BZ41" s="199">
        <f>BY41+'Cash Flow'!BZ48</f>
        <v>-94.832999999999998</v>
      </c>
      <c r="CA41" s="695">
        <f>BZ41</f>
        <v>-94.832999999999998</v>
      </c>
      <c r="CB41" s="193"/>
      <c r="CC41" s="175">
        <f>CA41+'Cash Flow'!CC48</f>
        <v>-94.832999999999998</v>
      </c>
      <c r="CD41" s="199">
        <f>CC41+'Cash Flow'!CD48</f>
        <v>-94.832999999999998</v>
      </c>
      <c r="CE41" s="199">
        <f>CD41+'Cash Flow'!CE48</f>
        <v>-94.832999999999998</v>
      </c>
      <c r="CF41" s="199">
        <f>CE41+'Cash Flow'!CF48</f>
        <v>-94.832999999999998</v>
      </c>
      <c r="CG41" s="695">
        <f>CF41</f>
        <v>-94.832999999999998</v>
      </c>
      <c r="CH41" s="193"/>
      <c r="CI41" s="175">
        <f>CG41+'Cash Flow'!CI48</f>
        <v>-94.832999999999998</v>
      </c>
      <c r="CJ41" s="199">
        <f>CI41+'Cash Flow'!CJ48</f>
        <v>-94.832999999999998</v>
      </c>
      <c r="CK41" s="199">
        <f>CJ41+'Cash Flow'!CK48</f>
        <v>-94.832999999999998</v>
      </c>
      <c r="CL41" s="199">
        <f>CK41+'Cash Flow'!CL48</f>
        <v>-94.832999999999998</v>
      </c>
      <c r="CM41" s="695">
        <f>CL41</f>
        <v>-94.832999999999998</v>
      </c>
      <c r="CN41" s="200"/>
      <c r="CO41" s="464"/>
      <c r="CP41" s="14"/>
      <c r="CQ41"/>
      <c r="CR41"/>
      <c r="CS41"/>
      <c r="CT41"/>
      <c r="CU41"/>
      <c r="CV41"/>
      <c r="CW41" s="24"/>
    </row>
    <row r="42" spans="1:101" s="112" customFormat="1" ht="11.25" customHeight="1" x14ac:dyDescent="0.2">
      <c r="A42" s="9"/>
      <c r="B42" s="656" t="s">
        <v>18</v>
      </c>
      <c r="C42" s="196">
        <v>1141.838</v>
      </c>
      <c r="D42" s="196">
        <v>1190.075</v>
      </c>
      <c r="E42" s="196">
        <v>1248.6659999999999</v>
      </c>
      <c r="F42" s="196">
        <v>1308.5899999999999</v>
      </c>
      <c r="G42" s="667">
        <f>F42</f>
        <v>1308.5899999999999</v>
      </c>
      <c r="H42" s="33"/>
      <c r="I42" s="677">
        <v>1356.134</v>
      </c>
      <c r="J42" s="196">
        <v>1409.876</v>
      </c>
      <c r="K42" s="196">
        <v>1398.028</v>
      </c>
      <c r="L42" s="196">
        <v>1093.9739999999999</v>
      </c>
      <c r="M42" s="667">
        <f>L42</f>
        <v>1093.9739999999999</v>
      </c>
      <c r="N42" s="33"/>
      <c r="O42" s="677">
        <v>1139.9380000000001</v>
      </c>
      <c r="P42" s="196">
        <v>1186.8409999999999</v>
      </c>
      <c r="Q42" s="196">
        <v>1239.6479999999999</v>
      </c>
      <c r="R42" s="196">
        <v>1293.6089999999999</v>
      </c>
      <c r="S42" s="667">
        <f>R42</f>
        <v>1293.6089999999999</v>
      </c>
      <c r="T42" s="33"/>
      <c r="U42" s="677">
        <v>1338.6659999999999</v>
      </c>
      <c r="V42" s="196">
        <v>1388.009</v>
      </c>
      <c r="W42" s="196">
        <v>1444.058</v>
      </c>
      <c r="X42" s="196">
        <v>1493.885</v>
      </c>
      <c r="Y42" s="667">
        <f>X42</f>
        <v>1493.885</v>
      </c>
      <c r="Z42" s="33"/>
      <c r="AA42" s="677">
        <v>1535.779</v>
      </c>
      <c r="AB42" s="196">
        <v>1577.2080000000001</v>
      </c>
      <c r="AC42" s="196">
        <v>1620.683</v>
      </c>
      <c r="AD42" s="196">
        <v>1632.4970000000001</v>
      </c>
      <c r="AE42" s="667">
        <f>AD42</f>
        <v>1632.4970000000001</v>
      </c>
      <c r="AF42" s="33"/>
      <c r="AG42" s="677">
        <v>1608.134</v>
      </c>
      <c r="AH42" s="196">
        <v>1487.22</v>
      </c>
      <c r="AI42" s="196">
        <v>1439.8530000000001</v>
      </c>
      <c r="AJ42" s="196">
        <v>1456.2329999999999</v>
      </c>
      <c r="AK42" s="667">
        <f>AJ42</f>
        <v>1456.2329999999999</v>
      </c>
      <c r="AL42" s="33"/>
      <c r="AM42" s="677">
        <v>1458.0940000000001</v>
      </c>
      <c r="AN42" s="196">
        <v>1440.624</v>
      </c>
      <c r="AO42" s="196">
        <v>1437.4</v>
      </c>
      <c r="AP42" s="196">
        <v>1463.3579999999999</v>
      </c>
      <c r="AQ42" s="667">
        <f>AP42</f>
        <v>1463.3579999999999</v>
      </c>
      <c r="AR42" s="33"/>
      <c r="AS42" s="677">
        <v>1473.174</v>
      </c>
      <c r="AT42" s="196">
        <v>1496.588</v>
      </c>
      <c r="AU42" s="196">
        <v>1512.404</v>
      </c>
      <c r="AV42" s="196">
        <v>1531.1980000000001</v>
      </c>
      <c r="AW42" s="667">
        <f>AV42</f>
        <v>1531.1980000000001</v>
      </c>
      <c r="AX42" s="33"/>
      <c r="AY42" s="677">
        <v>1519.645</v>
      </c>
      <c r="AZ42" s="196">
        <v>1553.3130000000001</v>
      </c>
      <c r="BA42" s="196">
        <v>1587.8219999999999</v>
      </c>
      <c r="BB42" s="196">
        <v>1630.1479999999999</v>
      </c>
      <c r="BC42" s="667">
        <f>BB42</f>
        <v>1630.1479999999999</v>
      </c>
      <c r="BD42" s="33"/>
      <c r="BE42" s="677">
        <v>1637.579</v>
      </c>
      <c r="BF42" s="196">
        <v>1475.867</v>
      </c>
      <c r="BG42" s="196">
        <v>1486.788</v>
      </c>
      <c r="BH42" s="196">
        <v>1529.1579999999999</v>
      </c>
      <c r="BI42" s="667">
        <f>BH42</f>
        <v>1529.1579999999999</v>
      </c>
      <c r="BJ42" s="33"/>
      <c r="BK42" s="677">
        <v>1519.9</v>
      </c>
      <c r="BL42" s="193">
        <v>1517.796</v>
      </c>
      <c r="BM42" s="193">
        <v>1482.576</v>
      </c>
      <c r="BN42" s="196">
        <v>1481.2339999999999</v>
      </c>
      <c r="BO42" s="667">
        <f>BN42</f>
        <v>1481.2339999999999</v>
      </c>
      <c r="BP42" s="33"/>
      <c r="BQ42" s="677">
        <v>1450.1780000000001</v>
      </c>
      <c r="BR42" s="847">
        <v>1429.6679999999999</v>
      </c>
      <c r="BS42" s="193">
        <v>1559.5160000000001</v>
      </c>
      <c r="BT42" s="199">
        <f>BS42+'Cash Flow'!BT8+'Cash Flow'!BT36</f>
        <v>1559.5081198733792</v>
      </c>
      <c r="BU42" s="695">
        <f>BT42</f>
        <v>1559.5081198733792</v>
      </c>
      <c r="BV42" s="33"/>
      <c r="BW42" s="175">
        <f>BU42+'Cash Flow'!BW8+'Cash Flow'!BW36</f>
        <v>1565.9546063074206</v>
      </c>
      <c r="BX42" s="199">
        <f>BW42+'Cash Flow'!BX8+'Cash Flow'!BX36</f>
        <v>1576.2278673673936</v>
      </c>
      <c r="BY42" s="199">
        <f>BX42+'Cash Flow'!BY8+'Cash Flow'!BY36</f>
        <v>1588.892690045767</v>
      </c>
      <c r="BZ42" s="199">
        <f>BY42+'Cash Flow'!BZ8+'Cash Flow'!BZ36</f>
        <v>1602.1315575501521</v>
      </c>
      <c r="CA42" s="695">
        <f>BZ42</f>
        <v>1602.1315575501521</v>
      </c>
      <c r="CB42" s="33"/>
      <c r="CC42" s="175">
        <f>CA42+'Cash Flow'!CC8+'Cash Flow'!CC36</f>
        <v>1609.8659610315597</v>
      </c>
      <c r="CD42" s="199">
        <f>CC42+'Cash Flow'!CD8+'Cash Flow'!CD36</f>
        <v>1621.5000086311704</v>
      </c>
      <c r="CE42" s="199">
        <f>CD42+'Cash Flow'!CE8+'Cash Flow'!CE36</f>
        <v>1635.155230542716</v>
      </c>
      <c r="CF42" s="199">
        <f>CE42+'Cash Flow'!CF8+'Cash Flow'!CF36</f>
        <v>1649.5384140817291</v>
      </c>
      <c r="CG42" s="695">
        <f>CF42</f>
        <v>1649.5384140817291</v>
      </c>
      <c r="CH42" s="33"/>
      <c r="CI42" s="175">
        <f>CG42+'Cash Flow'!CI8+'Cash Flow'!CI36</f>
        <v>1652.7508247413043</v>
      </c>
      <c r="CJ42" s="199">
        <f>CI42+'Cash Flow'!CJ8+'Cash Flow'!CJ36</f>
        <v>1659.62117711463</v>
      </c>
      <c r="CK42" s="199">
        <f>CJ42+'Cash Flow'!CK8+'Cash Flow'!CK36</f>
        <v>1668.9387512860503</v>
      </c>
      <c r="CL42" s="199">
        <f>CK42+'Cash Flow'!CL8+'Cash Flow'!CL36</f>
        <v>1678.7138258521895</v>
      </c>
      <c r="CM42" s="695">
        <f>CL42</f>
        <v>1678.7138258521895</v>
      </c>
      <c r="CN42" s="19"/>
      <c r="CO42" s="464"/>
      <c r="CP42" s="14"/>
      <c r="CQ42"/>
      <c r="CR42"/>
      <c r="CS42"/>
      <c r="CT42"/>
      <c r="CU42"/>
      <c r="CV42"/>
      <c r="CW42" s="24"/>
    </row>
    <row r="43" spans="1:101" s="112" customFormat="1" ht="11.25" customHeight="1" x14ac:dyDescent="0.2">
      <c r="A43" s="9"/>
      <c r="B43" s="661" t="s">
        <v>283</v>
      </c>
      <c r="C43" s="196">
        <v>-19.765000000000001</v>
      </c>
      <c r="D43" s="196">
        <v>-124.765</v>
      </c>
      <c r="E43" s="196">
        <v>-124.765</v>
      </c>
      <c r="F43" s="196">
        <v>-123.563</v>
      </c>
      <c r="G43" s="667">
        <f>F43</f>
        <v>-123.563</v>
      </c>
      <c r="H43" s="33"/>
      <c r="I43" s="677">
        <v>-123.563</v>
      </c>
      <c r="J43" s="196">
        <v>-123.563</v>
      </c>
      <c r="K43" s="196">
        <v>-123.563</v>
      </c>
      <c r="L43" s="196">
        <v>-121.76300000000001</v>
      </c>
      <c r="M43" s="667">
        <f>L43</f>
        <v>-121.76300000000001</v>
      </c>
      <c r="N43" s="33"/>
      <c r="O43" s="677">
        <v>-121.76300000000001</v>
      </c>
      <c r="P43" s="196">
        <v>-121.76300000000001</v>
      </c>
      <c r="Q43" s="196">
        <v>-121.76300000000001</v>
      </c>
      <c r="R43" s="196">
        <v>-119.962</v>
      </c>
      <c r="S43" s="667">
        <f>R43</f>
        <v>-119.962</v>
      </c>
      <c r="T43" s="33"/>
      <c r="U43" s="677">
        <v>-119.962</v>
      </c>
      <c r="V43" s="196">
        <v>-119.962</v>
      </c>
      <c r="W43" s="196">
        <v>-119.962</v>
      </c>
      <c r="X43" s="196">
        <v>-118.602</v>
      </c>
      <c r="Y43" s="667">
        <f>X43</f>
        <v>-118.602</v>
      </c>
      <c r="Z43" s="33"/>
      <c r="AA43" s="677">
        <v>-116.968</v>
      </c>
      <c r="AB43" s="196">
        <v>-116.968</v>
      </c>
      <c r="AC43" s="196">
        <v>-116.968</v>
      </c>
      <c r="AD43" s="196">
        <v>-115.11799999999999</v>
      </c>
      <c r="AE43" s="667">
        <f>AD43</f>
        <v>-115.11799999999999</v>
      </c>
      <c r="AF43" s="33"/>
      <c r="AG43" s="677">
        <v>-115.11799999999999</v>
      </c>
      <c r="AH43" s="196">
        <v>-115.11799999999999</v>
      </c>
      <c r="AI43" s="196">
        <v>-115.11799999999999</v>
      </c>
      <c r="AJ43" s="196">
        <v>-114.58499999999999</v>
      </c>
      <c r="AK43" s="667">
        <f>AJ43</f>
        <v>-114.58499999999999</v>
      </c>
      <c r="AL43" s="33"/>
      <c r="AM43" s="677">
        <v>-114.58499999999999</v>
      </c>
      <c r="AN43" s="196">
        <v>-114.58499999999999</v>
      </c>
      <c r="AO43" s="196">
        <v>-114.58499999999999</v>
      </c>
      <c r="AP43" s="196">
        <v>-95.123999999999995</v>
      </c>
      <c r="AQ43" s="667">
        <f>AP43</f>
        <v>-95.123999999999995</v>
      </c>
      <c r="AR43" s="33"/>
      <c r="AS43" s="677">
        <v>-95.123999999999995</v>
      </c>
      <c r="AT43" s="196">
        <v>-95.123999999999995</v>
      </c>
      <c r="AU43" s="196">
        <v>-95.123999999999995</v>
      </c>
      <c r="AV43" s="196">
        <v>-85.944000000000003</v>
      </c>
      <c r="AW43" s="667">
        <f>AV43</f>
        <v>-85.944000000000003</v>
      </c>
      <c r="AX43" s="33"/>
      <c r="AY43" s="677">
        <v>-85.944000000000003</v>
      </c>
      <c r="AZ43" s="196">
        <v>-85.944000000000003</v>
      </c>
      <c r="BA43" s="196">
        <v>-85.944000000000003</v>
      </c>
      <c r="BB43" s="196">
        <v>-77.738</v>
      </c>
      <c r="BC43" s="667">
        <f>BB43</f>
        <v>-77.738</v>
      </c>
      <c r="BD43" s="33"/>
      <c r="BE43" s="677">
        <v>-77.738</v>
      </c>
      <c r="BF43" s="196">
        <v>-77.738</v>
      </c>
      <c r="BG43" s="196">
        <v>-77.738</v>
      </c>
      <c r="BH43" s="196">
        <v>-68.915999999999997</v>
      </c>
      <c r="BI43" s="667">
        <f>BH43</f>
        <v>-68.915999999999997</v>
      </c>
      <c r="BJ43" s="33"/>
      <c r="BK43" s="677">
        <v>-68.915999999999997</v>
      </c>
      <c r="BL43" s="193">
        <v>-68.915999999999997</v>
      </c>
      <c r="BM43" s="193">
        <v>-68.915999999999997</v>
      </c>
      <c r="BN43" s="196">
        <v>-68.070999999999998</v>
      </c>
      <c r="BO43" s="667">
        <f>BN43</f>
        <v>-68.070999999999998</v>
      </c>
      <c r="BP43" s="33"/>
      <c r="BQ43" s="677">
        <v>-68.070999999999998</v>
      </c>
      <c r="BR43" s="847">
        <v>-68.070999999999998</v>
      </c>
      <c r="BS43" s="193">
        <v>-68.915999999999997</v>
      </c>
      <c r="BT43" s="199">
        <f>BS43</f>
        <v>-68.915999999999997</v>
      </c>
      <c r="BU43" s="695">
        <f>BT43</f>
        <v>-68.915999999999997</v>
      </c>
      <c r="BV43" s="33"/>
      <c r="BW43" s="175">
        <f>BU43</f>
        <v>-68.915999999999997</v>
      </c>
      <c r="BX43" s="199">
        <f>BW43</f>
        <v>-68.915999999999997</v>
      </c>
      <c r="BY43" s="199">
        <f>BX43</f>
        <v>-68.915999999999997</v>
      </c>
      <c r="BZ43" s="199">
        <f>BY43</f>
        <v>-68.915999999999997</v>
      </c>
      <c r="CA43" s="695">
        <f>BZ43</f>
        <v>-68.915999999999997</v>
      </c>
      <c r="CB43" s="33"/>
      <c r="CC43" s="175">
        <f>CA43</f>
        <v>-68.915999999999997</v>
      </c>
      <c r="CD43" s="199">
        <f>CC43</f>
        <v>-68.915999999999997</v>
      </c>
      <c r="CE43" s="199">
        <f>CD43</f>
        <v>-68.915999999999997</v>
      </c>
      <c r="CF43" s="199">
        <f>CE43</f>
        <v>-68.915999999999997</v>
      </c>
      <c r="CG43" s="695">
        <f>CF43</f>
        <v>-68.915999999999997</v>
      </c>
      <c r="CH43" s="33"/>
      <c r="CI43" s="175">
        <f>CG43</f>
        <v>-68.915999999999997</v>
      </c>
      <c r="CJ43" s="199">
        <f>CI43</f>
        <v>-68.915999999999997</v>
      </c>
      <c r="CK43" s="199">
        <f>CJ43</f>
        <v>-68.915999999999997</v>
      </c>
      <c r="CL43" s="199">
        <f>CK43</f>
        <v>-68.915999999999997</v>
      </c>
      <c r="CM43" s="695">
        <f>CL43</f>
        <v>-68.915999999999997</v>
      </c>
      <c r="CN43" s="19"/>
      <c r="CO43" s="464"/>
      <c r="CP43" s="14"/>
      <c r="CQ43"/>
      <c r="CR43"/>
      <c r="CS43"/>
      <c r="CT43"/>
      <c r="CU43"/>
      <c r="CV43"/>
      <c r="CW43" s="24"/>
    </row>
    <row r="44" spans="1:101" s="112" customFormat="1" ht="11.25" customHeight="1" x14ac:dyDescent="0.2">
      <c r="A44" s="9"/>
      <c r="B44" s="701" t="s">
        <v>196</v>
      </c>
      <c r="C44" s="218">
        <f>SUM(C39:C43)</f>
        <v>1289.5609999999999</v>
      </c>
      <c r="D44" s="218">
        <f>SUM(D39:D43)</f>
        <v>1242.079</v>
      </c>
      <c r="E44" s="218">
        <f>SUM(E39:E43)</f>
        <v>1303.7939999999999</v>
      </c>
      <c r="F44" s="218">
        <f>SUM(F39:F43)</f>
        <v>1379.2139999999999</v>
      </c>
      <c r="G44" s="672">
        <f>SUM(G39:G43)</f>
        <v>1379.2139999999999</v>
      </c>
      <c r="H44" s="202"/>
      <c r="I44" s="683">
        <f>SUM(I39:I43)</f>
        <v>1438.8909999999998</v>
      </c>
      <c r="J44" s="218">
        <f>SUM(J39:J43)</f>
        <v>1511.5669999999998</v>
      </c>
      <c r="K44" s="218">
        <f>SUM(K39:K43)</f>
        <v>1306.4839999999999</v>
      </c>
      <c r="L44" s="218">
        <f>SUM(L39:L43)</f>
        <v>1004.7869999999999</v>
      </c>
      <c r="M44" s="672">
        <f>SUM(M39:M43)</f>
        <v>1004.7869999999999</v>
      </c>
      <c r="N44" s="202"/>
      <c r="O44" s="683">
        <f>SUM(O39:O43)</f>
        <v>1054.7460000000001</v>
      </c>
      <c r="P44" s="218">
        <f>SUM(P39:P43)</f>
        <v>1062.6979999999999</v>
      </c>
      <c r="Q44" s="218">
        <f>SUM(Q39:Q43)</f>
        <v>1121.239</v>
      </c>
      <c r="R44" s="218">
        <f>SUM(R39:R43)</f>
        <v>1186.32</v>
      </c>
      <c r="S44" s="672">
        <f>SUM(S39:S43)</f>
        <v>1186.32</v>
      </c>
      <c r="T44" s="202"/>
      <c r="U44" s="683">
        <f>SUM(U39:U43)</f>
        <v>1259.759</v>
      </c>
      <c r="V44" s="218">
        <f>SUM(V39:V43)</f>
        <v>1319.1030000000001</v>
      </c>
      <c r="W44" s="218">
        <f>SUM(W39:W43)</f>
        <v>1378.3520000000001</v>
      </c>
      <c r="X44" s="218">
        <f>SUM(X39:X43)</f>
        <v>1441.511</v>
      </c>
      <c r="Y44" s="672">
        <f>SUM(Y39:Y43)</f>
        <v>1441.511</v>
      </c>
      <c r="Z44" s="202"/>
      <c r="AA44" s="683">
        <f>SUM(AA39:AA43)</f>
        <v>1485.8809999999999</v>
      </c>
      <c r="AB44" s="218">
        <f>SUM(AB39:AB43)</f>
        <v>1501.402</v>
      </c>
      <c r="AC44" s="218">
        <f>SUM(AC39:AC43)</f>
        <v>1551.5559999999998</v>
      </c>
      <c r="AD44" s="218">
        <f>SUM(AD39:AD43)</f>
        <v>1560.5400000000002</v>
      </c>
      <c r="AE44" s="672">
        <f>SUM(AE39:AE43)</f>
        <v>1560.5400000000002</v>
      </c>
      <c r="AF44" s="202"/>
      <c r="AG44" s="683">
        <f>SUM(AG39:AG43)</f>
        <v>1534.1510000000001</v>
      </c>
      <c r="AH44" s="218">
        <f>SUM(AH39:AH43)</f>
        <v>1404.145</v>
      </c>
      <c r="AI44" s="218">
        <f>SUM(AI39:AI43)</f>
        <v>1351.0870000000002</v>
      </c>
      <c r="AJ44" s="218">
        <f>SUM(AJ39:AJ43)</f>
        <v>1375.202</v>
      </c>
      <c r="AK44" s="672">
        <f>SUM(AK39:AK43)</f>
        <v>1375.202</v>
      </c>
      <c r="AL44" s="202"/>
      <c r="AM44" s="683">
        <f>SUM(AM39:AM43)</f>
        <v>1365.742</v>
      </c>
      <c r="AN44" s="218">
        <f>SUM(AN39:AN43)</f>
        <v>1356.7460000000001</v>
      </c>
      <c r="AO44" s="218">
        <f>SUM(AO39:AO43)</f>
        <v>1350.7329999999999</v>
      </c>
      <c r="AP44" s="218">
        <f>SUM(AP39:AP43)</f>
        <v>1394.4549999999999</v>
      </c>
      <c r="AQ44" s="672">
        <f>SUM(AQ39:AQ43)</f>
        <v>1394.4549999999999</v>
      </c>
      <c r="AR44" s="202"/>
      <c r="AS44" s="683">
        <f>SUM(AS39:AS43)</f>
        <v>1395.914</v>
      </c>
      <c r="AT44" s="218">
        <f>SUM(AT39:AT43)</f>
        <v>1441.614</v>
      </c>
      <c r="AU44" s="218">
        <f>SUM(AU39:AU43)</f>
        <v>1456.35</v>
      </c>
      <c r="AV44" s="218">
        <f>SUM(AV39:AV43)</f>
        <v>1471.6640000000002</v>
      </c>
      <c r="AW44" s="672">
        <f>SUM(AW39:AW43)</f>
        <v>1471.6640000000002</v>
      </c>
      <c r="AX44" s="202"/>
      <c r="AY44" s="683">
        <f>SUM(AY39:AY43)</f>
        <v>1468.1010000000001</v>
      </c>
      <c r="AZ44" s="218">
        <f>SUM(AZ39:AZ43)</f>
        <v>1463.7010000000002</v>
      </c>
      <c r="BA44" s="218">
        <f>SUM(BA39:BA43)</f>
        <v>1454.6879999999999</v>
      </c>
      <c r="BB44" s="218">
        <f>SUM(BB39:BB43)</f>
        <v>1514.1229999999998</v>
      </c>
      <c r="BC44" s="672">
        <f>SUM(BC39:BC43)</f>
        <v>1514.1229999999998</v>
      </c>
      <c r="BD44" s="202"/>
      <c r="BE44" s="683">
        <f>SUM(BE39:BE43)</f>
        <v>1514.0529999999999</v>
      </c>
      <c r="BF44" s="218">
        <f>SUM(BF39:BF43)</f>
        <v>1363.2569999999998</v>
      </c>
      <c r="BG44" s="218">
        <f>SUM(BG39:BG43)</f>
        <v>1362.547</v>
      </c>
      <c r="BH44" s="218">
        <f>SUM(BH39:BH43)</f>
        <v>1441.7459999999999</v>
      </c>
      <c r="BI44" s="672">
        <f>SUM(BI39:BI43)</f>
        <v>1441.7459999999999</v>
      </c>
      <c r="BJ44" s="202"/>
      <c r="BK44" s="683">
        <f>SUM(BK39:BK43)</f>
        <v>1418.037</v>
      </c>
      <c r="BL44" s="218">
        <f>SUM(BL39:BL43)</f>
        <v>1406.0520000000001</v>
      </c>
      <c r="BM44" s="218">
        <f>SUM(BM39:BM43)</f>
        <v>1386.075</v>
      </c>
      <c r="BN44" s="218">
        <f>SUM(BN39:BN43)</f>
        <v>1394.433</v>
      </c>
      <c r="BO44" s="672">
        <f>SUM(BO39:BO43)</f>
        <v>1394.433</v>
      </c>
      <c r="BP44" s="202"/>
      <c r="BQ44" s="683">
        <f>SUM(BQ39:BQ43)</f>
        <v>1384.5020000000002</v>
      </c>
      <c r="BR44" s="218">
        <f>SUM(BR39:BR43)</f>
        <v>1366.94</v>
      </c>
      <c r="BS44" s="218">
        <f>SUM(BS39:BS43)</f>
        <v>1462.9900000000002</v>
      </c>
      <c r="BT44" s="218">
        <f>SUM(BT39:BT43)</f>
        <v>1436.2597114662688</v>
      </c>
      <c r="BU44" s="672">
        <f>SUM(BU39:BU43)</f>
        <v>1436.2597114662688</v>
      </c>
      <c r="BV44" s="202"/>
      <c r="BW44" s="683">
        <f>SUM(BW39:BW43)</f>
        <v>1425.2591303784479</v>
      </c>
      <c r="BX44" s="218">
        <f>SUM(BX39:BX43)</f>
        <v>1418.78674917739</v>
      </c>
      <c r="BY44" s="218">
        <f>SUM(BY39:BY43)</f>
        <v>1414.5677672449638</v>
      </c>
      <c r="BZ44" s="218">
        <f>SUM(BZ39:BZ43)</f>
        <v>1411.4055661015198</v>
      </c>
      <c r="CA44" s="672">
        <f>SUM(CA39:CA43)</f>
        <v>1411.4055661015198</v>
      </c>
      <c r="CB44" s="202"/>
      <c r="CC44" s="683">
        <f>SUM(CC39:CC43)</f>
        <v>1401.8792113998863</v>
      </c>
      <c r="CD44" s="218">
        <f>SUM(CD39:CD43)</f>
        <v>1396.9678531309676</v>
      </c>
      <c r="CE44" s="218">
        <f>SUM(CE39:CE43)</f>
        <v>1393.9547852059318</v>
      </c>
      <c r="CF44" s="218">
        <f>SUM(CF39:CF43)</f>
        <v>1392.166042892361</v>
      </c>
      <c r="CG44" s="672">
        <f>SUM(CG39:CG43)</f>
        <v>1392.166042892361</v>
      </c>
      <c r="CH44" s="202"/>
      <c r="CI44" s="683">
        <f>SUM(CI39:CI43)</f>
        <v>1378.3492626095228</v>
      </c>
      <c r="CJ44" s="218">
        <f>SUM(CJ39:CJ43)</f>
        <v>1368.9277245484029</v>
      </c>
      <c r="CK44" s="218">
        <f>SUM(CK39:CK43)</f>
        <v>1361.8255743014474</v>
      </c>
      <c r="CL44" s="218">
        <f>SUM(CL39:CL43)</f>
        <v>1355.6929358558921</v>
      </c>
      <c r="CM44" s="672">
        <f>SUM(CM39:CM43)</f>
        <v>1355.6929358558921</v>
      </c>
      <c r="CN44" s="203"/>
      <c r="CO44" s="464"/>
      <c r="CP44" s="14"/>
      <c r="CQ44"/>
      <c r="CR44"/>
      <c r="CS44"/>
      <c r="CT44"/>
      <c r="CU44"/>
      <c r="CV44"/>
      <c r="CW44" s="24"/>
    </row>
    <row r="45" spans="1:101" s="112" customFormat="1" ht="11.25" customHeight="1" x14ac:dyDescent="0.2">
      <c r="A45" s="9"/>
      <c r="B45" s="658"/>
      <c r="C45" s="202"/>
      <c r="D45" s="202"/>
      <c r="E45" s="202"/>
      <c r="F45" s="202"/>
      <c r="G45" s="674"/>
      <c r="H45" s="202"/>
      <c r="I45" s="685"/>
      <c r="J45" s="202"/>
      <c r="K45" s="202"/>
      <c r="L45" s="202"/>
      <c r="M45" s="674"/>
      <c r="N45" s="202"/>
      <c r="O45" s="685"/>
      <c r="P45" s="202"/>
      <c r="Q45" s="202"/>
      <c r="R45" s="202"/>
      <c r="S45" s="674"/>
      <c r="T45" s="202"/>
      <c r="U45" s="685"/>
      <c r="V45" s="202"/>
      <c r="W45" s="202"/>
      <c r="X45" s="202"/>
      <c r="Y45" s="674"/>
      <c r="Z45" s="202"/>
      <c r="AA45" s="685"/>
      <c r="AB45" s="202"/>
      <c r="AC45" s="202"/>
      <c r="AD45" s="202"/>
      <c r="AE45" s="674"/>
      <c r="AF45" s="202"/>
      <c r="AG45" s="685"/>
      <c r="AH45" s="202"/>
      <c r="AI45" s="202"/>
      <c r="AJ45" s="202"/>
      <c r="AK45" s="674"/>
      <c r="AL45" s="202"/>
      <c r="AM45" s="685"/>
      <c r="AN45" s="202"/>
      <c r="AO45" s="202"/>
      <c r="AP45" s="202"/>
      <c r="AQ45" s="674"/>
      <c r="AR45" s="202"/>
      <c r="AS45" s="685"/>
      <c r="AT45" s="202"/>
      <c r="AU45" s="202"/>
      <c r="AV45" s="202"/>
      <c r="AW45" s="674"/>
      <c r="AX45" s="202"/>
      <c r="AY45" s="685"/>
      <c r="AZ45" s="202"/>
      <c r="BA45" s="202"/>
      <c r="BB45" s="202"/>
      <c r="BC45" s="674"/>
      <c r="BD45" s="202"/>
      <c r="BE45" s="685"/>
      <c r="BF45" s="202"/>
      <c r="BG45" s="202"/>
      <c r="BH45" s="202"/>
      <c r="BI45" s="674"/>
      <c r="BJ45" s="202"/>
      <c r="BK45" s="682"/>
      <c r="BL45" s="203"/>
      <c r="BM45" s="203"/>
      <c r="BN45" s="202"/>
      <c r="BO45" s="674"/>
      <c r="BP45" s="202"/>
      <c r="BQ45" s="682"/>
      <c r="BR45" s="203"/>
      <c r="BS45" s="203"/>
      <c r="BT45" s="203"/>
      <c r="BU45" s="671"/>
      <c r="BV45" s="202"/>
      <c r="BW45" s="682"/>
      <c r="BX45" s="203"/>
      <c r="BY45" s="203"/>
      <c r="BZ45" s="203"/>
      <c r="CA45" s="671"/>
      <c r="CB45" s="202"/>
      <c r="CC45" s="682"/>
      <c r="CD45" s="203"/>
      <c r="CE45" s="203"/>
      <c r="CF45" s="203"/>
      <c r="CG45" s="671"/>
      <c r="CH45" s="202"/>
      <c r="CI45" s="682"/>
      <c r="CJ45" s="203"/>
      <c r="CK45" s="203"/>
      <c r="CL45" s="203"/>
      <c r="CM45" s="1300"/>
      <c r="CN45" s="203"/>
      <c r="CO45" s="464"/>
      <c r="CP45" s="14"/>
      <c r="CQ45"/>
      <c r="CR45"/>
      <c r="CS45"/>
      <c r="CT45"/>
      <c r="CU45"/>
      <c r="CV45"/>
      <c r="CW45" s="24"/>
    </row>
    <row r="46" spans="1:101" s="112" customFormat="1" ht="11.25" customHeight="1" thickBot="1" x14ac:dyDescent="0.25">
      <c r="A46" s="9"/>
      <c r="B46" s="660" t="s">
        <v>43</v>
      </c>
      <c r="C46" s="219">
        <f>C36+C44</f>
        <v>1950.2569999999998</v>
      </c>
      <c r="D46" s="219">
        <f>D36+D44</f>
        <v>1862.24</v>
      </c>
      <c r="E46" s="219">
        <f>E36+E44</f>
        <v>1849.8449999999998</v>
      </c>
      <c r="F46" s="219">
        <f>F36+F44</f>
        <v>1940.32</v>
      </c>
      <c r="G46" s="675">
        <f>G36+G44</f>
        <v>1940.32</v>
      </c>
      <c r="H46" s="203"/>
      <c r="I46" s="686">
        <f>I36+I44</f>
        <v>1996.7999999999997</v>
      </c>
      <c r="J46" s="219">
        <f>J36+J44</f>
        <v>2074.9259999999995</v>
      </c>
      <c r="K46" s="219">
        <f>K36+K44</f>
        <v>1929.67</v>
      </c>
      <c r="L46" s="219">
        <f>L36+L44</f>
        <v>2076.373</v>
      </c>
      <c r="M46" s="675">
        <f>M36+M44</f>
        <v>2076.373</v>
      </c>
      <c r="N46" s="203"/>
      <c r="O46" s="686">
        <f>O36+O44</f>
        <v>2125.7930000000001</v>
      </c>
      <c r="P46" s="219">
        <f>P36+P44</f>
        <v>2111.0879999999997</v>
      </c>
      <c r="Q46" s="219">
        <f>Q36+Q44</f>
        <v>2096.9569999999999</v>
      </c>
      <c r="R46" s="219">
        <f>R36+R44</f>
        <v>2133.62</v>
      </c>
      <c r="S46" s="675">
        <f>S36+S44</f>
        <v>2133.62</v>
      </c>
      <c r="T46" s="203"/>
      <c r="U46" s="686">
        <f>U36+U44</f>
        <v>2248.5659999999998</v>
      </c>
      <c r="V46" s="219">
        <f>V36+V44</f>
        <v>2254.1329999999998</v>
      </c>
      <c r="W46" s="219">
        <f>W36+W44</f>
        <v>2322.8150000000001</v>
      </c>
      <c r="X46" s="219">
        <f>X36+X44</f>
        <v>2422.9690000000001</v>
      </c>
      <c r="Y46" s="675">
        <f>Y36+Y44</f>
        <v>2422.9690000000001</v>
      </c>
      <c r="Z46" s="203"/>
      <c r="AA46" s="686">
        <f>AA36+AA44</f>
        <v>2447.9519999999998</v>
      </c>
      <c r="AB46" s="219">
        <f>AB36+AB44</f>
        <v>2550.047</v>
      </c>
      <c r="AC46" s="219">
        <f>AC36+AC44</f>
        <v>2503.585</v>
      </c>
      <c r="AD46" s="219">
        <f>AD36+AD44</f>
        <v>2564.9680000000003</v>
      </c>
      <c r="AE46" s="675">
        <f>AE36+AE44</f>
        <v>2564.9680000000003</v>
      </c>
      <c r="AF46" s="203"/>
      <c r="AG46" s="686">
        <f>AG36+AG44</f>
        <v>2517.5129999999999</v>
      </c>
      <c r="AH46" s="219">
        <f>AH36+AH44</f>
        <v>2397.7629999999999</v>
      </c>
      <c r="AI46" s="219">
        <f>AI36+AI44</f>
        <v>2665.8250000000003</v>
      </c>
      <c r="AJ46" s="219">
        <f>AJ36+AJ44</f>
        <v>2739.3680000000004</v>
      </c>
      <c r="AK46" s="675">
        <f>AK36+AK44</f>
        <v>2739.3680000000004</v>
      </c>
      <c r="AL46" s="203"/>
      <c r="AM46" s="686">
        <f t="shared" ref="AM46:AW46" si="37">AM36+AM44</f>
        <v>2700.4719999999998</v>
      </c>
      <c r="AN46" s="219">
        <f t="shared" si="37"/>
        <v>2620.2399999999998</v>
      </c>
      <c r="AO46" s="219">
        <f t="shared" si="37"/>
        <v>2637.49</v>
      </c>
      <c r="AP46" s="219">
        <f t="shared" si="37"/>
        <v>2681.7779999999998</v>
      </c>
      <c r="AQ46" s="675">
        <f t="shared" si="37"/>
        <v>2681.7779999999998</v>
      </c>
      <c r="AR46" s="203"/>
      <c r="AS46" s="686">
        <f t="shared" si="37"/>
        <v>2761.6469999999999</v>
      </c>
      <c r="AT46" s="219">
        <f t="shared" si="37"/>
        <v>2949.299</v>
      </c>
      <c r="AU46" s="219">
        <f t="shared" si="37"/>
        <v>2976.1480000000001</v>
      </c>
      <c r="AV46" s="219">
        <f t="shared" si="37"/>
        <v>2864.6770000000001</v>
      </c>
      <c r="AW46" s="675">
        <f t="shared" si="37"/>
        <v>2864.6770000000001</v>
      </c>
      <c r="AX46" s="203"/>
      <c r="AY46" s="686">
        <f t="shared" ref="AY46:BO46" si="38">AY36+AY44</f>
        <v>2899.172</v>
      </c>
      <c r="AZ46" s="219">
        <f t="shared" si="38"/>
        <v>2857.4490000000005</v>
      </c>
      <c r="BA46" s="219">
        <f t="shared" si="38"/>
        <v>2871.5320000000002</v>
      </c>
      <c r="BB46" s="219">
        <f t="shared" si="38"/>
        <v>2945.2479999999996</v>
      </c>
      <c r="BC46" s="675">
        <f t="shared" si="38"/>
        <v>2945.2479999999996</v>
      </c>
      <c r="BD46" s="203"/>
      <c r="BE46" s="686">
        <f t="shared" si="38"/>
        <v>4239.6540000000005</v>
      </c>
      <c r="BF46" s="219">
        <f t="shared" si="38"/>
        <v>3451.8379999999997</v>
      </c>
      <c r="BG46" s="219">
        <f t="shared" si="38"/>
        <v>3555.67</v>
      </c>
      <c r="BH46" s="219">
        <f t="shared" si="38"/>
        <v>3520.8040000000001</v>
      </c>
      <c r="BI46" s="675">
        <f t="shared" si="38"/>
        <v>3520.8040000000001</v>
      </c>
      <c r="BJ46" s="203"/>
      <c r="BK46" s="686">
        <f t="shared" si="38"/>
        <v>3499.2669999999998</v>
      </c>
      <c r="BL46" s="219">
        <f t="shared" si="38"/>
        <v>3590.3679999999999</v>
      </c>
      <c r="BM46" s="219">
        <f t="shared" si="38"/>
        <v>3594.0619999999999</v>
      </c>
      <c r="BN46" s="219">
        <f t="shared" si="38"/>
        <v>3507.913</v>
      </c>
      <c r="BO46" s="675">
        <f t="shared" si="38"/>
        <v>3507.913</v>
      </c>
      <c r="BP46" s="203"/>
      <c r="BQ46" s="686">
        <f t="shared" ref="BQ46:BS46" si="39">BQ36+BQ44</f>
        <v>3495.2420000000002</v>
      </c>
      <c r="BR46" s="219">
        <f t="shared" si="39"/>
        <v>3528.4789999999998</v>
      </c>
      <c r="BS46" s="219">
        <f t="shared" si="39"/>
        <v>3674.3580000000002</v>
      </c>
      <c r="BT46" s="219">
        <f t="shared" ref="BS46:CG46" si="40">BT36+BT44</f>
        <v>3606.5449215250301</v>
      </c>
      <c r="BU46" s="675">
        <f t="shared" si="40"/>
        <v>3606.5449215250301</v>
      </c>
      <c r="BV46" s="203"/>
      <c r="BW46" s="686">
        <f t="shared" si="40"/>
        <v>3558.0263087741723</v>
      </c>
      <c r="BX46" s="219">
        <f t="shared" si="40"/>
        <v>3583.0557715928921</v>
      </c>
      <c r="BY46" s="219">
        <f t="shared" si="40"/>
        <v>3622.6903566890896</v>
      </c>
      <c r="BZ46" s="219">
        <f t="shared" si="40"/>
        <v>3590.3760766688192</v>
      </c>
      <c r="CA46" s="675">
        <f t="shared" si="40"/>
        <v>3590.3760766688192</v>
      </c>
      <c r="CB46" s="203"/>
      <c r="CC46" s="686">
        <f t="shared" si="40"/>
        <v>3548.1818804066661</v>
      </c>
      <c r="CD46" s="219">
        <f t="shared" si="40"/>
        <v>3576.8489523493308</v>
      </c>
      <c r="CE46" s="219">
        <f t="shared" si="40"/>
        <v>3620.4710485813871</v>
      </c>
      <c r="CF46" s="219">
        <f t="shared" si="40"/>
        <v>3588.7013977804204</v>
      </c>
      <c r="CG46" s="675">
        <f t="shared" si="40"/>
        <v>3588.7013977804204</v>
      </c>
      <c r="CH46" s="203"/>
      <c r="CI46" s="686">
        <f t="shared" ref="CI46:CM46" si="41">CI36+CI44</f>
        <v>3543.7871428081817</v>
      </c>
      <c r="CJ46" s="219">
        <f t="shared" si="41"/>
        <v>3568.9340998903635</v>
      </c>
      <c r="CK46" s="219">
        <f t="shared" si="41"/>
        <v>3609.8828050016164</v>
      </c>
      <c r="CL46" s="219">
        <f t="shared" si="41"/>
        <v>3572.7831225791015</v>
      </c>
      <c r="CM46" s="675">
        <f t="shared" si="41"/>
        <v>3572.7831225791015</v>
      </c>
      <c r="CN46" s="203"/>
      <c r="CO46" s="464"/>
      <c r="CP46" s="14"/>
      <c r="CQ46"/>
      <c r="CR46"/>
      <c r="CS46"/>
      <c r="CT46"/>
      <c r="CU46"/>
      <c r="CV46"/>
      <c r="CW46" s="24"/>
    </row>
    <row r="47" spans="1:101" s="112" customFormat="1" ht="11.25" customHeight="1" thickTop="1" x14ac:dyDescent="0.2">
      <c r="A47" s="9"/>
      <c r="B47" s="49"/>
      <c r="C47" s="222"/>
      <c r="D47" s="222"/>
      <c r="E47" s="222"/>
      <c r="F47" s="222"/>
      <c r="G47" s="222"/>
      <c r="H47" s="19"/>
      <c r="I47" s="222"/>
      <c r="J47" s="222"/>
      <c r="K47" s="222"/>
      <c r="L47" s="222"/>
      <c r="M47" s="222"/>
      <c r="N47" s="19"/>
      <c r="O47" s="222"/>
      <c r="P47" s="222"/>
      <c r="Q47" s="222"/>
      <c r="R47" s="222"/>
      <c r="S47" s="222"/>
      <c r="T47" s="19"/>
      <c r="U47" s="222"/>
      <c r="V47" s="222"/>
      <c r="W47" s="222"/>
      <c r="X47" s="222"/>
      <c r="Y47" s="222"/>
      <c r="Z47" s="19"/>
      <c r="AA47" s="222"/>
      <c r="AB47" s="222"/>
      <c r="AC47" s="222"/>
      <c r="AD47" s="222"/>
      <c r="AE47" s="222"/>
      <c r="AF47" s="19"/>
      <c r="AG47" s="222"/>
      <c r="AH47" s="222"/>
      <c r="AI47" s="222"/>
      <c r="AJ47" s="222"/>
      <c r="AK47" s="222"/>
      <c r="AL47" s="19"/>
      <c r="AM47" s="222"/>
      <c r="AN47" s="222"/>
      <c r="AO47" s="222"/>
      <c r="AP47" s="222"/>
      <c r="AQ47" s="222"/>
      <c r="AR47" s="19"/>
      <c r="AS47" s="222"/>
      <c r="AT47" s="222"/>
      <c r="AU47" s="222"/>
      <c r="AV47" s="222"/>
      <c r="AW47" s="222"/>
      <c r="AX47" s="19"/>
      <c r="AY47" s="222"/>
      <c r="AZ47" s="222"/>
      <c r="BA47" s="222"/>
      <c r="BB47" s="222"/>
      <c r="BC47" s="222"/>
      <c r="BD47" s="19"/>
      <c r="BE47" s="222"/>
      <c r="BF47" s="222"/>
      <c r="BG47" s="222"/>
      <c r="BH47" s="222"/>
      <c r="BI47" s="222"/>
      <c r="BJ47" s="19"/>
      <c r="BK47" s="222"/>
      <c r="BL47" s="222"/>
      <c r="BM47" s="222"/>
      <c r="BN47" s="222"/>
      <c r="BO47" s="222"/>
      <c r="BP47" s="19"/>
      <c r="BQ47" s="222"/>
      <c r="BR47" s="222"/>
      <c r="BS47" s="222"/>
      <c r="BT47" s="222"/>
      <c r="BU47" s="222"/>
      <c r="BV47" s="19"/>
      <c r="BW47" s="222"/>
      <c r="BX47" s="222"/>
      <c r="BY47" s="222"/>
      <c r="BZ47" s="222"/>
      <c r="CA47" s="222"/>
      <c r="CB47" s="19"/>
      <c r="CC47" s="222"/>
      <c r="CD47" s="222"/>
      <c r="CE47" s="222"/>
      <c r="CF47" s="222"/>
      <c r="CG47" s="222"/>
      <c r="CH47" s="19"/>
      <c r="CI47" s="222"/>
      <c r="CJ47" s="222"/>
      <c r="CK47" s="222"/>
      <c r="CL47" s="222"/>
      <c r="CM47" s="222"/>
      <c r="CN47" s="19"/>
      <c r="CO47" s="464"/>
      <c r="CP47" s="14"/>
      <c r="CQ47"/>
      <c r="CR47"/>
      <c r="CS47"/>
      <c r="CT47"/>
      <c r="CU47"/>
      <c r="CV47"/>
      <c r="CW47" s="24"/>
    </row>
    <row r="48" spans="1:101" s="112" customFormat="1" ht="11.25" customHeight="1" outlineLevel="1" x14ac:dyDescent="0.2">
      <c r="A48" s="100"/>
      <c r="B48" s="696" t="s">
        <v>44</v>
      </c>
      <c r="C48" s="698">
        <f>C46-C22</f>
        <v>0</v>
      </c>
      <c r="D48" s="696">
        <f>D46-D22</f>
        <v>0</v>
      </c>
      <c r="E48" s="696">
        <f>E46-E22</f>
        <v>0</v>
      </c>
      <c r="F48" s="696">
        <f>F46-F22</f>
        <v>0</v>
      </c>
      <c r="G48" s="697">
        <f>G46-G22</f>
        <v>0</v>
      </c>
      <c r="H48" s="46"/>
      <c r="I48" s="696">
        <f>I46-I22</f>
        <v>0</v>
      </c>
      <c r="J48" s="696">
        <f>J46-J22</f>
        <v>0</v>
      </c>
      <c r="K48" s="696">
        <f>K46-K22</f>
        <v>0</v>
      </c>
      <c r="L48" s="696">
        <f>L46-L22</f>
        <v>0</v>
      </c>
      <c r="M48" s="697">
        <f>M46-M22</f>
        <v>0</v>
      </c>
      <c r="N48" s="46"/>
      <c r="O48" s="696">
        <f>O46-O22</f>
        <v>0</v>
      </c>
      <c r="P48" s="696">
        <f>P46-P22</f>
        <v>0</v>
      </c>
      <c r="Q48" s="696">
        <f>Q46-Q22</f>
        <v>0</v>
      </c>
      <c r="R48" s="696">
        <f>R46-R22</f>
        <v>0</v>
      </c>
      <c r="S48" s="697">
        <f>S46-S22</f>
        <v>0</v>
      </c>
      <c r="T48" s="46"/>
      <c r="U48" s="696">
        <f>U46-U22</f>
        <v>0</v>
      </c>
      <c r="V48" s="696">
        <f>V46-V22</f>
        <v>0</v>
      </c>
      <c r="W48" s="696">
        <f>W46-W22</f>
        <v>0</v>
      </c>
      <c r="X48" s="696">
        <f>X46-X22</f>
        <v>0</v>
      </c>
      <c r="Y48" s="697">
        <f>Y46-Y22</f>
        <v>0</v>
      </c>
      <c r="Z48" s="46"/>
      <c r="AA48" s="696">
        <f>AA46-AA22</f>
        <v>0</v>
      </c>
      <c r="AB48" s="696">
        <f>AB46-AB22</f>
        <v>0</v>
      </c>
      <c r="AC48" s="696">
        <f>AC46-AC22</f>
        <v>0</v>
      </c>
      <c r="AD48" s="696">
        <f>AD46-AD22</f>
        <v>0</v>
      </c>
      <c r="AE48" s="697">
        <f>AE46-AE22</f>
        <v>0</v>
      </c>
      <c r="AF48" s="46"/>
      <c r="AG48" s="696">
        <f>AG46-AG22</f>
        <v>0</v>
      </c>
      <c r="AH48" s="696">
        <f>AH46-AH22</f>
        <v>0</v>
      </c>
      <c r="AI48" s="696">
        <f>AI46-AI22</f>
        <v>0</v>
      </c>
      <c r="AJ48" s="696">
        <f>AJ46-AJ22</f>
        <v>0</v>
      </c>
      <c r="AK48" s="697">
        <f>AK46-AK22</f>
        <v>0</v>
      </c>
      <c r="AL48" s="46"/>
      <c r="AM48" s="696">
        <f>AM46-AM22</f>
        <v>0</v>
      </c>
      <c r="AN48" s="696">
        <f>AN46-AN22</f>
        <v>0</v>
      </c>
      <c r="AO48" s="696">
        <f>AO46-AO22</f>
        <v>0</v>
      </c>
      <c r="AP48" s="696">
        <f>AP46-AP22</f>
        <v>0</v>
      </c>
      <c r="AQ48" s="697">
        <f>AQ46-AQ22</f>
        <v>0</v>
      </c>
      <c r="AR48" s="46"/>
      <c r="AS48" s="696">
        <f>AS46-AS22</f>
        <v>0</v>
      </c>
      <c r="AT48" s="696">
        <f>AT46-AT22</f>
        <v>0</v>
      </c>
      <c r="AU48" s="696">
        <f>AU46-AU22</f>
        <v>0</v>
      </c>
      <c r="AV48" s="696">
        <f>AV46-AV22</f>
        <v>0</v>
      </c>
      <c r="AW48" s="697">
        <f>AW46-AW22</f>
        <v>0</v>
      </c>
      <c r="AX48" s="46"/>
      <c r="AY48" s="696">
        <f>AY46-AY22</f>
        <v>0</v>
      </c>
      <c r="AZ48" s="696">
        <f>AZ46-AZ22</f>
        <v>0</v>
      </c>
      <c r="BA48" s="696">
        <f>BA46-BA22</f>
        <v>0</v>
      </c>
      <c r="BB48" s="696">
        <f>BB46-BB22</f>
        <v>0</v>
      </c>
      <c r="BC48" s="697">
        <f>BC46-BC22</f>
        <v>0</v>
      </c>
      <c r="BD48" s="46"/>
      <c r="BE48" s="696">
        <f>BE46-BE22</f>
        <v>0</v>
      </c>
      <c r="BF48" s="696">
        <f>BF46-BF22</f>
        <v>0</v>
      </c>
      <c r="BG48" s="696">
        <f>BG46-BG22</f>
        <v>0</v>
      </c>
      <c r="BH48" s="696">
        <f>BH46-BH22</f>
        <v>0</v>
      </c>
      <c r="BI48" s="697">
        <f>BI46-BI22</f>
        <v>0</v>
      </c>
      <c r="BJ48" s="46"/>
      <c r="BK48" s="696">
        <f>BK46-BK22</f>
        <v>0</v>
      </c>
      <c r="BL48" s="696">
        <f>BL46-BL22</f>
        <v>0</v>
      </c>
      <c r="BM48" s="696">
        <f>BM46-BM22</f>
        <v>0</v>
      </c>
      <c r="BN48" s="696">
        <f>BN46-BN22</f>
        <v>0</v>
      </c>
      <c r="BO48" s="697">
        <f>BO46-BO22</f>
        <v>0</v>
      </c>
      <c r="BP48" s="46"/>
      <c r="BQ48" s="696">
        <f>BQ46-BQ22</f>
        <v>0</v>
      </c>
      <c r="BR48" s="696">
        <f>BR46-BR22</f>
        <v>0</v>
      </c>
      <c r="BS48" s="696">
        <f>BS46-BS22</f>
        <v>0</v>
      </c>
      <c r="BT48" s="696">
        <f>BT46-BT22</f>
        <v>0</v>
      </c>
      <c r="BU48" s="697">
        <f>BU46-BU22</f>
        <v>0</v>
      </c>
      <c r="BV48" s="46"/>
      <c r="BW48" s="696">
        <f>BW46-BW22</f>
        <v>0</v>
      </c>
      <c r="BX48" s="696">
        <f>BX46-BX22</f>
        <v>0</v>
      </c>
      <c r="BY48" s="696">
        <f>BY46-BY22</f>
        <v>0</v>
      </c>
      <c r="BZ48" s="696">
        <f>BZ46-BZ22</f>
        <v>0</v>
      </c>
      <c r="CA48" s="697">
        <f>CA46-CA22</f>
        <v>0</v>
      </c>
      <c r="CB48" s="46"/>
      <c r="CC48" s="696">
        <f>CC46-CC22</f>
        <v>0</v>
      </c>
      <c r="CD48" s="696">
        <f>CD46-CD22</f>
        <v>0</v>
      </c>
      <c r="CE48" s="696">
        <f>CE46-CE22</f>
        <v>0</v>
      </c>
      <c r="CF48" s="696">
        <f>CF46-CF22</f>
        <v>0</v>
      </c>
      <c r="CG48" s="697">
        <f>CG46-CG22</f>
        <v>0</v>
      </c>
      <c r="CH48" s="46"/>
      <c r="CI48" s="696">
        <f>CI46-CI22</f>
        <v>0</v>
      </c>
      <c r="CJ48" s="696">
        <f>CJ46-CJ22</f>
        <v>0</v>
      </c>
      <c r="CK48" s="696">
        <f>CK46-CK22</f>
        <v>0</v>
      </c>
      <c r="CL48" s="696">
        <f>CL46-CL22</f>
        <v>0</v>
      </c>
      <c r="CM48" s="697">
        <f>CM46-CM22</f>
        <v>0</v>
      </c>
      <c r="CN48" s="46"/>
      <c r="CO48" s="464"/>
      <c r="CP48" s="14"/>
      <c r="CQ48"/>
      <c r="CR48"/>
      <c r="CS48"/>
      <c r="CT48"/>
      <c r="CU48"/>
      <c r="CV48"/>
      <c r="CW48" s="24"/>
    </row>
    <row r="49" spans="1:101" s="112" customFormat="1" ht="11.25" customHeight="1" outlineLevel="1" x14ac:dyDescent="0.2">
      <c r="A49" s="9"/>
      <c r="B49" s="11"/>
      <c r="C49" s="11"/>
      <c r="D49" s="11"/>
      <c r="E49" s="11"/>
      <c r="F49" s="11"/>
      <c r="G49" s="11"/>
      <c r="H49" s="17"/>
      <c r="I49" s="11"/>
      <c r="J49" s="11"/>
      <c r="K49" s="11"/>
      <c r="L49" s="11"/>
      <c r="M49" s="11"/>
      <c r="N49" s="17"/>
      <c r="O49" s="11"/>
      <c r="P49" s="11"/>
      <c r="Q49" s="11"/>
      <c r="R49" s="11"/>
      <c r="S49" s="11"/>
      <c r="T49" s="17"/>
      <c r="U49" s="11"/>
      <c r="V49" s="11"/>
      <c r="W49" s="11"/>
      <c r="X49" s="11"/>
      <c r="Y49" s="11"/>
      <c r="Z49" s="17"/>
      <c r="AA49" s="11"/>
      <c r="AB49" s="11"/>
      <c r="AC49" s="11"/>
      <c r="AD49" s="11"/>
      <c r="AE49" s="11"/>
      <c r="AF49" s="17"/>
      <c r="AG49" s="11"/>
      <c r="AH49" s="11"/>
      <c r="AI49" s="11"/>
      <c r="AJ49" s="11"/>
      <c r="AK49" s="11"/>
      <c r="AL49" s="17"/>
      <c r="AM49" s="11"/>
      <c r="AN49" s="11"/>
      <c r="AO49" s="11"/>
      <c r="AP49" s="11"/>
      <c r="AQ49" s="11"/>
      <c r="AR49" s="17"/>
      <c r="AS49" s="11"/>
      <c r="AT49" s="11"/>
      <c r="AU49" s="11"/>
      <c r="AV49" s="11"/>
      <c r="AW49" s="11"/>
      <c r="AX49" s="17"/>
      <c r="AY49" s="11"/>
      <c r="AZ49" s="11"/>
      <c r="BA49" s="11"/>
      <c r="BB49" s="11"/>
      <c r="BC49" s="11"/>
      <c r="BD49" s="17"/>
      <c r="BE49" s="11"/>
      <c r="BF49" s="465"/>
      <c r="BG49" s="11"/>
      <c r="BH49" s="11"/>
      <c r="BI49" s="11"/>
      <c r="BJ49" s="17"/>
      <c r="BK49" s="11"/>
      <c r="BL49" s="11"/>
      <c r="BM49" s="11"/>
      <c r="BN49" s="11"/>
      <c r="BO49" s="11"/>
      <c r="BP49" s="17"/>
      <c r="BQ49" s="11"/>
      <c r="BR49" s="14"/>
      <c r="BS49" s="14"/>
      <c r="BT49" s="11"/>
      <c r="BU49" s="11"/>
      <c r="BV49" s="17"/>
      <c r="BW49" s="14"/>
      <c r="BX49" s="14"/>
      <c r="BY49" s="14"/>
      <c r="BZ49" s="14"/>
      <c r="CA49" s="11"/>
      <c r="CB49" s="17"/>
      <c r="CC49" s="14"/>
      <c r="CD49" s="14"/>
      <c r="CE49" s="14"/>
      <c r="CF49" s="14"/>
      <c r="CG49" s="11"/>
      <c r="CH49" s="17"/>
      <c r="CI49" s="14"/>
      <c r="CJ49" s="14"/>
      <c r="CK49" s="14"/>
      <c r="CL49" s="14"/>
      <c r="CM49" s="11"/>
      <c r="CN49" s="17"/>
      <c r="CO49" s="14"/>
      <c r="CP49" s="14"/>
      <c r="CQ49"/>
      <c r="CR49"/>
      <c r="CS49"/>
      <c r="CT49"/>
      <c r="CU49"/>
      <c r="CV49"/>
      <c r="CW49" s="24"/>
    </row>
    <row r="50" spans="1:101" s="123" customFormat="1" ht="11.25" customHeight="1" outlineLevel="1" x14ac:dyDescent="0.2">
      <c r="B50" s="1033" t="s">
        <v>45</v>
      </c>
      <c r="C50" s="1034"/>
      <c r="D50" s="1034"/>
      <c r="E50" s="1034"/>
      <c r="F50" s="1034"/>
      <c r="G50" s="1034"/>
      <c r="H50" s="1033"/>
      <c r="I50" s="1034"/>
      <c r="J50" s="1034"/>
      <c r="K50" s="1034"/>
      <c r="L50" s="1034"/>
      <c r="M50" s="1034"/>
      <c r="N50" s="1033"/>
      <c r="O50" s="1034"/>
      <c r="P50" s="1034"/>
      <c r="Q50" s="1034"/>
      <c r="R50" s="1034"/>
      <c r="S50" s="1034"/>
      <c r="T50" s="1033"/>
      <c r="U50" s="1034"/>
      <c r="V50" s="1034"/>
      <c r="W50" s="1034"/>
      <c r="X50" s="1034"/>
      <c r="Y50" s="1034"/>
      <c r="Z50" s="1033"/>
      <c r="AA50" s="1034"/>
      <c r="AB50" s="1034"/>
      <c r="AC50" s="1034"/>
      <c r="AD50" s="1034"/>
      <c r="AE50" s="1034"/>
      <c r="AF50" s="1033"/>
      <c r="AG50" s="1034"/>
      <c r="AH50" s="1034"/>
      <c r="AI50" s="1034"/>
      <c r="AJ50" s="1034"/>
      <c r="AK50" s="1034"/>
      <c r="AL50" s="1033"/>
      <c r="AM50" s="1034"/>
      <c r="AN50" s="1034"/>
      <c r="AO50" s="1034"/>
      <c r="AP50" s="1034"/>
      <c r="AQ50" s="1034"/>
      <c r="AR50" s="1033"/>
      <c r="AS50" s="1034"/>
      <c r="AT50" s="1034"/>
      <c r="AU50" s="1034"/>
      <c r="AV50" s="1034"/>
      <c r="AW50" s="1034"/>
      <c r="AX50" s="1033"/>
      <c r="AY50" s="1034"/>
      <c r="AZ50" s="1034"/>
      <c r="BA50" s="1034"/>
      <c r="BB50" s="1034"/>
      <c r="BC50" s="1034"/>
      <c r="BD50" s="1033"/>
      <c r="BE50" s="1034"/>
      <c r="BF50" s="1034"/>
      <c r="BG50" s="1034"/>
      <c r="BH50" s="1034"/>
      <c r="BI50" s="1034"/>
      <c r="BJ50" s="1033"/>
      <c r="BK50" s="1034"/>
      <c r="BL50" s="1034"/>
      <c r="BM50" s="1034"/>
      <c r="BN50" s="1034"/>
      <c r="BO50" s="1034"/>
      <c r="BP50" s="1033"/>
      <c r="BQ50" s="1034"/>
      <c r="BR50" s="1034"/>
      <c r="BS50" s="1034"/>
      <c r="BT50" s="1034"/>
      <c r="BU50" s="1034"/>
      <c r="BV50" s="1033"/>
      <c r="BW50" s="1034"/>
      <c r="BX50" s="1034"/>
      <c r="BY50" s="1034"/>
      <c r="BZ50" s="1034"/>
      <c r="CA50" s="1034"/>
      <c r="CB50" s="1033"/>
      <c r="CC50" s="1034"/>
      <c r="CD50" s="1034"/>
      <c r="CE50" s="1034"/>
      <c r="CF50" s="1034"/>
      <c r="CG50" s="1035"/>
      <c r="CH50" s="1033"/>
      <c r="CI50" s="1034"/>
      <c r="CJ50" s="1034"/>
      <c r="CK50" s="1034"/>
      <c r="CL50" s="1034"/>
      <c r="CM50" s="1035"/>
      <c r="CN50" s="19"/>
      <c r="CO50" s="25"/>
      <c r="CP50" s="25"/>
      <c r="CQ50"/>
      <c r="CR50"/>
      <c r="CS50"/>
      <c r="CT50"/>
      <c r="CU50"/>
      <c r="CV50"/>
      <c r="CW50" s="14"/>
    </row>
    <row r="51" spans="1:101" s="123" customFormat="1" ht="11.25" customHeight="1" outlineLevel="1" x14ac:dyDescent="0.2">
      <c r="B51" s="535" t="s">
        <v>46</v>
      </c>
      <c r="C51" s="707">
        <f>C28+C29+C33</f>
        <v>295.03899999999999</v>
      </c>
      <c r="D51" s="708">
        <f>D28+D29+D33</f>
        <v>290.02800000000002</v>
      </c>
      <c r="E51" s="708">
        <f>E28+E29+E33</f>
        <v>215.02800000000002</v>
      </c>
      <c r="F51" s="708">
        <f>F28+F29+F33</f>
        <v>180.024</v>
      </c>
      <c r="G51" s="724">
        <f>G28+G29+G33</f>
        <v>180.024</v>
      </c>
      <c r="H51" s="19"/>
      <c r="I51" s="707">
        <f>I28+I29+I33</f>
        <v>180.08500000000001</v>
      </c>
      <c r="J51" s="708">
        <f>J28+J29+J33</f>
        <v>180.077</v>
      </c>
      <c r="K51" s="708">
        <f>K28+K29+K33</f>
        <v>190.10899999999998</v>
      </c>
      <c r="L51" s="708">
        <f>L28+L29+L33</f>
        <v>655.03399999999999</v>
      </c>
      <c r="M51" s="724">
        <f>M28+M29+M33</f>
        <v>655.03399999999999</v>
      </c>
      <c r="N51" s="19"/>
      <c r="O51" s="707">
        <f>O28+O29+O33</f>
        <v>655.03200000000004</v>
      </c>
      <c r="P51" s="708">
        <f>P28+P29+P33</f>
        <v>655.33899999999994</v>
      </c>
      <c r="Q51" s="708">
        <f>Q28+Q29+Q33</f>
        <v>588.04599999999994</v>
      </c>
      <c r="R51" s="708">
        <f>R28+R29+R33</f>
        <v>547</v>
      </c>
      <c r="S51" s="724">
        <f>S28+S29+S33</f>
        <v>547</v>
      </c>
      <c r="T51" s="19"/>
      <c r="U51" s="707">
        <f>U28+U29+U33</f>
        <v>539</v>
      </c>
      <c r="V51" s="708">
        <f>V28+V29+V33</f>
        <v>525</v>
      </c>
      <c r="W51" s="708">
        <f>W28+W29+W33</f>
        <v>525</v>
      </c>
      <c r="X51" s="708">
        <f>X28+X29+X33</f>
        <v>525</v>
      </c>
      <c r="Y51" s="724">
        <f>Y28+Y29+Y33</f>
        <v>525</v>
      </c>
      <c r="Z51" s="19"/>
      <c r="AA51" s="707">
        <f>AA28+AA29+AA33</f>
        <v>525</v>
      </c>
      <c r="AB51" s="708">
        <f>AB28+AB29+AB33</f>
        <v>525</v>
      </c>
      <c r="AC51" s="708">
        <f>AC28+AC29+AC33</f>
        <v>525</v>
      </c>
      <c r="AD51" s="708">
        <f>AD28+AD29+AD33</f>
        <v>525</v>
      </c>
      <c r="AE51" s="724">
        <f>AE28+AE29+AE33</f>
        <v>525</v>
      </c>
      <c r="AF51" s="19"/>
      <c r="AG51" s="707">
        <f>AG28+AG29+AG33</f>
        <v>525</v>
      </c>
      <c r="AH51" s="708">
        <f>AH28+AH29+AH33</f>
        <v>545</v>
      </c>
      <c r="AI51" s="708">
        <f>AI28+AI29+AI33</f>
        <v>850</v>
      </c>
      <c r="AJ51" s="708">
        <f>AJ28+AJ29+AJ33</f>
        <v>850</v>
      </c>
      <c r="AK51" s="724">
        <f>AK28+AK29+AK33</f>
        <v>850</v>
      </c>
      <c r="AL51" s="19"/>
      <c r="AM51" s="707">
        <f>AM28+AM29+AM33</f>
        <v>850</v>
      </c>
      <c r="AN51" s="708">
        <f>AN28+AN29+AN33</f>
        <v>775</v>
      </c>
      <c r="AO51" s="708">
        <f>AO28+AO29+AO33</f>
        <v>775</v>
      </c>
      <c r="AP51" s="708">
        <f>AP28+AP29+AP33</f>
        <v>725</v>
      </c>
      <c r="AQ51" s="724">
        <f>AQ28+AQ29+AQ33</f>
        <v>725</v>
      </c>
      <c r="AR51" s="19"/>
      <c r="AS51" s="707">
        <f>AS28+AS29+AS33</f>
        <v>860</v>
      </c>
      <c r="AT51" s="708">
        <f>AT28+AT29+AT33</f>
        <v>860</v>
      </c>
      <c r="AU51" s="708">
        <f>AU28+AU29+AU33</f>
        <v>860</v>
      </c>
      <c r="AV51" s="708">
        <f>AV28+AV29+AV33</f>
        <v>725</v>
      </c>
      <c r="AW51" s="724">
        <f>AW28+AW29+AW33</f>
        <v>725</v>
      </c>
      <c r="AX51" s="19"/>
      <c r="AY51" s="707">
        <f>AY28+AY29+AY33</f>
        <v>725</v>
      </c>
      <c r="AZ51" s="708">
        <f>AZ28+AZ29+AZ33</f>
        <v>725</v>
      </c>
      <c r="BA51" s="708">
        <f>BA28+BA29+BA33</f>
        <v>725</v>
      </c>
      <c r="BB51" s="708">
        <f>BB28+BB29+BB33</f>
        <v>722.54200000000003</v>
      </c>
      <c r="BC51" s="724">
        <f>BC28+BC29+BC33</f>
        <v>722.54200000000003</v>
      </c>
      <c r="BD51" s="19"/>
      <c r="BE51" s="707">
        <f>BE28+BE29+BE33</f>
        <v>1764.5229999999999</v>
      </c>
      <c r="BF51" s="708">
        <f>BF28+BF29+BF33</f>
        <v>1130.875</v>
      </c>
      <c r="BG51" s="708">
        <f>BG28+BG29+BG33</f>
        <v>1244.75</v>
      </c>
      <c r="BH51" s="708">
        <f>BH28+BH29+BH33</f>
        <v>1058.655</v>
      </c>
      <c r="BI51" s="724">
        <f>BI28+BI29+BI33</f>
        <v>1058.655</v>
      </c>
      <c r="BJ51" s="19"/>
      <c r="BK51" s="707">
        <f>BK28+BK29+BK33</f>
        <v>1142.7470000000001</v>
      </c>
      <c r="BL51" s="708">
        <f>BL28+BL29+BL33</f>
        <v>1193.836</v>
      </c>
      <c r="BM51" s="708">
        <f>BM28+BM29+BM33</f>
        <v>1214.529</v>
      </c>
      <c r="BN51" s="708">
        <f>BN28+BN29+BN33</f>
        <v>1072.0260000000001</v>
      </c>
      <c r="BO51" s="724">
        <f>BO28+BO29+BO33</f>
        <v>1072.0260000000001</v>
      </c>
      <c r="BP51" s="19"/>
      <c r="BQ51" s="707">
        <f>BQ28+BQ29+BQ33</f>
        <v>1176.211</v>
      </c>
      <c r="BR51" s="708">
        <f>BR28+BR29+BR33</f>
        <v>1097.9859999999999</v>
      </c>
      <c r="BS51" s="708">
        <f>BS28+BS29+BS33</f>
        <v>1185.173</v>
      </c>
      <c r="BT51" s="708">
        <f>BT28+BT29+BT33</f>
        <v>1185.173</v>
      </c>
      <c r="BU51" s="724">
        <f>BU28+BU29+BU33</f>
        <v>1185.173</v>
      </c>
      <c r="BV51" s="19"/>
      <c r="BW51" s="707">
        <f>BW28+BW29+BW33</f>
        <v>1185.173</v>
      </c>
      <c r="BX51" s="708">
        <f>BX28+BX29+BX33</f>
        <v>1185.173</v>
      </c>
      <c r="BY51" s="708">
        <f>BY28+BY29+BY33</f>
        <v>1185.173</v>
      </c>
      <c r="BZ51" s="708">
        <f>BZ28+BZ29+BZ33</f>
        <v>1185.173</v>
      </c>
      <c r="CA51" s="724">
        <f>CA28+CA29+CA33</f>
        <v>1185.173</v>
      </c>
      <c r="CB51" s="19"/>
      <c r="CC51" s="707">
        <f>CC28+CC29+CC33</f>
        <v>1185.173</v>
      </c>
      <c r="CD51" s="708">
        <f>CD28+CD29+CD33</f>
        <v>1185.173</v>
      </c>
      <c r="CE51" s="708">
        <f>CE28+CE29+CE33</f>
        <v>1185.173</v>
      </c>
      <c r="CF51" s="708">
        <f>CF28+CF29+CF33</f>
        <v>1185.173</v>
      </c>
      <c r="CG51" s="724">
        <f>CG28+CG29+CG33</f>
        <v>1185.173</v>
      </c>
      <c r="CH51" s="19"/>
      <c r="CI51" s="707">
        <f>CI28+CI29+CI33</f>
        <v>1185.173</v>
      </c>
      <c r="CJ51" s="708">
        <f>CJ28+CJ29+CJ33</f>
        <v>1185.173</v>
      </c>
      <c r="CK51" s="708">
        <f>CK28+CK29+CK33</f>
        <v>1185.173</v>
      </c>
      <c r="CL51" s="708">
        <f>CL28+CL29+CL33</f>
        <v>1185.173</v>
      </c>
      <c r="CM51" s="724">
        <f>CM28+CM29+CM33</f>
        <v>1185.173</v>
      </c>
      <c r="CN51" s="19"/>
      <c r="CO51" s="25"/>
      <c r="CP51" s="25"/>
      <c r="CQ51"/>
      <c r="CR51"/>
      <c r="CS51"/>
      <c r="CT51"/>
      <c r="CU51"/>
      <c r="CV51"/>
      <c r="CW51" s="14"/>
    </row>
    <row r="52" spans="1:101" s="123" customFormat="1" ht="11.25" customHeight="1" outlineLevel="1" x14ac:dyDescent="0.2">
      <c r="B52" s="529" t="s">
        <v>47</v>
      </c>
      <c r="C52" s="692">
        <f>C51-C9-C10</f>
        <v>29.814999999999998</v>
      </c>
      <c r="D52" s="19">
        <f>D51-D9-D10</f>
        <v>108.47000000000003</v>
      </c>
      <c r="E52" s="19">
        <f>E51-E9-E10</f>
        <v>62.564000000000021</v>
      </c>
      <c r="F52" s="19">
        <f>F51-F9-F10</f>
        <v>-61.766999999999996</v>
      </c>
      <c r="G52" s="270">
        <f>G51-G9-G10</f>
        <v>-61.766999999999996</v>
      </c>
      <c r="H52" s="19"/>
      <c r="I52" s="692">
        <f>I51-I9-I10</f>
        <v>-114.14700000000002</v>
      </c>
      <c r="J52" s="19">
        <f>J51-J9-J10</f>
        <v>-165.065</v>
      </c>
      <c r="K52" s="19">
        <f>K51-K9-K10</f>
        <v>18.880999999999972</v>
      </c>
      <c r="L52" s="19">
        <f>L51-L9-L10</f>
        <v>346.87</v>
      </c>
      <c r="M52" s="270">
        <f>M51-M9-M10</f>
        <v>346.87</v>
      </c>
      <c r="N52" s="19"/>
      <c r="O52" s="692">
        <f>O51-O9-O10</f>
        <v>323.88200000000006</v>
      </c>
      <c r="P52" s="19">
        <f>P51-P9-P10</f>
        <v>398.69599999999997</v>
      </c>
      <c r="Q52" s="19">
        <f>Q51-Q9-Q10</f>
        <v>426.16199999999992</v>
      </c>
      <c r="R52" s="19">
        <f>R51-R9-R10</f>
        <v>388.935</v>
      </c>
      <c r="S52" s="270">
        <f>S51-S9-S10</f>
        <v>388.935</v>
      </c>
      <c r="T52" s="19"/>
      <c r="U52" s="692">
        <f>U51-U9-U10</f>
        <v>363.62299999999999</v>
      </c>
      <c r="V52" s="19">
        <f>V51-V9-V10</f>
        <v>354.84899999999999</v>
      </c>
      <c r="W52" s="19">
        <f>W51-W9-W10</f>
        <v>257.21800000000002</v>
      </c>
      <c r="X52" s="19">
        <f>X51-X9-X10</f>
        <v>184.40899999999999</v>
      </c>
      <c r="Y52" s="270">
        <f>Y51-Y9-Y10</f>
        <v>184.40899999999999</v>
      </c>
      <c r="Z52" s="19"/>
      <c r="AA52" s="692">
        <f>AA51-AA9-AA10</f>
        <v>226.57299999999998</v>
      </c>
      <c r="AB52" s="19">
        <f>AB51-AB9-AB10</f>
        <v>196.25599999999997</v>
      </c>
      <c r="AC52" s="19">
        <f>AC51-AC9-AC10</f>
        <v>136.96100000000001</v>
      </c>
      <c r="AD52" s="19">
        <f>AD51-AD9-AD10</f>
        <v>136.33499999999998</v>
      </c>
      <c r="AE52" s="270">
        <f>AE51-AE9-AE10</f>
        <v>136.33499999999998</v>
      </c>
      <c r="AF52" s="19"/>
      <c r="AG52" s="692">
        <f>AG51-AG9-AG10</f>
        <v>151.22399999999999</v>
      </c>
      <c r="AH52" s="19">
        <f>AH51-AH9-AH10</f>
        <v>294.93200000000002</v>
      </c>
      <c r="AI52" s="19">
        <f>AI51-AI9-AI10</f>
        <v>311.90800000000002</v>
      </c>
      <c r="AJ52" s="19">
        <f>AJ51-AJ9-AJ10</f>
        <v>276.21900000000005</v>
      </c>
      <c r="AK52" s="270">
        <f>AK51-AK9-AK10</f>
        <v>276.21900000000005</v>
      </c>
      <c r="AL52" s="19"/>
      <c r="AM52" s="692">
        <f>AM51-AM9-AM10</f>
        <v>269.24699999999996</v>
      </c>
      <c r="AN52" s="19">
        <f>AN51-AN9-AN10</f>
        <v>274.62599999999998</v>
      </c>
      <c r="AO52" s="19">
        <f>AO51-AO9-AO10</f>
        <v>302.55099999999999</v>
      </c>
      <c r="AP52" s="19">
        <f>AP51-AP9-AP10</f>
        <v>219.77199999999999</v>
      </c>
      <c r="AQ52" s="270">
        <f>AQ51-AQ9-AQ10</f>
        <v>219.77199999999999</v>
      </c>
      <c r="AR52" s="19"/>
      <c r="AS52" s="692">
        <f>AS51-AS9-AS10</f>
        <v>256.63099999999997</v>
      </c>
      <c r="AT52" s="19">
        <f>AT51-AT9-AT10</f>
        <v>343.94200000000001</v>
      </c>
      <c r="AU52" s="19">
        <f>AU51-AU9-AU10</f>
        <v>395.42999999999995</v>
      </c>
      <c r="AV52" s="19">
        <f>AV51-AV9-AV10</f>
        <v>419.31700000000001</v>
      </c>
      <c r="AW52" s="270">
        <f>AW51-AW9-AW10</f>
        <v>419.31700000000001</v>
      </c>
      <c r="AX52" s="19"/>
      <c r="AY52" s="692">
        <f>AY51-AY9-AY10</f>
        <v>422.65300000000002</v>
      </c>
      <c r="AZ52" s="19">
        <f>AZ51-AZ9-AZ10</f>
        <v>382.27799999999996</v>
      </c>
      <c r="BA52" s="19">
        <f>BA51-BA9-BA10</f>
        <v>382.95300000000003</v>
      </c>
      <c r="BB52" s="19">
        <f>BB51-BB9-BB10</f>
        <v>321.91000000000003</v>
      </c>
      <c r="BC52" s="270">
        <f>BC51-BC9-BC10</f>
        <v>321.91000000000003</v>
      </c>
      <c r="BD52" s="19"/>
      <c r="BE52" s="692">
        <f>BE51-BE9-BE10</f>
        <v>1528.4319999999998</v>
      </c>
      <c r="BF52" s="19">
        <f>BF51-BF9-BF10</f>
        <v>1035.424</v>
      </c>
      <c r="BG52" s="19">
        <f>BG51-BG9-BG10</f>
        <v>1147.049</v>
      </c>
      <c r="BH52" s="19">
        <f>BH51-BH9-BH10</f>
        <v>921.202</v>
      </c>
      <c r="BI52" s="270">
        <f>BI51-BI9-BI10</f>
        <v>921.202</v>
      </c>
      <c r="BJ52" s="19"/>
      <c r="BK52" s="692">
        <f>BK51-BK9-BK10</f>
        <v>1052.769</v>
      </c>
      <c r="BL52" s="19">
        <f>BL51-BL9-BL10</f>
        <v>1083.4490000000001</v>
      </c>
      <c r="BM52" s="19">
        <f>BM51-BM9-BM10</f>
        <v>1092.79</v>
      </c>
      <c r="BN52" s="19">
        <f>BN51-BN9-BN10</f>
        <v>977.06700000000001</v>
      </c>
      <c r="BO52" s="270">
        <f>BO51-BO9-BO10</f>
        <v>977.06700000000001</v>
      </c>
      <c r="BP52" s="19"/>
      <c r="BQ52" s="692">
        <f>BQ51-BQ9-BQ10</f>
        <v>1076.432</v>
      </c>
      <c r="BR52" s="19">
        <f>BR51-BR9-BR10</f>
        <v>996.52999999999986</v>
      </c>
      <c r="BS52" s="19">
        <f>BS51-BS9-BS10</f>
        <v>1067.1680000000001</v>
      </c>
      <c r="BT52" s="19">
        <f>BT51-BT9-BT10</f>
        <v>1023.3818706521183</v>
      </c>
      <c r="BU52" s="270">
        <f>BU51-BU9-BU10</f>
        <v>1023.3818706521183</v>
      </c>
      <c r="BV52" s="19"/>
      <c r="BW52" s="692">
        <f>BW51-BW9-BW10</f>
        <v>987.62459574310469</v>
      </c>
      <c r="BX52" s="19">
        <f>BX51-BX9-BX10</f>
        <v>1045.2312359177249</v>
      </c>
      <c r="BY52" s="19">
        <f>BY51-BY9-BY10</f>
        <v>1029.6476974993711</v>
      </c>
      <c r="BZ52" s="19">
        <f>BZ51-BZ9-BZ10</f>
        <v>1009.0265918914747</v>
      </c>
      <c r="CA52" s="270">
        <f>CA51-CA9-CA10</f>
        <v>1009.0265918914747</v>
      </c>
      <c r="CB52" s="19"/>
      <c r="CC52" s="692">
        <f>CC51-CC9-CC10</f>
        <v>999.90483511712887</v>
      </c>
      <c r="CD52" s="19">
        <f>CD51-CD9-CD10</f>
        <v>1060.4612638039951</v>
      </c>
      <c r="CE52" s="19">
        <f>CE51-CE9-CE10</f>
        <v>1046.2609980890893</v>
      </c>
      <c r="CF52" s="19">
        <f>CF51-CF9-CF10</f>
        <v>1024.2692911147906</v>
      </c>
      <c r="CG52" s="270">
        <f>CG51-CG9-CG10</f>
        <v>1024.2692911147906</v>
      </c>
      <c r="CH52" s="19"/>
      <c r="CI52" s="692">
        <f>CI51-CI9-CI10</f>
        <v>1019.1037850291142</v>
      </c>
      <c r="CJ52" s="19">
        <f>CJ51-CJ9-CJ10</f>
        <v>1086.062870573043</v>
      </c>
      <c r="CK52" s="19">
        <f>CK51-CK9-CK10</f>
        <v>1074.6587697338041</v>
      </c>
      <c r="CL52" s="19">
        <f>CL51-CL9-CL10</f>
        <v>1056.0896245722167</v>
      </c>
      <c r="CM52" s="270">
        <f>CM51-CM9-CM10</f>
        <v>1056.0896245722167</v>
      </c>
      <c r="CN52" s="19"/>
      <c r="CO52" s="25"/>
      <c r="CP52" s="25"/>
      <c r="CQ52"/>
      <c r="CR52"/>
      <c r="CS52"/>
      <c r="CT52"/>
      <c r="CU52"/>
      <c r="CV52"/>
      <c r="CW52" s="14"/>
    </row>
    <row r="53" spans="1:101" s="123" customFormat="1" ht="11.25" customHeight="1" outlineLevel="1" x14ac:dyDescent="0.2">
      <c r="B53" s="531" t="s">
        <v>48</v>
      </c>
      <c r="C53" s="709">
        <f>C52/'P&amp;L'!C26</f>
        <v>0.21423746838353641</v>
      </c>
      <c r="D53" s="710">
        <f>D52/'P&amp;L'!D26</f>
        <v>0.78188974107606268</v>
      </c>
      <c r="E53" s="710">
        <f>E52/'P&amp;L'!E26</f>
        <v>0.4581194578485287</v>
      </c>
      <c r="F53" s="710">
        <f>F52/'P&amp;L'!F26</f>
        <v>-0.45213451234152197</v>
      </c>
      <c r="G53" s="725">
        <f>G52/'P&amp;L'!G26</f>
        <v>-0.44833743440106261</v>
      </c>
      <c r="H53" s="416"/>
      <c r="I53" s="709">
        <f>I52/'P&amp;L'!I26</f>
        <v>-0.83474350067644165</v>
      </c>
      <c r="J53" s="710">
        <f>J52/'P&amp;L'!J26</f>
        <v>-1.2055315761413348</v>
      </c>
      <c r="K53" s="710">
        <f>K52/'P&amp;L'!K26</f>
        <v>0.13992663134101582</v>
      </c>
      <c r="L53" s="710">
        <f>L52/'P&amp;L'!L26</f>
        <v>2.8192790669321739</v>
      </c>
      <c r="M53" s="725">
        <f>M52/'P&amp;L'!M26</f>
        <v>2.6100075244544771</v>
      </c>
      <c r="N53" s="416"/>
      <c r="O53" s="709">
        <f>O52/'P&amp;L'!O26</f>
        <v>2.7283004245569114</v>
      </c>
      <c r="P53" s="710">
        <f>P52/'P&amp;L'!P26</f>
        <v>3.3694138327361229</v>
      </c>
      <c r="Q53" s="710">
        <f>Q52/'P&amp;L'!Q26</f>
        <v>3.6074457819086794</v>
      </c>
      <c r="R53" s="710">
        <f>R52/'P&amp;L'!R26</f>
        <v>3.2891743553747665</v>
      </c>
      <c r="S53" s="725">
        <f>S52/'P&amp;L'!S26</f>
        <v>3.2861729542478137</v>
      </c>
      <c r="T53" s="416"/>
      <c r="U53" s="709">
        <f>U52/'P&amp;L'!U26</f>
        <v>3.0648500122215383</v>
      </c>
      <c r="V53" s="710">
        <f>V52/'P&amp;L'!V26</f>
        <v>2.9765216078378742</v>
      </c>
      <c r="W53" s="710">
        <f>W52/'P&amp;L'!W26</f>
        <v>2.1536413416615034</v>
      </c>
      <c r="X53" s="710">
        <f>X52/'P&amp;L'!X26</f>
        <v>1.5429391388744791</v>
      </c>
      <c r="Y53" s="725">
        <f>Y52/'P&amp;L'!Y26</f>
        <v>1.5470294122581836</v>
      </c>
      <c r="Z53" s="416"/>
      <c r="AA53" s="709">
        <f>AA52/'P&amp;L'!AA26</f>
        <v>1.8915130568356373</v>
      </c>
      <c r="AB53" s="710">
        <f>AB52/'P&amp;L'!AB26</f>
        <v>1.6440568637799164</v>
      </c>
      <c r="AC53" s="710">
        <f>AC52/'P&amp;L'!AC26</f>
        <v>1.1525114232099432</v>
      </c>
      <c r="AD53" s="710">
        <f>AD52/'P&amp;L'!AD26</f>
        <v>1.152753468787256</v>
      </c>
      <c r="AE53" s="725">
        <f>AE52/'P&amp;L'!AE26</f>
        <v>1.145037206255354</v>
      </c>
      <c r="AF53" s="416"/>
      <c r="AG53" s="709">
        <f>AG52/'P&amp;L'!AG26</f>
        <v>1.3004600765360965</v>
      </c>
      <c r="AH53" s="710">
        <f>AH52/'P&amp;L'!AH26</f>
        <v>2.6057286236813741</v>
      </c>
      <c r="AI53" s="710">
        <f>AI52/'P&amp;L'!AI26</f>
        <v>2.909426711191538</v>
      </c>
      <c r="AJ53" s="710">
        <f>AJ52/'P&amp;L'!AJ26</f>
        <v>2.5885500618510333</v>
      </c>
      <c r="AK53" s="725">
        <f>AK52/'P&amp;L'!AK26</f>
        <v>2.4919167132778814</v>
      </c>
      <c r="AL53" s="416"/>
      <c r="AM53" s="709">
        <f>AM52/'P&amp;L'!AM26</f>
        <v>2.5452766512577631</v>
      </c>
      <c r="AN53" s="710">
        <f>AN52/'P&amp;L'!AN26</f>
        <v>2.6301393477948567</v>
      </c>
      <c r="AO53" s="710">
        <f>AO52/'P&amp;L'!AO26</f>
        <v>2.9403572539262943</v>
      </c>
      <c r="AP53" s="710">
        <f>AP52/'P&amp;L'!AP26</f>
        <v>2.1518005757142578</v>
      </c>
      <c r="AQ53" s="725">
        <f>AQ52/'P&amp;L'!AQ26</f>
        <v>2.1171211960657756</v>
      </c>
      <c r="AR53" s="416"/>
      <c r="AS53" s="709">
        <f>AS52/'P&amp;L'!AS26</f>
        <v>2.5179897761948213</v>
      </c>
      <c r="AT53" s="710">
        <f>AT52/'P&amp;L'!AT26</f>
        <v>3.3730386003452062</v>
      </c>
      <c r="AU53" s="710">
        <f>AU52/'P&amp;L'!AU26</f>
        <v>3.8768027137520953</v>
      </c>
      <c r="AV53" s="710">
        <f>AV52/'P&amp;L'!AV26</f>
        <v>4.1646835644193718</v>
      </c>
      <c r="AW53" s="725">
        <f>AW52/'P&amp;L'!AW26</f>
        <v>4.1253898448491286</v>
      </c>
      <c r="AX53" s="416"/>
      <c r="AY53" s="709">
        <f>AY52/'P&amp;L'!AY26</f>
        <v>4.218851689924338</v>
      </c>
      <c r="AZ53" s="710">
        <f>AZ52/'P&amp;L'!AZ26</f>
        <v>3.8467839317340196</v>
      </c>
      <c r="BA53" s="710">
        <f>BA52/'P&amp;L'!BA26</f>
        <v>3.847227245328511</v>
      </c>
      <c r="BB53" s="710">
        <f>BB52/'P&amp;L'!BB26</f>
        <v>3.2295313863780009</v>
      </c>
      <c r="BC53" s="725">
        <f>BC52/'P&amp;L'!BC26</f>
        <v>3.2289806808835038</v>
      </c>
      <c r="BD53" s="416"/>
      <c r="BE53" s="709">
        <f>BE52/'P&amp;L'!BE26</f>
        <v>15.259599448892791</v>
      </c>
      <c r="BF53" s="710">
        <f>BF52/'P&amp;L'!BF26</f>
        <v>10.439320461763371</v>
      </c>
      <c r="BG53" s="710">
        <f>BG52/'P&amp;L'!BG26</f>
        <v>11.957145835505054</v>
      </c>
      <c r="BH53" s="710">
        <f>BH52/'P&amp;L'!BH26</f>
        <v>9.5837746174093077</v>
      </c>
      <c r="BI53" s="725">
        <f>BI52/'P&amp;L'!BI26</f>
        <v>9.409429838001266</v>
      </c>
      <c r="BJ53" s="416"/>
      <c r="BK53" s="709">
        <f>BK52/'P&amp;L'!BK26</f>
        <v>10.95607243209491</v>
      </c>
      <c r="BL53" s="710">
        <f>BL52/'P&amp;L'!BL26</f>
        <v>11.297224307640976</v>
      </c>
      <c r="BM53" s="710">
        <f>BM52/'P&amp;L'!BM26</f>
        <v>11.459746851372183</v>
      </c>
      <c r="BN53" s="710">
        <f>BN52/'P&amp;L'!BN26</f>
        <v>10.339005110948859</v>
      </c>
      <c r="BO53" s="725">
        <f>BO52/'P&amp;L'!BO26</f>
        <v>10.223895277658606</v>
      </c>
      <c r="BP53" s="416"/>
      <c r="BQ53" s="709">
        <f>BQ52/'P&amp;L'!BQ26</f>
        <v>11.449090077537518</v>
      </c>
      <c r="BR53" s="710">
        <f>BR52/'P&amp;L'!BR26</f>
        <v>10.675086501483646</v>
      </c>
      <c r="BS53" s="710">
        <f>BS52/'P&amp;L'!BS26</f>
        <v>11.523372458400374</v>
      </c>
      <c r="BT53" s="710">
        <f>BT52/'P&amp;L'!BT26</f>
        <v>11.108254329536889</v>
      </c>
      <c r="BU53" s="725">
        <f>BU52/'P&amp;L'!BU26</f>
        <v>11.00094024776968</v>
      </c>
      <c r="BV53" s="416"/>
      <c r="BW53" s="709">
        <f>BW52/'P&amp;L'!BW26</f>
        <v>10.816056900350794</v>
      </c>
      <c r="BX53" s="710">
        <f>BX52/'P&amp;L'!BX26</f>
        <v>11.531846062369594</v>
      </c>
      <c r="BY53" s="710">
        <f>BY52/'P&amp;L'!BY26</f>
        <v>11.444804891490486</v>
      </c>
      <c r="BZ53" s="710">
        <f>BZ52/'P&amp;L'!BZ26</f>
        <v>11.300037603062053</v>
      </c>
      <c r="CA53" s="725">
        <f>CA52/'P&amp;L'!CA26</f>
        <v>11.173846513036926</v>
      </c>
      <c r="CB53" s="416"/>
      <c r="CC53" s="709">
        <f>CC52/'P&amp;L'!CC26</f>
        <v>11.282831447874344</v>
      </c>
      <c r="CD53" s="710">
        <f>CD52/'P&amp;L'!CD26</f>
        <v>12.057614368378122</v>
      </c>
      <c r="CE53" s="710">
        <f>CE52/'P&amp;L'!CE26</f>
        <v>11.98779045191689</v>
      </c>
      <c r="CF53" s="710">
        <f>CF52/'P&amp;L'!CF26</f>
        <v>11.826917150749887</v>
      </c>
      <c r="CG53" s="725">
        <f>CG52/'P&amp;L'!CG26</f>
        <v>11.690788382450835</v>
      </c>
      <c r="CH53" s="416"/>
      <c r="CI53" s="709">
        <f>CI52/'P&amp;L'!CI26</f>
        <v>11.859333551530312</v>
      </c>
      <c r="CJ53" s="710">
        <f>CJ52/'P&amp;L'!CJ26</f>
        <v>12.738194790756506</v>
      </c>
      <c r="CK53" s="710">
        <f>CK52/'P&amp;L'!CK26</f>
        <v>12.704616478742823</v>
      </c>
      <c r="CL53" s="710">
        <f>CL52/'P&amp;L'!CL26</f>
        <v>12.585116368520106</v>
      </c>
      <c r="CM53" s="725">
        <f>CM52/'P&amp;L'!CM26</f>
        <v>12.435673741768959</v>
      </c>
      <c r="CN53" s="416"/>
      <c r="CO53" s="35"/>
      <c r="CP53" s="35"/>
      <c r="CQ53"/>
      <c r="CR53"/>
      <c r="CS53"/>
      <c r="CT53"/>
      <c r="CU53"/>
      <c r="CV53"/>
      <c r="CW53" s="14"/>
    </row>
    <row r="54" spans="1:101" s="123" customFormat="1" ht="11.25" customHeight="1" outlineLevel="1" x14ac:dyDescent="0.2">
      <c r="B54" s="1"/>
      <c r="C54" s="50"/>
      <c r="D54" s="50"/>
      <c r="E54" s="50"/>
      <c r="F54" s="50"/>
      <c r="G54" s="53"/>
      <c r="H54" s="19"/>
      <c r="I54" s="50"/>
      <c r="J54" s="50"/>
      <c r="K54" s="50"/>
      <c r="L54" s="50"/>
      <c r="M54" s="53"/>
      <c r="N54" s="19"/>
      <c r="O54" s="50"/>
      <c r="P54" s="50"/>
      <c r="Q54" s="50"/>
      <c r="R54" s="50"/>
      <c r="S54" s="53"/>
      <c r="T54" s="19"/>
      <c r="U54" s="50"/>
      <c r="V54" s="50"/>
      <c r="W54" s="50"/>
      <c r="X54" s="50"/>
      <c r="Y54" s="53"/>
      <c r="Z54" s="19"/>
      <c r="AA54" s="50"/>
      <c r="AB54" s="50"/>
      <c r="AC54" s="50"/>
      <c r="AD54" s="50"/>
      <c r="AE54" s="53"/>
      <c r="AF54" s="19"/>
      <c r="AG54" s="50"/>
      <c r="AH54" s="50"/>
      <c r="AI54" s="50"/>
      <c r="AJ54" s="50"/>
      <c r="AK54" s="53"/>
      <c r="AL54" s="19"/>
      <c r="AM54" s="50"/>
      <c r="AN54" s="50"/>
      <c r="AO54" s="50"/>
      <c r="AP54" s="50"/>
      <c r="AQ54" s="53"/>
      <c r="AR54" s="19"/>
      <c r="AS54" s="50"/>
      <c r="AT54" s="50"/>
      <c r="AU54" s="50"/>
      <c r="AV54" s="50"/>
      <c r="AW54" s="53"/>
      <c r="AX54" s="19"/>
      <c r="AY54" s="50"/>
      <c r="AZ54" s="50"/>
      <c r="BA54" s="50"/>
      <c r="BB54" s="50"/>
      <c r="BC54" s="53"/>
      <c r="BD54" s="19"/>
      <c r="BE54" s="50"/>
      <c r="BF54" s="50"/>
      <c r="BG54" s="50"/>
      <c r="BH54" s="50"/>
      <c r="BI54" s="53"/>
      <c r="BJ54" s="19"/>
      <c r="BK54" s="50"/>
      <c r="BL54" s="50"/>
      <c r="BM54" s="50"/>
      <c r="BN54" s="50"/>
      <c r="BO54" s="53"/>
      <c r="BP54" s="19"/>
      <c r="BQ54" s="50"/>
      <c r="BR54" s="50"/>
      <c r="BS54" s="50"/>
      <c r="BT54" s="50"/>
      <c r="BU54" s="53"/>
      <c r="BV54" s="19"/>
      <c r="BW54" s="50"/>
      <c r="BX54" s="50"/>
      <c r="BY54" s="50"/>
      <c r="BZ54" s="50"/>
      <c r="CA54" s="53"/>
      <c r="CB54" s="19"/>
      <c r="CC54" s="50"/>
      <c r="CD54" s="50"/>
      <c r="CE54" s="50"/>
      <c r="CF54" s="50"/>
      <c r="CG54" s="53"/>
      <c r="CH54" s="19"/>
      <c r="CI54" s="50"/>
      <c r="CJ54" s="50"/>
      <c r="CK54" s="50"/>
      <c r="CL54" s="50"/>
      <c r="CM54" s="53"/>
      <c r="CN54" s="19"/>
      <c r="CO54" s="53"/>
      <c r="CP54" s="53"/>
      <c r="CQ54"/>
      <c r="CR54"/>
      <c r="CS54"/>
      <c r="CT54"/>
      <c r="CU54"/>
      <c r="CV54"/>
      <c r="CW54" s="14"/>
    </row>
    <row r="55" spans="1:101" s="123" customFormat="1" ht="11.25" customHeight="1" outlineLevel="1" x14ac:dyDescent="0.2">
      <c r="B55" s="1033" t="s">
        <v>49</v>
      </c>
      <c r="C55" s="1034"/>
      <c r="D55" s="1034"/>
      <c r="E55" s="1034"/>
      <c r="F55" s="1034"/>
      <c r="G55" s="1034"/>
      <c r="H55" s="1033"/>
      <c r="I55" s="1034"/>
      <c r="J55" s="1034"/>
      <c r="K55" s="1034"/>
      <c r="L55" s="1034"/>
      <c r="M55" s="1034"/>
      <c r="N55" s="1033"/>
      <c r="O55" s="1034"/>
      <c r="P55" s="1034"/>
      <c r="Q55" s="1034"/>
      <c r="R55" s="1034"/>
      <c r="S55" s="1034"/>
      <c r="T55" s="1033"/>
      <c r="U55" s="1034"/>
      <c r="V55" s="1034"/>
      <c r="W55" s="1034"/>
      <c r="X55" s="1034"/>
      <c r="Y55" s="1034"/>
      <c r="Z55" s="1033"/>
      <c r="AA55" s="1034"/>
      <c r="AB55" s="1034"/>
      <c r="AC55" s="1034"/>
      <c r="AD55" s="1034"/>
      <c r="AE55" s="1034"/>
      <c r="AF55" s="1033"/>
      <c r="AG55" s="1034"/>
      <c r="AH55" s="1034"/>
      <c r="AI55" s="1034"/>
      <c r="AJ55" s="1034"/>
      <c r="AK55" s="1034"/>
      <c r="AL55" s="1033"/>
      <c r="AM55" s="1034"/>
      <c r="AN55" s="1034"/>
      <c r="AO55" s="1034"/>
      <c r="AP55" s="1034"/>
      <c r="AQ55" s="1034"/>
      <c r="AR55" s="1033"/>
      <c r="AS55" s="1034"/>
      <c r="AT55" s="1034"/>
      <c r="AU55" s="1034"/>
      <c r="AV55" s="1034"/>
      <c r="AW55" s="1034"/>
      <c r="AX55" s="1033"/>
      <c r="AY55" s="1034"/>
      <c r="AZ55" s="1034"/>
      <c r="BA55" s="1034"/>
      <c r="BB55" s="1034"/>
      <c r="BC55" s="1034"/>
      <c r="BD55" s="1033"/>
      <c r="BE55" s="1034"/>
      <c r="BF55" s="1034"/>
      <c r="BG55" s="1034"/>
      <c r="BH55" s="1034"/>
      <c r="BI55" s="1034"/>
      <c r="BJ55" s="1033"/>
      <c r="BK55" s="1034"/>
      <c r="BL55" s="1034"/>
      <c r="BM55" s="1034"/>
      <c r="BN55" s="1034"/>
      <c r="BO55" s="1034"/>
      <c r="BP55" s="1033"/>
      <c r="BQ55" s="1034"/>
      <c r="BR55" s="1034"/>
      <c r="BS55" s="1034"/>
      <c r="BT55" s="1034"/>
      <c r="BU55" s="1034"/>
      <c r="BV55" s="1033"/>
      <c r="BW55" s="1034"/>
      <c r="BX55" s="1034"/>
      <c r="BY55" s="1034"/>
      <c r="BZ55" s="1034"/>
      <c r="CA55" s="1034"/>
      <c r="CB55" s="1033"/>
      <c r="CC55" s="1034"/>
      <c r="CD55" s="1034"/>
      <c r="CE55" s="1034"/>
      <c r="CF55" s="1034"/>
      <c r="CG55" s="1034"/>
      <c r="CH55" s="1033"/>
      <c r="CI55" s="1034"/>
      <c r="CJ55" s="1034"/>
      <c r="CK55" s="1034"/>
      <c r="CL55" s="1034"/>
      <c r="CM55" s="1034"/>
      <c r="CN55" s="19"/>
      <c r="CO55" s="25"/>
      <c r="CP55" s="25"/>
      <c r="CQ55"/>
      <c r="CR55"/>
      <c r="CS55"/>
      <c r="CT55"/>
      <c r="CU55"/>
      <c r="CV55"/>
      <c r="CW55" s="14"/>
    </row>
    <row r="56" spans="1:101" s="123" customFormat="1" ht="11.25" customHeight="1" outlineLevel="1" x14ac:dyDescent="0.2">
      <c r="B56" s="702" t="s">
        <v>50</v>
      </c>
      <c r="C56" s="251"/>
      <c r="D56" s="252">
        <f>'P&amp;L'!D23/(AVERAGE(D44,C44)*('P&amp;L'!D7/'P&amp;L'!G7))</f>
        <v>0.15118662554535889</v>
      </c>
      <c r="E56" s="252">
        <f>'P&amp;L'!E23/(AVERAGE(E44,D44)*('P&amp;L'!E7/'P&amp;L'!G7))</f>
        <v>0.18261195583050965</v>
      </c>
      <c r="F56" s="252">
        <f>'P&amp;L'!F23/(AVERAGE(F44,E44)*('P&amp;L'!F7/'P&amp;L'!G7))</f>
        <v>0.18319418379451621</v>
      </c>
      <c r="G56" s="253"/>
      <c r="H56" s="212"/>
      <c r="I56" s="251">
        <f>'P&amp;L'!I23/(AVERAGE(I44,G44)*('P&amp;L'!I7/'P&amp;L'!M7))</f>
        <v>0.13423377395988356</v>
      </c>
      <c r="J56" s="252">
        <f>'P&amp;L'!J23/(AVERAGE(J44,I44)*('P&amp;L'!J7/'P&amp;L'!M7))</f>
        <v>0.1449237490527262</v>
      </c>
      <c r="K56" s="252">
        <f>'P&amp;L'!K23/(AVERAGE(K44,J44)*('P&amp;L'!K7/'P&amp;L'!M7))</f>
        <v>0.17043250042702204</v>
      </c>
      <c r="L56" s="252">
        <f>'P&amp;L'!L23/(AVERAGE(L44,K44)*('P&amp;L'!L7/'P&amp;L'!M7))</f>
        <v>0.22243166927057309</v>
      </c>
      <c r="M56" s="253">
        <f>'P&amp;L'!M23/(AVERAGE(M44,G44))</f>
        <v>0.18863918261779256</v>
      </c>
      <c r="N56" s="212"/>
      <c r="O56" s="251">
        <f>'P&amp;L'!O23/(AVERAGE(O44,M44)*('P&amp;L'!O7/'P&amp;L'!S7))</f>
        <v>0.17903194452441304</v>
      </c>
      <c r="P56" s="252">
        <f>'P&amp;L'!P23/(AVERAGE(P44,O44)*('P&amp;L'!P7/'P&amp;L'!S7))</f>
        <v>0.17576148823565202</v>
      </c>
      <c r="Q56" s="252">
        <f>'P&amp;L'!Q23/(AVERAGE(Q44,P44)*('P&amp;L'!Q7/'P&amp;L'!S7))</f>
        <v>0.19186087566509086</v>
      </c>
      <c r="R56" s="252">
        <f>'P&amp;L'!R23/(AVERAGE(R44,Q44)*('P&amp;L'!R7/'P&amp;L'!S7))</f>
        <v>0.18967387904996869</v>
      </c>
      <c r="S56" s="253">
        <f>'P&amp;L'!S23/(AVERAGE(S44,M44))</f>
        <v>0.1822229585319205</v>
      </c>
      <c r="T56" s="212"/>
      <c r="U56" s="251">
        <f>'P&amp;L'!U23/(AVERAGE(U44,S44)*('P&amp;L'!U7/'P&amp;L'!Y7))</f>
        <v>0.1477655724677181</v>
      </c>
      <c r="V56" s="252">
        <f>'P&amp;L'!V23/(AVERAGE(V44,U44)*('P&amp;L'!V7/'P&amp;L'!Y7))</f>
        <v>0.15182122124443645</v>
      </c>
      <c r="W56" s="252">
        <f>'P&amp;L'!W23/(AVERAGE(W44,V44)*('P&amp;L'!W7/'P&amp;L'!Y7))</f>
        <v>0.16487267829668423</v>
      </c>
      <c r="X56" s="252">
        <f>'P&amp;L'!X23/(AVERAGE(X44,W44)*('P&amp;L'!X7/'P&amp;L'!Y7))</f>
        <v>0.17777715521010143</v>
      </c>
      <c r="Y56" s="253">
        <f>'P&amp;L'!Y23/(AVERAGE(Y44,S44))</f>
        <v>0.16154311293230075</v>
      </c>
      <c r="Z56" s="212"/>
      <c r="AA56" s="251">
        <f>'P&amp;L'!AA23/(AVERAGE(AA44,Y44)*('P&amp;L'!AA7/'P&amp;L'!AE7))</f>
        <v>0.14777151978114489</v>
      </c>
      <c r="AB56" s="252">
        <f>'P&amp;L'!AB23/(AVERAGE(AB44,AA44)*('P&amp;L'!AB7/'P&amp;L'!AE7))</f>
        <v>0.14172617580998317</v>
      </c>
      <c r="AC56" s="252">
        <f>'P&amp;L'!AC23/(AVERAGE(AC44,AB44)*('P&amp;L'!AC7/'P&amp;L'!AE7))</f>
        <v>0.14397683079534807</v>
      </c>
      <c r="AD56" s="252">
        <f>'P&amp;L'!AD23/(AVERAGE(AD44,AC44)*('P&amp;L'!AD7/'P&amp;L'!AE7))</f>
        <v>0.16343436849134635</v>
      </c>
      <c r="AE56" s="253">
        <f>'P&amp;L'!AE23/(AVERAGE(AE44,Y44))</f>
        <v>0.15015401137422399</v>
      </c>
      <c r="AF56" s="212"/>
      <c r="AG56" s="251">
        <f>'P&amp;L'!AG23/(AVERAGE(AG44,AE44)*('P&amp;L'!AG7/'P&amp;L'!AK7))</f>
        <v>0.12635080636377066</v>
      </c>
      <c r="AH56" s="252">
        <f>'P&amp;L'!AH23/(AVERAGE(AH44,AG44)*('P&amp;L'!AH7/'P&amp;L'!AK7))</f>
        <v>0.13256103715125736</v>
      </c>
      <c r="AI56" s="252">
        <f>'P&amp;L'!AI23/(AVERAGE(AI44,AH44)*('P&amp;L'!AI7/'P&amp;L'!AK7))</f>
        <v>0.15336456477049451</v>
      </c>
      <c r="AJ56" s="252">
        <f>'P&amp;L'!AJ23/(AVERAGE(AJ44,AI44)*('P&amp;L'!AJ7/'P&amp;L'!AK7))</f>
        <v>0.18335384122503534</v>
      </c>
      <c r="AK56" s="253">
        <f>'P&amp;L'!AK23/(AVERAGE(AK44,AE44))</f>
        <v>0.14498208630049922</v>
      </c>
      <c r="AL56" s="212"/>
      <c r="AM56" s="251">
        <f>'P&amp;L'!AM23/(AVERAGE(AM44,AK44)*('P&amp;L'!AM7/'P&amp;L'!AQ7))</f>
        <v>0.13913045695526458</v>
      </c>
      <c r="AN56" s="252">
        <f>'P&amp;L'!AN23/(AVERAGE(AN44,AM44)*('P&amp;L'!AN7/'P&amp;L'!AQ7))</f>
        <v>0.13273368682073783</v>
      </c>
      <c r="AO56" s="252">
        <f>'P&amp;L'!AO23/(AVERAGE(AO44,AN44)*('P&amp;L'!AO7/'P&amp;L'!AQ7))</f>
        <v>0.15717292407599387</v>
      </c>
      <c r="AP56" s="252">
        <f>'P&amp;L'!AP23/(AVERAGE(AP44,AO44)*('P&amp;L'!AP7/'P&amp;L'!AQ7))</f>
        <v>0.18780442157128932</v>
      </c>
      <c r="AQ56" s="253">
        <f>'P&amp;L'!AQ23/(AVERAGE(AQ44,AK44))</f>
        <v>0.15183974044439422</v>
      </c>
      <c r="AR56" s="212"/>
      <c r="AS56" s="251">
        <f>'P&amp;L'!AS23/(AVERAGE(AS44,AQ44)*('P&amp;L'!AS7/'P&amp;L'!AW7))</f>
        <v>0.13193402570936522</v>
      </c>
      <c r="AT56" s="252">
        <f>'P&amp;L'!AT23/(AVERAGE(AT44,AS44)*('P&amp;L'!AT7/'P&amp;L'!AW7))</f>
        <v>0.13612177494850664</v>
      </c>
      <c r="AU56" s="252">
        <f>'P&amp;L'!AU23/(AVERAGE(AU44,AT44)*('P&amp;L'!AU7/'P&amp;L'!AW7))</f>
        <v>0.15863464832551399</v>
      </c>
      <c r="AV56" s="252">
        <f>'P&amp;L'!AV23/(AVERAGE(AV44,AU44)*('P&amp;L'!AV7/'P&amp;L'!AW7))</f>
        <v>0.17000840842974094</v>
      </c>
      <c r="AW56" s="253">
        <f>'P&amp;L'!AW23/(AVERAGE(AW44,AQ44))</f>
        <v>0.14924572217692272</v>
      </c>
      <c r="AX56" s="212"/>
      <c r="AY56" s="251">
        <f>'P&amp;L'!AY23/(AVERAGE(AY44,AW44)*('P&amp;L'!AY7/'P&amp;L'!BC7))</f>
        <v>0.10981983440666349</v>
      </c>
      <c r="AZ56" s="252">
        <f>'P&amp;L'!AZ23/(AVERAGE(AZ44,AY44)*('P&amp;L'!AZ7/'P&amp;L'!BC7))</f>
        <v>0.11849389971557195</v>
      </c>
      <c r="BA56" s="252">
        <f>'P&amp;L'!BA23/(AVERAGE(BA44,AZ44)*('P&amp;L'!BA7/'P&amp;L'!BC7))</f>
        <v>0.1314964612623459</v>
      </c>
      <c r="BB56" s="252">
        <f>'P&amp;L'!BB23/(AVERAGE(BB44,BA44)*('P&amp;L'!BB7/'P&amp;L'!BC7))</f>
        <v>0.15392967457716603</v>
      </c>
      <c r="BC56" s="253">
        <f>'P&amp;L'!BC23/(AVERAGE(BC44,AW44))</f>
        <v>0.12642027043456217</v>
      </c>
      <c r="BD56" s="212"/>
      <c r="BE56" s="251">
        <f>'P&amp;L'!BE23/(AVERAGE(BE44,BC44)*('P&amp;L'!BE7/'P&amp;L'!BI7))</f>
        <v>0.12457313004176838</v>
      </c>
      <c r="BF56" s="252">
        <f>'P&amp;L'!BF23/(AVERAGE(BF44,BE44)*('P&amp;L'!BF7/'P&amp;L'!BI7))</f>
        <v>0.1528554977301417</v>
      </c>
      <c r="BG56" s="252">
        <f>'P&amp;L'!BG23/(AVERAGE(BG44,BF44)*('P&amp;L'!BG7/'P&amp;L'!BI7))</f>
        <v>0.1901441859387894</v>
      </c>
      <c r="BH56" s="252">
        <f>'P&amp;L'!BH23/(AVERAGE(BH44,BG44)*('P&amp;L'!BH7/'P&amp;L'!BI7))</f>
        <v>0.21315116846575222</v>
      </c>
      <c r="BI56" s="253">
        <f>'P&amp;L'!BI23/(AVERAGE(BI44,BC44))</f>
        <v>0.16348694749327494</v>
      </c>
      <c r="BJ56" s="212"/>
      <c r="BK56" s="251">
        <f>'P&amp;L'!BK23/(AVERAGE(BK44,BI44)*('P&amp;L'!BK7/'P&amp;L'!BO7))</f>
        <v>0.13686364653203717</v>
      </c>
      <c r="BL56" s="252">
        <f>'P&amp;L'!BL23/(AVERAGE(BL44,BK44)*('P&amp;L'!BL7/'P&amp;L'!BO7))</f>
        <v>0.15038524081494117</v>
      </c>
      <c r="BM56" s="252">
        <f>'P&amp;L'!BM23/(AVERAGE(BM44,BL44)*('P&amp;L'!BM7/'P&amp;L'!BO7))</f>
        <v>0.15749201859059569</v>
      </c>
      <c r="BN56" s="252">
        <f>'P&amp;L'!BN23/(AVERAGE(BN44,BM44)*('P&amp;L'!BN7/'P&amp;L'!BO7))</f>
        <v>0.19140475209725868</v>
      </c>
      <c r="BO56" s="253">
        <f>'P&amp;L'!BO23/(AVERAGE(BO44,BI44))</f>
        <v>0.15749922695288268</v>
      </c>
      <c r="BP56" s="212"/>
      <c r="BQ56" s="251">
        <f>'P&amp;L'!BQ23/(AVERAGE(BQ44,BO44)*('P&amp;L'!BQ7/'P&amp;L'!BU7))</f>
        <v>0.11958771382435479</v>
      </c>
      <c r="BR56" s="252">
        <f>'P&amp;L'!BR23/(AVERAGE(BR44,BQ44)*('P&amp;L'!BR7/'P&amp;L'!BU7))</f>
        <v>0.13729496403514316</v>
      </c>
      <c r="BS56" s="252">
        <f>'P&amp;L'!BS23/(AVERAGE(BS44,BR44)*('P&amp;L'!BS7/'P&amp;L'!BU7))</f>
        <v>0.11089904052012962</v>
      </c>
      <c r="BT56" s="252">
        <f>'P&amp;L'!BT23/(AVERAGE(BT44,BS44)*('P&amp;L'!BT7/'P&amp;L'!BU7))</f>
        <v>9.9690432434655168E-2</v>
      </c>
      <c r="BU56" s="253">
        <f>'P&amp;L'!BU23/(AVERAGE(BU44,BO44))</f>
        <v>0.11602850531171394</v>
      </c>
      <c r="BV56" s="212"/>
      <c r="BW56" s="251">
        <f>'P&amp;L'!BW23/(AVERAGE(BW44,BU44)*('P&amp;L'!BW7/'P&amp;L'!CA7))</f>
        <v>9.0173396298128428E-2</v>
      </c>
      <c r="BX56" s="252">
        <f>'P&amp;L'!BX23/(AVERAGE(BX44,BW44)*('P&amp;L'!BX7/'P&amp;L'!CA7))</f>
        <v>9.9889473522791539E-2</v>
      </c>
      <c r="BY56" s="252">
        <f>'P&amp;L'!BY23/(AVERAGE(BY44,BX44)*('P&amp;L'!BY7/'P&amp;L'!CA7))</f>
        <v>0.10643363504399116</v>
      </c>
      <c r="BZ56" s="252">
        <f>'P&amp;L'!BZ23/(AVERAGE(BZ44,BY44)*('P&amp;L'!BZ7/'P&amp;L'!CA7))</f>
        <v>0.11620285865481128</v>
      </c>
      <c r="CA56" s="253">
        <f>'P&amp;L'!CA23/(AVERAGE(CA44,BU44))</f>
        <v>0.10286336546269652</v>
      </c>
      <c r="CB56" s="212"/>
      <c r="CC56" s="251">
        <f>'P&amp;L'!CC23/(AVERAGE(CC44,CA44)*('P&amp;L'!CC7/'P&amp;L'!CG7))</f>
        <v>9.8959567414141539E-2</v>
      </c>
      <c r="CD56" s="252">
        <f>'P&amp;L'!CD23/(AVERAGE(CD44,CC44)*('P&amp;L'!CD7/'P&amp;L'!CG7))</f>
        <v>0.10914030274524207</v>
      </c>
      <c r="CE56" s="252">
        <f>'P&amp;L'!CE23/(AVERAGE(CE44,CD44)*('P&amp;L'!CE7/'P&amp;L'!CG7))</f>
        <v>0.11461683004103385</v>
      </c>
      <c r="CF56" s="252">
        <f>'P&amp;L'!CF23/(AVERAGE(CF44,CE44)*('P&amp;L'!CF7/'P&amp;L'!CG7))</f>
        <v>0.12530449455428608</v>
      </c>
      <c r="CG56" s="253">
        <f>'P&amp;L'!CG23/(AVERAGE(CG44,CA44))</f>
        <v>0.11167615223620922</v>
      </c>
      <c r="CH56" s="212"/>
      <c r="CI56" s="251">
        <f>'P&amp;L'!CI23/(AVERAGE(CI44,CG44)*('P&amp;L'!CI7/'P&amp;L'!CM7))</f>
        <v>9.1363717015037954E-2</v>
      </c>
      <c r="CJ56" s="252">
        <f>'P&amp;L'!CJ23/(AVERAGE(CJ44,CI44)*('P&amp;L'!CJ7/'P&amp;L'!CM7))</f>
        <v>0.10131533927651551</v>
      </c>
      <c r="CK56" s="252">
        <f>'P&amp;L'!CK23/(AVERAGE(CK44,CJ44)*('P&amp;L'!CK7/'P&amp;L'!CM7))</f>
        <v>0.10839798677007971</v>
      </c>
      <c r="CL56" s="252">
        <f>'P&amp;L'!CL23/(AVERAGE(CL44,CK44)*('P&amp;L'!CL7/'P&amp;L'!CM7))</f>
        <v>0.11895358087271066</v>
      </c>
      <c r="CM56" s="253">
        <f>'P&amp;L'!CM23/(AVERAGE(CM44,CG44))</f>
        <v>0.10464849638112428</v>
      </c>
      <c r="CN56" s="212"/>
      <c r="CO56" s="57"/>
      <c r="CP56" s="57"/>
      <c r="CQ56"/>
      <c r="CR56"/>
      <c r="CS56"/>
      <c r="CT56"/>
      <c r="CU56"/>
      <c r="CV56"/>
      <c r="CW56" s="14"/>
    </row>
    <row r="57" spans="1:101" s="123" customFormat="1" ht="11.25" customHeight="1" outlineLevel="1" x14ac:dyDescent="0.2">
      <c r="B57" s="703" t="s">
        <v>51</v>
      </c>
      <c r="C57" s="254"/>
      <c r="D57" s="212">
        <f>'P&amp;L'!D23/(AVERAGE(C22,D22)*('P&amp;L'!D7/'P&amp;L'!G7))</f>
        <v>0.10039355013148923</v>
      </c>
      <c r="E57" s="212">
        <f>'P&amp;L'!E23/(AVERAGE(D22,E22)*('P&amp;L'!E7/'P&amp;L'!G7))</f>
        <v>0.12524143381040223</v>
      </c>
      <c r="F57" s="212">
        <f>'P&amp;L'!F23/(AVERAGE(E22,F22)*('P&amp;L'!F7/'P&amp;L'!G7))</f>
        <v>0.12968075550118724</v>
      </c>
      <c r="G57" s="255"/>
      <c r="H57" s="212"/>
      <c r="I57" s="254">
        <f>'P&amp;L'!I23/(AVERAGE(F22,I22)*('P&amp;L'!I7/'P&amp;L'!M7))</f>
        <v>9.6081620465014422E-2</v>
      </c>
      <c r="J57" s="212">
        <f>'P&amp;L'!J23/(AVERAGE(I22,J22)*('P&amp;L'!J7/'P&amp;L'!M7))</f>
        <v>0.10501478605942748</v>
      </c>
      <c r="K57" s="212">
        <f>'P&amp;L'!K23/(AVERAGE(J22,K22)*('P&amp;L'!K7/'P&amp;L'!M7))</f>
        <v>0.11993406532416</v>
      </c>
      <c r="L57" s="212">
        <f>'P&amp;L'!L23/(AVERAGE(K22,L22)*('P&amp;L'!L7/'P&amp;L'!M7))</f>
        <v>0.12833109047173649</v>
      </c>
      <c r="M57" s="255">
        <f>'P&amp;L'!M23/(AVERAGE(G22,M22))</f>
        <v>0.11196175560342801</v>
      </c>
      <c r="N57" s="212"/>
      <c r="O57" s="254">
        <f>'P&amp;L'!O23/(AVERAGE(L22,O22)*('P&amp;L'!O7/'P&amp;L'!S7))</f>
        <v>8.7745747741093047E-2</v>
      </c>
      <c r="P57" s="212">
        <f>'P&amp;L'!P23/(AVERAGE(O22,P22)*('P&amp;L'!P7/'P&amp;L'!S7))</f>
        <v>8.7839405613622856E-2</v>
      </c>
      <c r="Q57" s="212">
        <f>'P&amp;L'!Q23/(AVERAGE(P22,Q22)*('P&amp;L'!Q7/'P&amp;L'!S7))</f>
        <v>9.9574045718948234E-2</v>
      </c>
      <c r="R57" s="212">
        <f>'P&amp;L'!R23/(AVERAGE(Q22,R22)*('P&amp;L'!R7/'P&amp;L'!S7))</f>
        <v>0.10345720374943343</v>
      </c>
      <c r="S57" s="255">
        <f>'P&amp;L'!S23/(AVERAGE(M22,S22))</f>
        <v>9.4838637498922393E-2</v>
      </c>
      <c r="T57" s="212"/>
      <c r="U57" s="254">
        <f>'P&amp;L'!U23/(AVERAGE(R22,U22)*('P&amp;L'!U7/'P&amp;L'!Y7))</f>
        <v>8.2480812940451051E-2</v>
      </c>
      <c r="V57" s="212">
        <f>'P&amp;L'!V23/(AVERAGE(U22,V22)*('P&amp;L'!V7/'P&amp;L'!Y7))</f>
        <v>8.6953620097827963E-2</v>
      </c>
      <c r="W57" s="212">
        <f>'P&amp;L'!W23/(AVERAGE(V22,W22)*('P&amp;L'!W7/'P&amp;L'!Y7))</f>
        <v>9.7168818705124532E-2</v>
      </c>
      <c r="X57" s="212">
        <f>'P&amp;L'!X23/(AVERAGE(W22,X22)*('P&amp;L'!X7/'P&amp;L'!Y7))</f>
        <v>0.10563211941846117</v>
      </c>
      <c r="Y57" s="255">
        <f>'P&amp;L'!Y23/(AVERAGE(S22,Y22))</f>
        <v>9.3163548435024723E-2</v>
      </c>
      <c r="Z57" s="212"/>
      <c r="AA57" s="254">
        <f>'P&amp;L'!AA23/(AVERAGE(X22,AA22)*('P&amp;L'!AA7/'P&amp;L'!AE7))</f>
        <v>8.8809727120428603E-2</v>
      </c>
      <c r="AB57" s="212">
        <f>'P&amp;L'!AB23/(AVERAGE(AA22,AB22)*('P&amp;L'!AB7/'P&amp;L'!AE7))</f>
        <v>8.4709139728154012E-2</v>
      </c>
      <c r="AC57" s="212">
        <f>'P&amp;L'!AC23/(AVERAGE(AB22,AC22)*('P&amp;L'!AC7/'P&amp;L'!AE7))</f>
        <v>8.6978081781836164E-2</v>
      </c>
      <c r="AD57" s="212">
        <f>'P&amp;L'!AD23/(AVERAGE(AC22,AD22)*('P&amp;L'!AD7/'P&amp;L'!AE7))</f>
        <v>0.10034884600090893</v>
      </c>
      <c r="AE57" s="255">
        <f>'P&amp;L'!AE23/(AVERAGE(Y22,AE22))</f>
        <v>9.0372031563349844E-2</v>
      </c>
      <c r="AF57" s="212"/>
      <c r="AG57" s="254">
        <f>'P&amp;L'!AG23/(AVERAGE(AD22,AG22)*('P&amp;L'!AG7/'P&amp;L'!AK7))</f>
        <v>7.6934218405677046E-2</v>
      </c>
      <c r="AH57" s="212">
        <f>'P&amp;L'!AH23/(AVERAGE(AG22,AH22)*('P&amp;L'!AH7/'P&amp;L'!AK7))</f>
        <v>7.9243477928277267E-2</v>
      </c>
      <c r="AI57" s="212">
        <f>'P&amp;L'!AI23/(AVERAGE(AH22,AI22)*('P&amp;L'!AI7/'P&amp;L'!AK7))</f>
        <v>8.344971125647252E-2</v>
      </c>
      <c r="AJ57" s="212">
        <f>'P&amp;L'!AJ23/(AVERAGE(AI22,AJ22)*('P&amp;L'!AJ7/'P&amp;L'!AK7))</f>
        <v>9.2480612706994994E-2</v>
      </c>
      <c r="AK57" s="255">
        <f>'P&amp;L'!AK23/(AVERAGE(AE22,AK22))</f>
        <v>8.0241900211449696E-2</v>
      </c>
      <c r="AL57" s="212"/>
      <c r="AM57" s="254">
        <f>'P&amp;L'!AM23/(AVERAGE(AJ22,AM22)*('P&amp;L'!AM7/'P&amp;L'!AQ7))</f>
        <v>7.0102942588162659E-2</v>
      </c>
      <c r="AN57" s="212">
        <f>'P&amp;L'!AN23/(AVERAGE(AM22,AN22)*('P&amp;L'!AN7/'P&amp;L'!AQ7))</f>
        <v>6.7916825711524506E-2</v>
      </c>
      <c r="AO57" s="212">
        <f>'P&amp;L'!AO23/(AVERAGE(AN22,AO22)*('P&amp;L'!AO7/'P&amp;L'!AQ7))</f>
        <v>8.0936524185218323E-2</v>
      </c>
      <c r="AP57" s="212">
        <f>'P&amp;L'!AP23/(AVERAGE(AO22,AP22)*('P&amp;L'!AP7/'P&amp;L'!AQ7))</f>
        <v>9.6922818035196673E-2</v>
      </c>
      <c r="AQ57" s="255">
        <f>'P&amp;L'!AQ23/(AVERAGE(AK22,AQ22))</f>
        <v>7.7574741576780917E-2</v>
      </c>
      <c r="AR57" s="212"/>
      <c r="AS57" s="254">
        <f>'P&amp;L'!AS23/(AVERAGE(AP22,AS22)*('P&amp;L'!AS7/'P&amp;L'!AW7))</f>
        <v>6.7631062315475235E-2</v>
      </c>
      <c r="AT57" s="212">
        <f>'P&amp;L'!AT23/(AVERAGE(AS22,AT22)*('P&amp;L'!AT7/'P&amp;L'!AW7))</f>
        <v>6.7633164072307142E-2</v>
      </c>
      <c r="AU57" s="212">
        <f>'P&amp;L'!AU23/(AVERAGE(AT22,AU22)*('P&amp;L'!AU7/'P&amp;L'!AW7))</f>
        <v>7.7583598334437856E-2</v>
      </c>
      <c r="AV57" s="212">
        <f>'P&amp;L'!AV23/(AVERAGE(AU22,AV22)*('P&amp;L'!AV7/'P&amp;L'!AW7))</f>
        <v>8.522546044437207E-2</v>
      </c>
      <c r="AW57" s="255">
        <f>'P&amp;L'!AW23/(AVERAGE(AQ22,AW22))</f>
        <v>7.7122414226744762E-2</v>
      </c>
      <c r="AX57" s="212"/>
      <c r="AY57" s="254">
        <f>'P&amp;L'!AY23/(AVERAGE(AV22,AY22)*('P&amp;L'!AY7/'P&amp;L'!BC7))</f>
        <v>5.6011964486665962E-2</v>
      </c>
      <c r="AZ57" s="212">
        <f>'P&amp;L'!AZ23/(AVERAGE(AY22,AZ22)*('P&amp;L'!AZ7/'P&amp;L'!BC7))</f>
        <v>6.034801529819548E-2</v>
      </c>
      <c r="BA57" s="212">
        <f>'P&amp;L'!BA23/(AVERAGE(AZ22,BA22)*('P&amp;L'!BA7/'P&amp;L'!BC7))</f>
        <v>6.6985355002391597E-2</v>
      </c>
      <c r="BB57" s="212">
        <f>'P&amp;L'!BB23/(AVERAGE(BA22,BB22)*('P&amp;L'!BB7/'P&amp;L'!BC7))</f>
        <v>7.8563760553280487E-2</v>
      </c>
      <c r="BC57" s="255">
        <f>'P&amp;L'!BC23/(AVERAGE(AW22,BC22))</f>
        <v>6.496882489877237E-2</v>
      </c>
      <c r="BD57" s="212"/>
      <c r="BE57" s="254">
        <f>'P&amp;L'!BE23/(AVERAGE(BB22,BE22)*('P&amp;L'!BE7/'P&amp;L'!BI7))</f>
        <v>5.2503063039323568E-2</v>
      </c>
      <c r="BF57" s="212">
        <f>'P&amp;L'!BF23/(AVERAGE(BE22,BF22)*('P&amp;L'!BF7/'P&amp;L'!BI7))</f>
        <v>5.7181708330960229E-2</v>
      </c>
      <c r="BG57" s="212">
        <f>'P&amp;L'!BG23/(AVERAGE(BF22,BG22)*('P&amp;L'!BG7/'P&amp;L'!BI7))</f>
        <v>7.3962924139179861E-2</v>
      </c>
      <c r="BH57" s="212">
        <f>'P&amp;L'!BH23/(AVERAGE(BG22,BH22)*('P&amp;L'!BH7/'P&amp;L'!BI7))</f>
        <v>8.4468384914624092E-2</v>
      </c>
      <c r="BI57" s="255">
        <f>'P&amp;L'!BI23/(AVERAGE(BC22,BI22))</f>
        <v>7.4735866646293461E-2</v>
      </c>
      <c r="BJ57" s="212"/>
      <c r="BK57" s="254">
        <f>'P&amp;L'!BK23/(AVERAGE(BH22,BK22)*('P&amp;L'!BK7/'P&amp;L'!BO7))</f>
        <v>5.5754468818097258E-2</v>
      </c>
      <c r="BL57" s="212">
        <f>'P&amp;L'!BL23/(AVERAGE(BK22,BL22)*('P&amp;L'!BL7/'P&amp;L'!BO7))</f>
        <v>5.9904537306621049E-2</v>
      </c>
      <c r="BM57" s="212">
        <f>'P&amp;L'!BM23/(AVERAGE(BL22,BM22)*('P&amp;L'!BM7/'P&amp;L'!BO7))</f>
        <v>6.120704320193867E-2</v>
      </c>
      <c r="BN57" s="212">
        <f>'P&amp;L'!BN23/(AVERAGE(BM22,BN22)*('P&amp;L'!BN7/'P&amp;L'!BO7))</f>
        <v>7.4937245547111134E-2</v>
      </c>
      <c r="BO57" s="255">
        <f>'P&amp;L'!BO23/(AVERAGE(BI22,BO22))</f>
        <v>6.3552992672773687E-2</v>
      </c>
      <c r="BP57" s="212"/>
      <c r="BQ57" s="254">
        <f>'P&amp;L'!BQ23/(AVERAGE(BN22,BQ22)*('P&amp;L'!BQ7/'P&amp;L'!BU7))</f>
        <v>4.7453823814621196E-2</v>
      </c>
      <c r="BR57" s="212">
        <f>'P&amp;L'!BR23/(AVERAGE(BQ22,BR22)*('P&amp;L'!BR7/'P&amp;L'!BU7))</f>
        <v>5.3783333710832527E-2</v>
      </c>
      <c r="BS57" s="212">
        <f>'P&amp;L'!BS23/(AVERAGE(BR22,BS22)*('P&amp;L'!BS7/'P&amp;L'!BU7))</f>
        <v>4.3571237519206725E-2</v>
      </c>
      <c r="BT57" s="212">
        <f>'P&amp;L'!BT23/(AVERAGE(BS22,BT22)*('P&amp;L'!BT7/'P&amp;L'!BU7))</f>
        <v>3.9696650345062284E-2</v>
      </c>
      <c r="BU57" s="255">
        <f>'P&amp;L'!BU23/(AVERAGE(BO22,BU22))</f>
        <v>4.6165294380965345E-2</v>
      </c>
      <c r="BV57" s="212"/>
      <c r="BW57" s="254">
        <f>'P&amp;L'!BW23/(AVERAGE(BT22,BW22)*('P&amp;L'!BW7/'P&amp;L'!CA7))</f>
        <v>3.601511719905804E-2</v>
      </c>
      <c r="BX57" s="212">
        <f>'P&amp;L'!BX23/(AVERAGE(BW22,BX22)*('P&amp;L'!BX7/'P&amp;L'!CA7))</f>
        <v>3.9782520686121918E-2</v>
      </c>
      <c r="BY57" s="212">
        <f>'P&amp;L'!BY23/(AVERAGE(BX22,BY22)*('P&amp;L'!BY7/'P&amp;L'!CA7))</f>
        <v>4.1850519735565653E-2</v>
      </c>
      <c r="BZ57" s="212">
        <f>'P&amp;L'!BZ23/(AVERAGE(BY22,BZ22)*('P&amp;L'!BZ7/'P&amp;L'!CA7))</f>
        <v>4.5526570821316184E-2</v>
      </c>
      <c r="CA57" s="255">
        <f>'P&amp;L'!CA23/(AVERAGE(BU22,CA22))</f>
        <v>4.0700798888218766E-2</v>
      </c>
      <c r="CB57" s="212"/>
      <c r="CC57" s="254">
        <f>'P&amp;L'!CC23/(AVERAGE(BZ22,CC22)*('P&amp;L'!CC7/'P&amp;L'!CG7))</f>
        <v>3.8999675602323432E-2</v>
      </c>
      <c r="CD57" s="212">
        <f>'P&amp;L'!CD23/(AVERAGE(CC22,CD22)*('P&amp;L'!CD7/'P&amp;L'!CG7))</f>
        <v>4.2872378117467504E-2</v>
      </c>
      <c r="CE57" s="212">
        <f>'P&amp;L'!CE23/(AVERAGE(CD22,CE22)*('P&amp;L'!CE7/'P&amp;L'!CG7))</f>
        <v>4.4445252629390967E-2</v>
      </c>
      <c r="CF57" s="212">
        <f>'P&amp;L'!CF23/(AVERAGE(CE22,CF22)*('P&amp;L'!CF7/'P&amp;L'!CG7))</f>
        <v>4.8426288139106682E-2</v>
      </c>
      <c r="CG57" s="255">
        <f>'P&amp;L'!CG23/(AVERAGE(CA22,CG22))</f>
        <v>4.3611744116904695E-2</v>
      </c>
      <c r="CH57" s="212"/>
      <c r="CI57" s="254">
        <f>'P&amp;L'!CI23/(AVERAGE(CF22,CI22)*('P&amp;L'!CI7/'P&amp;L'!CM7))</f>
        <v>3.5488956612724776E-2</v>
      </c>
      <c r="CJ57" s="212">
        <f>'P&amp;L'!CJ23/(AVERAGE(CI22,CJ22)*('P&amp;L'!CJ7/'P&amp;L'!CM7))</f>
        <v>3.9132884664388551E-2</v>
      </c>
      <c r="CK57" s="212">
        <f>'P&amp;L'!CK23/(AVERAGE(CJ22,CK22)*('P&amp;L'!CK7/'P&amp;L'!CM7))</f>
        <v>4.1233557546141608E-2</v>
      </c>
      <c r="CL57" s="212">
        <f>'P&amp;L'!CL23/(AVERAGE(CK22,CL22)*('P&amp;L'!CL7/'P&amp;L'!CM7))</f>
        <v>4.5005372814265074E-2</v>
      </c>
      <c r="CM57" s="255">
        <f>'P&amp;L'!CM23/(AVERAGE(CG22,CM22))</f>
        <v>4.0153589605041888E-2</v>
      </c>
      <c r="CN57" s="212"/>
      <c r="CO57" s="57"/>
      <c r="CP57" s="57"/>
      <c r="CQ57"/>
      <c r="CR57"/>
      <c r="CS57"/>
      <c r="CT57"/>
      <c r="CU57"/>
      <c r="CV57"/>
      <c r="CW57" s="14"/>
    </row>
    <row r="58" spans="1:101" s="123" customFormat="1" ht="11.25" customHeight="1" outlineLevel="1" x14ac:dyDescent="0.2">
      <c r="B58" s="566" t="s">
        <v>597</v>
      </c>
      <c r="C58" s="254">
        <f>C174</f>
        <v>0.24163748364957513</v>
      </c>
      <c r="D58" s="212">
        <f t="shared" ref="D58:G58" si="42">D174</f>
        <v>0.26532942111261909</v>
      </c>
      <c r="E58" s="212">
        <f t="shared" si="42"/>
        <v>0.31612963508303388</v>
      </c>
      <c r="F58" s="212">
        <f t="shared" si="42"/>
        <v>0.34103230593453426</v>
      </c>
      <c r="G58" s="255">
        <f t="shared" si="42"/>
        <v>0.29120020384477641</v>
      </c>
      <c r="H58" s="212"/>
      <c r="I58" s="254">
        <f>I174</f>
        <v>0.25862066591023664</v>
      </c>
      <c r="J58" s="212">
        <f t="shared" ref="J58:M58" si="43">J174</f>
        <v>0.28667062692686562</v>
      </c>
      <c r="K58" s="212">
        <f t="shared" si="43"/>
        <v>0.33235424354235121</v>
      </c>
      <c r="L58" s="212">
        <f t="shared" si="43"/>
        <v>0.34894291290452556</v>
      </c>
      <c r="M58" s="255">
        <f t="shared" si="43"/>
        <v>0.30670833851567714</v>
      </c>
      <c r="N58" s="212"/>
      <c r="O58" s="254">
        <f>O174</f>
        <v>0.25540068051922638</v>
      </c>
      <c r="P58" s="212">
        <f t="shared" ref="P58:S58" si="44">P174</f>
        <v>0.25391533438823788</v>
      </c>
      <c r="Q58" s="212">
        <f t="shared" si="44"/>
        <v>0.26505063719706012</v>
      </c>
      <c r="R58" s="212">
        <f t="shared" si="44"/>
        <v>0.2531254834800829</v>
      </c>
      <c r="S58" s="255">
        <f t="shared" si="44"/>
        <v>0.25688986644521983</v>
      </c>
      <c r="T58" s="212"/>
      <c r="U58" s="254">
        <f>U174</f>
        <v>0.20269078443271901</v>
      </c>
      <c r="V58" s="212">
        <f t="shared" ref="V58:Y58" si="45">V174</f>
        <v>0.20597822504450389</v>
      </c>
      <c r="W58" s="212">
        <f t="shared" si="45"/>
        <v>0.24633741802191469</v>
      </c>
      <c r="X58" s="212">
        <f t="shared" si="45"/>
        <v>0.27003859226437171</v>
      </c>
      <c r="Y58" s="255">
        <f t="shared" si="45"/>
        <v>0.23101727564182636</v>
      </c>
      <c r="Z58" s="212"/>
      <c r="AA58" s="254">
        <f>AA174</f>
        <v>0.22048058868385989</v>
      </c>
      <c r="AB58" s="212">
        <f t="shared" ref="AB58:AE58" si="46">AB174</f>
        <v>0.22227818040049183</v>
      </c>
      <c r="AC58" s="212">
        <f t="shared" si="46"/>
        <v>0.23919148062405893</v>
      </c>
      <c r="AD58" s="212">
        <f t="shared" si="46"/>
        <v>0.26173089231829672</v>
      </c>
      <c r="AE58" s="255">
        <f t="shared" si="46"/>
        <v>0.23587325242348722</v>
      </c>
      <c r="AF58" s="212"/>
      <c r="AG58" s="254">
        <f>AG174</f>
        <v>0.20781633173962519</v>
      </c>
      <c r="AH58" s="212">
        <f t="shared" ref="AH58:AK58" si="47">AH174</f>
        <v>0.21036758756782525</v>
      </c>
      <c r="AI58" s="212">
        <f t="shared" si="47"/>
        <v>0.2421005484800772</v>
      </c>
      <c r="AJ58" s="212">
        <f t="shared" si="47"/>
        <v>0.28594217969551144</v>
      </c>
      <c r="AK58" s="255">
        <f t="shared" si="47"/>
        <v>0.23581950921051259</v>
      </c>
      <c r="AL58" s="212"/>
      <c r="AM58" s="254">
        <f>AM174</f>
        <v>0.22883455209010051</v>
      </c>
      <c r="AN58" s="212">
        <f t="shared" ref="AN58:AQ58" si="48">AN174</f>
        <v>0.22196393833735859</v>
      </c>
      <c r="AO58" s="212">
        <f t="shared" si="48"/>
        <v>0.2500057043553886</v>
      </c>
      <c r="AP58" s="212">
        <f t="shared" si="48"/>
        <v>0.30528971282014183</v>
      </c>
      <c r="AQ58" s="255">
        <f t="shared" si="48"/>
        <v>0.25123635993510207</v>
      </c>
      <c r="AR58" s="212"/>
      <c r="AS58" s="254">
        <f>AS174</f>
        <v>0.21913316291569987</v>
      </c>
      <c r="AT58" s="212">
        <f t="shared" ref="AT58:AW58" si="49">AT174</f>
        <v>0.20031370076031227</v>
      </c>
      <c r="AU58" s="212">
        <f t="shared" si="49"/>
        <v>0.22630619540907645</v>
      </c>
      <c r="AV58" s="212">
        <f t="shared" si="49"/>
        <v>0.22670862243710574</v>
      </c>
      <c r="AW58" s="255">
        <f t="shared" si="49"/>
        <v>0.21845445488225446</v>
      </c>
      <c r="AX58" s="212"/>
      <c r="AY58" s="254">
        <f>AY174</f>
        <v>0.15435327626866696</v>
      </c>
      <c r="AZ58" s="212">
        <f t="shared" ref="AZ58:BC58" si="50">AZ174</f>
        <v>0.17322334929777186</v>
      </c>
      <c r="BA58" s="212">
        <f t="shared" si="50"/>
        <v>0.19089638900485492</v>
      </c>
      <c r="BB58" s="212">
        <f t="shared" si="50"/>
        <v>0.14636918278811514</v>
      </c>
      <c r="BC58" s="255">
        <f t="shared" si="50"/>
        <v>0.16399471710103536</v>
      </c>
      <c r="BD58" s="212"/>
      <c r="BE58" s="254">
        <f>BE174</f>
        <v>8.5990651418334452E-2</v>
      </c>
      <c r="BF58" s="212">
        <f t="shared" ref="BF58:BI58" si="51">BF174</f>
        <v>0.13583412592627586</v>
      </c>
      <c r="BG58" s="212">
        <f t="shared" si="51"/>
        <v>0.14755704288551788</v>
      </c>
      <c r="BH58" s="212">
        <f t="shared" si="51"/>
        <v>0.18044295586798059</v>
      </c>
      <c r="BI58" s="255">
        <f t="shared" si="51"/>
        <v>0.13286795213601446</v>
      </c>
      <c r="BJ58" s="212"/>
      <c r="BK58" s="254">
        <f>BK174</f>
        <v>0.11463911265378644</v>
      </c>
      <c r="BL58" s="212">
        <f t="shared" ref="BL58:BO58" si="52">BL174</f>
        <v>0.12385538775205047</v>
      </c>
      <c r="BM58" s="212">
        <f t="shared" si="52"/>
        <v>0.13239901344079813</v>
      </c>
      <c r="BN58" s="212">
        <f t="shared" si="52"/>
        <v>0.16437150343909016</v>
      </c>
      <c r="BO58" s="255">
        <f t="shared" si="52"/>
        <v>0.13330998040260905</v>
      </c>
      <c r="BP58" s="212"/>
      <c r="BQ58" s="254">
        <f>BQ174</f>
        <v>0.1028294877583107</v>
      </c>
      <c r="BR58" s="212">
        <f t="shared" ref="BR58:BS58" si="53">BR174</f>
        <v>0.12289760995280707</v>
      </c>
      <c r="BS58" s="212">
        <f t="shared" si="53"/>
        <v>9.9368088171242791E-2</v>
      </c>
      <c r="BT58" s="212">
        <f t="shared" ref="BS58:BU58" si="54">BT174</f>
        <v>9.1945584703317096E-2</v>
      </c>
      <c r="BU58" s="255">
        <f t="shared" si="54"/>
        <v>0.10389903740395848</v>
      </c>
      <c r="BV58" s="212"/>
      <c r="BW58" s="254">
        <f>BW174</f>
        <v>8.9082962976982399E-2</v>
      </c>
      <c r="BX58" s="212">
        <f t="shared" ref="BX58:CA58" si="55">BX174</f>
        <v>9.4312742583756271E-2</v>
      </c>
      <c r="BY58" s="212">
        <f t="shared" si="55"/>
        <v>0.10055438909828381</v>
      </c>
      <c r="BZ58" s="212">
        <f t="shared" si="55"/>
        <v>0.10733363171047045</v>
      </c>
      <c r="CA58" s="255">
        <f t="shared" si="55"/>
        <v>9.7817893861853883E-2</v>
      </c>
      <c r="CB58" s="212"/>
      <c r="CC58" s="254">
        <f>CC174</f>
        <v>9.2260149249399806E-2</v>
      </c>
      <c r="CD58" s="212">
        <f t="shared" ref="CD58:CG58" si="56">CD174</f>
        <v>9.7321268025202676E-2</v>
      </c>
      <c r="CE58" s="212">
        <f t="shared" si="56"/>
        <v>0.10370655755775379</v>
      </c>
      <c r="CF58" s="212">
        <f t="shared" si="56"/>
        <v>0.11084420603914648</v>
      </c>
      <c r="CG58" s="255">
        <f t="shared" si="56"/>
        <v>0.10103859686096529</v>
      </c>
      <c r="CH58" s="212"/>
      <c r="CI58" s="254">
        <f>CI174</f>
        <v>8.8628833521062031E-2</v>
      </c>
      <c r="CJ58" s="212">
        <f t="shared" ref="CJ58:CM58" si="57">CJ174</f>
        <v>9.3332752632798929E-2</v>
      </c>
      <c r="CK58" s="212">
        <f t="shared" si="57"/>
        <v>9.963208638449482E-2</v>
      </c>
      <c r="CL58" s="212">
        <f t="shared" si="57"/>
        <v>0.10665849379245793</v>
      </c>
      <c r="CM58" s="255">
        <f t="shared" si="57"/>
        <v>9.7066263819692286E-2</v>
      </c>
      <c r="CN58" s="212"/>
      <c r="CO58" s="57"/>
      <c r="CP58" s="57"/>
      <c r="CQ58"/>
      <c r="CR58"/>
      <c r="CS58"/>
      <c r="CT58"/>
      <c r="CU58"/>
      <c r="CV58"/>
      <c r="CW58" s="14"/>
    </row>
    <row r="59" spans="1:101" s="128" customFormat="1" ht="11.25" customHeight="1" outlineLevel="1" x14ac:dyDescent="0.2">
      <c r="B59" s="659" t="s">
        <v>351</v>
      </c>
      <c r="C59" s="711">
        <f>(C11+C12+C14+C13+C20+C21+C18+C17+C19-C25-C26-C27-C35-C34)</f>
        <v>1357.377</v>
      </c>
      <c r="D59" s="102">
        <f>(D11+D12+D14+D13+D20+D21+D18+D17+D19-D25-D26-D27-D35-D34)</f>
        <v>1351.9960000000001</v>
      </c>
      <c r="E59" s="102">
        <f>(E11+E12+E14+E13+E20+E21+E18+E17+E19-E25-E26-E27-E35-E34)</f>
        <v>1367.2260000000001</v>
      </c>
      <c r="F59" s="102">
        <f>(F11+F12+F14+F13+F20+F21+F18+F17+F19-F25-F26-F27-F35-F34)</f>
        <v>1321.692</v>
      </c>
      <c r="G59" s="726">
        <f>(G11+G12+G14+G13+G20+G21+G18+G17+G19-G25-G26-G27-G35-G34)</f>
        <v>1321.692</v>
      </c>
      <c r="H59" s="19"/>
      <c r="I59" s="711">
        <f>(I11+I12+I14+I13+I20+I21+I18+I17+I19-I25-I26-I27-I35-I34)</f>
        <v>1339.6899999999998</v>
      </c>
      <c r="J59" s="102">
        <f>(J11+J12+J14+J13+J20+J21+J18+J17+J19-J25-J26-J27-J35-J34)</f>
        <v>1346.5020000000002</v>
      </c>
      <c r="K59" s="102">
        <f>(K11+K12+K14+K13+K20+K21+K18+K17+K19-K25-K26-K27-K35-K34)</f>
        <v>1331.9880000000001</v>
      </c>
      <c r="L59" s="102">
        <f>(L11+L12+L14+L13+L20+L21+L18+L17+L19-L25-L26-L27-L35-L34)</f>
        <v>1351.6569999999997</v>
      </c>
      <c r="M59" s="726">
        <f>(M11+M12+M14+M13+M20+M21+M18+M17+M19-M25-M26-M27-M35-M34)</f>
        <v>1351.6569999999997</v>
      </c>
      <c r="N59" s="19"/>
      <c r="O59" s="711">
        <f>(O11+O12+O14+O13+O20+O21+O18+O17+O19-O25-O26-O27-O35-O34)</f>
        <v>1398.8249999999998</v>
      </c>
      <c r="P59" s="102">
        <f>(P11+P12+P14+P13+P20+P21+P18+P17+P19-P25-P26-P27-P35-P34)</f>
        <v>1461.394</v>
      </c>
      <c r="Q59" s="102">
        <f>(Q11+Q12+Q14+Q13+Q20+Q21+Q18+Q17+Q19-Q25-Q26-Q27-Q35-Q34)</f>
        <v>1549.4940000000001</v>
      </c>
      <c r="R59" s="102">
        <f>(R11+R12+R14+R13+R20+R21+R18+R17+R19-R25-R26-R27-R35-R34)</f>
        <v>1576.662</v>
      </c>
      <c r="S59" s="726">
        <f>(S11+S12+S14+S13+S20+S21+S18+S17+S19-S25-S26-S27-S35-S34)</f>
        <v>1576.662</v>
      </c>
      <c r="T59" s="19"/>
      <c r="U59" s="711">
        <f>(U11+U12+U14+U13+U20+U21+U18+U17+U19-U25-U26-U27-U35-U34)</f>
        <v>1643.4159999999997</v>
      </c>
      <c r="V59" s="102">
        <f>(V11+V12+V14+V13+V20+V21+V18+V17+V19-V25-V26-V27-V35-V34)</f>
        <v>1673.952</v>
      </c>
      <c r="W59" s="102">
        <f>(W11+W12+W14+W13+W20+W21+W18+W17+W19-W25-W26-W27-W35-W34)</f>
        <v>1635.57</v>
      </c>
      <c r="X59" s="102">
        <f>(X11+X12+X14+X13+X20+X21+X18+X17+X19-X25-X26-X27-X35-X34)</f>
        <v>1625.9200000000003</v>
      </c>
      <c r="Y59" s="726">
        <f>(Y11+Y12+Y14+Y13+Y20+Y21+Y18+Y17+Y19-Y25-Y26-Y27-Y35-Y34)</f>
        <v>1625.9200000000003</v>
      </c>
      <c r="Z59" s="19"/>
      <c r="AA59" s="711">
        <f>(AA11+AA12+AA14+AA13+AA20+AA21+AA18+AA17+AA19-AA25-AA26-AA27-AA35-AA34)</f>
        <v>1727.7660000000003</v>
      </c>
      <c r="AB59" s="102">
        <f>(AB11+AB12+AB14+AB13+AB20+AB21+AB18+AB17+AB19-AB25-AB26-AB27-AB35-AB34)</f>
        <v>1821.9989999999998</v>
      </c>
      <c r="AC59" s="102">
        <f>(AC11+AC12+AC14+AC13+AC20+AC21+AC18+AC17+AC19-AC25-AC26-AC27-AC35-AC34)</f>
        <v>1689.8640000000003</v>
      </c>
      <c r="AD59" s="102">
        <f>(AD11+AD12+AD14+AD13+AD20+AD21+AD18+AD17+AD19-AD25-AD26-AD27-AD35-AD34)</f>
        <v>1696.8749999999998</v>
      </c>
      <c r="AE59" s="726">
        <f>(AE11+AE12+AE14+AE13+AE20+AE21+AE18+AE17+AE19-AE25-AE26-AE27-AE35-AE34)</f>
        <v>1696.8749999999998</v>
      </c>
      <c r="AF59" s="19"/>
      <c r="AG59" s="711">
        <f>(AG11+AG12+AG14+AG13+AG20+AG21+AG18+AG17+AG19-AG25-AG26-AG27-AG35-AG34)</f>
        <v>1697.5470000000003</v>
      </c>
      <c r="AH59" s="102">
        <f>(AH11+AH12+AH14+AH13+AH20+AH21+AH18+AH17+AH19-AH25-AH26-AH27-AH35-AH34)</f>
        <v>1702.73</v>
      </c>
      <c r="AI59" s="102">
        <f>(AI11+AI12+AI14+AI13+AI20+AI21+AI18+AI17+AI19-AI25-AI26-AI27-AI35-AI34)</f>
        <v>1676.4570000000003</v>
      </c>
      <c r="AJ59" s="102">
        <f>(AJ11+AJ12+AJ14+AJ13+AJ20+AJ21+AJ18+AJ17+AJ19-AJ25-AJ26-AJ27-AJ35-AJ34)</f>
        <v>1651.4209999999996</v>
      </c>
      <c r="AK59" s="726">
        <f>(AK11+AK12+AK14+AK13+AK20+AK21+AK18+AK17+AK19-AK25-AK26-AK27-AK35-AK34)</f>
        <v>1651.4209999999996</v>
      </c>
      <c r="AL59" s="19"/>
      <c r="AM59" s="711">
        <f>(AM11+AM12+AM14+AM13+AM20+AM21+AM18+AM17+AM19-AM25-AM26-AM27-AM35-AM34)</f>
        <v>1634.9890000000003</v>
      </c>
      <c r="AN59" s="102">
        <f>(AN11+AN12+AN14+AN13+AN20+AN21+AN18+AN17+AN19-AN25-AN26-AN27-AN35-AN34)</f>
        <v>1631.3720000000001</v>
      </c>
      <c r="AO59" s="102">
        <f>(AO11+AO12+AO14+AO13+AO20+AO21+AO18+AO17+AO19-AO25-AO26-AO27-AO35-AO34)</f>
        <v>1653.2840000000001</v>
      </c>
      <c r="AP59" s="102">
        <f>(AP11+AP12+AP14+AP13+AP20+AP21+AP18+AP17+AP19-AP25-AP26-AP27-AP35-AP34)</f>
        <v>1614.2269999999999</v>
      </c>
      <c r="AQ59" s="726">
        <f>(AQ11+AQ12+AQ14+AQ13+AQ20+AQ21+AQ18+AQ17+AQ19-AQ25-AQ26-AQ27-AQ35-AQ34)</f>
        <v>1614.2269999999999</v>
      </c>
      <c r="AR59" s="19"/>
      <c r="AS59" s="711">
        <f>(AS11+AS12+AS14+AS13+AS20+AS21+AS18+AS17+AS19-AS25-AS26-AS27-AS35-AS34)</f>
        <v>1652.5450000000003</v>
      </c>
      <c r="AT59" s="102">
        <f>(AT11+AT12+AT14+AT13+AT20+AT21+AT18+AT17+AT19-AT25-AT26-AT27-AT35-AT34)</f>
        <v>1785.5560000000003</v>
      </c>
      <c r="AU59" s="102">
        <f>(AU11+AU12+AU14+AU13+AU20+AU21+AU18+AU17+AU19-AU25-AU26-AU27-AU35-AU34)</f>
        <v>1851.7800000000007</v>
      </c>
      <c r="AV59" s="102">
        <f>(AV11+AV12+AV14+AV13+AV20+AV21+AV18+AV17+AV19-AV25-AV26-AV27-AV35-AV34)</f>
        <v>1890.9810000000007</v>
      </c>
      <c r="AW59" s="726">
        <f>(AW11+AW12+AW14+AW13+AW20+AW21+AW18+AW17+AW19-AW25-AW26-AW27-AW35-AW34)</f>
        <v>1890.9810000000007</v>
      </c>
      <c r="AX59" s="19"/>
      <c r="AY59" s="711">
        <f>(AY11+AY12+AY14+AY13+AY20+AY21+AY18+AY17+AY19-AY25-AY26-AY27-AY35-AY34)</f>
        <v>1890.7539999999999</v>
      </c>
      <c r="AZ59" s="102">
        <f>(AZ11+AZ12+AZ14+AZ13+AZ20+AZ21+AZ18+AZ17+AZ19-AZ25-AZ26-AZ27-AZ35-AZ34)</f>
        <v>1845.9789999999998</v>
      </c>
      <c r="BA59" s="102">
        <f>(BA11+BA12+BA14+BA13+BA20+BA21+BA18+BA17+BA19-BA25-BA26-BA27-BA35-BA34)</f>
        <v>1837.6409999999998</v>
      </c>
      <c r="BB59" s="102">
        <f>(BB11+BB12+BB14+BB13+BB20+BB21+BB18+BB17+BB19-BB25-BB26-BB27-BB35-BB34)</f>
        <v>1875.3490000000004</v>
      </c>
      <c r="BC59" s="726">
        <f>(BC11+BC12+BC14+BC13+BC20+BC21+BC18+BC17+BC19-BC25-BC26-BC27-BC35-BC34)</f>
        <v>1875.3490000000004</v>
      </c>
      <c r="BD59" s="19"/>
      <c r="BE59" s="711">
        <f>(BE11+BE12+BE14+BE13+BE20+BE21+BE18+BE17+BE19-BE25-BE26-BE27-BE35-BE34)</f>
        <v>3042.4850000000001</v>
      </c>
      <c r="BF59" s="102">
        <f>(BF11+BF12+BF14+BF13+BF20+BF21+BF18+BF17+BF19-BF25-BF26-BF27-BF35-BF34)</f>
        <v>2398.6810000000009</v>
      </c>
      <c r="BG59" s="102">
        <f>(BG11+BG12+BG14+BG13+BG20+BG21+BG18+BG17+BG19-BG25-BG26-BG27-BG35-BG34)</f>
        <v>2509.5959999999995</v>
      </c>
      <c r="BH59" s="102">
        <f>(BH11+BH12+BH14+BH13+BH20+BH21+BH18+BH17+BH19-BH25-BH26-BH27-BH35-BH34)</f>
        <v>2362.9480000000003</v>
      </c>
      <c r="BI59" s="726">
        <f>(BI11+BI12+BI14+BI13+BI20+BI21+BI18+BI17+BI19-BI25-BI26-BI27-BI35-BI34)</f>
        <v>2362.9480000000003</v>
      </c>
      <c r="BJ59" s="19"/>
      <c r="BK59" s="711">
        <f>(BK11+BK12+BK14+BK13+BK20+BK21+BK18+BK17+BK19-BK25-BK26-BK27-BK35-BK34)</f>
        <v>2470.8059999999991</v>
      </c>
      <c r="BL59" s="102">
        <f>(BL11+BL12+BL14+BL13+BL20+BL21+BL18+BL17+BL19-BL25-BL26-BL27-BL35-BL34)</f>
        <v>2489.5009999999997</v>
      </c>
      <c r="BM59" s="102">
        <f>(BM11+BM12+BM14+BM13+BM20+BM21+BM18+BM17+BM19-BM25-BM26-BM27-BM35-BM34)</f>
        <v>2478.8649999999998</v>
      </c>
      <c r="BN59" s="102">
        <f>(BN11+BN12+BN14+BN13+BN20+BN21+BN18+BN17+BN19-BN25-BN26-BN27-BN35-BN34)</f>
        <v>2371.5000000000005</v>
      </c>
      <c r="BO59" s="726">
        <f>(BO11+BO12+BO14+BO13+BO20+BO21+BO18+BO17+BO19-BO25-BO26-BO27-BO35-BO34)</f>
        <v>2371.5000000000005</v>
      </c>
      <c r="BP59" s="19"/>
      <c r="BQ59" s="711">
        <f>(BQ11+BQ12+BQ14+BQ13+BQ20+BQ21+BQ18+BQ17+BQ19-BQ25-BQ26-BQ27-BQ35-BQ34)</f>
        <v>2460.9339999999997</v>
      </c>
      <c r="BR59" s="102">
        <f>(BR11+BR12+BR14+BR13+BR20+BR21+BR18+BR17+BR19-BR25-BR26-BR27-BR35-BR34)</f>
        <v>2363.4700000000007</v>
      </c>
      <c r="BS59" s="102">
        <f>(BS11+BS12+BS14+BS13+BS20+BS21+BS18+BS17+BS19-BS25-BS26-BS27-BS35-BS34)</f>
        <v>2530.1580000000004</v>
      </c>
      <c r="BT59" s="102">
        <f>(BT10+BT11+BT12+BT14+BT13+BT20+BT21+BT18+BT17+BT19-BT25-BT26-BT27-BT35-BT34)</f>
        <v>2459.6415821183869</v>
      </c>
      <c r="BU59" s="726">
        <f>(BU11+BU12+BU14+BU13+BU20+BU21+BU18+BU17+BU19-BU25-BU26-BU27-BU35-BU34)</f>
        <v>2459.6415821183869</v>
      </c>
      <c r="BV59" s="19"/>
      <c r="BW59" s="711">
        <f>(BW10+BW11+BW12+BW14+BW13+BW20+BW21+BW18+BW17+BW19-BW25-BW26-BW27-BW35-BW34)</f>
        <v>2412.8837261215531</v>
      </c>
      <c r="BX59" s="102">
        <f>(BX10+BX11+BX12+BX14+BX13+BX20+BX21+BX18+BX17+BX19-BX25-BX26-BX27-BX35-BX34)</f>
        <v>2464.0179850951149</v>
      </c>
      <c r="BY59" s="102">
        <f>(BY10+BY11+BY12+BY14+BY13+BY20+BY21+BY18+BY17+BY19-BY25-BY26-BY27-BY35-BY34)</f>
        <v>2444.2154647443344</v>
      </c>
      <c r="BZ59" s="102">
        <f>(BZ10+BZ11+BZ12+BZ14+BZ13+BZ20+BZ21+BZ18+BZ17+BZ19-BZ25-BZ26-BZ27-BZ35-BZ34)</f>
        <v>2420.4321579929942</v>
      </c>
      <c r="CA59" s="726">
        <f>(CA11+CA12+CA14+CA13+CA20+CA21+CA18+CA17+CA19-CA25-CA26-CA27-CA35-CA34)</f>
        <v>2420.4321579929942</v>
      </c>
      <c r="CB59" s="19"/>
      <c r="CC59" s="711">
        <f>(CC10+CC11+CC12+CC14+CC13+CC20+CC21+CC18+CC17+CC19-CC25-CC26-CC27-CC35-CC34)</f>
        <v>2401.7840465170152</v>
      </c>
      <c r="CD59" s="102">
        <f>(CD10+CD11+CD12+CD14+CD13+CD20+CD21+CD18+CD17+CD19-CD25-CD26-CD27-CD35-CD34)</f>
        <v>2457.4291169349626</v>
      </c>
      <c r="CE59" s="102">
        <f>(CE10+CE11+CE12+CE14+CE13+CE20+CE21+CE18+CE17+CE19-CE25-CE26-CE27-CE35-CE34)</f>
        <v>2440.215783295022</v>
      </c>
      <c r="CF59" s="102">
        <f>(CF10+CF11+CF12+CF14+CF13+CF20+CF21+CF18+CF17+CF19-CF25-CF26-CF27-CF35-CF34)</f>
        <v>2416.4353340071516</v>
      </c>
      <c r="CG59" s="726">
        <f>(CG11+CG12+CG14+CG13+CG20+CG21+CG18+CG17+CG19-CG25-CG26-CG27-CG35-CG34)</f>
        <v>2416.4353340071516</v>
      </c>
      <c r="CH59" s="19"/>
      <c r="CI59" s="711">
        <f>(CI10+CI11+CI12+CI14+CI13+CI20+CI21+CI18+CI17+CI19-CI25-CI26-CI27-CI35-CI34)</f>
        <v>2397.4530476386371</v>
      </c>
      <c r="CJ59" s="102">
        <f>(CJ10+CJ11+CJ12+CJ14+CJ13+CJ20+CJ21+CJ18+CJ17+CJ19-CJ25-CJ26-CJ27-CJ35-CJ34)</f>
        <v>2454.9905951214459</v>
      </c>
      <c r="CK59" s="102">
        <f>(CK10+CK11+CK12+CK14+CK13+CK20+CK21+CK18+CK17+CK19-CK25-CK26-CK27-CK35-CK34)</f>
        <v>2436.4843440352511</v>
      </c>
      <c r="CL59" s="102">
        <f>(CL10+CL11+CL12+CL14+CL13+CL20+CL21+CL18+CL17+CL19-CL25-CL26-CL27-CL35-CL34)</f>
        <v>2411.7825604281088</v>
      </c>
      <c r="CM59" s="726">
        <f>(CM11+CM12+CM14+CM13+CM20+CM21+CM18+CM17+CM19-CM25-CM26-CM27-CM35-CM34)</f>
        <v>2411.7825604281088</v>
      </c>
      <c r="CN59" s="19"/>
      <c r="CO59" s="57"/>
      <c r="CP59" s="57"/>
      <c r="CQ59"/>
      <c r="CR59"/>
      <c r="CS59"/>
      <c r="CT59"/>
      <c r="CU59"/>
      <c r="CV59"/>
      <c r="CW59" s="14"/>
    </row>
    <row r="60" spans="1:101" s="123" customFormat="1" ht="11.25" customHeight="1" outlineLevel="1" x14ac:dyDescent="0.2">
      <c r="B60" s="1"/>
      <c r="C60" s="50"/>
      <c r="D60" s="50"/>
      <c r="E60" s="50"/>
      <c r="F60" s="50"/>
      <c r="G60" s="53"/>
      <c r="H60" s="473"/>
      <c r="I60" s="50"/>
      <c r="J60" s="50"/>
      <c r="K60" s="50"/>
      <c r="L60" s="50"/>
      <c r="M60" s="53"/>
      <c r="N60" s="473"/>
      <c r="O60" s="50"/>
      <c r="P60" s="50"/>
      <c r="Q60" s="50"/>
      <c r="R60" s="50"/>
      <c r="S60" s="53"/>
      <c r="T60" s="473"/>
      <c r="U60" s="50"/>
      <c r="V60" s="50"/>
      <c r="W60" s="50"/>
      <c r="X60" s="50"/>
      <c r="Y60" s="53"/>
      <c r="Z60" s="473"/>
      <c r="AA60" s="50"/>
      <c r="AB60" s="50"/>
      <c r="AC60" s="50"/>
      <c r="AD60" s="50"/>
      <c r="AE60" s="53"/>
      <c r="AF60" s="473"/>
      <c r="AG60" s="50"/>
      <c r="AH60" s="50"/>
      <c r="AI60" s="50"/>
      <c r="AJ60" s="50"/>
      <c r="AK60" s="53"/>
      <c r="AL60" s="473"/>
      <c r="AM60" s="50"/>
      <c r="AN60" s="50"/>
      <c r="AO60" s="50"/>
      <c r="AP60" s="50"/>
      <c r="AQ60" s="53"/>
      <c r="AR60" s="473"/>
      <c r="AS60" s="50"/>
      <c r="AT60" s="50"/>
      <c r="AU60" s="50"/>
      <c r="AV60" s="50"/>
      <c r="AW60" s="53"/>
      <c r="AX60" s="473"/>
      <c r="AY60" s="50"/>
      <c r="AZ60" s="50"/>
      <c r="BA60" s="50"/>
      <c r="BB60" s="50"/>
      <c r="BC60" s="53"/>
      <c r="BD60" s="473"/>
      <c r="BE60" s="50"/>
      <c r="BF60" s="50"/>
      <c r="BG60" s="50"/>
      <c r="BH60" s="50"/>
      <c r="BI60" s="53"/>
      <c r="BJ60" s="473"/>
      <c r="BK60" s="50"/>
      <c r="BL60" s="50"/>
      <c r="BM60" s="50"/>
      <c r="BN60" s="50"/>
      <c r="BO60" s="53"/>
      <c r="BP60" s="473"/>
      <c r="BQ60" s="50"/>
      <c r="BR60" s="50"/>
      <c r="BS60" s="50"/>
      <c r="BT60" s="50"/>
      <c r="BU60" s="53"/>
      <c r="BV60" s="473"/>
      <c r="BW60" s="50"/>
      <c r="BX60" s="50"/>
      <c r="BY60" s="50"/>
      <c r="BZ60" s="50"/>
      <c r="CA60" s="53"/>
      <c r="CB60" s="473"/>
      <c r="CC60" s="50"/>
      <c r="CD60" s="50"/>
      <c r="CE60" s="50"/>
      <c r="CF60" s="50"/>
      <c r="CG60" s="53"/>
      <c r="CH60" s="473"/>
      <c r="CI60" s="50"/>
      <c r="CJ60" s="50"/>
      <c r="CK60" s="50"/>
      <c r="CL60" s="50"/>
      <c r="CM60" s="53"/>
      <c r="CN60" s="473"/>
      <c r="CO60" s="53"/>
      <c r="CP60" s="53"/>
      <c r="CQ60"/>
      <c r="CR60"/>
      <c r="CS60"/>
      <c r="CT60"/>
      <c r="CU60"/>
      <c r="CV60"/>
      <c r="CW60" s="14"/>
    </row>
    <row r="61" spans="1:101" s="123" customFormat="1" ht="11.25" customHeight="1" x14ac:dyDescent="0.2">
      <c r="B61" s="1033" t="s">
        <v>52</v>
      </c>
      <c r="C61" s="1034"/>
      <c r="D61" s="1034"/>
      <c r="E61" s="1034"/>
      <c r="F61" s="1034"/>
      <c r="G61" s="1034"/>
      <c r="H61" s="1033"/>
      <c r="I61" s="1034"/>
      <c r="J61" s="1034"/>
      <c r="K61" s="1034"/>
      <c r="L61" s="1034"/>
      <c r="M61" s="1034"/>
      <c r="N61" s="1033"/>
      <c r="O61" s="1034"/>
      <c r="P61" s="1034"/>
      <c r="Q61" s="1034"/>
      <c r="R61" s="1034"/>
      <c r="S61" s="1034"/>
      <c r="T61" s="1033"/>
      <c r="U61" s="1034"/>
      <c r="V61" s="1034"/>
      <c r="W61" s="1034"/>
      <c r="X61" s="1034"/>
      <c r="Y61" s="1034"/>
      <c r="Z61" s="1033"/>
      <c r="AA61" s="1034"/>
      <c r="AB61" s="1034"/>
      <c r="AC61" s="1034"/>
      <c r="AD61" s="1034"/>
      <c r="AE61" s="1034"/>
      <c r="AF61" s="1033"/>
      <c r="AG61" s="1034"/>
      <c r="AH61" s="1034"/>
      <c r="AI61" s="1034"/>
      <c r="AJ61" s="1034"/>
      <c r="AK61" s="1034"/>
      <c r="AL61" s="1033"/>
      <c r="AM61" s="1034"/>
      <c r="AN61" s="1034"/>
      <c r="AO61" s="1034"/>
      <c r="AP61" s="1034"/>
      <c r="AQ61" s="1034"/>
      <c r="AR61" s="1033"/>
      <c r="AS61" s="1034"/>
      <c r="AT61" s="1034"/>
      <c r="AU61" s="1034"/>
      <c r="AV61" s="1034"/>
      <c r="AW61" s="1034"/>
      <c r="AX61" s="1033"/>
      <c r="AY61" s="1034"/>
      <c r="AZ61" s="1034"/>
      <c r="BA61" s="1034"/>
      <c r="BB61" s="1034"/>
      <c r="BC61" s="1034"/>
      <c r="BD61" s="1033"/>
      <c r="BE61" s="1034"/>
      <c r="BF61" s="1034"/>
      <c r="BG61" s="1034"/>
      <c r="BH61" s="1034"/>
      <c r="BI61" s="1034"/>
      <c r="BJ61" s="1033"/>
      <c r="BK61" s="1034"/>
      <c r="BL61" s="1034"/>
      <c r="BM61" s="1034"/>
      <c r="BN61" s="1034"/>
      <c r="BO61" s="1034"/>
      <c r="BP61" s="1033"/>
      <c r="BQ61" s="1034"/>
      <c r="BR61" s="1034"/>
      <c r="BS61" s="1034"/>
      <c r="BT61" s="1034"/>
      <c r="BU61" s="1034"/>
      <c r="BV61" s="1033"/>
      <c r="BW61" s="1034"/>
      <c r="BX61" s="1034"/>
      <c r="BY61" s="1034"/>
      <c r="BZ61" s="1034"/>
      <c r="CA61" s="1034"/>
      <c r="CB61" s="1033"/>
      <c r="CC61" s="1034"/>
      <c r="CD61" s="1034"/>
      <c r="CE61" s="1034"/>
      <c r="CF61" s="1034"/>
      <c r="CG61" s="1034"/>
      <c r="CH61" s="1033"/>
      <c r="CI61" s="1034"/>
      <c r="CJ61" s="1034"/>
      <c r="CK61" s="1034"/>
      <c r="CL61" s="1034"/>
      <c r="CM61" s="1034"/>
      <c r="CN61" s="19"/>
      <c r="CO61" s="25"/>
      <c r="CP61" s="25"/>
      <c r="CQ61"/>
      <c r="CR61"/>
      <c r="CS61"/>
      <c r="CT61"/>
      <c r="CU61"/>
      <c r="CV61"/>
      <c r="CW61" s="14"/>
    </row>
    <row r="62" spans="1:101" s="123" customFormat="1" ht="11.25" customHeight="1" x14ac:dyDescent="0.2">
      <c r="B62" s="704" t="s">
        <v>53</v>
      </c>
      <c r="C62" s="712">
        <f>IF('P&amp;L'!C12&lt;0,"NM",'P&amp;L'!C12/-'P&amp;L'!C16)</f>
        <v>19.648187073042575</v>
      </c>
      <c r="D62" s="713">
        <f>IF('P&amp;L'!D12&lt;0,"NM",'P&amp;L'!D12/-'P&amp;L'!D16)</f>
        <v>22.097389033942566</v>
      </c>
      <c r="E62" s="713">
        <f>IF('P&amp;L'!E12&lt;0,"NM",'P&amp;L'!E12/-'P&amp;L'!E16)</f>
        <v>29.461378490790256</v>
      </c>
      <c r="F62" s="713">
        <f>IF('P&amp;L'!F12&lt;0,"NM",'P&amp;L'!F12/-'P&amp;L'!F16)</f>
        <v>31.787484510532835</v>
      </c>
      <c r="G62" s="727">
        <f>IF('P&amp;L'!G12&lt;0,"NM",'P&amp;L'!G12/-'P&amp;L'!G16)</f>
        <v>25.38236120871397</v>
      </c>
      <c r="H62" s="473"/>
      <c r="I62" s="712">
        <f>IF('P&amp;L'!I12&lt;0,"NM",'P&amp;L'!I12/-'P&amp;L'!I16)</f>
        <v>32.555066079295166</v>
      </c>
      <c r="J62" s="713">
        <f>IF('P&amp;L'!J12&lt;0,"NM",'P&amp;L'!J12/-'P&amp;L'!J16)</f>
        <v>35.342054636398601</v>
      </c>
      <c r="K62" s="713">
        <f>IF('P&amp;L'!K12&lt;0,"NM",'P&amp;L'!K12/-'P&amp;L'!K16)</f>
        <v>43.762903902643743</v>
      </c>
      <c r="L62" s="713">
        <f>IF('P&amp;L'!L12&lt;0,"NM",'P&amp;L'!L12/-'P&amp;L'!L16)</f>
        <v>20.337285902503297</v>
      </c>
      <c r="M62" s="727">
        <f>IF('P&amp;L'!M12&lt;0,"NM",'P&amp;L'!M12/-'P&amp;L'!M16)</f>
        <v>30.134693558474048</v>
      </c>
      <c r="N62" s="473"/>
      <c r="O62" s="712">
        <f>IF('P&amp;L'!O12&lt;0,"NM",'P&amp;L'!O12/-'P&amp;L'!O16)</f>
        <v>10.677719821162448</v>
      </c>
      <c r="P62" s="713">
        <f>IF('P&amp;L'!P12&lt;0,"NM",'P&amp;L'!P12/-'P&amp;L'!P16)</f>
        <v>11.008554319931562</v>
      </c>
      <c r="Q62" s="713">
        <f>IF('P&amp;L'!Q12&lt;0,"NM",'P&amp;L'!Q12/-'P&amp;L'!Q16)</f>
        <v>14.170428571428577</v>
      </c>
      <c r="R62" s="713">
        <f>IF('P&amp;L'!R12&lt;0,"NM",'P&amp;L'!R12/-'P&amp;L'!R16)</f>
        <v>14.654179924790281</v>
      </c>
      <c r="S62" s="727">
        <f>IF('P&amp;L'!S12&lt;0,"NM",'P&amp;L'!S12/-'P&amp;L'!S16)</f>
        <v>12.490364522869758</v>
      </c>
      <c r="T62" s="473"/>
      <c r="U62" s="712">
        <f>IF('P&amp;L'!U12&lt;0,"NM",'P&amp;L'!U12/-'P&amp;L'!U16)</f>
        <v>12.939567910560502</v>
      </c>
      <c r="V62" s="713">
        <f>IF('P&amp;L'!V12&lt;0,"NM",'P&amp;L'!V12/-'P&amp;L'!V16)</f>
        <v>14.831393519974846</v>
      </c>
      <c r="W62" s="713">
        <f>IF('P&amp;L'!W12&lt;0,"NM",'P&amp;L'!W12/-'P&amp;L'!W16)</f>
        <v>16.130502653762093</v>
      </c>
      <c r="X62" s="713">
        <f>IF('P&amp;L'!X12&lt;0,"NM",'P&amp;L'!X12/-'P&amp;L'!X16)</f>
        <v>17.665663127871966</v>
      </c>
      <c r="Y62" s="727">
        <f>IF('P&amp;L'!Y12&lt;0,"NM",'P&amp;L'!Y12/-'P&amp;L'!Y16)</f>
        <v>15.364092784307635</v>
      </c>
      <c r="Z62" s="473"/>
      <c r="AA62" s="712">
        <f>IF('P&amp;L'!AA12&lt;0,"NM",'P&amp;L'!AA12/-'P&amp;L'!AA16)</f>
        <v>14.30290275761975</v>
      </c>
      <c r="AB62" s="713">
        <f>IF('P&amp;L'!AB12&lt;0,"NM",'P&amp;L'!AB12/-'P&amp;L'!AB16)</f>
        <v>16.323968534275167</v>
      </c>
      <c r="AC62" s="713">
        <f>IF('P&amp;L'!AC12&lt;0,"NM",'P&amp;L'!AC12/-'P&amp;L'!AC16)</f>
        <v>16.0641065830721</v>
      </c>
      <c r="AD62" s="713">
        <f>IF('P&amp;L'!AD12&lt;0,"NM",'P&amp;L'!AD12/-'P&amp;L'!AD16)</f>
        <v>18.077432581611742</v>
      </c>
      <c r="AE62" s="727">
        <f>IF('P&amp;L'!AE12&lt;0,"NM",'P&amp;L'!AE12/-'P&amp;L'!AE16)</f>
        <v>16.151199690402485</v>
      </c>
      <c r="AF62" s="473"/>
      <c r="AG62" s="712">
        <f>IF('P&amp;L'!AG12&lt;0,"NM",'P&amp;L'!AG12/-'P&amp;L'!AG16)</f>
        <v>14.335746891232503</v>
      </c>
      <c r="AH62" s="713">
        <f>IF('P&amp;L'!AH12&lt;0,"NM",'P&amp;L'!AH12/-'P&amp;L'!AH16)</f>
        <v>15.191441076349484</v>
      </c>
      <c r="AI62" s="713">
        <f>IF('P&amp;L'!AI12&lt;0,"NM",'P&amp;L'!AI12/-'P&amp;L'!AI16)</f>
        <v>12.060181861689399</v>
      </c>
      <c r="AJ62" s="713">
        <f>IF('P&amp;L'!AJ12&lt;0,"NM",'P&amp;L'!AJ12/-'P&amp;L'!AJ16)</f>
        <v>12.113283313959633</v>
      </c>
      <c r="AK62" s="727">
        <f>IF('P&amp;L'!AK12&lt;0,"NM",'P&amp;L'!AK12/-'P&amp;L'!AK16)</f>
        <v>13.189796658207829</v>
      </c>
      <c r="AL62" s="473"/>
      <c r="AM62" s="712">
        <f>IF('P&amp;L'!AM12&lt;0,"NM",'P&amp;L'!AM12/-'P&amp;L'!AM16)</f>
        <v>9.8324623745819331</v>
      </c>
      <c r="AN62" s="713">
        <f>IF('P&amp;L'!AN12&lt;0,"NM",'P&amp;L'!AN12/-'P&amp;L'!AN16)</f>
        <v>9.6734962200065677</v>
      </c>
      <c r="AO62" s="713">
        <f>IF('P&amp;L'!AO12&lt;0,"NM",'P&amp;L'!AO12/-'P&amp;L'!AO16)</f>
        <v>11.076374410183258</v>
      </c>
      <c r="AP62" s="713">
        <f>IF('P&amp;L'!AP12&lt;0,"NM",'P&amp;L'!AP12/-'P&amp;L'!AP16)</f>
        <v>13.639655373151706</v>
      </c>
      <c r="AQ62" s="727">
        <f>IF('P&amp;L'!AQ12&lt;0,"NM",'P&amp;L'!AQ12/-'P&amp;L'!AQ16)</f>
        <v>11.002472731269057</v>
      </c>
      <c r="AR62" s="473"/>
      <c r="AS62" s="712">
        <f>IF('P&amp;L'!AS12&lt;0,"NM",'P&amp;L'!AS12/-'P&amp;L'!AS16)</f>
        <v>10.768880588303961</v>
      </c>
      <c r="AT62" s="713">
        <f>IF('P&amp;L'!AT12&lt;0,"NM",'P&amp;L'!AT12/-'P&amp;L'!AT16)</f>
        <v>11.538301925487058</v>
      </c>
      <c r="AU62" s="713">
        <f>IF('P&amp;L'!AU12&lt;0,"NM",'P&amp;L'!AU12/-'P&amp;L'!AU16)</f>
        <v>12.057559705532098</v>
      </c>
      <c r="AV62" s="713">
        <f>IF('P&amp;L'!AV12&lt;0,"NM",'P&amp;L'!AV12/-'P&amp;L'!AV16)</f>
        <v>12.321119360490577</v>
      </c>
      <c r="AW62" s="727">
        <f>IF('P&amp;L'!AW12&lt;0,"NM",'P&amp;L'!AW12/-'P&amp;L'!AW16)</f>
        <v>11.688203651331444</v>
      </c>
      <c r="AX62" s="473"/>
      <c r="AY62" s="712">
        <f>IF('P&amp;L'!AY12&lt;0,"NM",'P&amp;L'!AY12/-'P&amp;L'!AY16)</f>
        <v>8.9398950729926945</v>
      </c>
      <c r="AZ62" s="713">
        <f>IF('P&amp;L'!AZ12&lt;0,"NM",'P&amp;L'!AZ12/-'P&amp;L'!AZ16)</f>
        <v>10.09293071161049</v>
      </c>
      <c r="BA62" s="713">
        <f>IF('P&amp;L'!BA12&lt;0,"NM",'P&amp;L'!BA12/-'P&amp;L'!BA16)</f>
        <v>10.646499060150374</v>
      </c>
      <c r="BB62" s="713">
        <f>IF('P&amp;L'!BB12&lt;0,"NM",'P&amp;L'!BB12/-'P&amp;L'!BB16)</f>
        <v>13.523954759181596</v>
      </c>
      <c r="BC62" s="727">
        <f>IF('P&amp;L'!BC12&lt;0,"NM",'P&amp;L'!BC12/-'P&amp;L'!BC16)</f>
        <v>10.734039711512779</v>
      </c>
      <c r="BD62" s="473"/>
      <c r="BE62" s="712">
        <f>IF('P&amp;L'!BE12&lt;0,"NM",'P&amp;L'!BE12/-'P&amp;L'!BE16)</f>
        <v>8.0888577781437796</v>
      </c>
      <c r="BF62" s="713">
        <f>IF('P&amp;L'!BF12&lt;0,"NM",'P&amp;L'!BF12/-'P&amp;L'!BF16)</f>
        <v>10.031164069660869</v>
      </c>
      <c r="BG62" s="713">
        <f>IF('P&amp;L'!BG12&lt;0,"NM",'P&amp;L'!BG12/-'P&amp;L'!BG16)</f>
        <v>12.107737163814184</v>
      </c>
      <c r="BH62" s="713">
        <f>IF('P&amp;L'!BH12&lt;0,"NM",'P&amp;L'!BH12/-'P&amp;L'!BH16)</f>
        <v>14.131431813696468</v>
      </c>
      <c r="BI62" s="727">
        <f>IF('P&amp;L'!BI12&lt;0,"NM",'P&amp;L'!BI12/-'P&amp;L'!BI16)</f>
        <v>10.92288490826504</v>
      </c>
      <c r="BJ62" s="473"/>
      <c r="BK62" s="712">
        <f>IF('P&amp;L'!BK12&lt;0,"NM",'P&amp;L'!BK12/-'P&amp;L'!BK16)</f>
        <v>9.9400708521944381</v>
      </c>
      <c r="BL62" s="713">
        <f>IF('P&amp;L'!BL12&lt;0,"NM",'P&amp;L'!BL12/-'P&amp;L'!BL16)</f>
        <v>11.23086065167872</v>
      </c>
      <c r="BM62" s="713">
        <f>IF('P&amp;L'!BM12&lt;0,"NM",'P&amp;L'!BM12/-'P&amp;L'!BM16)</f>
        <v>10.063771929824561</v>
      </c>
      <c r="BN62" s="713">
        <f>IF('P&amp;L'!BN12&lt;0,"NM",'P&amp;L'!BN12/-'P&amp;L'!BN16)</f>
        <v>11.147881764757475</v>
      </c>
      <c r="BO62" s="727">
        <f>IF('P&amp;L'!BO12&lt;0,"NM",'P&amp;L'!BO12/-'P&amp;L'!BO16)</f>
        <v>10.595285647933116</v>
      </c>
      <c r="BP62" s="473"/>
      <c r="BQ62" s="712">
        <f>IF('P&amp;L'!BQ12&lt;0,"NM",'P&amp;L'!BQ12/-'P&amp;L'!BQ16)</f>
        <v>8.4328304918325436</v>
      </c>
      <c r="BR62" s="713">
        <f>IF('P&amp;L'!BR12&lt;0,"NM",'P&amp;L'!BR12/-'P&amp;L'!BR16)</f>
        <v>9.0544122776421325</v>
      </c>
      <c r="BS62" s="713">
        <f>IF('P&amp;L'!BS12&lt;0,"NM",'P&amp;L'!BS12/-'P&amp;L'!BS16)</f>
        <v>6.8481710939489107</v>
      </c>
      <c r="BT62" s="713">
        <f>IF('P&amp;L'!BT12&lt;0,"NM",'P&amp;L'!BT12/-'P&amp;L'!BT16)</f>
        <v>7.1860681856771835</v>
      </c>
      <c r="BU62" s="727">
        <f>IF('P&amp;L'!BU12&lt;0,"NM",'P&amp;L'!BU12/-'P&amp;L'!BU16)</f>
        <v>7.8822847338335773</v>
      </c>
      <c r="BV62" s="473"/>
      <c r="BW62" s="712">
        <f>IF('P&amp;L'!BW12&lt;0,"NM",'P&amp;L'!BW12/-'P&amp;L'!BW16)</f>
        <v>6.9839753448715465</v>
      </c>
      <c r="BX62" s="713">
        <f>IF('P&amp;L'!BX12&lt;0,"NM",'P&amp;L'!BX12/-'P&amp;L'!BX16)</f>
        <v>7.4462093131210336</v>
      </c>
      <c r="BY62" s="713">
        <f>IF('P&amp;L'!BY12&lt;0,"NM",'P&amp;L'!BY12/-'P&amp;L'!BY16)</f>
        <v>7.7636931398155165</v>
      </c>
      <c r="BZ62" s="713">
        <f>IF('P&amp;L'!BZ12&lt;0,"NM",'P&amp;L'!BZ12/-'P&amp;L'!BZ16)</f>
        <v>8.0899456218557191</v>
      </c>
      <c r="CA62" s="727">
        <f>IF('P&amp;L'!CA12&lt;0,"NM",'P&amp;L'!CA12/-'P&amp;L'!CA16)</f>
        <v>7.570955854915951</v>
      </c>
      <c r="CB62" s="473"/>
      <c r="CC62" s="712">
        <f>IF('P&amp;L'!CC12&lt;0,"NM",'P&amp;L'!CC12/-'P&amp;L'!CC16)</f>
        <v>7.1450988572370502</v>
      </c>
      <c r="CD62" s="713">
        <f>IF('P&amp;L'!CD12&lt;0,"NM",'P&amp;L'!CD12/-'P&amp;L'!CD16)</f>
        <v>7.6152052149544307</v>
      </c>
      <c r="CE62" s="713">
        <f>IF('P&amp;L'!CE12&lt;0,"NM",'P&amp;L'!CE12/-'P&amp;L'!CE16)</f>
        <v>7.9465853479640067</v>
      </c>
      <c r="CF62" s="713">
        <f>IF('P&amp;L'!CF12&lt;0,"NM",'P&amp;L'!CF12/-'P&amp;L'!CF16)</f>
        <v>8.2902466855026038</v>
      </c>
      <c r="CG62" s="727">
        <f>IF('P&amp;L'!CG12&lt;0,"NM",'P&amp;L'!CG12/-'P&amp;L'!CG16)</f>
        <v>7.7492840264145295</v>
      </c>
      <c r="CH62" s="473"/>
      <c r="CI62" s="712">
        <f>IF('P&amp;L'!CI12&lt;0,"NM",'P&amp;L'!CI12/-'P&amp;L'!CI16)</f>
        <v>7.0205982165045633</v>
      </c>
      <c r="CJ62" s="713">
        <f>IF('P&amp;L'!CJ12&lt;0,"NM",'P&amp;L'!CJ12/-'P&amp;L'!CJ16)</f>
        <v>7.469423276097638</v>
      </c>
      <c r="CK62" s="713">
        <f>IF('P&amp;L'!CK12&lt;0,"NM",'P&amp;L'!CK12/-'P&amp;L'!CK16)</f>
        <v>7.7941862788406135</v>
      </c>
      <c r="CL62" s="713">
        <f>IF('P&amp;L'!CL12&lt;0,"NM",'P&amp;L'!CL12/-'P&amp;L'!CL16)</f>
        <v>8.1313666808811949</v>
      </c>
      <c r="CM62" s="727">
        <f>IF('P&amp;L'!CM12&lt;0,"NM",'P&amp;L'!CM12/-'P&amp;L'!CM16)</f>
        <v>7.6038936130809986</v>
      </c>
      <c r="CN62" s="473"/>
      <c r="CO62" s="125"/>
      <c r="CP62" s="125"/>
      <c r="CQ62"/>
      <c r="CR62"/>
      <c r="CS62"/>
      <c r="CT62"/>
      <c r="CU62"/>
      <c r="CV62"/>
      <c r="CW62" s="14"/>
    </row>
    <row r="63" spans="1:101" s="123" customFormat="1" ht="11.25" customHeight="1" x14ac:dyDescent="0.2">
      <c r="B63" s="705" t="s">
        <v>54</v>
      </c>
      <c r="C63" s="714">
        <f>IF('P&amp;L'!C13&lt;0,"NM",'P&amp;L'!C13/-'P&amp;L'!C16)</f>
        <v>18.007619548081983</v>
      </c>
      <c r="D63" s="473">
        <f>IF('P&amp;L'!D13&lt;0,"NM",'P&amp;L'!D13/-'P&amp;L'!D16)</f>
        <v>20.371018276762406</v>
      </c>
      <c r="E63" s="473">
        <f>IF('P&amp;L'!E13&lt;0,"NM",'P&amp;L'!E13/-'P&amp;L'!E16)</f>
        <v>27.535947712418302</v>
      </c>
      <c r="F63" s="473">
        <f>IF('P&amp;L'!F13&lt;0,"NM",'P&amp;L'!F13/-'P&amp;L'!F16)</f>
        <v>29.87794299876084</v>
      </c>
      <c r="G63" s="728">
        <f>IF('P&amp;L'!G13&lt;0,"NM",'P&amp;L'!G13/-'P&amp;L'!G16)</f>
        <v>23.59030217849612</v>
      </c>
      <c r="H63" s="473"/>
      <c r="I63" s="714">
        <f>IF('P&amp;L'!I13&lt;0,"NM",'P&amp;L'!I13/-'P&amp;L'!I16)</f>
        <v>30.118942731277542</v>
      </c>
      <c r="J63" s="473">
        <f>IF('P&amp;L'!J13&lt;0,"NM",'P&amp;L'!J13/-'P&amp;L'!J16)</f>
        <v>32.94074644093881</v>
      </c>
      <c r="K63" s="473">
        <f>IF('P&amp;L'!K13&lt;0,"NM",'P&amp;L'!K13/-'P&amp;L'!K16)</f>
        <v>40.752832563994978</v>
      </c>
      <c r="L63" s="473">
        <f>IF('P&amp;L'!L13&lt;0,"NM",'P&amp;L'!L13/-'P&amp;L'!L16)</f>
        <v>19.060606060606062</v>
      </c>
      <c r="M63" s="728">
        <f>IF('P&amp;L'!M13&lt;0,"NM",'P&amp;L'!M13/-'P&amp;L'!M16)</f>
        <v>28.080284552845526</v>
      </c>
      <c r="N63" s="473"/>
      <c r="O63" s="714">
        <f>IF('P&amp;L'!O13&lt;0,"NM",'P&amp;L'!O13/-'P&amp;L'!O16)</f>
        <v>9.8849975161450612</v>
      </c>
      <c r="P63" s="473">
        <f>IF('P&amp;L'!P13&lt;0,"NM",'P&amp;L'!P13/-'P&amp;L'!P16)</f>
        <v>10.094341928388118</v>
      </c>
      <c r="Q63" s="473">
        <f>IF('P&amp;L'!Q13&lt;0,"NM",'P&amp;L'!Q13/-'P&amp;L'!Q16)</f>
        <v>13.077428571428575</v>
      </c>
      <c r="R63" s="473">
        <f>IF('P&amp;L'!R13&lt;0,"NM",'P&amp;L'!R13/-'P&amp;L'!R16)</f>
        <v>13.376916401504195</v>
      </c>
      <c r="S63" s="728">
        <f>IF('P&amp;L'!S13&lt;0,"NM",'P&amp;L'!S13/-'P&amp;L'!S16)</f>
        <v>11.483830309463011</v>
      </c>
      <c r="T63" s="473"/>
      <c r="U63" s="714">
        <f>IF('P&amp;L'!U13&lt;0,"NM",'P&amp;L'!U13/-'P&amp;L'!U16)</f>
        <v>11.601450370146543</v>
      </c>
      <c r="V63" s="473">
        <f>IF('P&amp;L'!V13&lt;0,"NM",'P&amp;L'!V13/-'P&amp;L'!V16)</f>
        <v>13.288140924819134</v>
      </c>
      <c r="W63" s="473">
        <f>IF('P&amp;L'!W13&lt;0,"NM",'P&amp;L'!W13/-'P&amp;L'!W16)</f>
        <v>14.637371214486414</v>
      </c>
      <c r="X63" s="473">
        <f>IF('P&amp;L'!X13&lt;0,"NM",'P&amp;L'!X13/-'P&amp;L'!X16)</f>
        <v>15.884645856441134</v>
      </c>
      <c r="Y63" s="728">
        <f>IF('P&amp;L'!Y13&lt;0,"NM",'P&amp;L'!Y13/-'P&amp;L'!Y16)</f>
        <v>13.827780804857181</v>
      </c>
      <c r="Z63" s="473"/>
      <c r="AA63" s="714">
        <f>IF('P&amp;L'!AA13&lt;0,"NM",'P&amp;L'!AA13/-'P&amp;L'!AA16)</f>
        <v>12.920754716981142</v>
      </c>
      <c r="AB63" s="473">
        <f>IF('P&amp;L'!AB13&lt;0,"NM",'P&amp;L'!AB13/-'P&amp;L'!AB16)</f>
        <v>14.472949109006263</v>
      </c>
      <c r="AC63" s="473">
        <f>IF('P&amp;L'!AC13&lt;0,"NM",'P&amp;L'!AC13/-'P&amp;L'!AC16)</f>
        <v>14.530877742946707</v>
      </c>
      <c r="AD63" s="473">
        <f>IF('P&amp;L'!AD13&lt;0,"NM",'P&amp;L'!AD13/-'P&amp;L'!AD16)</f>
        <v>16.420911528150143</v>
      </c>
      <c r="AE63" s="728">
        <f>IF('P&amp;L'!AE13&lt;0,"NM",'P&amp;L'!AE13/-'P&amp;L'!AE16)</f>
        <v>14.551393188854499</v>
      </c>
      <c r="AF63" s="473"/>
      <c r="AG63" s="714">
        <f>IF('P&amp;L'!AG13&lt;0,"NM",'P&amp;L'!AG13/-'P&amp;L'!AG16)</f>
        <v>12.906186053832847</v>
      </c>
      <c r="AH63" s="473">
        <f>IF('P&amp;L'!AH13&lt;0,"NM",'P&amp;L'!AH13/-'P&amp;L'!AH16)</f>
        <v>13.496352731398924</v>
      </c>
      <c r="AI63" s="473">
        <f>IF('P&amp;L'!AI13&lt;0,"NM",'P&amp;L'!AI13/-'P&amp;L'!AI16)</f>
        <v>10.75687963627662</v>
      </c>
      <c r="AJ63" s="473">
        <f>IF('P&amp;L'!AJ13&lt;0,"NM",'P&amp;L'!AJ13/-'P&amp;L'!AJ16)</f>
        <v>10.868751981401248</v>
      </c>
      <c r="AK63" s="728">
        <f>IF('P&amp;L'!AK13&lt;0,"NM",'P&amp;L'!AK13/-'P&amp;L'!AK16)</f>
        <v>11.798734469235084</v>
      </c>
      <c r="AL63" s="473"/>
      <c r="AM63" s="714">
        <f>IF('P&amp;L'!AM13&lt;0,"NM",'P&amp;L'!AM13/-'P&amp;L'!AM16)</f>
        <v>8.6321070234113648</v>
      </c>
      <c r="AN63" s="473">
        <f>IF('P&amp;L'!AN13&lt;0,"NM",'P&amp;L'!AN13/-'P&amp;L'!AN16)</f>
        <v>8.531719075271166</v>
      </c>
      <c r="AO63" s="473">
        <f>IF('P&amp;L'!AO13&lt;0,"NM",'P&amp;L'!AO13/-'P&amp;L'!AO16)</f>
        <v>9.8253045100406027</v>
      </c>
      <c r="AP63" s="473">
        <f>IF('P&amp;L'!AP13&lt;0,"NM",'P&amp;L'!AP13/-'P&amp;L'!AP16)</f>
        <v>12.161602049132613</v>
      </c>
      <c r="AQ63" s="728">
        <f>IF('P&amp;L'!AQ13&lt;0,"NM",'P&amp;L'!AQ13/-'P&amp;L'!AQ16)</f>
        <v>9.7385773552765293</v>
      </c>
      <c r="AR63" s="473"/>
      <c r="AS63" s="714">
        <f>IF('P&amp;L'!AS13&lt;0,"NM",'P&amp;L'!AS13/-'P&amp;L'!AS16)</f>
        <v>9.487685304073775</v>
      </c>
      <c r="AT63" s="473">
        <f>IF('P&amp;L'!AT13&lt;0,"NM",'P&amp;L'!AT13/-'P&amp;L'!AT16)</f>
        <v>10.163686453230023</v>
      </c>
      <c r="AU63" s="473">
        <f>IF('P&amp;L'!AU13&lt;0,"NM",'P&amp;L'!AU13/-'P&amp;L'!AU16)</f>
        <v>10.580673270542384</v>
      </c>
      <c r="AV63" s="473">
        <f>IF('P&amp;L'!AV13&lt;0,"NM",'P&amp;L'!AV13/-'P&amp;L'!AV16)</f>
        <v>10.864373850197103</v>
      </c>
      <c r="AW63" s="728">
        <f>IF('P&amp;L'!AW13&lt;0,"NM",'P&amp;L'!AW13/-'P&amp;L'!AW16)</f>
        <v>10.288545263629485</v>
      </c>
      <c r="AX63" s="473"/>
      <c r="AY63" s="714">
        <f>IF('P&amp;L'!AY13&lt;0,"NM",'P&amp;L'!AY13/-'P&amp;L'!AY16)</f>
        <v>7.8386177007299214</v>
      </c>
      <c r="AZ63" s="473">
        <f>IF('P&amp;L'!AZ13&lt;0,"NM",'P&amp;L'!AZ13/-'P&amp;L'!AZ16)</f>
        <v>8.76357677902622</v>
      </c>
      <c r="BA63" s="473">
        <f>IF('P&amp;L'!BA13&lt;0,"NM",'P&amp;L'!BA13/-'P&amp;L'!BA16)</f>
        <v>9.4158834586466149</v>
      </c>
      <c r="BB63" s="473">
        <f>IF('P&amp;L'!BB13&lt;0,"NM",'P&amp;L'!BB13/-'P&amp;L'!BB16)</f>
        <v>11.867581649510734</v>
      </c>
      <c r="BC63" s="728">
        <f>IF('P&amp;L'!BC13&lt;0,"NM",'P&amp;L'!BC13/-'P&amp;L'!BC16)</f>
        <v>9.4126079601104102</v>
      </c>
      <c r="BD63" s="473"/>
      <c r="BE63" s="714">
        <f>IF('P&amp;L'!BE13&lt;0,"NM",'P&amp;L'!BE13/-'P&amp;L'!BE16)</f>
        <v>6.8332372560322741</v>
      </c>
      <c r="BF63" s="473">
        <f>IF('P&amp;L'!BF13&lt;0,"NM",'P&amp;L'!BF13/-'P&amp;L'!BF16)</f>
        <v>8.1019081743188153</v>
      </c>
      <c r="BG63" s="473">
        <f>IF('P&amp;L'!BG13&lt;0,"NM",'P&amp;L'!BG13/-'P&amp;L'!BG16)</f>
        <v>10.187763494451762</v>
      </c>
      <c r="BH63" s="473">
        <f>IF('P&amp;L'!BH13&lt;0,"NM",'P&amp;L'!BH13/-'P&amp;L'!BH16)</f>
        <v>11.805992697848826</v>
      </c>
      <c r="BI63" s="728">
        <f>IF('P&amp;L'!BI13&lt;0,"NM",'P&amp;L'!BI13/-'P&amp;L'!BI16)</f>
        <v>9.0885644593872357</v>
      </c>
      <c r="BJ63" s="473"/>
      <c r="BK63" s="714">
        <f>IF('P&amp;L'!BK13&lt;0,"NM",'P&amp;L'!BK13/-'P&amp;L'!BK16)</f>
        <v>7.9366266482975689</v>
      </c>
      <c r="BL63" s="473">
        <f>IF('P&amp;L'!BL13&lt;0,"NM",'P&amp;L'!BL13/-'P&amp;L'!BL16)</f>
        <v>9.086857482420525</v>
      </c>
      <c r="BM63" s="473">
        <f>IF('P&amp;L'!BM13&lt;0,"NM",'P&amp;L'!BM13/-'P&amp;L'!BM16)</f>
        <v>8.2173684210526314</v>
      </c>
      <c r="BN63" s="473">
        <f>IF('P&amp;L'!BN13&lt;0,"NM",'P&amp;L'!BN13/-'P&amp;L'!BN16)</f>
        <v>9.3268134374177691</v>
      </c>
      <c r="BO63" s="728">
        <f>IF('P&amp;L'!BO13&lt;0,"NM",'P&amp;L'!BO13/-'P&amp;L'!BO16)</f>
        <v>8.6487459359033885</v>
      </c>
      <c r="BP63" s="473"/>
      <c r="BQ63" s="714">
        <f>IF('P&amp;L'!BQ13&lt;0,"NM",'P&amp;L'!BQ13/-'P&amp;L'!BQ16)</f>
        <v>6.5490493617780956</v>
      </c>
      <c r="BR63" s="473">
        <f>IF('P&amp;L'!BR13&lt;0,"NM",'P&amp;L'!BR13/-'P&amp;L'!BR16)</f>
        <v>7.2468608301360282</v>
      </c>
      <c r="BS63" s="473">
        <f>IF('P&amp;L'!BS13&lt;0,"NM",'P&amp;L'!BS13/-'P&amp;L'!BS16)</f>
        <v>5.0698463888653142</v>
      </c>
      <c r="BT63" s="473">
        <f>IF('P&amp;L'!BT13&lt;0,"NM",'P&amp;L'!BT13/-'P&amp;L'!BT16)</f>
        <v>5.2585779997893294</v>
      </c>
      <c r="BU63" s="728">
        <f>IF('P&amp;L'!BU13&lt;0,"NM",'P&amp;L'!BU13/-'P&amp;L'!BU16)</f>
        <v>6.0350886940567348</v>
      </c>
      <c r="BV63" s="473"/>
      <c r="BW63" s="714">
        <f>IF('P&amp;L'!BW13&lt;0,"NM",'P&amp;L'!BW13/-'P&amp;L'!BW16)</f>
        <v>4.9646644739529444</v>
      </c>
      <c r="BX63" s="473">
        <f>IF('P&amp;L'!BX13&lt;0,"NM",'P&amp;L'!BX13/-'P&amp;L'!BX16)</f>
        <v>5.4068623103027944</v>
      </c>
      <c r="BY63" s="473">
        <f>IF('P&amp;L'!BY13&lt;0,"NM",'P&amp;L'!BY13/-'P&amp;L'!BY16)</f>
        <v>5.70245121044419</v>
      </c>
      <c r="BZ63" s="473">
        <f>IF('P&amp;L'!BZ13&lt;0,"NM",'P&amp;L'!BZ13/-'P&amp;L'!BZ16)</f>
        <v>6.0071128255536621</v>
      </c>
      <c r="CA63" s="728">
        <f>IF('P&amp;L'!CA13&lt;0,"NM",'P&amp;L'!CA13/-'P&amp;L'!CA16)</f>
        <v>5.5202727050633946</v>
      </c>
      <c r="CB63" s="473"/>
      <c r="CC63" s="714">
        <f>IF('P&amp;L'!CC13&lt;0,"NM",'P&amp;L'!CC13/-'P&amp;L'!CC16)</f>
        <v>5.1097231073584615</v>
      </c>
      <c r="CD63" s="473">
        <f>IF('P&amp;L'!CD13&lt;0,"NM",'P&amp;L'!CD13/-'P&amp;L'!CD16)</f>
        <v>5.5592954570746427</v>
      </c>
      <c r="CE63" s="473">
        <f>IF('P&amp;L'!CE13&lt;0,"NM",'P&amp;L'!CE13/-'P&amp;L'!CE16)</f>
        <v>5.8682460638631779</v>
      </c>
      <c r="CF63" s="473">
        <f>IF('P&amp;L'!CF13&lt;0,"NM",'P&amp;L'!CF13/-'P&amp;L'!CF16)</f>
        <v>6.1897407945241456</v>
      </c>
      <c r="CG63" s="728">
        <f>IF('P&amp;L'!CG13&lt;0,"NM",'P&amp;L'!CG13/-'P&amp;L'!CG16)</f>
        <v>5.6817513557051136</v>
      </c>
      <c r="CH63" s="473"/>
      <c r="CI63" s="714">
        <f>IF('P&amp;L'!CI13&lt;0,"NM",'P&amp;L'!CI13/-'P&amp;L'!CI16)</f>
        <v>4.8966089720637651</v>
      </c>
      <c r="CJ63" s="473">
        <f>IF('P&amp;L'!CJ13&lt;0,"NM",'P&amp;L'!CJ13/-'P&amp;L'!CJ16)</f>
        <v>5.3243451793612104</v>
      </c>
      <c r="CK63" s="473">
        <f>IF('P&amp;L'!CK13&lt;0,"NM",'P&amp;L'!CK13/-'P&amp;L'!CK16)</f>
        <v>5.6260714312852791</v>
      </c>
      <c r="CL63" s="473">
        <f>IF('P&amp;L'!CL13&lt;0,"NM",'P&amp;L'!CL13/-'P&amp;L'!CL16)</f>
        <v>5.9404917674381377</v>
      </c>
      <c r="CM63" s="728">
        <f>IF('P&amp;L'!CM13&lt;0,"NM",'P&amp;L'!CM13/-'P&amp;L'!CM16)</f>
        <v>5.4468793375370934</v>
      </c>
      <c r="CN63" s="473"/>
      <c r="CO63" s="125"/>
      <c r="CP63" s="125"/>
      <c r="CQ63"/>
      <c r="CR63"/>
      <c r="CS63"/>
      <c r="CT63"/>
      <c r="CU63"/>
      <c r="CV63"/>
      <c r="CW63" s="14"/>
    </row>
    <row r="64" spans="1:101" s="123" customFormat="1" ht="11.25" customHeight="1" x14ac:dyDescent="0.2">
      <c r="B64" s="705" t="s">
        <v>55</v>
      </c>
      <c r="C64" s="714">
        <f>IF(OR(C52&lt;0,'P&amp;L'!C12&lt;0)=TRUE,"NM",C52/('P&amp;L'!C12*4))</f>
        <v>9.967438253032182E-2</v>
      </c>
      <c r="D64" s="473">
        <f>IF(OR(D52&lt;0,'P&amp;L'!D12&lt;0)=TRUE,"NM",D52/('P&amp;L'!D12*4))</f>
        <v>0.32041284132666925</v>
      </c>
      <c r="E64" s="473">
        <f>IF(OR(E52&lt;0,'P&amp;L'!E12&lt;0)=TRUE,"NM",E52/('P&amp;L'!E12*4))</f>
        <v>0.15772383958373254</v>
      </c>
      <c r="F64" s="473" t="str">
        <f>IF(OR(F52&lt;0,'P&amp;L'!F12&lt;0)=TRUE,"NM",F52/('P&amp;L'!F12*4))</f>
        <v>NM</v>
      </c>
      <c r="G64" s="728" t="str">
        <f>IF(OR(G52&lt;0,'P&amp;L'!G12&lt;0)=TRUE,"NM",G52/('P&amp;L'!G12))</f>
        <v>NM</v>
      </c>
      <c r="H64" s="473"/>
      <c r="I64" s="714" t="str">
        <f>IF(OR(I52&lt;0,'P&amp;L'!I12&lt;0)=TRUE,"NM",I52/('P&amp;L'!I12*4))</f>
        <v>NM</v>
      </c>
      <c r="J64" s="473" t="str">
        <f>IF(OR(J52&lt;0,'P&amp;L'!J12&lt;0)=TRUE,"NM",J52/('P&amp;L'!J12*4))</f>
        <v>NM</v>
      </c>
      <c r="K64" s="473">
        <f>IF(OR(K52&lt;0,'P&amp;L'!K12&lt;0)=TRUE,"NM",K52/('P&amp;L'!K12*4))</f>
        <v>4.5262113206823398E-2</v>
      </c>
      <c r="L64" s="473">
        <f>IF(OR(L52&lt;0,'P&amp;L'!L12&lt;0)=TRUE,"NM",L52/('P&amp;L'!L12*4))</f>
        <v>0.80255340021471144</v>
      </c>
      <c r="M64" s="728">
        <f>IF(OR(M52&lt;0,'P&amp;L'!M12&lt;0)=TRUE,"NM",M52/('P&amp;L'!M12))</f>
        <v>0.89983215861659271</v>
      </c>
      <c r="N64" s="473"/>
      <c r="O64" s="714">
        <f>IF(OR(O52&lt;0,'P&amp;L'!O12&lt;0)=TRUE,"NM",O52/('P&amp;L'!O12*4))</f>
        <v>0.94176931039696643</v>
      </c>
      <c r="P64" s="473">
        <f>IF(OR(P52&lt;0,'P&amp;L'!P12&lt;0)=TRUE,"NM",P52/('P&amp;L'!P12*4))</f>
        <v>1.1064684790693031</v>
      </c>
      <c r="Q64" s="473">
        <f>IF(OR(Q52&lt;0,'P&amp;L'!Q12&lt;0)=TRUE,"NM",Q52/('P&amp;L'!Q12*4))</f>
        <v>1.074072767231558</v>
      </c>
      <c r="R64" s="473">
        <f>IF(OR(R52&lt;0,'P&amp;L'!R12&lt;0)=TRUE,"NM",R52/('P&amp;L'!R12*4))</f>
        <v>0.95967932964202174</v>
      </c>
      <c r="S64" s="728">
        <f>IF(OR(S52&lt;0,'P&amp;L'!S12&lt;0)=TRUE,"NM",S52/('P&amp;L'!S12))</f>
        <v>1.0328303750677152</v>
      </c>
      <c r="T64" s="473"/>
      <c r="U64" s="714">
        <f>IF(OR(U52&lt;0,'P&amp;L'!U12&lt;0)=TRUE,"NM",U52/('P&amp;L'!U12*4))</f>
        <v>1.0614002825551396</v>
      </c>
      <c r="V64" s="473">
        <f>IF(OR(V52&lt;0,'P&amp;L'!V12&lt;0)=TRUE,"NM",V52/('P&amp;L'!V12*4))</f>
        <v>0.94076491548070951</v>
      </c>
      <c r="W64" s="473">
        <f>IF(OR(W52&lt;0,'P&amp;L'!W12&lt;0)=TRUE,"NM",W52/('P&amp;L'!W12*4))</f>
        <v>0.62230964270506739</v>
      </c>
      <c r="X64" s="473">
        <f>IF(OR(X52&lt;0,'P&amp;L'!X12&lt;0)=TRUE,"NM",X52/('P&amp;L'!X12*4))</f>
        <v>0.41351759830654422</v>
      </c>
      <c r="Y64" s="728">
        <f>IF(OR(Y52&lt;0,'P&amp;L'!Y12&lt;0)=TRUE,"NM",Y52/('P&amp;L'!Y12))</f>
        <v>0.46713614428837363</v>
      </c>
      <c r="Z64" s="473"/>
      <c r="AA64" s="714">
        <f>IF(OR(AA52&lt;0,'P&amp;L'!AA12&lt;0)=TRUE,"NM",AA52/('P&amp;L'!AA12*4))</f>
        <v>0.57478411316427647</v>
      </c>
      <c r="AB64" s="473">
        <f>IF(OR(AB52&lt;0,'P&amp;L'!AB12&lt;0)=TRUE,"NM",AB52/('P&amp;L'!AB12*4))</f>
        <v>0.48252394720796193</v>
      </c>
      <c r="AC64" s="473">
        <f>IF(OR(AC52&lt;0,'P&amp;L'!AC12&lt;0)=TRUE,"NM",AC52/('P&amp;L'!AC12*4))</f>
        <v>0.33408707275902783</v>
      </c>
      <c r="AD64" s="473">
        <f>IF(OR(AD52&lt;0,'P&amp;L'!AD12&lt;0)=TRUE,"NM",AD52/('P&amp;L'!AD12*4))</f>
        <v>0.29733967844088305</v>
      </c>
      <c r="AE64" s="728">
        <f>IF(OR(AE52&lt;0,'P&amp;L'!AE12&lt;0)=TRUE,"NM",AE52/('P&amp;L'!AE12))</f>
        <v>0.32667061222435984</v>
      </c>
      <c r="AF64" s="473"/>
      <c r="AG64" s="714">
        <f>IF(OR(AG52&lt;0,'P&amp;L'!AG12&lt;0)=TRUE,"NM",AG52/('P&amp;L'!AG12*4))</f>
        <v>0.41510842712050466</v>
      </c>
      <c r="AH64" s="473">
        <f>IF(OR(AH52&lt;0,'P&amp;L'!AH12&lt;0)=TRUE,"NM",AH52/('P&amp;L'!AH12*4))</f>
        <v>0.78677066882922908</v>
      </c>
      <c r="AI64" s="473">
        <f>IF(OR(AI52&lt;0,'P&amp;L'!AI12&lt;0)=TRUE,"NM",AI52/('P&amp;L'!AI12*4))</f>
        <v>0.77358902370063198</v>
      </c>
      <c r="AJ64" s="473">
        <f>IF(OR(AJ52&lt;0,'P&amp;L'!AJ12&lt;0)=TRUE,"NM",AJ52/('P&amp;L'!AJ12*4))</f>
        <v>0.60242480022333122</v>
      </c>
      <c r="AK64" s="728">
        <f>IF(OR(AK52&lt;0,'P&amp;L'!AK12&lt;0)=TRUE,"NM",AK52/('P&amp;L'!AK12))</f>
        <v>0.6901713566106471</v>
      </c>
      <c r="AL64" s="473"/>
      <c r="AM64" s="714">
        <f>IF(OR(AM52&lt;0,'P&amp;L'!AM12&lt;0)=TRUE,"NM",AM52/('P&amp;L'!AM12*4))</f>
        <v>0.71549634873561063</v>
      </c>
      <c r="AN64" s="473">
        <f>IF(OR(AN52&lt;0,'P&amp;L'!AN12&lt;0)=TRUE,"NM",AN52/('P&amp;L'!AN12*4))</f>
        <v>0.77762487257900137</v>
      </c>
      <c r="AO64" s="473">
        <f>IF(OR(AO52&lt;0,'P&amp;L'!AO12&lt;0)=TRUE,"NM",AO52/('P&amp;L'!AO12*4))</f>
        <v>0.74934118626100898</v>
      </c>
      <c r="AP64" s="473">
        <f>IF(OR(AP52&lt;0,'P&amp;L'!AP12&lt;0)=TRUE,"NM",AP52/('P&amp;L'!AP12*4))</f>
        <v>0.46899300902254348</v>
      </c>
      <c r="AQ64" s="728">
        <f>IF(OR(AQ52&lt;0,'P&amp;L'!AQ12&lt;0)=TRUE,"NM",AQ52/('P&amp;L'!AQ12))</f>
        <v>0.54880299258097642</v>
      </c>
      <c r="AR64" s="473"/>
      <c r="AS64" s="714">
        <f>IF(OR(AS52&lt;0,'P&amp;L'!AS12&lt;0)=TRUE,"NM",AS52/('P&amp;L'!AS12*4))</f>
        <v>0.69542419545400314</v>
      </c>
      <c r="AT64" s="473">
        <f>IF(OR(AT52&lt;0,'P&amp;L'!AT12&lt;0)=TRUE,"NM",AT52/('P&amp;L'!AT12*4))</f>
        <v>0.84905773653830008</v>
      </c>
      <c r="AU64" s="473">
        <f>IF(OR(AU52&lt;0,'P&amp;L'!AU12&lt;0)=TRUE,"NM",AU52/('P&amp;L'!AU12*4))</f>
        <v>0.88760401631311259</v>
      </c>
      <c r="AV64" s="473">
        <f>IF(OR(AV52&lt;0,'P&amp;L'!AV12&lt;0)=TRUE,"NM",AV52/('P&amp;L'!AV12*4))</f>
        <v>0.93167922396991165</v>
      </c>
      <c r="AW64" s="728">
        <f>IF(OR(AW52&lt;0,'P&amp;L'!AW12&lt;0)=TRUE,"NM",AW52/('P&amp;L'!AW12))</f>
        <v>1.0045426172408651</v>
      </c>
      <c r="AX64" s="473"/>
      <c r="AY64" s="714">
        <f>IF(OR(AY52&lt;0,'P&amp;L'!AY12&lt;0)=TRUE,"NM",AY52/('P&amp;L'!AY12*4))</f>
        <v>1.3480034445365832</v>
      </c>
      <c r="AZ64" s="473">
        <f>IF(OR(AZ52&lt;0,'P&amp;L'!AZ12&lt;0)=TRUE,"NM",AZ52/('P&amp;L'!AZ12*4))</f>
        <v>1.1082577637590736</v>
      </c>
      <c r="BA64" s="473">
        <f>IF(OR(BA52&lt;0,'P&amp;L'!BA12&lt;0)=TRUE,"NM",BA52/('P&amp;L'!BA12*4))</f>
        <v>1.0564453836222594</v>
      </c>
      <c r="BB64" s="473">
        <f>IF(OR(BB52&lt;0,'P&amp;L'!BB12&lt;0)=TRUE,"NM",BB52/('P&amp;L'!BB12*4))</f>
        <v>0.75622533358391308</v>
      </c>
      <c r="BC64" s="728">
        <f>IF(OR(BC52&lt;0,'P&amp;L'!BC12&lt;0)=TRUE,"NM",BC52/('P&amp;L'!BC12))</f>
        <v>0.89008521768944482</v>
      </c>
      <c r="BD64" s="473"/>
      <c r="BE64" s="714">
        <f>IF(OR(BE52&lt;0,'P&amp;L'!BE12&lt;0)=TRUE,"NM",BE52/('P&amp;L'!BE12*4))</f>
        <v>3.8902090141820174</v>
      </c>
      <c r="BF64" s="473">
        <f>IF(OR(BF52&lt;0,'P&amp;L'!BF12&lt;0)=TRUE,"NM",BF52/('P&amp;L'!BF12*4))</f>
        <v>2.1502525252525233</v>
      </c>
      <c r="BG64" s="473">
        <f>IF(OR(BG52&lt;0,'P&amp;L'!BG12&lt;0)=TRUE,"NM",BG52/('P&amp;L'!BG12*4))</f>
        <v>2.2272160040912845</v>
      </c>
      <c r="BH64" s="473">
        <f>IF(OR(BH52&lt;0,'P&amp;L'!BH12&lt;0)=TRUE,"NM",BH52/('P&amp;L'!BH12*4))</f>
        <v>1.6081546601504539</v>
      </c>
      <c r="BI64" s="728">
        <f>IF(OR(BI52&lt;0,'P&amp;L'!BI12&lt;0)=TRUE,"NM",BI52/('P&amp;L'!BI12))</f>
        <v>1.8778250113342472</v>
      </c>
      <c r="BJ64" s="473"/>
      <c r="BK64" s="714">
        <f>IF(OR(BK52&lt;0,'P&amp;L'!BK12&lt;0)=TRUE,"NM",BK52/('P&amp;L'!BK12*4))</f>
        <v>2.6055800853372433</v>
      </c>
      <c r="BL64" s="473">
        <f>IF(OR(BL52&lt;0,'P&amp;L'!BL12&lt;0)=TRUE,"NM",BL52/('P&amp;L'!BL12*4))</f>
        <v>2.388598123423693</v>
      </c>
      <c r="BM64" s="473">
        <f>IF(OR(BM52&lt;0,'P&amp;L'!BM12&lt;0)=TRUE,"NM",BM52/('P&amp;L'!BM12*4))</f>
        <v>2.3812833944930136</v>
      </c>
      <c r="BN64" s="473">
        <f>IF(OR(BN52&lt;0,'P&amp;L'!BN12&lt;0)=TRUE,"NM",BN52/('P&amp;L'!BN12*4))</f>
        <v>1.9218923342014367</v>
      </c>
      <c r="BO64" s="728">
        <f>IF(OR(BO52&lt;0,'P&amp;L'!BO12&lt;0)=TRUE,"NM",BO52/('P&amp;L'!BO12))</f>
        <v>2.1415965088014239</v>
      </c>
      <c r="BP64" s="473"/>
      <c r="BQ64" s="714">
        <f>IF(OR(BQ52&lt;0,'P&amp;L'!BQ12&lt;0)=TRUE,"NM",BQ52/('P&amp;L'!BQ12*4))</f>
        <v>2.8485175658653801</v>
      </c>
      <c r="BR64" s="473">
        <f>IF(OR(BR52&lt;0,'P&amp;L'!BR12&lt;0)=TRUE,"NM",BR52/('P&amp;L'!BR12*4))</f>
        <v>2.3992883007820023</v>
      </c>
      <c r="BS64" s="473">
        <f>IF(OR(BS52&lt;0,'P&amp;L'!BS12&lt;0)=TRUE,"NM",BS52/('P&amp;L'!BS12*4))</f>
        <v>3.3063005006692112</v>
      </c>
      <c r="BT64" s="473">
        <f>IF(OR(BT52&lt;0,'P&amp;L'!BT12&lt;0)=TRUE,"NM",BT52/('P&amp;L'!BT12*4))</f>
        <v>3.3384756399146633</v>
      </c>
      <c r="BU64" s="728">
        <f>IF(OR(BU52&lt;0,'P&amp;L'!BU12&lt;0)=TRUE,"NM",BU52/('P&amp;L'!BU12))</f>
        <v>2.8776070901869275</v>
      </c>
      <c r="BV64" s="473"/>
      <c r="BW64" s="714">
        <f>IF(OR(BW52&lt;0,'P&amp;L'!BW12&lt;0)=TRUE,"NM",BW52/('P&amp;L'!BW12*4))</f>
        <v>3.3150571951560313</v>
      </c>
      <c r="BX64" s="473">
        <f>IF(OR(BX52&lt;0,'P&amp;L'!BX12&lt;0)=TRUE,"NM",BX52/('P&amp;L'!BX12*4))</f>
        <v>3.2906293423475836</v>
      </c>
      <c r="BY64" s="473">
        <f>IF(OR(BY52&lt;0,'P&amp;L'!BY12&lt;0)=TRUE,"NM",BY52/('P&amp;L'!BY12*4))</f>
        <v>3.1090099886870681</v>
      </c>
      <c r="BZ64" s="473">
        <f>IF(OR(BZ52&lt;0,'P&amp;L'!BZ12&lt;0)=TRUE,"NM",BZ52/('P&amp;L'!BZ12*4))</f>
        <v>2.9238752266043369</v>
      </c>
      <c r="CA64" s="728">
        <f>IF(OR(CA52&lt;0,'P&amp;L'!CA12&lt;0)=TRUE,"NM",CA52/('P&amp;L'!CA12))</f>
        <v>3.1243071603648582</v>
      </c>
      <c r="CB64" s="473"/>
      <c r="CC64" s="714">
        <f>IF(OR(CC52&lt;0,'P&amp;L'!CC12&lt;0)=TRUE,"NM",CC52/('P&amp;L'!CC12*4))</f>
        <v>3.2805922362591242</v>
      </c>
      <c r="CD64" s="473">
        <f>IF(OR(CD52&lt;0,'P&amp;L'!CD12&lt;0)=TRUE,"NM",CD52/('P&amp;L'!CD12*4))</f>
        <v>3.2644876082686807</v>
      </c>
      <c r="CE64" s="473">
        <f>IF(OR(CE52&lt;0,'P&amp;L'!CE12&lt;0)=TRUE,"NM",CE52/('P&amp;L'!CE12*4))</f>
        <v>3.0864646718182347</v>
      </c>
      <c r="CF64" s="473">
        <f>IF(OR(CF52&lt;0,'P&amp;L'!CF12&lt;0)=TRUE,"NM",CF52/('P&amp;L'!CF12*4))</f>
        <v>2.8963332153091073</v>
      </c>
      <c r="CG64" s="728">
        <f>IF(OR(CG52&lt;0,'P&amp;L'!CG12&lt;0)=TRUE,"NM",CG52/('P&amp;L'!CG12))</f>
        <v>3.0985206835214014</v>
      </c>
      <c r="CH64" s="473"/>
      <c r="CI64" s="714">
        <f>IF(OR(CI52&lt;0,'P&amp;L'!CI12&lt;0)=TRUE,"NM",CI52/('P&amp;L'!CI12*4))</f>
        <v>3.4028759815432927</v>
      </c>
      <c r="CJ64" s="473">
        <f>IF(OR(CJ52&lt;0,'P&amp;L'!CJ12&lt;0)=TRUE,"NM",CJ52/('P&amp;L'!CJ12*4))</f>
        <v>3.4085504173946575</v>
      </c>
      <c r="CK64" s="473">
        <f>IF(OR(CK52&lt;0,'P&amp;L'!CK12&lt;0)=TRUE,"NM",CK52/('P&amp;L'!CK12*4))</f>
        <v>3.2322253513040362</v>
      </c>
      <c r="CL64" s="473">
        <f>IF(OR(CL52&lt;0,'P&amp;L'!CL12&lt;0)=TRUE,"NM",CL52/('P&amp;L'!CL12*4))</f>
        <v>3.0446617859867495</v>
      </c>
      <c r="CM64" s="728">
        <f>IF(OR(CM52&lt;0,'P&amp;L'!CM12&lt;0)=TRUE,"NM",CM52/('P&amp;L'!CM12))</f>
        <v>3.255866357537526</v>
      </c>
      <c r="CN64" s="473"/>
      <c r="CO64" s="125"/>
      <c r="CP64" s="125"/>
      <c r="CQ64"/>
      <c r="CR64"/>
      <c r="CS64"/>
      <c r="CT64"/>
      <c r="CU64"/>
      <c r="CV64"/>
      <c r="CW64" s="14"/>
    </row>
    <row r="65" spans="2:101" s="123" customFormat="1" ht="11.25" customHeight="1" x14ac:dyDescent="0.2">
      <c r="B65" s="706" t="s">
        <v>56</v>
      </c>
      <c r="C65" s="715">
        <f>C51/(C46+C51)</f>
        <v>0.13140316466069507</v>
      </c>
      <c r="D65" s="716">
        <f>D51/(D46+D51)</f>
        <v>0.13475459375876983</v>
      </c>
      <c r="E65" s="716">
        <f>E51/(E46+E51)</f>
        <v>0.10413618658387226</v>
      </c>
      <c r="F65" s="716">
        <f>F51/(F46+F51)</f>
        <v>8.4903204385703451E-2</v>
      </c>
      <c r="G65" s="729">
        <f>G51/(G46+G51)</f>
        <v>8.4903204385703451E-2</v>
      </c>
      <c r="H65" s="473"/>
      <c r="I65" s="715">
        <f>I51/(I46+I51)</f>
        <v>8.2726005278184203E-2</v>
      </c>
      <c r="J65" s="716">
        <f>J51/(J46+J51)</f>
        <v>7.9856656509991353E-2</v>
      </c>
      <c r="K65" s="716">
        <f>K51/(K46+K51)</f>
        <v>8.9683405675780342E-2</v>
      </c>
      <c r="L65" s="716">
        <f>L51/(L46+L51)</f>
        <v>0.23981559687003803</v>
      </c>
      <c r="M65" s="729">
        <f>M51/(M46+M51)</f>
        <v>0.23981559687003803</v>
      </c>
      <c r="N65" s="473"/>
      <c r="O65" s="715">
        <f>O51/(O46+O51)</f>
        <v>0.23555311822930244</v>
      </c>
      <c r="P65" s="716">
        <f>P51/(P46+P51)</f>
        <v>0.23689003902868214</v>
      </c>
      <c r="Q65" s="716">
        <f>Q51/(Q46+Q51)</f>
        <v>0.21901130091847198</v>
      </c>
      <c r="R65" s="716">
        <f>R51/(R46+R51)</f>
        <v>0.20405727033298268</v>
      </c>
      <c r="S65" s="729">
        <f>S51/(S46+S51)</f>
        <v>0.20405727033298268</v>
      </c>
      <c r="T65" s="473"/>
      <c r="U65" s="715">
        <f>U51/(U46+U51)</f>
        <v>0.19335865052163789</v>
      </c>
      <c r="V65" s="716">
        <f>V51/(V46+V51)</f>
        <v>0.18890783564514546</v>
      </c>
      <c r="W65" s="716">
        <f>W51/(W46+W51)</f>
        <v>0.18435186274389312</v>
      </c>
      <c r="X65" s="716">
        <f>X51/(X46+X51)</f>
        <v>0.17808871124492828</v>
      </c>
      <c r="Y65" s="729">
        <f>Y51/(Y46+Y51)</f>
        <v>0.17808871124492828</v>
      </c>
      <c r="Z65" s="473"/>
      <c r="AA65" s="715">
        <f>AA51/(AA46+AA51)</f>
        <v>0.17659215486829255</v>
      </c>
      <c r="AB65" s="716">
        <f>AB51/(AB46+AB51)</f>
        <v>0.1707290977991556</v>
      </c>
      <c r="AC65" s="716">
        <f>AC51/(AC46+AC51)</f>
        <v>0.17334827980723672</v>
      </c>
      <c r="AD65" s="716">
        <f>AD51/(AD46+AD51)</f>
        <v>0.1699046721519446</v>
      </c>
      <c r="AE65" s="729">
        <f>AE51/(AE46+AE51)</f>
        <v>0.1699046721519446</v>
      </c>
      <c r="AF65" s="473"/>
      <c r="AG65" s="715">
        <f>AG51/(AG46+AG51)</f>
        <v>0.17255472696419047</v>
      </c>
      <c r="AH65" s="716">
        <f>AH51/(AH46+AH51)</f>
        <v>0.18520009936240195</v>
      </c>
      <c r="AI65" s="716">
        <f>AI51/(AI46+AI51)</f>
        <v>0.24176402409107392</v>
      </c>
      <c r="AJ65" s="716">
        <f>AJ51/(AJ46+AJ51)</f>
        <v>0.2368104914291318</v>
      </c>
      <c r="AK65" s="729">
        <f>AK51/(AK46+AK51)</f>
        <v>0.2368104914291318</v>
      </c>
      <c r="AL65" s="473"/>
      <c r="AM65" s="715">
        <f>AM51/(AM46+AM51)</f>
        <v>0.23940478899706857</v>
      </c>
      <c r="AN65" s="716">
        <f>AN51/(AN46+AN51)</f>
        <v>0.22826074150870043</v>
      </c>
      <c r="AO65" s="716">
        <f>AO51/(AO46+AO51)</f>
        <v>0.22710689262093078</v>
      </c>
      <c r="AP65" s="716">
        <f>AP51/(AP46+AP51)</f>
        <v>0.21281104903225279</v>
      </c>
      <c r="AQ65" s="729">
        <f>AQ51/(AQ46+AQ51)</f>
        <v>0.21281104903225279</v>
      </c>
      <c r="AR65" s="473"/>
      <c r="AS65" s="715">
        <f>AS51/(AS46+AS51)</f>
        <v>0.23746102256790902</v>
      </c>
      <c r="AT65" s="716">
        <f>AT51/(AT46+AT51)</f>
        <v>0.22576332285809017</v>
      </c>
      <c r="AU65" s="716">
        <f>AU51/(AU46+AU51)</f>
        <v>0.22418321712300984</v>
      </c>
      <c r="AV65" s="716">
        <f>AV51/(AV46+AV51)</f>
        <v>0.2019680322212834</v>
      </c>
      <c r="AW65" s="729">
        <f>AW51/(AW46+AW51)</f>
        <v>0.2019680322212834</v>
      </c>
      <c r="AX65" s="473"/>
      <c r="AY65" s="715">
        <f>AY51/(AY46+AY51)</f>
        <v>0.2000456931955768</v>
      </c>
      <c r="AZ65" s="716">
        <f>AZ51/(AZ46+AZ51)</f>
        <v>0.20237552579255139</v>
      </c>
      <c r="BA65" s="716">
        <f>BA51/(BA46+BA51)</f>
        <v>0.20158308058985711</v>
      </c>
      <c r="BB65" s="716">
        <f>BB51/(BB46+BB51)</f>
        <v>0.19699655650950576</v>
      </c>
      <c r="BC65" s="729">
        <f>BC51/(BC46+BC51)</f>
        <v>0.19699655650950576</v>
      </c>
      <c r="BD65" s="473"/>
      <c r="BE65" s="715">
        <f>BE51/(BE46+BE51)</f>
        <v>0.2938825754137494</v>
      </c>
      <c r="BF65" s="716">
        <f>BF51/(BF46+BF51)</f>
        <v>0.24676976280207819</v>
      </c>
      <c r="BG65" s="716">
        <f>BG51/(BG46+BG51)</f>
        <v>0.25930022789672569</v>
      </c>
      <c r="BH65" s="716">
        <f>BH51/(BH46+BH51)</f>
        <v>0.23117468679160574</v>
      </c>
      <c r="BI65" s="729">
        <f>BI51/(BI46+BI51)</f>
        <v>0.23117468679160574</v>
      </c>
      <c r="BJ65" s="473"/>
      <c r="BK65" s="715">
        <f>BK51/(BK46+BK51)</f>
        <v>0.24617482842576521</v>
      </c>
      <c r="BL65" s="716">
        <f>BL51/(BL46+BL51)</f>
        <v>0.24953701807029968</v>
      </c>
      <c r="BM65" s="716">
        <f>BM51/(BM46+BM51)</f>
        <v>0.2525748186942911</v>
      </c>
      <c r="BN65" s="716">
        <f>BN51/(BN46+BN51)</f>
        <v>0.23406992975233951</v>
      </c>
      <c r="BO65" s="729">
        <f>BO51/(BO46+BO51)</f>
        <v>0.23406992975233951</v>
      </c>
      <c r="BP65" s="473"/>
      <c r="BQ65" s="715">
        <f>BQ51/(BQ46+BQ51)</f>
        <v>0.25178697077761458</v>
      </c>
      <c r="BR65" s="716">
        <f>BR51/(BR46+BR51)</f>
        <v>0.23732720338314456</v>
      </c>
      <c r="BS65" s="716">
        <f>BS51/(BS46+BS51)</f>
        <v>0.24388629273071827</v>
      </c>
      <c r="BT65" s="716">
        <f>BT51/(BT46+BT51)</f>
        <v>0.24733780648398487</v>
      </c>
      <c r="BU65" s="729">
        <f>BU51/(BU46+BU51)</f>
        <v>0.24733780648398487</v>
      </c>
      <c r="BV65" s="473"/>
      <c r="BW65" s="715">
        <f>BW51/(BW46+BW51)</f>
        <v>0.24986784717387198</v>
      </c>
      <c r="BX65" s="716">
        <f>BX51/(BX46+BX51)</f>
        <v>0.24855623686949832</v>
      </c>
      <c r="BY65" s="716">
        <f>BY51/(BY46+BY51)</f>
        <v>0.24650721371918594</v>
      </c>
      <c r="BZ65" s="716">
        <f>BZ51/(BZ46+BZ51)</f>
        <v>0.2481752319937871</v>
      </c>
      <c r="CA65" s="729">
        <f>CA51/(CA46+CA51)</f>
        <v>0.2481752319937871</v>
      </c>
      <c r="CB65" s="473"/>
      <c r="CC65" s="715">
        <f>CC51/(CC46+CC51)</f>
        <v>0.25038752215810534</v>
      </c>
      <c r="CD65" s="716">
        <f>CD51/(CD46+CD51)</f>
        <v>0.24888020505980618</v>
      </c>
      <c r="CE65" s="716">
        <f>CE51/(CE46+CE51)</f>
        <v>0.24662105391469011</v>
      </c>
      <c r="CF65" s="716">
        <f>CF51/(CF46+CF51)</f>
        <v>0.24826229206010067</v>
      </c>
      <c r="CG65" s="729">
        <f>CG51/(CG46+CG51)</f>
        <v>0.24826229206010067</v>
      </c>
      <c r="CH65" s="473"/>
      <c r="CI65" s="715">
        <f>CI51/(CI46+CI51)</f>
        <v>0.25062021336813656</v>
      </c>
      <c r="CJ65" s="716">
        <f>CJ51/(CJ46+CJ51)</f>
        <v>0.24929455207841905</v>
      </c>
      <c r="CK65" s="716">
        <f>CK51/(CK46+CK51)</f>
        <v>0.24716563230896549</v>
      </c>
      <c r="CL65" s="716">
        <f>CL51/(CL46+CL51)</f>
        <v>0.24909288136889421</v>
      </c>
      <c r="CM65" s="729">
        <f>CM51/(CM46+CM51)</f>
        <v>0.24909288136889421</v>
      </c>
      <c r="CN65" s="473"/>
      <c r="CO65" s="125"/>
      <c r="CP65" s="125"/>
      <c r="CQ65"/>
      <c r="CR65"/>
      <c r="CS65"/>
      <c r="CT65"/>
      <c r="CU65"/>
      <c r="CV65"/>
      <c r="CW65" s="14"/>
    </row>
    <row r="66" spans="2:101" s="123" customFormat="1" ht="11.25" hidden="1" customHeight="1" outlineLevel="1" x14ac:dyDescent="0.2">
      <c r="B66" s="124"/>
      <c r="C66" s="50"/>
      <c r="D66" s="50"/>
      <c r="E66" s="50"/>
      <c r="F66" s="50"/>
      <c r="G66" s="50"/>
      <c r="H66" s="19"/>
      <c r="I66" s="50"/>
      <c r="J66" s="50"/>
      <c r="K66" s="50"/>
      <c r="L66" s="50"/>
      <c r="M66" s="50"/>
      <c r="N66" s="19"/>
      <c r="O66" s="50"/>
      <c r="P66" s="50"/>
      <c r="Q66" s="50"/>
      <c r="R66" s="50"/>
      <c r="S66" s="50"/>
      <c r="T66" s="19"/>
      <c r="U66" s="50"/>
      <c r="V66" s="50"/>
      <c r="W66" s="50"/>
      <c r="X66" s="50"/>
      <c r="Y66" s="50"/>
      <c r="Z66" s="19"/>
      <c r="AA66" s="50"/>
      <c r="AB66" s="50"/>
      <c r="AC66" s="50"/>
      <c r="AD66" s="50"/>
      <c r="AE66" s="50"/>
      <c r="AF66" s="19"/>
      <c r="AG66" s="50"/>
      <c r="AH66" s="50"/>
      <c r="AI66" s="50"/>
      <c r="AJ66" s="50"/>
      <c r="AK66" s="50"/>
      <c r="AL66" s="19"/>
      <c r="AM66" s="50"/>
      <c r="AN66" s="50"/>
      <c r="AO66" s="50"/>
      <c r="AP66" s="50"/>
      <c r="AQ66" s="50"/>
      <c r="AR66" s="19"/>
      <c r="AS66" s="50"/>
      <c r="AT66" s="50"/>
      <c r="AU66" s="50"/>
      <c r="AV66" s="50"/>
      <c r="AW66" s="50"/>
      <c r="AX66" s="19"/>
      <c r="AY66" s="50"/>
      <c r="AZ66" s="50"/>
      <c r="BA66" s="50"/>
      <c r="BB66" s="50"/>
      <c r="BC66" s="50"/>
      <c r="BD66" s="19"/>
      <c r="BE66" s="50"/>
      <c r="BF66" s="50"/>
      <c r="BG66" s="50"/>
      <c r="BH66" s="50"/>
      <c r="BI66" s="50"/>
      <c r="BJ66" s="19"/>
      <c r="BK66" s="50"/>
      <c r="BL66" s="50"/>
      <c r="BM66" s="50"/>
      <c r="BN66" s="50"/>
      <c r="BO66" s="50"/>
      <c r="BP66" s="19"/>
      <c r="BQ66" s="50"/>
      <c r="BR66" s="50"/>
      <c r="BS66" s="50"/>
      <c r="BT66" s="50"/>
      <c r="BU66" s="50"/>
      <c r="BV66" s="19"/>
      <c r="BW66" s="50"/>
      <c r="BX66" s="50"/>
      <c r="BY66" s="50"/>
      <c r="BZ66" s="50"/>
      <c r="CA66" s="50"/>
      <c r="CB66" s="19"/>
      <c r="CC66" s="50"/>
      <c r="CD66" s="50"/>
      <c r="CE66" s="50"/>
      <c r="CF66" s="50"/>
      <c r="CG66" s="50"/>
      <c r="CH66" s="19"/>
      <c r="CI66" s="50"/>
      <c r="CJ66" s="50"/>
      <c r="CK66" s="50"/>
      <c r="CL66" s="50"/>
      <c r="CM66" s="50"/>
      <c r="CN66" s="19"/>
      <c r="CO66" s="53"/>
      <c r="CP66" s="53"/>
      <c r="CQ66"/>
      <c r="CR66"/>
      <c r="CS66"/>
      <c r="CT66"/>
      <c r="CU66"/>
      <c r="CV66"/>
      <c r="CW66" s="14"/>
    </row>
    <row r="67" spans="2:101" s="123" customFormat="1" ht="11.25" hidden="1" customHeight="1" outlineLevel="1" x14ac:dyDescent="0.2">
      <c r="B67" s="1033" t="s">
        <v>57</v>
      </c>
      <c r="C67" s="1034"/>
      <c r="D67" s="1034"/>
      <c r="E67" s="1034"/>
      <c r="F67" s="1034"/>
      <c r="G67" s="1034"/>
      <c r="H67" s="1033"/>
      <c r="I67" s="1034"/>
      <c r="J67" s="1034"/>
      <c r="K67" s="1034"/>
      <c r="L67" s="1034"/>
      <c r="M67" s="1034"/>
      <c r="N67" s="1033"/>
      <c r="O67" s="1034"/>
      <c r="P67" s="1034"/>
      <c r="Q67" s="1034"/>
      <c r="R67" s="1034"/>
      <c r="S67" s="1034"/>
      <c r="T67" s="1033"/>
      <c r="U67" s="1034"/>
      <c r="V67" s="1034"/>
      <c r="W67" s="1034"/>
      <c r="X67" s="1034"/>
      <c r="Y67" s="1034"/>
      <c r="Z67" s="1033"/>
      <c r="AA67" s="1034"/>
      <c r="AB67" s="1034"/>
      <c r="AC67" s="1034"/>
      <c r="AD67" s="1034"/>
      <c r="AE67" s="1034"/>
      <c r="AF67" s="1033"/>
      <c r="AG67" s="1034"/>
      <c r="AH67" s="1034"/>
      <c r="AI67" s="1034"/>
      <c r="AJ67" s="1034"/>
      <c r="AK67" s="1034"/>
      <c r="AL67" s="1033"/>
      <c r="AM67" s="1034"/>
      <c r="AN67" s="1034"/>
      <c r="AO67" s="1034"/>
      <c r="AP67" s="1034"/>
      <c r="AQ67" s="1034"/>
      <c r="AR67" s="1033"/>
      <c r="AS67" s="1034"/>
      <c r="AT67" s="1034"/>
      <c r="AU67" s="1034"/>
      <c r="AV67" s="1034"/>
      <c r="AW67" s="1034"/>
      <c r="AX67" s="1033"/>
      <c r="AY67" s="1034"/>
      <c r="AZ67" s="1034"/>
      <c r="BA67" s="1034"/>
      <c r="BB67" s="1034"/>
      <c r="BC67" s="1034"/>
      <c r="BD67" s="1033"/>
      <c r="BE67" s="1034"/>
      <c r="BF67" s="1034"/>
      <c r="BG67" s="1034"/>
      <c r="BH67" s="1034"/>
      <c r="BI67" s="1034"/>
      <c r="BJ67" s="1033"/>
      <c r="BK67" s="1034"/>
      <c r="BL67" s="1034"/>
      <c r="BM67" s="1034"/>
      <c r="BN67" s="1034"/>
      <c r="BO67" s="1034"/>
      <c r="BP67" s="1033"/>
      <c r="BQ67" s="1034"/>
      <c r="BR67" s="1034"/>
      <c r="BS67" s="1034"/>
      <c r="BT67" s="1034"/>
      <c r="BU67" s="1034"/>
      <c r="BV67" s="1033"/>
      <c r="BW67" s="1034"/>
      <c r="BX67" s="1034"/>
      <c r="BY67" s="1034"/>
      <c r="BZ67" s="1034"/>
      <c r="CA67" s="1034"/>
      <c r="CB67" s="1033"/>
      <c r="CC67" s="1034"/>
      <c r="CD67" s="1034"/>
      <c r="CE67" s="1034"/>
      <c r="CF67" s="1034"/>
      <c r="CG67" s="1034"/>
      <c r="CH67" s="1033"/>
      <c r="CI67" s="1034"/>
      <c r="CJ67" s="1034"/>
      <c r="CK67" s="1034"/>
      <c r="CL67" s="1034"/>
      <c r="CM67" s="1034"/>
      <c r="CN67" s="19"/>
      <c r="CO67" s="25"/>
      <c r="CP67" s="25"/>
      <c r="CQ67"/>
      <c r="CR67"/>
      <c r="CS67"/>
      <c r="CT67"/>
      <c r="CU67"/>
      <c r="CV67"/>
      <c r="CW67" s="14"/>
    </row>
    <row r="68" spans="2:101" s="123" customFormat="1" ht="11.25" hidden="1" customHeight="1" outlineLevel="1" x14ac:dyDescent="0.2">
      <c r="B68" s="717" t="s">
        <v>58</v>
      </c>
      <c r="C68" s="712">
        <f>C15/C31</f>
        <v>2.1618149424271875</v>
      </c>
      <c r="D68" s="713">
        <f>D15/D31</f>
        <v>2.0923157555233027</v>
      </c>
      <c r="E68" s="713">
        <f>E15/E31</f>
        <v>2.1853318287889083</v>
      </c>
      <c r="F68" s="713">
        <f>F15/F31</f>
        <v>2.3485107386301922</v>
      </c>
      <c r="G68" s="727">
        <f>G15/G31</f>
        <v>2.3485107386301922</v>
      </c>
      <c r="H68" s="473"/>
      <c r="I68" s="712">
        <f>I15/I31</f>
        <v>2.6217608084221755</v>
      </c>
      <c r="J68" s="713">
        <f>J15/J31</f>
        <v>2.7656866015234116</v>
      </c>
      <c r="K68" s="713">
        <f>K15/K31</f>
        <v>1.7525866932946905</v>
      </c>
      <c r="L68" s="713">
        <f>L15/L31</f>
        <v>2.1135180135044958</v>
      </c>
      <c r="M68" s="727">
        <f>M15/M31</f>
        <v>2.1135180135044958</v>
      </c>
      <c r="N68" s="473"/>
      <c r="O68" s="712">
        <f>O15/O31</f>
        <v>2.2203525020854293</v>
      </c>
      <c r="P68" s="713">
        <f>P15/P31</f>
        <v>2.197752122932191</v>
      </c>
      <c r="Q68" s="713">
        <f>Q15/Q31</f>
        <v>2.4903529948485943</v>
      </c>
      <c r="R68" s="713">
        <f>R15/R31</f>
        <v>2.8046515106192049</v>
      </c>
      <c r="S68" s="727">
        <f>S15/S31</f>
        <v>2.8046515106192049</v>
      </c>
      <c r="T68" s="473"/>
      <c r="U68" s="712">
        <f>U15/U31</f>
        <v>2.7508467348089862</v>
      </c>
      <c r="V68" s="713">
        <f>V15/V31</f>
        <v>3.2276024346462013</v>
      </c>
      <c r="W68" s="713">
        <f>W15/W31</f>
        <v>3.2542095472773829</v>
      </c>
      <c r="X68" s="713">
        <f>X15/X31</f>
        <v>3.2546425875051308</v>
      </c>
      <c r="Y68" s="727">
        <f>Y15/Y31</f>
        <v>3.2546425875051308</v>
      </c>
      <c r="Z68" s="473"/>
      <c r="AA68" s="712">
        <f>AA15/AA31</f>
        <v>3.4449303088275487</v>
      </c>
      <c r="AB68" s="713">
        <f>AB15/AB31</f>
        <v>2.93963265830372</v>
      </c>
      <c r="AC68" s="713">
        <f>AC15/AC31</f>
        <v>3.5993755930335776</v>
      </c>
      <c r="AD68" s="713">
        <f>AD15/AD31</f>
        <v>3.3494969123454474</v>
      </c>
      <c r="AE68" s="727">
        <f>AE15/AE31</f>
        <v>3.3494969123454474</v>
      </c>
      <c r="AF68" s="473"/>
      <c r="AG68" s="712">
        <f>AG15/AG31</f>
        <v>3.3705984958965995</v>
      </c>
      <c r="AH68" s="713">
        <f>AH15/AH31</f>
        <v>2.9157498871232397</v>
      </c>
      <c r="AI68" s="713">
        <f>AI15/AI31</f>
        <v>3.7138677637867263</v>
      </c>
      <c r="AJ68" s="713">
        <f>AJ15/AJ31</f>
        <v>2.6498976678850861</v>
      </c>
      <c r="AK68" s="727">
        <f>AK15/AK31</f>
        <v>2.6498976678850861</v>
      </c>
      <c r="AL68" s="473"/>
      <c r="AM68" s="712">
        <f>AM15/AM31</f>
        <v>2.7158654363982331</v>
      </c>
      <c r="AN68" s="713">
        <f>AN15/AN31</f>
        <v>2.9511940912473369</v>
      </c>
      <c r="AO68" s="713">
        <f>AO15/AO31</f>
        <v>2.8184943121522359</v>
      </c>
      <c r="AP68" s="713">
        <f>AP15/AP31</f>
        <v>3.0351802264786998</v>
      </c>
      <c r="AQ68" s="727">
        <f>AQ15/AQ31</f>
        <v>3.0351802264786998</v>
      </c>
      <c r="AR68" s="473"/>
      <c r="AS68" s="712">
        <f>AS15/AS31</f>
        <v>2.7431357011783621</v>
      </c>
      <c r="AT68" s="713">
        <f>AT15/AT31</f>
        <v>2.3505092007146358</v>
      </c>
      <c r="AU68" s="713">
        <f>AU15/AU31</f>
        <v>2.2665493923460076</v>
      </c>
      <c r="AV68" s="713">
        <f>AV15/AV31</f>
        <v>2.604992428187384</v>
      </c>
      <c r="AW68" s="727">
        <f>AW15/AW31</f>
        <v>2.604992428187384</v>
      </c>
      <c r="AX68" s="473"/>
      <c r="AY68" s="712">
        <f>AY15/AY31</f>
        <v>2.4790227903514093</v>
      </c>
      <c r="AZ68" s="713">
        <f>AZ15/AZ31</f>
        <v>2.7230197811678605</v>
      </c>
      <c r="BA68" s="713">
        <f>BA15/BA31</f>
        <v>2.6381413624525969</v>
      </c>
      <c r="BB68" s="713">
        <f>BB15/BB31</f>
        <v>2.7233267265031982</v>
      </c>
      <c r="BC68" s="727">
        <f>BC15/BC31</f>
        <v>2.7233267265031982</v>
      </c>
      <c r="BD68" s="473"/>
      <c r="BE68" s="712">
        <f>BE15/BE31</f>
        <v>3.5130889524372053</v>
      </c>
      <c r="BF68" s="713">
        <f>BF15/BF31</f>
        <v>2.0867006698765964</v>
      </c>
      <c r="BG68" s="713">
        <f>BG15/BG31</f>
        <v>1.8685667727539814</v>
      </c>
      <c r="BH68" s="713">
        <f>BH15/BH31</f>
        <v>2.1071593505640061</v>
      </c>
      <c r="BI68" s="727">
        <f>BI15/BI31</f>
        <v>2.1071593505640061</v>
      </c>
      <c r="BJ68" s="473"/>
      <c r="BK68" s="712">
        <f>BK15/BK31</f>
        <v>2.020382220395601</v>
      </c>
      <c r="BL68" s="713">
        <f>BL15/BL31</f>
        <v>1.9360853688036685</v>
      </c>
      <c r="BM68" s="713">
        <f>BM15/BM31</f>
        <v>1.8930753409620893</v>
      </c>
      <c r="BN68" s="713">
        <f>BN15/BN31</f>
        <v>1.9952772943952577</v>
      </c>
      <c r="BO68" s="727">
        <f>BO15/BO31</f>
        <v>1.9952772943952577</v>
      </c>
      <c r="BP68" s="473"/>
      <c r="BQ68" s="712">
        <f>BQ15/BQ31</f>
        <v>2.0132640256123735</v>
      </c>
      <c r="BR68" s="713">
        <f>BR15/BR31</f>
        <v>1.9393518620789774</v>
      </c>
      <c r="BS68" s="713">
        <f>BS15/BS31</f>
        <v>1.7996665715225901</v>
      </c>
      <c r="BT68" s="713">
        <f>BT15/BT31</f>
        <v>1.8075535949339256</v>
      </c>
      <c r="BU68" s="727">
        <f>BU15/BU31</f>
        <v>1.8075535949339256</v>
      </c>
      <c r="BV68" s="473"/>
      <c r="BW68" s="712">
        <f>BW15/BW31</f>
        <v>1.8716392822193879</v>
      </c>
      <c r="BX68" s="713">
        <f>BX15/BX31</f>
        <v>1.8408947795078043</v>
      </c>
      <c r="BY68" s="713">
        <f>BY15/BY31</f>
        <v>1.8144692425670386</v>
      </c>
      <c r="BZ68" s="713">
        <f>BZ15/BZ31</f>
        <v>1.8377104602511805</v>
      </c>
      <c r="CA68" s="727">
        <f>CA15/CA31</f>
        <v>1.8377104602511805</v>
      </c>
      <c r="CB68" s="473"/>
      <c r="CC68" s="712">
        <f>CC15/CC31</f>
        <v>1.8709472507926417</v>
      </c>
      <c r="CD68" s="713">
        <f>CD15/CD31</f>
        <v>1.839718478699004</v>
      </c>
      <c r="CE68" s="713">
        <f>CE15/CE31</f>
        <v>1.812543631828329</v>
      </c>
      <c r="CF68" s="713">
        <f>CF15/CF31</f>
        <v>1.836641188315393</v>
      </c>
      <c r="CG68" s="727">
        <f>CG15/CG31</f>
        <v>1.836641188315393</v>
      </c>
      <c r="CH68" s="473"/>
      <c r="CI68" s="712">
        <f>CI15/CI31</f>
        <v>1.8652630886204979</v>
      </c>
      <c r="CJ68" s="713">
        <f>CJ15/CJ31</f>
        <v>1.8297321495901129</v>
      </c>
      <c r="CK68" s="713">
        <f>CK15/CK31</f>
        <v>1.7995442598528848</v>
      </c>
      <c r="CL68" s="713">
        <f>CL15/CL31</f>
        <v>1.8197040431835276</v>
      </c>
      <c r="CM68" s="727">
        <f>CM15/CM31</f>
        <v>1.8197040431835276</v>
      </c>
      <c r="CN68" s="473"/>
      <c r="CO68" s="125"/>
      <c r="CP68" s="125"/>
      <c r="CQ68"/>
      <c r="CR68"/>
      <c r="CS68"/>
      <c r="CT68"/>
      <c r="CU68"/>
      <c r="CV68"/>
      <c r="CW68" s="14"/>
    </row>
    <row r="69" spans="2:101" s="123" customFormat="1" ht="11.25" hidden="1" customHeight="1" outlineLevel="1" x14ac:dyDescent="0.2">
      <c r="B69" s="718" t="s">
        <v>59</v>
      </c>
      <c r="C69" s="714">
        <f>(C9+C10+C11)/C31</f>
        <v>1.455625251543619</v>
      </c>
      <c r="D69" s="473">
        <f>(D9+D10+D11)/D31</f>
        <v>1.3909799494705155</v>
      </c>
      <c r="E69" s="473">
        <f>(E9+E10+E11)/E31</f>
        <v>1.4152372073457393</v>
      </c>
      <c r="F69" s="473">
        <f>(F9+F10+F11)/F31</f>
        <v>1.5979908283859072</v>
      </c>
      <c r="G69" s="728">
        <f>(G9+G10+G11)/G31</f>
        <v>1.5979908283859072</v>
      </c>
      <c r="H69" s="473"/>
      <c r="I69" s="714">
        <f>(I9+I10+I11)/I31</f>
        <v>1.7450057252120552</v>
      </c>
      <c r="J69" s="473">
        <f>(J9+J10+J11)/J31</f>
        <v>1.8960296152100571</v>
      </c>
      <c r="K69" s="473">
        <f>(K9+K10+K11)/K31</f>
        <v>1.0920452838766506</v>
      </c>
      <c r="L69" s="473">
        <f>(L9+L10+L11)/L31</f>
        <v>1.442311942274394</v>
      </c>
      <c r="M69" s="728">
        <f>(M9+M10+M11)/M31</f>
        <v>1.442311942274394</v>
      </c>
      <c r="N69" s="473"/>
      <c r="O69" s="714">
        <f>(O9+O10+O11)/O31</f>
        <v>1.4621741785127662</v>
      </c>
      <c r="P69" s="473">
        <f>(P9+P10+P11)/P31</f>
        <v>1.4062393288029038</v>
      </c>
      <c r="Q69" s="473">
        <f>(Q9+Q10+Q11)/Q31</f>
        <v>1.6251449426882354</v>
      </c>
      <c r="R69" s="473">
        <f>(R9+R10+R11)/R31</f>
        <v>1.897161232425965</v>
      </c>
      <c r="S69" s="728">
        <f>(S9+S10+S11)/S31</f>
        <v>1.897161232425965</v>
      </c>
      <c r="T69" s="473"/>
      <c r="U69" s="714">
        <f>(U9+U10+U11)/U31</f>
        <v>1.8145437536971565</v>
      </c>
      <c r="V69" s="473">
        <f>(V9+V10+V11)/V31</f>
        <v>2.1467770270916562</v>
      </c>
      <c r="W69" s="473">
        <f>(W9+W10+W11)/W31</f>
        <v>2.2318995506595156</v>
      </c>
      <c r="X69" s="473">
        <f>(X9+X10+X11)/X31</f>
        <v>2.2774069831864985</v>
      </c>
      <c r="Y69" s="728">
        <f>(Y9+Y10+Y11)/Y31</f>
        <v>2.2774069831864985</v>
      </c>
      <c r="Z69" s="473"/>
      <c r="AA69" s="714">
        <f>(AA9+AA10+AA11)/AA31</f>
        <v>2.2877167410646502</v>
      </c>
      <c r="AB69" s="473">
        <f>(AB9+AB10+AB11)/AB31</f>
        <v>1.7982237064310957</v>
      </c>
      <c r="AC69" s="473">
        <f>(AC9+AC10+AC11)/AC31</f>
        <v>2.4756420066725844</v>
      </c>
      <c r="AD69" s="473">
        <f>(AD9+AD10+AD11)/AD31</f>
        <v>2.3237968489321807</v>
      </c>
      <c r="AE69" s="728">
        <f>(AE9+AE10+AE11)/AE31</f>
        <v>2.3237968489321807</v>
      </c>
      <c r="AF69" s="473"/>
      <c r="AG69" s="714">
        <f>(AG9+AG10+AG11)/AG31</f>
        <v>2.279205627519945</v>
      </c>
      <c r="AH69" s="473">
        <f>(AH9+AH10+AH11)/AH31</f>
        <v>1.835973548294735</v>
      </c>
      <c r="AI69" s="473">
        <f>(AI9+AI10+AI11)/AI31</f>
        <v>2.678189197800219</v>
      </c>
      <c r="AJ69" s="473">
        <f>(AJ9+AJ10+AJ11)/AJ31</f>
        <v>1.9610193940126273</v>
      </c>
      <c r="AK69" s="728">
        <f>(AK9+AK10+AK11)/AK31</f>
        <v>1.9610193940126273</v>
      </c>
      <c r="AL69" s="473"/>
      <c r="AM69" s="714">
        <f>(AM9+AM10+AM11)/AM31</f>
        <v>1.9835146423485199</v>
      </c>
      <c r="AN69" s="473">
        <f>(AN9+AN10+AN11)/AN31</f>
        <v>2.0988666879278233</v>
      </c>
      <c r="AO69" s="473">
        <f>(AO9+AO10+AO11)/AO31</f>
        <v>1.9560222918996033</v>
      </c>
      <c r="AP69" s="473">
        <f>(AP9+AP10+AP11)/AP31</f>
        <v>2.1256312441613399</v>
      </c>
      <c r="AQ69" s="728">
        <f>(AQ9+AQ10+AQ11)/AQ31</f>
        <v>2.1256312441613399</v>
      </c>
      <c r="AR69" s="473"/>
      <c r="AS69" s="714">
        <f>(AS9+AS10+AS11)/AS31</f>
        <v>1.9031017303871764</v>
      </c>
      <c r="AT69" s="473">
        <f>(AT9+AT10+AT11)/AT31</f>
        <v>1.6003213162264693</v>
      </c>
      <c r="AU69" s="473">
        <f>(AU9+AU10+AU11)/AU31</f>
        <v>1.5071853868135694</v>
      </c>
      <c r="AV69" s="473">
        <f>(AV9+AV10+AV11)/AV31</f>
        <v>1.6804511070670867</v>
      </c>
      <c r="AW69" s="728">
        <f>(AW9+AW10+AW11)/AW31</f>
        <v>1.6804511070670867</v>
      </c>
      <c r="AX69" s="473"/>
      <c r="AY69" s="714">
        <f>(AY9+AY10+AY11)/AY31</f>
        <v>1.4868877430244645</v>
      </c>
      <c r="AZ69" s="473">
        <f>(AZ9+AZ10+AZ11)/AZ31</f>
        <v>1.7009336740475902</v>
      </c>
      <c r="BA69" s="473">
        <f>(BA9+BA10+BA11)/BA31</f>
        <v>1.6383223620624818</v>
      </c>
      <c r="BB69" s="473">
        <f>(BB9+BB10+BB11)/BB31</f>
        <v>1.7083618234851174</v>
      </c>
      <c r="BC69" s="728">
        <f>(BC9+BC10+BC11)/BC31</f>
        <v>1.7083618234851174</v>
      </c>
      <c r="BD69" s="473"/>
      <c r="BE69" s="714">
        <f>(BE9+BE10+BE11)/BE31</f>
        <v>1.2395729937260043</v>
      </c>
      <c r="BF69" s="473">
        <f>(BF9+BF10+BF11)/BF31</f>
        <v>1.0395262263952423</v>
      </c>
      <c r="BG69" s="473">
        <f>(BG9+BG10+BG11)/BG31</f>
        <v>0.87004558769241513</v>
      </c>
      <c r="BH69" s="473">
        <f>(BH9+BH10+BH11)/BH31</f>
        <v>1.1263795691728915</v>
      </c>
      <c r="BI69" s="728">
        <f>(BI9+BI10+BI11)/BI31</f>
        <v>1.1263795691728915</v>
      </c>
      <c r="BJ69" s="473"/>
      <c r="BK69" s="714">
        <f>(BK9+BK10+BK11)/BK31</f>
        <v>0.96677674180768536</v>
      </c>
      <c r="BL69" s="473">
        <f>(BL9+BL10+BL11)/BL31</f>
        <v>0.98568876766853053</v>
      </c>
      <c r="BM69" s="473">
        <f>(BM9+BM10+BM11)/BM31</f>
        <v>0.94278028393863944</v>
      </c>
      <c r="BN69" s="473">
        <f>(BN9+BN10+BN11)/BN31</f>
        <v>1.0838902526852159</v>
      </c>
      <c r="BO69" s="728">
        <f>(BO9+BO10+BO11)/BO31</f>
        <v>1.0838902526852159</v>
      </c>
      <c r="BP69" s="473"/>
      <c r="BQ69" s="714">
        <f>(BQ9+BQ10+BQ11)/BQ31</f>
        <v>1.0432330743716631</v>
      </c>
      <c r="BR69" s="473">
        <f>(BR9+BR10+BR11)/BR31</f>
        <v>1.0000315579862218</v>
      </c>
      <c r="BS69" s="473">
        <f>(BS9+BS10+BS11)/BS31</f>
        <v>0.89216661242848294</v>
      </c>
      <c r="BT69" s="473">
        <f>(BT9+BT10+BT11)/BT31</f>
        <v>0.96952377881329144</v>
      </c>
      <c r="BU69" s="728">
        <f>(BU9+BU10+BU11)/BU31</f>
        <v>0.96952377881329144</v>
      </c>
      <c r="BV69" s="473"/>
      <c r="BW69" s="714">
        <f>(BW9+BW10+BW11)/BW31</f>
        <v>1.0355436793689836</v>
      </c>
      <c r="BX69" s="473">
        <f>(BX9+BX10+BX11)/BX31</f>
        <v>0.95523128927709167</v>
      </c>
      <c r="BY69" s="473">
        <f>(BY9+BY10+BY11)/BY31</f>
        <v>0.9366702943295061</v>
      </c>
      <c r="BZ69" s="473">
        <f>(BZ9+BZ10+BZ11)/BZ31</f>
        <v>0.99798278988227784</v>
      </c>
      <c r="CA69" s="728">
        <f>(CA9+CA10+CA11)/CA31</f>
        <v>0.99798278988227784</v>
      </c>
      <c r="CB69" s="473"/>
      <c r="CC69" s="714">
        <f>(CC9+CC10+CC11)/CC31</f>
        <v>1.0213440997445442</v>
      </c>
      <c r="CD69" s="473">
        <f>(CD9+CD10+CD11)/CD31</f>
        <v>0.93934560628073205</v>
      </c>
      <c r="CE69" s="473">
        <f>(CE9+CE10+CE11)/CE31</f>
        <v>0.92010463945553345</v>
      </c>
      <c r="CF69" s="473">
        <f>(CF9+CF10+CF11)/CF31</f>
        <v>0.98189534441313564</v>
      </c>
      <c r="CG69" s="728">
        <f>(CG9+CG10+CG11)/CG31</f>
        <v>0.98189534441313564</v>
      </c>
      <c r="CH69" s="473"/>
      <c r="CI69" s="714">
        <f>(CI9+CI10+CI11)/CI31</f>
        <v>0.99976820355078733</v>
      </c>
      <c r="CJ69" s="473">
        <f>(CJ9+CJ10+CJ11)/CJ31</f>
        <v>0.91280256299806695</v>
      </c>
      <c r="CK69" s="473">
        <f>(CK9+CK10+CK11)/CK31</f>
        <v>0.89146512702832859</v>
      </c>
      <c r="CL69" s="473">
        <f>(CL9+CL10+CL11)/CL31</f>
        <v>0.94896703779217395</v>
      </c>
      <c r="CM69" s="728">
        <f>(CM9+CM10+CM11)/CM31</f>
        <v>0.94896703779217395</v>
      </c>
      <c r="CN69" s="473"/>
      <c r="CO69" s="125"/>
      <c r="CP69" s="125"/>
      <c r="CQ69"/>
      <c r="CR69"/>
      <c r="CS69"/>
      <c r="CT69"/>
      <c r="CU69"/>
      <c r="CV69"/>
      <c r="CW69" s="14"/>
    </row>
    <row r="70" spans="2:101" s="123" customFormat="1" ht="11.25" hidden="1" customHeight="1" outlineLevel="1" x14ac:dyDescent="0.2">
      <c r="B70" s="719" t="s">
        <v>60</v>
      </c>
      <c r="C70" s="714">
        <f>C9/C31</f>
        <v>0.65088199782077338</v>
      </c>
      <c r="D70" s="473">
        <f>D9/D31</f>
        <v>0.48798043326345208</v>
      </c>
      <c r="E70" s="473">
        <f>E9/E31</f>
        <v>0.43335427189240044</v>
      </c>
      <c r="F70" s="473">
        <f>F9/F31</f>
        <v>0.64055856242499387</v>
      </c>
      <c r="G70" s="728">
        <f>G9/G31</f>
        <v>0.64055856242499387</v>
      </c>
      <c r="H70" s="473"/>
      <c r="I70" s="714">
        <f>I9/I31</f>
        <v>0.81773815214612078</v>
      </c>
      <c r="J70" s="473">
        <f>J9/J31</f>
        <v>0.94363486239535432</v>
      </c>
      <c r="K70" s="473">
        <f>K9/K31</f>
        <v>0.34752006234854299</v>
      </c>
      <c r="L70" s="473">
        <f>L9/L31</f>
        <v>0.66120107194888289</v>
      </c>
      <c r="M70" s="728">
        <f>M9/M31</f>
        <v>0.66120107194888289</v>
      </c>
      <c r="N70" s="473"/>
      <c r="O70" s="714">
        <f>O9/O31</f>
        <v>0.71194843614285819</v>
      </c>
      <c r="P70" s="473">
        <f>P9/P31</f>
        <v>0.58038421963161047</v>
      </c>
      <c r="Q70" s="473">
        <f>Q9/Q31</f>
        <v>0.43960472397752609</v>
      </c>
      <c r="R70" s="473">
        <f>R9/R31</f>
        <v>0.47282381094825016</v>
      </c>
      <c r="S70" s="728">
        <f>S9/S31</f>
        <v>0.47282381094825016</v>
      </c>
      <c r="T70" s="473"/>
      <c r="U70" s="714">
        <f>U9/U31</f>
        <v>0.48252741054600989</v>
      </c>
      <c r="V70" s="473">
        <f>V9/V31</f>
        <v>0.54250587458830057</v>
      </c>
      <c r="W70" s="473">
        <f>W9/W31</f>
        <v>0.80863772527419431</v>
      </c>
      <c r="X70" s="473">
        <f>X9/X31</f>
        <v>0.97772361784521933</v>
      </c>
      <c r="Y70" s="728">
        <f>Y9/Y31</f>
        <v>0.97772361784521933</v>
      </c>
      <c r="Z70" s="473"/>
      <c r="AA70" s="714">
        <f>AA9/AA31</f>
        <v>0.9062190641037321</v>
      </c>
      <c r="AB70" s="473">
        <f>AB9/AB31</f>
        <v>0.78193070837674172</v>
      </c>
      <c r="AC70" s="473">
        <f>AC9/AC31</f>
        <v>1.1877169355085551</v>
      </c>
      <c r="AD70" s="473">
        <f>AD9/AD31</f>
        <v>1.0577904422871234</v>
      </c>
      <c r="AE70" s="728">
        <f>AE9/AE31</f>
        <v>1.0577904422871234</v>
      </c>
      <c r="AF70" s="473"/>
      <c r="AG70" s="714">
        <f>AG9/AG31</f>
        <v>1.0688170198164193</v>
      </c>
      <c r="AH70" s="473">
        <f>AH9/AH31</f>
        <v>0.68846014073804884</v>
      </c>
      <c r="AI70" s="473">
        <f>AI9/AI31</f>
        <v>1.4907866849520011</v>
      </c>
      <c r="AJ70" s="473">
        <f>AJ9/AJ31</f>
        <v>1.0833251517989304</v>
      </c>
      <c r="AK70" s="728">
        <f>AK9/AK31</f>
        <v>1.0833251517989304</v>
      </c>
      <c r="AL70" s="473"/>
      <c r="AM70" s="714">
        <f>AM9/AM31</f>
        <v>1.1583691363786865</v>
      </c>
      <c r="AN70" s="473">
        <f>AN9/AN31</f>
        <v>1.1563619388325777</v>
      </c>
      <c r="AO70" s="473">
        <f>AO9/AO31</f>
        <v>1.0337441770398685</v>
      </c>
      <c r="AP70" s="473">
        <f>AP9/AP31</f>
        <v>1.1264361153039224</v>
      </c>
      <c r="AQ70" s="728">
        <f>AQ9/AQ31</f>
        <v>1.1264361153039224</v>
      </c>
      <c r="AR70" s="473"/>
      <c r="AS70" s="714">
        <f>AS9/AS31</f>
        <v>1.1438014680234765</v>
      </c>
      <c r="AT70" s="473">
        <f>AT9/AT31</f>
        <v>0.77412609336771498</v>
      </c>
      <c r="AU70" s="473">
        <f>AU9/AU31</f>
        <v>0.62516404151098082</v>
      </c>
      <c r="AV70" s="473">
        <f>AV9/AV31</f>
        <v>0.48744440743896095</v>
      </c>
      <c r="AW70" s="728">
        <f>AW9/AW31</f>
        <v>0.48744440743896095</v>
      </c>
      <c r="AX70" s="473"/>
      <c r="AY70" s="714">
        <f>AY9/AY31</f>
        <v>0.44726450599177309</v>
      </c>
      <c r="AZ70" s="473">
        <f>AZ9/AZ31</f>
        <v>0.52070789601634848</v>
      </c>
      <c r="BA70" s="473">
        <f>BA9/BA31</f>
        <v>0.50912202888261726</v>
      </c>
      <c r="BB70" s="473">
        <f>BB9/BB31</f>
        <v>0.60112344963085418</v>
      </c>
      <c r="BC70" s="728">
        <f>BC9/BC31</f>
        <v>0.60112344963085418</v>
      </c>
      <c r="BD70" s="473"/>
      <c r="BE70" s="714">
        <f>BE9/BE31</f>
        <v>0.26859328516787073</v>
      </c>
      <c r="BF70" s="473">
        <f>BF9/BF31</f>
        <v>0.11955944465877377</v>
      </c>
      <c r="BG70" s="473">
        <f>BG9/BG31</f>
        <v>0.10670731041352208</v>
      </c>
      <c r="BH70" s="473">
        <f>BH9/BH31</f>
        <v>0.16573881483357147</v>
      </c>
      <c r="BI70" s="728">
        <f>BI9/BI31</f>
        <v>0.16573881483357147</v>
      </c>
      <c r="BJ70" s="473"/>
      <c r="BK70" s="714">
        <f>BK9/BK31</f>
        <v>0.10750008363161943</v>
      </c>
      <c r="BL70" s="473">
        <f>BL9/BL31</f>
        <v>0.11660569850708115</v>
      </c>
      <c r="BM70" s="473">
        <f>BM9/BM31</f>
        <v>0.12316114170324739</v>
      </c>
      <c r="BN70" s="473">
        <f>BN9/BN31</f>
        <v>0.10505115987835355</v>
      </c>
      <c r="BO70" s="728">
        <f>BO9/BO31</f>
        <v>0.10505115987835355</v>
      </c>
      <c r="BP70" s="473"/>
      <c r="BQ70" s="714">
        <f>BQ9/BQ31</f>
        <v>0.11061188563117473</v>
      </c>
      <c r="BR70" s="473">
        <f>BR9/BR31</f>
        <v>0.10672490167057461</v>
      </c>
      <c r="BS70" s="473">
        <f>BS9/BS31</f>
        <v>0.10726888625071131</v>
      </c>
      <c r="BT70" s="473">
        <f>BT9/BT31</f>
        <v>0.15277680729495072</v>
      </c>
      <c r="BU70" s="728">
        <f>BU9/BU31</f>
        <v>0.15277680729495072</v>
      </c>
      <c r="BV70" s="473"/>
      <c r="BW70" s="714">
        <f>BW9/BW31</f>
        <v>0.19339331439654517</v>
      </c>
      <c r="BX70" s="473">
        <f>BX9/BX31</f>
        <v>0.13289979943081864</v>
      </c>
      <c r="BY70" s="473">
        <f>BY9/BY31</f>
        <v>0.14179389785296737</v>
      </c>
      <c r="BZ70" s="473">
        <f>BZ9/BZ31</f>
        <v>0.16497921103874458</v>
      </c>
      <c r="CA70" s="728">
        <f>CA9/CA31</f>
        <v>0.16497921103874458</v>
      </c>
      <c r="CB70" s="473"/>
      <c r="CC70" s="714">
        <f>CC9/CC31</f>
        <v>0.17899948322834652</v>
      </c>
      <c r="CD70" s="473">
        <f>CD9/CD31</f>
        <v>0.11670582193755036</v>
      </c>
      <c r="CE70" s="473">
        <f>CE9/CE31</f>
        <v>0.12455858510880825</v>
      </c>
      <c r="CF70" s="473">
        <f>CF9/CF31</f>
        <v>0.14826372861275905</v>
      </c>
      <c r="CG70" s="728">
        <f>CG9/CG31</f>
        <v>0.14826372861275905</v>
      </c>
      <c r="CH70" s="473"/>
      <c r="CI70" s="714">
        <f>CI9/CI31</f>
        <v>0.15753762616169206</v>
      </c>
      <c r="CJ70" s="473">
        <f>CJ9/CJ31</f>
        <v>9.103326027382011E-2</v>
      </c>
      <c r="CK70" s="473">
        <f>CK9/CK31</f>
        <v>9.7217310231264689E-2</v>
      </c>
      <c r="CL70" s="473">
        <f>CL9/CL31</f>
        <v>0.11673215750942313</v>
      </c>
      <c r="CM70" s="728">
        <f>CM9/CM31</f>
        <v>0.11673215750942313</v>
      </c>
      <c r="CN70" s="473"/>
      <c r="CO70" s="125"/>
      <c r="CP70" s="125"/>
      <c r="CQ70"/>
      <c r="CR70"/>
      <c r="CS70"/>
      <c r="CT70"/>
      <c r="CU70"/>
      <c r="CV70"/>
      <c r="CW70" s="14"/>
    </row>
    <row r="71" spans="2:101" s="123" customFormat="1" ht="11.25" hidden="1" customHeight="1" outlineLevel="1" x14ac:dyDescent="0.2">
      <c r="B71" s="720" t="s">
        <v>61</v>
      </c>
      <c r="C71" s="715">
        <f>(C15-C12)/C31</f>
        <v>1.5189455291496112</v>
      </c>
      <c r="D71" s="716">
        <f>(D15-D12)/D31</f>
        <v>1.4587270870289737</v>
      </c>
      <c r="E71" s="716">
        <f>(E15-E12)/E31</f>
        <v>1.4947828879862886</v>
      </c>
      <c r="F71" s="716">
        <f>(F15-F12)/F31</f>
        <v>1.6856563055509195</v>
      </c>
      <c r="G71" s="729">
        <f>(G15-G12)/G31</f>
        <v>1.6856563055509195</v>
      </c>
      <c r="H71" s="473"/>
      <c r="I71" s="715">
        <f>(I15-I12)/I31</f>
        <v>1.8411364823852454</v>
      </c>
      <c r="J71" s="716">
        <f>(J15-J12)/J31</f>
        <v>1.9989391893000288</v>
      </c>
      <c r="K71" s="716">
        <f>(K15-K12)/K31</f>
        <v>1.1664921232195555</v>
      </c>
      <c r="L71" s="716">
        <f>(L15-L12)/L31</f>
        <v>1.5100897510443774</v>
      </c>
      <c r="M71" s="729">
        <f>(M15-M12)/M31</f>
        <v>1.5100897510443774</v>
      </c>
      <c r="N71" s="473"/>
      <c r="O71" s="715">
        <f>(O15-O12)/O31</f>
        <v>1.5340526990187731</v>
      </c>
      <c r="P71" s="716">
        <f>(P15-P12)/P31</f>
        <v>1.4930019561505674</v>
      </c>
      <c r="Q71" s="716">
        <f>(Q15-Q12)/Q31</f>
        <v>1.7156136201320302</v>
      </c>
      <c r="R71" s="716">
        <f>(R15-R12)/R31</f>
        <v>1.9971911456775355</v>
      </c>
      <c r="S71" s="729">
        <f>(S15-S12)/S31</f>
        <v>1.9971911456775355</v>
      </c>
      <c r="T71" s="473"/>
      <c r="U71" s="715">
        <f>(U15-U12)/U31</f>
        <v>1.9268630229326877</v>
      </c>
      <c r="V71" s="716">
        <f>(V15-V12)/V31</f>
        <v>2.2881593169216834</v>
      </c>
      <c r="W71" s="716">
        <f>(W15-W12)/W31</f>
        <v>2.3403180412620186</v>
      </c>
      <c r="X71" s="716">
        <f>(X15-X12)/X31</f>
        <v>2.4258090259537068</v>
      </c>
      <c r="Y71" s="729">
        <f>(Y15-Y12)/Y31</f>
        <v>2.4258090259537068</v>
      </c>
      <c r="Z71" s="473"/>
      <c r="AA71" s="715">
        <f>(AA15-AA12)/AA31</f>
        <v>2.4234551030943488</v>
      </c>
      <c r="AB71" s="716">
        <f>(AB15-AB12)/AB31</f>
        <v>2.2101939461403428</v>
      </c>
      <c r="AC71" s="716">
        <f>(AC15-AC12)/AC31</f>
        <v>2.6099048085458052</v>
      </c>
      <c r="AD71" s="716">
        <f>(AD15-AD12)/AD31</f>
        <v>2.434783673669342</v>
      </c>
      <c r="AE71" s="729">
        <f>(AE15-AE12)/AE31</f>
        <v>2.434783673669342</v>
      </c>
      <c r="AF71" s="473"/>
      <c r="AG71" s="715">
        <f>(AG15-AG12)/AG31</f>
        <v>2.3798461582454031</v>
      </c>
      <c r="AH71" s="716">
        <f>(AH15-AH12)/AH31</f>
        <v>1.9594689836686603</v>
      </c>
      <c r="AI71" s="716">
        <f>(AI15-AI12)/AI31</f>
        <v>2.7863718849132137</v>
      </c>
      <c r="AJ71" s="716">
        <f>(AJ15-AJ12)/AJ31</f>
        <v>2.0458134459112469</v>
      </c>
      <c r="AK71" s="729">
        <f>(AK15-AK12)/AK31</f>
        <v>2.0458134459112469</v>
      </c>
      <c r="AL71" s="473"/>
      <c r="AM71" s="715">
        <f>(AM15-AM12)/AM31</f>
        <v>2.0813277644139667</v>
      </c>
      <c r="AN71" s="716">
        <f>(AN15-AN12)/AN31</f>
        <v>2.1863632792098251</v>
      </c>
      <c r="AO71" s="716">
        <f>(AO15-AO12)/AO31</f>
        <v>2.0468856325775064</v>
      </c>
      <c r="AP71" s="716">
        <f>(AP15-AP12)/AP31</f>
        <v>2.2312834015950274</v>
      </c>
      <c r="AQ71" s="729">
        <f>(AQ15-AQ12)/AQ31</f>
        <v>2.2312834015950274</v>
      </c>
      <c r="AR71" s="473"/>
      <c r="AS71" s="715">
        <f>(AS15-AS12)/AS31</f>
        <v>2.0071145300959983</v>
      </c>
      <c r="AT71" s="716">
        <f>(AT15-AT12)/AT31</f>
        <v>1.6872882080545064</v>
      </c>
      <c r="AU71" s="716">
        <f>(AU15-AU12)/AU31</f>
        <v>1.6013739674600624</v>
      </c>
      <c r="AV71" s="716">
        <f>(AV15-AV12)/AV31</f>
        <v>1.8018779567330254</v>
      </c>
      <c r="AW71" s="729">
        <f>(AW15-AW12)/AW31</f>
        <v>1.8018779567330254</v>
      </c>
      <c r="AX71" s="473"/>
      <c r="AY71" s="715">
        <f>(AY15-AY12)/AY31</f>
        <v>1.5889931831358943</v>
      </c>
      <c r="AZ71" s="716">
        <f>(AZ15-AZ12)/AZ31</f>
        <v>1.8092822700635733</v>
      </c>
      <c r="BA71" s="716">
        <f>(BA15-BA12)/BA31</f>
        <v>1.7338128358597127</v>
      </c>
      <c r="BB71" s="716">
        <f>(BB15-BB12)/BB31</f>
        <v>2.0163289682093182</v>
      </c>
      <c r="BC71" s="729">
        <f>(BC15-BC12)/BC31</f>
        <v>2.0163289682093182</v>
      </c>
      <c r="BD71" s="473"/>
      <c r="BE71" s="715">
        <f>(BE15-BE12)/BE31</f>
        <v>2.4805707823406107</v>
      </c>
      <c r="BF71" s="716">
        <f>(BF15-BF12)/BF31</f>
        <v>1.1437015566990165</v>
      </c>
      <c r="BG71" s="716">
        <f>(BG15-BG12)/BG31</f>
        <v>0.97907924656890899</v>
      </c>
      <c r="BH71" s="716">
        <f>(BH15-BH12)/BH31</f>
        <v>1.2364135120307238</v>
      </c>
      <c r="BI71" s="729">
        <f>(BI15-BI12)/BI31</f>
        <v>1.2364135120307238</v>
      </c>
      <c r="BJ71" s="473"/>
      <c r="BK71" s="715">
        <f>(BK15-BK12)/BK31</f>
        <v>1.0655767475424247</v>
      </c>
      <c r="BL71" s="716">
        <f>(BL15-BL12)/BL31</f>
        <v>1.0958191300232714</v>
      </c>
      <c r="BM71" s="716">
        <f>(BM15-BM12)/BM31</f>
        <v>1.0563567514085141</v>
      </c>
      <c r="BN71" s="716">
        <f>(BN15-BN12)/BN31</f>
        <v>1.2077138631156579</v>
      </c>
      <c r="BO71" s="729">
        <f>(BO15-BO12)/BO31</f>
        <v>1.2077138631156579</v>
      </c>
      <c r="BP71" s="473"/>
      <c r="BQ71" s="715">
        <f>(BQ15-BQ12)/BQ31</f>
        <v>1.1515136398304331</v>
      </c>
      <c r="BR71" s="716">
        <f>(BR15-BR12)/BR31</f>
        <v>1.1016251310971346</v>
      </c>
      <c r="BS71" s="716">
        <f>(BS15-BS12)/BS31</f>
        <v>0.99789471004994157</v>
      </c>
      <c r="BT71" s="716">
        <f>(BT15-BT12)/BT31</f>
        <v>1.0846516639320798</v>
      </c>
      <c r="BU71" s="729">
        <f>(BU15-BU12)/BU31</f>
        <v>1.0846516639320798</v>
      </c>
      <c r="BV71" s="473"/>
      <c r="BW71" s="715">
        <f>(BW15-BW12)/BW31</f>
        <v>1.1367858183236699</v>
      </c>
      <c r="BX71" s="716">
        <f>(BX15-BX12)/BX31</f>
        <v>1.0625560609845164</v>
      </c>
      <c r="BY71" s="716">
        <f>(BY15-BY12)/BY31</f>
        <v>1.0382731856070566</v>
      </c>
      <c r="BZ71" s="716">
        <f>(BZ15-BZ12)/BZ31</f>
        <v>1.1085441200648565</v>
      </c>
      <c r="CA71" s="729">
        <f>(CA15-CA12)/CA31</f>
        <v>1.1085441200648565</v>
      </c>
      <c r="CB71" s="473"/>
      <c r="CC71" s="715">
        <f>(CC15-CC12)/CC31</f>
        <v>1.1289366450946769</v>
      </c>
      <c r="CD71" s="716">
        <f>(CD15-CD12)/CD31</f>
        <v>1.0531771888774295</v>
      </c>
      <c r="CE71" s="716">
        <f>(CE15-CE12)/CE31</f>
        <v>1.0278976478793129</v>
      </c>
      <c r="CF71" s="716">
        <f>(CF15-CF12)/CF31</f>
        <v>1.0992462527329183</v>
      </c>
      <c r="CG71" s="729">
        <f>(CG15-CG12)/CG31</f>
        <v>1.0992462527329183</v>
      </c>
      <c r="CH71" s="473"/>
      <c r="CI71" s="715">
        <f>(CI15-CI12)/CI31</f>
        <v>1.1134972092312627</v>
      </c>
      <c r="CJ71" s="716">
        <f>(CJ15-CJ12)/CJ31</f>
        <v>1.0330917005399067</v>
      </c>
      <c r="CK71" s="716">
        <f>(CK15-CK12)/CK31</f>
        <v>1.0052860349556725</v>
      </c>
      <c r="CL71" s="716">
        <f>(CL15-CL12)/CL31</f>
        <v>1.0729438352686855</v>
      </c>
      <c r="CM71" s="729">
        <f>(CM15-CM12)/CM31</f>
        <v>1.0729438352686855</v>
      </c>
      <c r="CN71" s="473"/>
      <c r="CO71" s="125"/>
      <c r="CP71" s="125"/>
      <c r="CQ71"/>
      <c r="CR71"/>
      <c r="CS71"/>
      <c r="CT71"/>
      <c r="CU71"/>
      <c r="CV71"/>
      <c r="CW71" s="14"/>
    </row>
    <row r="72" spans="2:101" s="123" customFormat="1" ht="11.25" customHeight="1" collapsed="1" x14ac:dyDescent="0.2">
      <c r="B72" s="101"/>
      <c r="C72" s="50"/>
      <c r="D72" s="50"/>
      <c r="E72" s="50"/>
      <c r="F72" s="50"/>
      <c r="G72" s="53"/>
      <c r="H72" s="19"/>
      <c r="I72" s="50"/>
      <c r="J72" s="50"/>
      <c r="K72" s="50"/>
      <c r="L72" s="50"/>
      <c r="M72" s="53"/>
      <c r="N72" s="19"/>
      <c r="O72" s="50"/>
      <c r="P72" s="50"/>
      <c r="Q72" s="50"/>
      <c r="R72" s="50"/>
      <c r="S72" s="53"/>
      <c r="T72" s="19"/>
      <c r="U72" s="50"/>
      <c r="V72" s="50"/>
      <c r="W72" s="50"/>
      <c r="X72" s="50"/>
      <c r="Y72" s="53"/>
      <c r="Z72" s="19"/>
      <c r="AA72" s="50"/>
      <c r="AB72" s="50"/>
      <c r="AC72" s="50"/>
      <c r="AD72" s="50"/>
      <c r="AE72" s="53"/>
      <c r="AF72" s="19"/>
      <c r="AG72" s="50"/>
      <c r="AH72" s="50"/>
      <c r="AI72" s="50"/>
      <c r="AJ72" s="50"/>
      <c r="AK72" s="53"/>
      <c r="AL72" s="19"/>
      <c r="AM72" s="50"/>
      <c r="AN72" s="50"/>
      <c r="AO72" s="50"/>
      <c r="AP72" s="50"/>
      <c r="AQ72" s="53"/>
      <c r="AR72" s="19"/>
      <c r="AS72" s="50"/>
      <c r="AT72" s="50"/>
      <c r="AU72" s="50"/>
      <c r="AV72" s="50"/>
      <c r="AW72" s="53"/>
      <c r="AX72" s="19"/>
      <c r="AY72" s="50"/>
      <c r="AZ72" s="50"/>
      <c r="BA72" s="50"/>
      <c r="BB72" s="50"/>
      <c r="BC72" s="53"/>
      <c r="BD72" s="19"/>
      <c r="BE72" s="50"/>
      <c r="BF72" s="50"/>
      <c r="BG72" s="50"/>
      <c r="BH72" s="50"/>
      <c r="BI72" s="53"/>
      <c r="BJ72" s="19"/>
      <c r="BK72" s="50"/>
      <c r="BL72" s="50"/>
      <c r="BM72" s="50"/>
      <c r="BN72" s="50"/>
      <c r="BO72" s="53"/>
      <c r="BP72" s="19"/>
      <c r="BQ72" s="50"/>
      <c r="BR72" s="50"/>
      <c r="BS72" s="50"/>
      <c r="BT72" s="50"/>
      <c r="BU72" s="53"/>
      <c r="BV72" s="19"/>
      <c r="BW72" s="50"/>
      <c r="BX72" s="50"/>
      <c r="BY72" s="50"/>
      <c r="BZ72" s="50"/>
      <c r="CA72" s="53"/>
      <c r="CB72" s="19"/>
      <c r="CC72" s="50"/>
      <c r="CD72" s="50"/>
      <c r="CE72" s="50"/>
      <c r="CF72" s="50"/>
      <c r="CG72" s="53"/>
      <c r="CH72" s="19"/>
      <c r="CI72" s="50"/>
      <c r="CJ72" s="50"/>
      <c r="CK72" s="50"/>
      <c r="CL72" s="50"/>
      <c r="CM72" s="53"/>
      <c r="CN72" s="19"/>
      <c r="CO72" s="53"/>
      <c r="CP72" s="53"/>
      <c r="CQ72"/>
      <c r="CR72"/>
      <c r="CS72"/>
      <c r="CT72"/>
      <c r="CU72"/>
      <c r="CV72"/>
      <c r="CW72" s="14"/>
    </row>
    <row r="73" spans="2:101" s="123" customFormat="1" ht="11.25" customHeight="1" x14ac:dyDescent="0.2">
      <c r="B73" s="1033" t="s">
        <v>62</v>
      </c>
      <c r="C73" s="1034"/>
      <c r="D73" s="1034"/>
      <c r="E73" s="1034"/>
      <c r="F73" s="1034"/>
      <c r="G73" s="1034"/>
      <c r="H73" s="1033"/>
      <c r="I73" s="1034"/>
      <c r="J73" s="1034"/>
      <c r="K73" s="1034"/>
      <c r="L73" s="1034"/>
      <c r="M73" s="1034"/>
      <c r="N73" s="1033"/>
      <c r="O73" s="1034"/>
      <c r="P73" s="1034"/>
      <c r="Q73" s="1034"/>
      <c r="R73" s="1034"/>
      <c r="S73" s="1034"/>
      <c r="T73" s="1033"/>
      <c r="U73" s="1034"/>
      <c r="V73" s="1034"/>
      <c r="W73" s="1034"/>
      <c r="X73" s="1034"/>
      <c r="Y73" s="1034"/>
      <c r="Z73" s="1033"/>
      <c r="AA73" s="1034"/>
      <c r="AB73" s="1034"/>
      <c r="AC73" s="1034"/>
      <c r="AD73" s="1034"/>
      <c r="AE73" s="1034"/>
      <c r="AF73" s="1033"/>
      <c r="AG73" s="1034"/>
      <c r="AH73" s="1034"/>
      <c r="AI73" s="1034"/>
      <c r="AJ73" s="1034"/>
      <c r="AK73" s="1034"/>
      <c r="AL73" s="1033"/>
      <c r="AM73" s="1034"/>
      <c r="AN73" s="1034"/>
      <c r="AO73" s="1034"/>
      <c r="AP73" s="1034"/>
      <c r="AQ73" s="1034"/>
      <c r="AR73" s="1033"/>
      <c r="AS73" s="1034"/>
      <c r="AT73" s="1034"/>
      <c r="AU73" s="1034"/>
      <c r="AV73" s="1034"/>
      <c r="AW73" s="1034"/>
      <c r="AX73" s="1033"/>
      <c r="AY73" s="1034"/>
      <c r="AZ73" s="1034"/>
      <c r="BA73" s="1034"/>
      <c r="BB73" s="1034"/>
      <c r="BC73" s="1034"/>
      <c r="BD73" s="1033"/>
      <c r="BE73" s="1034"/>
      <c r="BF73" s="1034"/>
      <c r="BG73" s="1034"/>
      <c r="BH73" s="1034"/>
      <c r="BI73" s="1034"/>
      <c r="BJ73" s="1033"/>
      <c r="BK73" s="1034"/>
      <c r="BL73" s="1034"/>
      <c r="BM73" s="1034"/>
      <c r="BN73" s="1034"/>
      <c r="BO73" s="1034"/>
      <c r="BP73" s="1033"/>
      <c r="BQ73" s="1034"/>
      <c r="BR73" s="1034"/>
      <c r="BS73" s="1034"/>
      <c r="BT73" s="1034"/>
      <c r="BU73" s="1034"/>
      <c r="BV73" s="1033"/>
      <c r="BW73" s="1034"/>
      <c r="BX73" s="1034"/>
      <c r="BY73" s="1034"/>
      <c r="BZ73" s="1034"/>
      <c r="CA73" s="1034"/>
      <c r="CB73" s="1033"/>
      <c r="CC73" s="1034"/>
      <c r="CD73" s="1034"/>
      <c r="CE73" s="1034"/>
      <c r="CF73" s="1034"/>
      <c r="CG73" s="1034"/>
      <c r="CH73" s="1033"/>
      <c r="CI73" s="1034"/>
      <c r="CJ73" s="1034"/>
      <c r="CK73" s="1034"/>
      <c r="CL73" s="1034"/>
      <c r="CM73" s="1034"/>
      <c r="CN73" s="19"/>
      <c r="CO73" s="25"/>
      <c r="CP73" s="25"/>
      <c r="CQ73"/>
      <c r="CR73"/>
      <c r="CS73"/>
      <c r="CT73"/>
      <c r="CU73"/>
      <c r="CV73"/>
      <c r="CW73" s="14"/>
    </row>
    <row r="74" spans="2:101" s="123" customFormat="1" ht="11.25" customHeight="1" x14ac:dyDescent="0.2">
      <c r="B74" s="721" t="s">
        <v>181</v>
      </c>
      <c r="C74" s="722">
        <f>+AVERAGE(C11,A11)/('P&amp;L'!C8/'P&amp;L'!C7)</f>
        <v>46.024702206600267</v>
      </c>
      <c r="D74" s="723">
        <f>+AVERAGE(D11,C11)/('P&amp;L'!D8/'P&amp;L'!D7)</f>
        <v>43.986933094042264</v>
      </c>
      <c r="E74" s="723">
        <f>+AVERAGE(E11,D11)/('P&amp;L'!E8/'P&amp;L'!E7)</f>
        <v>44.179759095919067</v>
      </c>
      <c r="F74" s="723">
        <f>+AVERAGE(F11,E11)/('P&amp;L'!F8/'P&amp;L'!F7)</f>
        <v>42.555804492500101</v>
      </c>
      <c r="G74" s="730">
        <f>+AVERAGE(G11,A11)/('P&amp;L'!G8/'P&amp;L'!G7)</f>
        <v>47.138171553867608</v>
      </c>
      <c r="H74" s="199"/>
      <c r="I74" s="722">
        <f>+AVERAGE(I11,G11)/('P&amp;L'!I8/'P&amp;L'!I7)</f>
        <v>45.582893144169617</v>
      </c>
      <c r="J74" s="723">
        <f>+AVERAGE(J11,I11)/('P&amp;L'!J8/'P&amp;L'!J7)</f>
        <v>42.280035364262694</v>
      </c>
      <c r="K74" s="723">
        <f>+AVERAGE(K11,J11)/('P&amp;L'!K8/'P&amp;L'!K7)</f>
        <v>42.343308286547582</v>
      </c>
      <c r="L74" s="723">
        <f>+AVERAGE(L11,K11)/('P&amp;L'!L8/'P&amp;L'!L7)</f>
        <v>42.253940194350371</v>
      </c>
      <c r="M74" s="730">
        <f>+AVERAGE(M11,G11)/('P&amp;L'!M8/'P&amp;L'!M7)</f>
        <v>44.271267260229251</v>
      </c>
      <c r="N74" s="199"/>
      <c r="O74" s="722">
        <f>+AVERAGE(O11,M11)/('P&amp;L'!O8/'P&amp;L'!O7)</f>
        <v>43.612676595967784</v>
      </c>
      <c r="P74" s="723">
        <f>+AVERAGE(P11,O11)/('P&amp;L'!P8/'P&amp;L'!P7)</f>
        <v>43.255121724486187</v>
      </c>
      <c r="Q74" s="723">
        <f>+AVERAGE(Q11,P11)/('P&amp;L'!Q8/'P&amp;L'!Q7)</f>
        <v>45.474786781632574</v>
      </c>
      <c r="R74" s="723">
        <f>+AVERAGE(R11,Q11)/('P&amp;L'!R8/'P&amp;L'!R7)</f>
        <v>52.665332280185261</v>
      </c>
      <c r="S74" s="730">
        <f>+AVERAGE(S11,M11)/('P&amp;L'!S8/'P&amp;L'!S7)</f>
        <v>49.556026432449841</v>
      </c>
      <c r="T74" s="199"/>
      <c r="U74" s="722">
        <f>+AVERAGE(U11,S11)/('P&amp;L'!U8/'P&amp;L'!U7)</f>
        <v>55.336985912745916</v>
      </c>
      <c r="V74" s="723">
        <f>+AVERAGE(V11,U11)/('P&amp;L'!V8/'P&amp;L'!V7)</f>
        <v>55.727694057679543</v>
      </c>
      <c r="W74" s="723">
        <f>+AVERAGE(W11,V11)/('P&amp;L'!W8/'P&amp;L'!W7)</f>
        <v>54.660239682764214</v>
      </c>
      <c r="X74" s="723">
        <f>+AVERAGE(X11,W11)/('P&amp;L'!X8/'P&amp;L'!X7)</f>
        <v>51.162320580932672</v>
      </c>
      <c r="Y74" s="730">
        <f>+AVERAGE(Y11,S11)/('P&amp;L'!Y8/'P&amp;L'!Y7)</f>
        <v>52.36482107731694</v>
      </c>
      <c r="Z74" s="199"/>
      <c r="AA74" s="722">
        <f>+AVERAGE(AA11,Y11)/('P&amp;L'!AA8/'P&amp;L'!AA7)</f>
        <v>48.600129797231531</v>
      </c>
      <c r="AB74" s="723">
        <f>+AVERAGE(AB11,AA11)/('P&amp;L'!AB8/'P&amp;L'!AB7)</f>
        <v>47.330673396982085</v>
      </c>
      <c r="AC74" s="723">
        <f>+AVERAGE(AC11,AB11)/('P&amp;L'!AC8/'P&amp;L'!AC7)</f>
        <v>47.305504153277148</v>
      </c>
      <c r="AD74" s="723">
        <f>+AVERAGE(AD11,AC11)/('P&amp;L'!AD8/'P&amp;L'!AD7)</f>
        <v>45.108398891628269</v>
      </c>
      <c r="AE74" s="730">
        <f>+AVERAGE(AE11,Y11)/('P&amp;L'!AE8/'P&amp;L'!AE7)</f>
        <v>49.044453943150238</v>
      </c>
      <c r="AF74" s="199"/>
      <c r="AG74" s="722">
        <f>+AVERAGE(AG11,AE11)/('P&amp;L'!AG8/'P&amp;L'!AG7)</f>
        <v>47.703154390610578</v>
      </c>
      <c r="AH74" s="723">
        <f>+AVERAGE(AH11,AG11)/('P&amp;L'!AH8/'P&amp;L'!AH7)</f>
        <v>45.099138147337712</v>
      </c>
      <c r="AI74" s="723">
        <f>+AVERAGE(AI11,AH11)/('P&amp;L'!AI8/'P&amp;L'!AI7)</f>
        <v>43.449064277175069</v>
      </c>
      <c r="AJ74" s="723">
        <f>+AVERAGE(AJ11,AI11)/('P&amp;L'!AJ8/'P&amp;L'!AJ7)</f>
        <v>43.416396285940706</v>
      </c>
      <c r="AK74" s="730">
        <f>+AVERAGE(AK11,AE11)/('P&amp;L'!AK8/'P&amp;L'!AK7)</f>
        <v>48.137289462988676</v>
      </c>
      <c r="AL74" s="199"/>
      <c r="AM74" s="722">
        <f>+AVERAGE(AM11,AK11)/('P&amp;L'!AM8/'P&amp;L'!AM7)</f>
        <v>44.954240490314596</v>
      </c>
      <c r="AN74" s="723">
        <f>+AVERAGE(AN11,AM11)/('P&amp;L'!AN8/'P&amp;L'!AN7)</f>
        <v>43.577554246863151</v>
      </c>
      <c r="AO74" s="723">
        <f>+AVERAGE(AO11,AN11)/('P&amp;L'!AO8/'P&amp;L'!AO7)</f>
        <v>41.654449747286975</v>
      </c>
      <c r="AP74" s="723">
        <f>+AVERAGE(AP11,AO11)/('P&amp;L'!AP8/'P&amp;L'!AP7)</f>
        <v>40.557095674000159</v>
      </c>
      <c r="AQ74" s="730">
        <f>+AVERAGE(AQ11,AK11)/('P&amp;L'!AQ8/'P&amp;L'!AQ7)</f>
        <v>45.81185465680857</v>
      </c>
      <c r="AR74" s="199"/>
      <c r="AS74" s="722">
        <f>+AVERAGE(AS11,AQ11)/('P&amp;L'!AS8/'P&amp;L'!AS7)</f>
        <v>43.875312029541263</v>
      </c>
      <c r="AT74" s="723">
        <f>+AVERAGE(AT11,AS11)/('P&amp;L'!AT8/'P&amp;L'!AT7)</f>
        <v>43.811297973437028</v>
      </c>
      <c r="AU74" s="723">
        <f>+AVERAGE(AU11,AT11)/('P&amp;L'!AU8/'P&amp;L'!AU7)</f>
        <v>47.090476493956196</v>
      </c>
      <c r="AV74" s="723">
        <f>+AVERAGE(AV11,AU11)/('P&amp;L'!AV8/'P&amp;L'!AV7)</f>
        <v>47.575641266445082</v>
      </c>
      <c r="AW74" s="730">
        <f>+AVERAGE(AW11,AQ11)/('P&amp;L'!AW8/'P&amp;L'!AW7)</f>
        <v>47.412819304503394</v>
      </c>
      <c r="AX74" s="199"/>
      <c r="AY74" s="722">
        <f>+AVERAGE(AY11,AW11)/('P&amp;L'!AY8/'P&amp;L'!AY7)</f>
        <v>56.794704970200947</v>
      </c>
      <c r="AZ74" s="723">
        <f>+AVERAGE(AZ11,AY11)/('P&amp;L'!AZ8/'P&amp;L'!AZ7)</f>
        <v>54.185641266790711</v>
      </c>
      <c r="BA74" s="723">
        <f>+AVERAGE(BA11,AZ11)/('P&amp;L'!BA8/'P&amp;L'!BA7)</f>
        <v>56.531177891736938</v>
      </c>
      <c r="BB74" s="723">
        <f>+AVERAGE(BB11,BA11)/('P&amp;L'!BB8/'P&amp;L'!BB7)</f>
        <v>51.150159265975631</v>
      </c>
      <c r="BC74" s="730">
        <f>+AVERAGE(BC11,AW11)/('P&amp;L'!BC8/'P&amp;L'!BC7)</f>
        <v>55.71052631578948</v>
      </c>
      <c r="BD74" s="199"/>
      <c r="BE74" s="722">
        <f>+AVERAGE(BE11,BC11)/('P&amp;L'!BE8/'P&amp;L'!BE7)</f>
        <v>48.196589725865593</v>
      </c>
      <c r="BF74" s="723">
        <f>+AVERAGE(BF11,BE11)/('P&amp;L'!BF8/'P&amp;L'!BF7)</f>
        <v>44.99308671835071</v>
      </c>
      <c r="BG74" s="723">
        <f>+AVERAGE(BG11,BF11)/('P&amp;L'!BG8/'P&amp;L'!BG7)</f>
        <v>47.06783081451087</v>
      </c>
      <c r="BH74" s="723">
        <f>+AVERAGE(BH11,BG11)/('P&amp;L'!BH8/'P&amp;L'!BH7)</f>
        <v>46.809317842574814</v>
      </c>
      <c r="BI74" s="730">
        <f>+AVERAGE(BI11,BC11)/('P&amp;L'!BI8/'P&amp;L'!BI7)</f>
        <v>46.982532357919133</v>
      </c>
      <c r="BJ74" s="199"/>
      <c r="BK74" s="722">
        <f>+AVERAGE(BK11,BI11)/('P&amp;L'!BK8/'P&amp;L'!BK7)</f>
        <v>51.765300922520858</v>
      </c>
      <c r="BL74" s="723">
        <f>+AVERAGE(BL11,BK11)/('P&amp;L'!BL8/'P&amp;L'!BL7)</f>
        <v>50.012509862569196</v>
      </c>
      <c r="BM74" s="723">
        <f>+AVERAGE(BM11,BL11)/('P&amp;L'!BM8/'P&amp;L'!BM7)</f>
        <v>53.751199712612838</v>
      </c>
      <c r="BN74" s="723">
        <f>+AVERAGE(BN11,BM11)/('P&amp;L'!BN8/'P&amp;L'!BN7)</f>
        <v>52.782990272879772</v>
      </c>
      <c r="BO74" s="730">
        <f>+AVERAGE(BO11,BI11)/('P&amp;L'!BO8/'P&amp;L'!BO7)</f>
        <v>54.866091901721532</v>
      </c>
      <c r="BP74" s="199"/>
      <c r="BQ74" s="722">
        <f>+AVERAGE(BQ11,BO11)/('P&amp;L'!BQ8/'P&amp;L'!BQ7)</f>
        <v>60.22241788492579</v>
      </c>
      <c r="BR74" s="723">
        <f>+AVERAGE(BR11,BQ11)/('P&amp;L'!BR8/'P&amp;L'!BR7)</f>
        <v>56.116343866116004</v>
      </c>
      <c r="BS74" s="723">
        <f>+AVERAGE(BS11,BR11)/('P&amp;L'!BS8/'P&amp;L'!BS7)</f>
        <v>57.287012569606944</v>
      </c>
      <c r="BT74" s="731">
        <v>54</v>
      </c>
      <c r="BU74" s="730">
        <f>+AVERAGE(BU11,BO11)/('P&amp;L'!BU8/'P&amp;L'!BU7)</f>
        <v>57.989601344626735</v>
      </c>
      <c r="BV74" s="199"/>
      <c r="BW74" s="733">
        <f>+BQ74-0.5</f>
        <v>59.72241788492579</v>
      </c>
      <c r="BX74" s="732">
        <f>+BR74-0.5</f>
        <v>55.616343866116004</v>
      </c>
      <c r="BY74" s="732">
        <f>+BS74-0.5</f>
        <v>56.787012569606944</v>
      </c>
      <c r="BZ74" s="732">
        <f>+BT74-0.5</f>
        <v>53.5</v>
      </c>
      <c r="CA74" s="730">
        <f>+AVERAGE(CA11,BU11)/('P&amp;L'!CA8/'P&amp;L'!CA7)</f>
        <v>56.648394843549568</v>
      </c>
      <c r="CB74" s="199"/>
      <c r="CC74" s="733">
        <f>+BW74-0.5</f>
        <v>59.22241788492579</v>
      </c>
      <c r="CD74" s="732">
        <f>+BX74-0.5</f>
        <v>55.116343866116004</v>
      </c>
      <c r="CE74" s="732">
        <f>+BY74-0.5</f>
        <v>56.287012569606944</v>
      </c>
      <c r="CF74" s="732">
        <f>+BZ74-0.5</f>
        <v>53</v>
      </c>
      <c r="CG74" s="730">
        <f>+AVERAGE(CG11,CA11)/('P&amp;L'!CG8/'P&amp;L'!CG7)</f>
        <v>56.518772023748376</v>
      </c>
      <c r="CH74" s="199"/>
      <c r="CI74" s="733">
        <f t="shared" ref="CI74:CL74" si="58">+CC74-0.5</f>
        <v>58.72241788492579</v>
      </c>
      <c r="CJ74" s="732">
        <f t="shared" si="58"/>
        <v>54.616343866116004</v>
      </c>
      <c r="CK74" s="732">
        <f t="shared" si="58"/>
        <v>55.787012569606944</v>
      </c>
      <c r="CL74" s="732">
        <f t="shared" si="58"/>
        <v>52.5</v>
      </c>
      <c r="CM74" s="730">
        <f>+AVERAGE(CM11,CG11)/('P&amp;L'!CM8/'P&amp;L'!CM7)</f>
        <v>55.983824261580729</v>
      </c>
      <c r="CN74" s="199"/>
      <c r="CO74" s="198"/>
      <c r="CP74" s="198"/>
      <c r="CQ74"/>
      <c r="CR74"/>
      <c r="CS74"/>
      <c r="CT74"/>
      <c r="CU74"/>
      <c r="CV74"/>
      <c r="CW74" s="14"/>
    </row>
    <row r="75" spans="2:101" s="123" customFormat="1" ht="11.25" customHeight="1" x14ac:dyDescent="0.2">
      <c r="B75" s="718" t="s">
        <v>63</v>
      </c>
      <c r="C75" s="175">
        <f>+AVERAGE(A12,C12)/('P&amp;L'!C9/'P&amp;L'!C7)</f>
        <v>55.649214683864649</v>
      </c>
      <c r="D75" s="199">
        <f>+AVERAGE(C12,D12)/('P&amp;L'!D9/'P&amp;L'!D7)</f>
        <v>49.916344703081258</v>
      </c>
      <c r="E75" s="199">
        <f>+AVERAGE(D12,E12)/('P&amp;L'!E9/'P&amp;L'!E7)</f>
        <v>47.948870713458234</v>
      </c>
      <c r="F75" s="199">
        <f>+AVERAGE(E12,F12)/('P&amp;L'!F9/'P&amp;L'!F7)</f>
        <v>45.855512140081068</v>
      </c>
      <c r="G75" s="695">
        <f>+AVERAGE(G12,A12)/('P&amp;L'!G9/'P&amp;L'!G7)</f>
        <v>49.917604341233734</v>
      </c>
      <c r="H75" s="199"/>
      <c r="I75" s="175">
        <f>+AVERAGE(G12,I12)/('P&amp;L'!I9/'P&amp;L'!I7)</f>
        <v>52.620162018140348</v>
      </c>
      <c r="J75" s="199">
        <f>+AVERAGE(I12,J12)/('P&amp;L'!J9/'P&amp;L'!J7)</f>
        <v>52.728570757597105</v>
      </c>
      <c r="K75" s="199">
        <f>+AVERAGE(J12,K12)/('P&amp;L'!K9/'P&amp;L'!K7)</f>
        <v>51.563122282437455</v>
      </c>
      <c r="L75" s="199">
        <f>+AVERAGE(K12,L12)/('P&amp;L'!L9/'P&amp;L'!L7)</f>
        <v>50.769890783280609</v>
      </c>
      <c r="M75" s="695">
        <f>+AVERAGE(M12,G12)/('P&amp;L'!M9/'P&amp;L'!M7)</f>
        <v>49.442926908130332</v>
      </c>
      <c r="N75" s="199"/>
      <c r="O75" s="175">
        <f>+AVERAGE(M12,O12)/('P&amp;L'!O9/'P&amp;L'!O7)</f>
        <v>55.515604648374719</v>
      </c>
      <c r="P75" s="199">
        <f>+AVERAGE(O12,P12)/('P&amp;L'!P9/'P&amp;L'!P7)</f>
        <v>57.363560169682486</v>
      </c>
      <c r="Q75" s="199">
        <f>+AVERAGE(P12,Q12)/('P&amp;L'!Q9/'P&amp;L'!Q7)</f>
        <v>50.670335145428979</v>
      </c>
      <c r="R75" s="199">
        <f>+AVERAGE(Q12,R12)/('P&amp;L'!R9/'P&amp;L'!R7)</f>
        <v>48.916732253403659</v>
      </c>
      <c r="S75" s="695">
        <f>+AVERAGE(S12,M12)/('P&amp;L'!S9/'P&amp;L'!S7)</f>
        <v>49.050930339498215</v>
      </c>
      <c r="T75" s="199"/>
      <c r="U75" s="175">
        <f>+AVERAGE(S12,U12)/('P&amp;L'!U9/'P&amp;L'!U7)</f>
        <v>48.801330771621508</v>
      </c>
      <c r="V75" s="199">
        <f>+AVERAGE(U12,V12)/('P&amp;L'!V9/'P&amp;L'!V7)</f>
        <v>49.834325892482681</v>
      </c>
      <c r="W75" s="199">
        <f>+AVERAGE(V12,W12)/('P&amp;L'!W9/'P&amp;L'!W7)</f>
        <v>50.504155216308384</v>
      </c>
      <c r="X75" s="199">
        <f>+AVERAGE(W12,X12)/('P&amp;L'!X9/'P&amp;L'!X7)</f>
        <v>50.721889408387682</v>
      </c>
      <c r="Y75" s="695">
        <f>+AVERAGE(Y12,S12)/('P&amp;L'!Y9/'P&amp;L'!Y7)</f>
        <v>47.46576077468314</v>
      </c>
      <c r="Z75" s="199"/>
      <c r="AA75" s="175">
        <f>+AVERAGE(Y12,AA12)/('P&amp;L'!AA9/'P&amp;L'!AA7)</f>
        <v>49.935073131935944</v>
      </c>
      <c r="AB75" s="199">
        <f>+AVERAGE(AA12,AB12)/('P&amp;L'!AB9/'P&amp;L'!AB7)</f>
        <v>51.158694114452636</v>
      </c>
      <c r="AC75" s="199">
        <f>+AVERAGE(AB12,AC12)/('P&amp;L'!AC9/'P&amp;L'!AC7)</f>
        <v>53.289448760976505</v>
      </c>
      <c r="AD75" s="199">
        <f>+AVERAGE(AC12,AD12)/('P&amp;L'!AD9/'P&amp;L'!AD7)</f>
        <v>51.169020642557825</v>
      </c>
      <c r="AE75" s="695">
        <f>+AVERAGE(AE12,Y12)/('P&amp;L'!AE9/'P&amp;L'!AE7)</f>
        <v>50.201289267404675</v>
      </c>
      <c r="AF75" s="199"/>
      <c r="AG75" s="175">
        <f>+AVERAGE(AE12,AG12)/('P&amp;L'!AG9/'P&amp;L'!AG7)</f>
        <v>54.567606554381477</v>
      </c>
      <c r="AH75" s="199">
        <f>+AVERAGE(AG12,AH12)/('P&amp;L'!AH9/'P&amp;L'!AH7)</f>
        <v>55.419946795579726</v>
      </c>
      <c r="AI75" s="199">
        <f>+AVERAGE(AH12,AI12)/('P&amp;L'!AI9/'P&amp;L'!AI7)</f>
        <v>51.821412527911008</v>
      </c>
      <c r="AJ75" s="199">
        <f>+AVERAGE(AI12,AJ12)/('P&amp;L'!AJ9/'P&amp;L'!AJ7)</f>
        <v>47.846862336636086</v>
      </c>
      <c r="AK75" s="695">
        <f>+AVERAGE(AK12,AE12)/('P&amp;L'!AK9/'P&amp;L'!AK7)</f>
        <v>50.5895412294308</v>
      </c>
      <c r="AL75" s="199"/>
      <c r="AM75" s="175">
        <f>+AVERAGE(AK12,AM12)/('P&amp;L'!AM9/'P&amp;L'!AM7)</f>
        <v>48.105115778136771</v>
      </c>
      <c r="AN75" s="199">
        <f>+AVERAGE(AM12,AN12)/('P&amp;L'!AN9/'P&amp;L'!AN7)</f>
        <v>50.900155814754314</v>
      </c>
      <c r="AO75" s="199">
        <f>+AVERAGE(AN12,AO12)/('P&amp;L'!AO9/'P&amp;L'!AO7)</f>
        <v>51.083802276921475</v>
      </c>
      <c r="AP75" s="199">
        <f>+AVERAGE(AO12,AP12)/('P&amp;L'!AP9/'P&amp;L'!AP7)</f>
        <v>50.088340959741316</v>
      </c>
      <c r="AQ75" s="695">
        <f>+AVERAGE(AQ12,AK12)/('P&amp;L'!AQ9/'P&amp;L'!AQ7)</f>
        <v>50.76512614436551</v>
      </c>
      <c r="AR75" s="199"/>
      <c r="AS75" s="175">
        <f>+AVERAGE(AQ12,AS12)/('P&amp;L'!AS9/'P&amp;L'!AS7)</f>
        <v>56.917888531206614</v>
      </c>
      <c r="AT75" s="199">
        <f>+AVERAGE(AS12,AT12)/('P&amp;L'!AT9/'P&amp;L'!AT7)</f>
        <v>56.385351334096569</v>
      </c>
      <c r="AU75" s="199">
        <f>+AVERAGE(AT12,AU12)/('P&amp;L'!AU9/'P&amp;L'!AU7)</f>
        <v>53.277815092490052</v>
      </c>
      <c r="AV75" s="199">
        <f>+AVERAGE(AU12,AV12)/('P&amp;L'!AV9/'P&amp;L'!AV7)</f>
        <v>50.801739740959462</v>
      </c>
      <c r="AW75" s="695">
        <f>+AVERAGE(AW12,AQ12)/('P&amp;L'!AW9/'P&amp;L'!AW7)</f>
        <v>51.335296877044705</v>
      </c>
      <c r="AX75" s="199"/>
      <c r="AY75" s="175">
        <f>+AVERAGE(AW12,AY12)/('P&amp;L'!AY9/'P&amp;L'!AY7)</f>
        <v>63.147751326018131</v>
      </c>
      <c r="AZ75" s="199">
        <f>+AVERAGE(AY12,AZ12)/('P&amp;L'!AZ9/'P&amp;L'!AZ7)</f>
        <v>65.183403738595956</v>
      </c>
      <c r="BA75" s="199">
        <f>+AVERAGE(AZ12,BA12)/('P&amp;L'!BA9/'P&amp;L'!BA7)</f>
        <v>67.033166423915446</v>
      </c>
      <c r="BB75" s="199">
        <f>+AVERAGE(BA12,BB12)/('P&amp;L'!BB9/'P&amp;L'!BB7)</f>
        <v>55.615451665510719</v>
      </c>
      <c r="BC75" s="695">
        <f>+AVERAGE(BC12,AW12)/('P&amp;L'!BC9/'P&amp;L'!BC7)</f>
        <v>54.096287043261171</v>
      </c>
      <c r="BD75" s="199"/>
      <c r="BE75" s="175">
        <f>+AVERAGE(BC12,BE12)/('P&amp;L'!BE9/'P&amp;L'!BE7)</f>
        <v>59.901488487361725</v>
      </c>
      <c r="BF75" s="199">
        <f>+AVERAGE(BE12,BF12)/('P&amp;L'!BF9/'P&amp;L'!BF7)</f>
        <v>63.874963030715932</v>
      </c>
      <c r="BG75" s="199">
        <f>+AVERAGE(BF12,BG12)/('P&amp;L'!BG9/'P&amp;L'!BG7)</f>
        <v>67.949858104089685</v>
      </c>
      <c r="BH75" s="199">
        <f>+AVERAGE(BG12,BH12)/('P&amp;L'!BH9/'P&amp;L'!BH7)</f>
        <v>64.138808692245803</v>
      </c>
      <c r="BI75" s="695">
        <f>+AVERAGE(BI12,BC12)/('P&amp;L'!BI9/'P&amp;L'!BI7)</f>
        <v>50.909236445777573</v>
      </c>
      <c r="BJ75" s="199"/>
      <c r="BK75" s="175">
        <f>+AVERAGE(BI12,BK12)/('P&amp;L'!BK9/'P&amp;L'!BK7)</f>
        <v>68.179593758433825</v>
      </c>
      <c r="BL75" s="199">
        <f>+AVERAGE(BK12,BL12)/('P&amp;L'!BL9/'P&amp;L'!BL7)</f>
        <v>66.728143213609627</v>
      </c>
      <c r="BM75" s="199">
        <f>+AVERAGE(BL12,BM12)/('P&amp;L'!BM9/'P&amp;L'!BM7)</f>
        <v>69.905883631166191</v>
      </c>
      <c r="BN75" s="199">
        <f>+AVERAGE(BM12,BN12)/('P&amp;L'!BN9/'P&amp;L'!BN7)</f>
        <v>62.416473943114866</v>
      </c>
      <c r="BO75" s="695">
        <f>+AVERAGE(BO12,BI12)/('P&amp;L'!BO9/'P&amp;L'!BO7)</f>
        <v>60.980734459064308</v>
      </c>
      <c r="BP75" s="199"/>
      <c r="BQ75" s="175">
        <f>+AVERAGE(BO12,BQ12)/('P&amp;L'!BQ9/'P&amp;L'!BQ7)</f>
        <v>67.419578495761968</v>
      </c>
      <c r="BR75" s="199">
        <f>+AVERAGE(BQ12,BR12)/('P&amp;L'!BR9/'P&amp;L'!BR7)</f>
        <v>67.655760686508515</v>
      </c>
      <c r="BS75" s="199">
        <f>+AVERAGE(BR12,BS12)/('P&amp;L'!BS9/'P&amp;L'!BS7)</f>
        <v>71.454699089113618</v>
      </c>
      <c r="BT75" s="732">
        <f>+BN75-2</f>
        <v>60.416473943114866</v>
      </c>
      <c r="BU75" s="695">
        <f>+AVERAGE(BU12,BO12)/('P&amp;L'!BU9/'P&amp;L'!BU7)</f>
        <v>62.764993218178084</v>
      </c>
      <c r="BV75" s="199"/>
      <c r="BW75" s="733">
        <f t="shared" ref="BW75:BZ76" si="59">+BQ75-1</f>
        <v>66.419578495761968</v>
      </c>
      <c r="BX75" s="732">
        <f t="shared" si="59"/>
        <v>66.655760686508515</v>
      </c>
      <c r="BY75" s="732">
        <f t="shared" si="59"/>
        <v>70.454699089113618</v>
      </c>
      <c r="BZ75" s="732">
        <f t="shared" si="59"/>
        <v>59.416473943114866</v>
      </c>
      <c r="CA75" s="695">
        <f>+AVERAGE(CA12,BU12)/('P&amp;L'!CA9/'P&amp;L'!CA7)</f>
        <v>63.315867027322668</v>
      </c>
      <c r="CB75" s="199"/>
      <c r="CC75" s="733">
        <f t="shared" ref="CC75:CF75" si="60">+BW75</f>
        <v>66.419578495761968</v>
      </c>
      <c r="CD75" s="732">
        <f t="shared" si="60"/>
        <v>66.655760686508515</v>
      </c>
      <c r="CE75" s="732">
        <f t="shared" si="60"/>
        <v>70.454699089113618</v>
      </c>
      <c r="CF75" s="732">
        <f t="shared" si="60"/>
        <v>59.416473943114866</v>
      </c>
      <c r="CG75" s="695">
        <f>+AVERAGE(CG12,CA12)/('P&amp;L'!CG9/'P&amp;L'!CG7)</f>
        <v>63.090541439229291</v>
      </c>
      <c r="CH75" s="199"/>
      <c r="CI75" s="733">
        <f t="shared" ref="CI75:CI76" si="61">+CC75</f>
        <v>66.419578495761968</v>
      </c>
      <c r="CJ75" s="732">
        <f t="shared" ref="CJ75:CJ76" si="62">+CD75</f>
        <v>66.655760686508515</v>
      </c>
      <c r="CK75" s="732">
        <f t="shared" ref="CK75:CK76" si="63">+CE75</f>
        <v>70.454699089113618</v>
      </c>
      <c r="CL75" s="732">
        <f t="shared" ref="CL75:CL76" si="64">+CF75</f>
        <v>59.416473943114866</v>
      </c>
      <c r="CM75" s="695">
        <f>+AVERAGE(CM12,CG12)/('P&amp;L'!CM9/'P&amp;L'!CM7)</f>
        <v>62.97189424871285</v>
      </c>
      <c r="CN75" s="199"/>
      <c r="CO75" s="198"/>
      <c r="CP75" s="198"/>
      <c r="CQ75"/>
      <c r="CR75"/>
      <c r="CS75"/>
      <c r="CT75"/>
      <c r="CU75"/>
      <c r="CV75"/>
      <c r="CW75" s="14"/>
    </row>
    <row r="76" spans="2:101" s="123" customFormat="1" ht="11.25" customHeight="1" x14ac:dyDescent="0.2">
      <c r="B76" s="718" t="s">
        <v>64</v>
      </c>
      <c r="C76" s="175">
        <f>+AVERAGE(A25,C25)/('P&amp;L'!C9/'P&amp;L'!C7)</f>
        <v>32.753413966204391</v>
      </c>
      <c r="D76" s="199">
        <f>+AVERAGE(C25,D25)/('P&amp;L'!D9/'P&amp;L'!D7)</f>
        <v>29.155746068846423</v>
      </c>
      <c r="E76" s="199">
        <f>+AVERAGE(D25,E25)/('P&amp;L'!E9/'P&amp;L'!E7)</f>
        <v>27.872677624186679</v>
      </c>
      <c r="F76" s="199">
        <f>+AVERAGE(E25,F25)/('P&amp;L'!F9/'P&amp;L'!F7)</f>
        <v>30.173395252622335</v>
      </c>
      <c r="G76" s="695">
        <f>+AVERAGE(G25,A25)/('P&amp;L'!G9/'P&amp;L'!G7)</f>
        <v>36.461774798499718</v>
      </c>
      <c r="H76" s="199"/>
      <c r="I76" s="175">
        <f>+AVERAGE(G25,I25)/('P&amp;L'!I9/'P&amp;L'!I7)</f>
        <v>35.09074265135083</v>
      </c>
      <c r="J76" s="199">
        <f>+AVERAGE(I25,J25)/('P&amp;L'!J9/'P&amp;L'!J7)</f>
        <v>33.176177727678365</v>
      </c>
      <c r="K76" s="199">
        <f>+AVERAGE(J25,K25)/('P&amp;L'!K9/'P&amp;L'!K7)</f>
        <v>33.408355126346962</v>
      </c>
      <c r="L76" s="199">
        <f>+AVERAGE(K25,L25)/('P&amp;L'!L9/'P&amp;L'!L7)</f>
        <v>33.973604310082059</v>
      </c>
      <c r="M76" s="695">
        <f>+AVERAGE(M25,G25)/('P&amp;L'!M9/'P&amp;L'!M7)</f>
        <v>35.089597174179616</v>
      </c>
      <c r="N76" s="199"/>
      <c r="O76" s="175">
        <f>+AVERAGE(M25,O25)/('P&amp;L'!O9/'P&amp;L'!O7)</f>
        <v>34.952684153951502</v>
      </c>
      <c r="P76" s="199">
        <f>+AVERAGE(O25,P25)/('P&amp;L'!P9/'P&amp;L'!P7)</f>
        <v>33.84098789055242</v>
      </c>
      <c r="Q76" s="199">
        <f>+AVERAGE(P25,Q25)/('P&amp;L'!Q9/'P&amp;L'!Q7)</f>
        <v>30.711230933321524</v>
      </c>
      <c r="R76" s="199">
        <f>+AVERAGE(Q25,R25)/('P&amp;L'!R9/'P&amp;L'!R7)</f>
        <v>31.206551234009563</v>
      </c>
      <c r="S76" s="695">
        <f>+AVERAGE(S25,M25)/('P&amp;L'!S9/'P&amp;L'!S7)</f>
        <v>33.402781875288618</v>
      </c>
      <c r="T76" s="199"/>
      <c r="U76" s="175">
        <f>+AVERAGE(S25,U25)/('P&amp;L'!U9/'P&amp;L'!U7)</f>
        <v>32.594556362369204</v>
      </c>
      <c r="V76" s="199">
        <f>+AVERAGE(U25,V25)/('P&amp;L'!V9/'P&amp;L'!V7)</f>
        <v>31.323656945300449</v>
      </c>
      <c r="W76" s="199">
        <f>+AVERAGE(V25,W25)/('P&amp;L'!W9/'P&amp;L'!W7)</f>
        <v>30.279341562273103</v>
      </c>
      <c r="X76" s="199">
        <f>+AVERAGE(W25,X25)/('P&amp;L'!X9/'P&amp;L'!X7)</f>
        <v>32.392476141282494</v>
      </c>
      <c r="Y76" s="695">
        <f>+AVERAGE(Y25,S25)/('P&amp;L'!Y9/'P&amp;L'!Y7)</f>
        <v>31.823935334442904</v>
      </c>
      <c r="Z76" s="199"/>
      <c r="AA76" s="175">
        <f>+AVERAGE(Y25,AA25)/('P&amp;L'!AA9/'P&amp;L'!AA7)</f>
        <v>29.883861464534831</v>
      </c>
      <c r="AB76" s="199">
        <f>+AVERAGE(AA25,AB25)/('P&amp;L'!AB9/'P&amp;L'!AB7)</f>
        <v>27.431835673013236</v>
      </c>
      <c r="AC76" s="199">
        <f>+AVERAGE(AB25,AC25)/('P&amp;L'!AC9/'P&amp;L'!AC7)</f>
        <v>28.471654636568438</v>
      </c>
      <c r="AD76" s="199">
        <f>+AVERAGE(AC25,AD25)/('P&amp;L'!AD9/'P&amp;L'!AD7)</f>
        <v>29.664752444513432</v>
      </c>
      <c r="AE76" s="695">
        <f>+AVERAGE(AE25,Y25)/('P&amp;L'!AE9/'P&amp;L'!AE7)</f>
        <v>32.432115899790666</v>
      </c>
      <c r="AF76" s="199"/>
      <c r="AG76" s="175">
        <f>+AVERAGE(AE25,AG25)/('P&amp;L'!AG9/'P&amp;L'!AG7)</f>
        <v>32.923796354538204</v>
      </c>
      <c r="AH76" s="199">
        <f>+AVERAGE(AG25,AH25)/('P&amp;L'!AH9/'P&amp;L'!AH7)</f>
        <v>30.977544400686234</v>
      </c>
      <c r="AI76" s="199">
        <f>+AVERAGE(AH25,AI25)/('P&amp;L'!AI9/'P&amp;L'!AI7)</f>
        <v>28.521403939910424</v>
      </c>
      <c r="AJ76" s="199">
        <f>+AVERAGE(AI25,AJ25)/('P&amp;L'!AJ9/'P&amp;L'!AJ7)</f>
        <v>29.035935645416981</v>
      </c>
      <c r="AK76" s="695">
        <f>+AVERAGE(AK25,AE25)/('P&amp;L'!AK9/'P&amp;L'!AK7)</f>
        <v>32.229138776485399</v>
      </c>
      <c r="AL76" s="199"/>
      <c r="AM76" s="175">
        <f>+AVERAGE(AK25,AM25)/('P&amp;L'!AM9/'P&amp;L'!AM7)</f>
        <v>30.922735595045769</v>
      </c>
      <c r="AN76" s="199">
        <f>+AVERAGE(AM25,AN25)/('P&amp;L'!AN9/'P&amp;L'!AN7)</f>
        <v>33.350576378210476</v>
      </c>
      <c r="AO76" s="199">
        <f>+AVERAGE(AN25,AO25)/('P&amp;L'!AO9/'P&amp;L'!AO7)</f>
        <v>33.172013489979989</v>
      </c>
      <c r="AP76" s="199">
        <f>+AVERAGE(AO25,AP25)/('P&amp;L'!AP9/'P&amp;L'!AP7)</f>
        <v>33.054587081509965</v>
      </c>
      <c r="AQ76" s="695">
        <f>+AVERAGE(AQ25,AK25)/('P&amp;L'!AQ9/'P&amp;L'!AQ7)</f>
        <v>34.144296433638551</v>
      </c>
      <c r="AR76" s="199"/>
      <c r="AS76" s="175">
        <f>+AVERAGE(AQ25,AS25)/('P&amp;L'!AS9/'P&amp;L'!AS7)</f>
        <v>36.300837611320951</v>
      </c>
      <c r="AT76" s="199">
        <f>+AVERAGE(AS25,AT25)/('P&amp;L'!AT9/'P&amp;L'!AT7)</f>
        <v>39.464008158994815</v>
      </c>
      <c r="AU76" s="199">
        <f>+AVERAGE(AT25,AU25)/('P&amp;L'!AU9/'P&amp;L'!AU7)</f>
        <v>40.8097321379947</v>
      </c>
      <c r="AV76" s="199">
        <f>+AVERAGE(AU25,AV25)/('P&amp;L'!AV9/'P&amp;L'!AV7)</f>
        <v>38.512106831643997</v>
      </c>
      <c r="AW76" s="695">
        <f>+AVERAGE(AW25,AQ25)/('P&amp;L'!AW9/'P&amp;L'!AW7)</f>
        <v>38.120270595910021</v>
      </c>
      <c r="AX76" s="199"/>
      <c r="AY76" s="175">
        <f>+AVERAGE(AW25,AY25)/('P&amp;L'!AY9/'P&amp;L'!AY7)</f>
        <v>48.268845002244525</v>
      </c>
      <c r="AZ76" s="199">
        <f>+AVERAGE(AY25,AZ25)/('P&amp;L'!AZ9/'P&amp;L'!AZ7)</f>
        <v>46.447821980629634</v>
      </c>
      <c r="BA76" s="199">
        <f>+AVERAGE(AZ25,BA25)/('P&amp;L'!BA9/'P&amp;L'!BA7)</f>
        <v>44.87673696397227</v>
      </c>
      <c r="BB76" s="199">
        <f>+AVERAGE(BA25,BB25)/('P&amp;L'!BB9/'P&amp;L'!BB7)</f>
        <v>40.050926682180553</v>
      </c>
      <c r="BC76" s="695">
        <f>+AVERAGE(BC25,AW25)/('P&amp;L'!BC9/'P&amp;L'!BC7)</f>
        <v>42.601022132282871</v>
      </c>
      <c r="BD76" s="199"/>
      <c r="BE76" s="175">
        <f>+AVERAGE(BC25,BE25)/('P&amp;L'!BE9/'P&amp;L'!BE7)</f>
        <v>41.503138799896099</v>
      </c>
      <c r="BF76" s="199">
        <f>+AVERAGE(BE25,BF25)/('P&amp;L'!BF9/'P&amp;L'!BF7)</f>
        <v>41.2369218500044</v>
      </c>
      <c r="BG76" s="199">
        <f>+AVERAGE(BF25,BG25)/('P&amp;L'!BG9/'P&amp;L'!BG7)</f>
        <v>43.18200471446923</v>
      </c>
      <c r="BH76" s="199">
        <f>+AVERAGE(BG25,BH25)/('P&amp;L'!BH9/'P&amp;L'!BH7)</f>
        <v>44.654599097822171</v>
      </c>
      <c r="BI76" s="695">
        <f>+AVERAGE(BI25,BC25)/('P&amp;L'!BI9/'P&amp;L'!BI7)</f>
        <v>40.056324688634596</v>
      </c>
      <c r="BJ76" s="199"/>
      <c r="BK76" s="175">
        <f>+AVERAGE(BI25,BK25)/('P&amp;L'!BK9/'P&amp;L'!BK7)</f>
        <v>48.820880012765237</v>
      </c>
      <c r="BL76" s="199">
        <f>+AVERAGE(BK25,BL25)/('P&amp;L'!BL9/'P&amp;L'!BL7)</f>
        <v>44.71073911038215</v>
      </c>
      <c r="BM76" s="199">
        <f>+AVERAGE(BL25,BM25)/('P&amp;L'!BM9/'P&amp;L'!BM7)</f>
        <v>47.09310949115681</v>
      </c>
      <c r="BN76" s="199">
        <f>+AVERAGE(BM25,BN25)/('P&amp;L'!BN9/'P&amp;L'!BN7)</f>
        <v>47.230138959238758</v>
      </c>
      <c r="BO76" s="695">
        <f>+AVERAGE(BO25,BI25)/('P&amp;L'!BO9/'P&amp;L'!BO7)</f>
        <v>50.310233868393411</v>
      </c>
      <c r="BP76" s="199"/>
      <c r="BQ76" s="175">
        <f>+AVERAGE(BO25,BQ25)/('P&amp;L'!BQ9/'P&amp;L'!BQ7)</f>
        <v>52.191539966987264</v>
      </c>
      <c r="BR76" s="199">
        <f>+AVERAGE(BQ25,BR25)/('P&amp;L'!BR9/'P&amp;L'!BR7)</f>
        <v>50.325743882675972</v>
      </c>
      <c r="BS76" s="199">
        <f>+AVERAGE(BR25,BS25)/('P&amp;L'!BS9/'P&amp;L'!BS7)</f>
        <v>54.893590476878003</v>
      </c>
      <c r="BT76" s="732">
        <f>+BN76+1</f>
        <v>48.230138959238758</v>
      </c>
      <c r="BU76" s="695">
        <f>+AVERAGE(BU25,BO25)/('P&amp;L'!BU9/'P&amp;L'!BU7)</f>
        <v>52.167468862483993</v>
      </c>
      <c r="BV76" s="199"/>
      <c r="BW76" s="733">
        <f>+BQ76-1</f>
        <v>51.191539966987264</v>
      </c>
      <c r="BX76" s="732">
        <f t="shared" si="59"/>
        <v>49.325743882675972</v>
      </c>
      <c r="BY76" s="732">
        <f t="shared" si="59"/>
        <v>53.893590476878003</v>
      </c>
      <c r="BZ76" s="732">
        <f t="shared" si="59"/>
        <v>47.230138959238758</v>
      </c>
      <c r="CA76" s="695">
        <f>+AVERAGE(CA25,BU25)/('P&amp;L'!CA9/'P&amp;L'!CA7)</f>
        <v>50.436334450015956</v>
      </c>
      <c r="CB76" s="199"/>
      <c r="CC76" s="733">
        <f t="shared" ref="CC76" si="65">+BW76</f>
        <v>51.191539966987264</v>
      </c>
      <c r="CD76" s="732">
        <f t="shared" ref="CD76" si="66">+BX76</f>
        <v>49.325743882675972</v>
      </c>
      <c r="CE76" s="732">
        <f t="shared" ref="CE76" si="67">+BY76</f>
        <v>53.893590476878003</v>
      </c>
      <c r="CF76" s="732">
        <f t="shared" ref="CF76" si="68">+BZ76</f>
        <v>47.230138959238758</v>
      </c>
      <c r="CG76" s="695">
        <f>+AVERAGE(CG25,CA25)/('P&amp;L'!CG9/'P&amp;L'!CG7)</f>
        <v>50.150654211511053</v>
      </c>
      <c r="CH76" s="199"/>
      <c r="CI76" s="733">
        <f t="shared" si="61"/>
        <v>51.191539966987264</v>
      </c>
      <c r="CJ76" s="732">
        <f t="shared" si="62"/>
        <v>49.325743882675972</v>
      </c>
      <c r="CK76" s="732">
        <f t="shared" si="63"/>
        <v>53.893590476878003</v>
      </c>
      <c r="CL76" s="732">
        <f t="shared" si="64"/>
        <v>47.230138959238758</v>
      </c>
      <c r="CM76" s="695">
        <f>+AVERAGE(CM25,CG25)/('P&amp;L'!CM9/'P&amp;L'!CM7)</f>
        <v>50.056341592075256</v>
      </c>
      <c r="CN76" s="199"/>
      <c r="CO76" s="198"/>
      <c r="CP76" s="198"/>
      <c r="CQ76"/>
      <c r="CR76"/>
      <c r="CS76"/>
      <c r="CT76"/>
      <c r="CU76"/>
      <c r="CV76"/>
      <c r="CW76" s="14"/>
    </row>
    <row r="77" spans="2:101" s="123" customFormat="1" ht="11.25" customHeight="1" x14ac:dyDescent="0.2">
      <c r="B77" s="720" t="s">
        <v>65</v>
      </c>
      <c r="C77" s="711">
        <f>+SUM(C74:C75)-C76</f>
        <v>68.920502924260518</v>
      </c>
      <c r="D77" s="102">
        <f>+SUM(D74:D75)-D76</f>
        <v>64.747531728277096</v>
      </c>
      <c r="E77" s="102">
        <f>+SUM(E74:E75)-E76</f>
        <v>64.255952185190623</v>
      </c>
      <c r="F77" s="102">
        <f>+SUM(F74:F75)-F76</f>
        <v>58.237921379958827</v>
      </c>
      <c r="G77" s="726">
        <f>+SUM(G74:G75)-G76</f>
        <v>60.594001096601616</v>
      </c>
      <c r="H77" s="19"/>
      <c r="I77" s="711">
        <f>+SUM(I74:I75)-I76</f>
        <v>63.112312510959136</v>
      </c>
      <c r="J77" s="102">
        <f>+SUM(J74:J75)-J76</f>
        <v>61.832428394181434</v>
      </c>
      <c r="K77" s="102">
        <f>+SUM(K74:K75)-K76</f>
        <v>60.498075442638068</v>
      </c>
      <c r="L77" s="102">
        <f>+SUM(L74:L75)-L76</f>
        <v>59.05022666754892</v>
      </c>
      <c r="M77" s="726">
        <f>+SUM(M74:M75)-M76</f>
        <v>58.624596994179967</v>
      </c>
      <c r="N77" s="19"/>
      <c r="O77" s="711">
        <f>+SUM(O74:O75)-O76</f>
        <v>64.175597090390994</v>
      </c>
      <c r="P77" s="102">
        <f>+SUM(P74:P75)-P76</f>
        <v>66.777694003616261</v>
      </c>
      <c r="Q77" s="102">
        <f>+SUM(Q74:Q75)-Q76</f>
        <v>65.433890993740022</v>
      </c>
      <c r="R77" s="102">
        <f>+SUM(R74:R75)-R76</f>
        <v>70.375513299579353</v>
      </c>
      <c r="S77" s="726">
        <f>+SUM(S74:S75)-S76</f>
        <v>65.204174896659453</v>
      </c>
      <c r="T77" s="19"/>
      <c r="U77" s="711">
        <f>+SUM(U74:U75)-U76</f>
        <v>71.543760321998221</v>
      </c>
      <c r="V77" s="102">
        <f>+SUM(V74:V75)-V76</f>
        <v>74.238363004861782</v>
      </c>
      <c r="W77" s="102">
        <f>+SUM(W74:W75)-W76</f>
        <v>74.885053336799487</v>
      </c>
      <c r="X77" s="102">
        <f>+SUM(X74:X75)-X76</f>
        <v>69.491733848037853</v>
      </c>
      <c r="Y77" s="726">
        <f>+SUM(Y74:Y75)-Y76</f>
        <v>68.006646517557172</v>
      </c>
      <c r="Z77" s="19"/>
      <c r="AA77" s="711">
        <f>+SUM(AA74:AA75)-AA76</f>
        <v>68.651341464632637</v>
      </c>
      <c r="AB77" s="102">
        <f>+SUM(AB74:AB75)-AB76</f>
        <v>71.057531838421482</v>
      </c>
      <c r="AC77" s="102">
        <f>+SUM(AC74:AC75)-AC76</f>
        <v>72.123298277685223</v>
      </c>
      <c r="AD77" s="102">
        <f>+SUM(AD74:AD75)-AD76</f>
        <v>66.612667089672669</v>
      </c>
      <c r="AE77" s="726">
        <f>+SUM(AE74:AE75)-AE76</f>
        <v>66.813627310764247</v>
      </c>
      <c r="AF77" s="19"/>
      <c r="AG77" s="711">
        <f>+SUM(AG74:AG75)-AG76</f>
        <v>69.346964590453837</v>
      </c>
      <c r="AH77" s="102">
        <f>+SUM(AH74:AH75)-AH76</f>
        <v>69.541540542231189</v>
      </c>
      <c r="AI77" s="102">
        <f>+SUM(AI74:AI75)-AI76</f>
        <v>66.749072865175648</v>
      </c>
      <c r="AJ77" s="102">
        <f>+SUM(AJ74:AJ75)-AJ76</f>
        <v>62.227322977159801</v>
      </c>
      <c r="AK77" s="726">
        <f>+SUM(AK74:AK75)-AK76</f>
        <v>66.49769191593407</v>
      </c>
      <c r="AL77" s="19"/>
      <c r="AM77" s="711">
        <f>+SUM(AM74:AM75)-AM76</f>
        <v>62.136620673405602</v>
      </c>
      <c r="AN77" s="102">
        <f>+SUM(AN74:AN75)-AN76</f>
        <v>61.127133683406996</v>
      </c>
      <c r="AO77" s="102">
        <f>+SUM(AO74:AO75)-AO76</f>
        <v>59.566238534228461</v>
      </c>
      <c r="AP77" s="102">
        <f>+SUM(AP74:AP75)-AP76</f>
        <v>57.590849552231504</v>
      </c>
      <c r="AQ77" s="726">
        <f>+SUM(AQ74:AQ75)-AQ76</f>
        <v>62.432684367535522</v>
      </c>
      <c r="AR77" s="19"/>
      <c r="AS77" s="711">
        <f>+SUM(AS74:AS75)-AS76</f>
        <v>64.492362949426933</v>
      </c>
      <c r="AT77" s="102">
        <f>+SUM(AT74:AT75)-AT76</f>
        <v>60.732641148538775</v>
      </c>
      <c r="AU77" s="102">
        <f>+SUM(AU74:AU75)-AU76</f>
        <v>59.558559448451547</v>
      </c>
      <c r="AV77" s="102">
        <f>+SUM(AV74:AV75)-AV76</f>
        <v>59.865274175760554</v>
      </c>
      <c r="AW77" s="726">
        <f>+SUM(AW74:AW75)-AW76</f>
        <v>60.627845585638077</v>
      </c>
      <c r="AX77" s="19"/>
      <c r="AY77" s="711">
        <f>+SUM(AY74:AY75)-AY76</f>
        <v>71.673611293974545</v>
      </c>
      <c r="AZ77" s="102">
        <f>+SUM(AZ74:AZ75)-AZ76</f>
        <v>72.92122302475704</v>
      </c>
      <c r="BA77" s="102">
        <f>+SUM(BA74:BA75)-BA76</f>
        <v>78.687607351680128</v>
      </c>
      <c r="BB77" s="102">
        <f>+SUM(BB74:BB75)-BB76</f>
        <v>66.714684249305805</v>
      </c>
      <c r="BC77" s="726">
        <f>+SUM(BC74:BC75)-BC76</f>
        <v>67.205791226767786</v>
      </c>
      <c r="BD77" s="19"/>
      <c r="BE77" s="711">
        <f>+SUM(BE74:BE75)-BE76</f>
        <v>66.594939413331218</v>
      </c>
      <c r="BF77" s="102">
        <f>+SUM(BF74:BF75)-BF76</f>
        <v>67.63112789906225</v>
      </c>
      <c r="BG77" s="102">
        <f>+SUM(BG74:BG75)-BG76</f>
        <v>71.835684204131326</v>
      </c>
      <c r="BH77" s="102">
        <f>+SUM(BH74:BH75)-BH76</f>
        <v>66.293527436998446</v>
      </c>
      <c r="BI77" s="726">
        <f>+SUM(BI74:BI75)-BI76</f>
        <v>57.83544411506211</v>
      </c>
      <c r="BJ77" s="19"/>
      <c r="BK77" s="711">
        <f>+SUM(BK74:BK75)-BK76</f>
        <v>71.12401466818946</v>
      </c>
      <c r="BL77" s="102">
        <f>+SUM(BL74:BL75)-BL76</f>
        <v>72.02991396579668</v>
      </c>
      <c r="BM77" s="102">
        <f>+SUM(BM74:BM75)-BM76</f>
        <v>76.563973852622212</v>
      </c>
      <c r="BN77" s="102">
        <f>+SUM(BN74:BN75)-BN76</f>
        <v>67.96932525675588</v>
      </c>
      <c r="BO77" s="726">
        <f>+SUM(BO74:BO75)-BO76</f>
        <v>65.53659249239243</v>
      </c>
      <c r="BP77" s="19"/>
      <c r="BQ77" s="711">
        <f>+SUM(BQ74:BQ75)-BQ76</f>
        <v>75.450456413700493</v>
      </c>
      <c r="BR77" s="102">
        <f>+SUM(BR74:BR75)-BR76</f>
        <v>73.446360669948547</v>
      </c>
      <c r="BS77" s="102">
        <f>+SUM(BS74:BS75)-BS76</f>
        <v>73.848121181842558</v>
      </c>
      <c r="BT77" s="102">
        <f>+SUM(BT74:BT75)-BT76</f>
        <v>66.186334983876108</v>
      </c>
      <c r="BU77" s="726">
        <f>+SUM(BU74:BU75)-BU76</f>
        <v>68.587125700320826</v>
      </c>
      <c r="BV77" s="19"/>
      <c r="BW77" s="711">
        <f>+SUM(BW74:BW75)-BW76</f>
        <v>74.950456413700493</v>
      </c>
      <c r="BX77" s="102">
        <f>+SUM(BX74:BX75)-BX76</f>
        <v>72.946360669948547</v>
      </c>
      <c r="BY77" s="102">
        <f>+SUM(BY74:BY75)-BY76</f>
        <v>73.348121181842558</v>
      </c>
      <c r="BZ77" s="102">
        <f>+SUM(BZ74:BZ75)-BZ76</f>
        <v>65.686334983876108</v>
      </c>
      <c r="CA77" s="726">
        <f>+SUM(CA74:CA75)-CA76</f>
        <v>69.527927420856287</v>
      </c>
      <c r="CB77" s="19"/>
      <c r="CC77" s="711">
        <f>+SUM(CC74:CC75)-CC76</f>
        <v>74.450456413700493</v>
      </c>
      <c r="CD77" s="102">
        <f>+SUM(CD74:CD75)-CD76</f>
        <v>72.446360669948547</v>
      </c>
      <c r="CE77" s="102">
        <f>+SUM(CE74:CE75)-CE76</f>
        <v>72.848121181842558</v>
      </c>
      <c r="CF77" s="102">
        <f>+SUM(CF74:CF75)-CF76</f>
        <v>65.186334983876108</v>
      </c>
      <c r="CG77" s="726">
        <f>+SUM(CG74:CG75)-CG76</f>
        <v>69.458659251466614</v>
      </c>
      <c r="CH77" s="19"/>
      <c r="CI77" s="711">
        <f>+SUM(CI74:CI75)-CI76</f>
        <v>73.950456413700493</v>
      </c>
      <c r="CJ77" s="102">
        <f>+SUM(CJ74:CJ75)-CJ76</f>
        <v>71.946360669948547</v>
      </c>
      <c r="CK77" s="102">
        <f>+SUM(CK74:CK75)-CK76</f>
        <v>72.348121181842558</v>
      </c>
      <c r="CL77" s="102">
        <f>+SUM(CL74:CL75)-CL76</f>
        <v>64.686334983876108</v>
      </c>
      <c r="CM77" s="726">
        <f>+SUM(CM74:CM75)-CM76</f>
        <v>68.899376918218323</v>
      </c>
      <c r="CN77" s="19"/>
      <c r="CO77" s="25"/>
      <c r="CP77" s="25"/>
      <c r="CQ77"/>
      <c r="CR77"/>
      <c r="CS77"/>
      <c r="CT77"/>
      <c r="CU77"/>
      <c r="CV77"/>
      <c r="CW77" s="14"/>
    </row>
    <row r="78" spans="2:101" s="123" customFormat="1" ht="11.25" customHeight="1" x14ac:dyDescent="0.2">
      <c r="B78" s="14"/>
      <c r="C78" s="466"/>
      <c r="D78" s="466"/>
      <c r="E78" s="466"/>
      <c r="F78" s="466"/>
      <c r="G78" s="466"/>
      <c r="H78" s="663"/>
      <c r="I78" s="466"/>
      <c r="J78" s="466"/>
      <c r="K78" s="466"/>
      <c r="L78" s="466"/>
      <c r="M78" s="466"/>
      <c r="N78" s="663"/>
      <c r="O78" s="466"/>
      <c r="P78" s="466"/>
      <c r="Q78" s="466"/>
      <c r="R78" s="466"/>
      <c r="S78" s="466"/>
      <c r="T78" s="663"/>
      <c r="U78" s="466"/>
      <c r="V78" s="466"/>
      <c r="W78" s="466"/>
      <c r="X78" s="466"/>
      <c r="Y78" s="466"/>
      <c r="Z78" s="663"/>
      <c r="AA78" s="466"/>
      <c r="AB78" s="466"/>
      <c r="AC78" s="466"/>
      <c r="AD78" s="466"/>
      <c r="AE78" s="466"/>
      <c r="AF78" s="663"/>
      <c r="AG78" s="466"/>
      <c r="AH78" s="466"/>
      <c r="AI78" s="466"/>
      <c r="AJ78" s="466"/>
      <c r="AK78" s="466"/>
      <c r="AL78" s="663"/>
      <c r="AM78" s="466"/>
      <c r="AN78" s="466"/>
      <c r="AO78" s="466"/>
      <c r="AP78" s="466"/>
      <c r="AQ78" s="466"/>
      <c r="AR78" s="663"/>
      <c r="AS78" s="466"/>
      <c r="AT78" s="466"/>
      <c r="AU78" s="466"/>
      <c r="AV78" s="466"/>
      <c r="AW78" s="466"/>
      <c r="AX78" s="663"/>
      <c r="AY78" s="466"/>
      <c r="AZ78" s="466"/>
      <c r="BA78" s="466"/>
      <c r="BB78" s="466"/>
      <c r="BC78" s="466"/>
      <c r="BD78" s="663"/>
      <c r="BE78" s="466"/>
      <c r="BF78" s="466"/>
      <c r="BG78" s="466"/>
      <c r="BH78" s="466"/>
      <c r="BI78" s="466"/>
      <c r="BJ78" s="663"/>
      <c r="BK78" s="466"/>
      <c r="BL78" s="466"/>
      <c r="BM78" s="466"/>
      <c r="BN78" s="466"/>
      <c r="BO78" s="466"/>
      <c r="BP78" s="663"/>
      <c r="BQ78" s="466"/>
      <c r="BR78" s="466"/>
      <c r="BS78" s="466"/>
      <c r="BT78" s="466"/>
      <c r="BU78" s="466"/>
      <c r="BV78" s="663"/>
      <c r="BW78" s="466"/>
      <c r="BX78" s="466"/>
      <c r="BY78" s="466"/>
      <c r="BZ78" s="466"/>
      <c r="CA78" s="466"/>
      <c r="CB78" s="663"/>
      <c r="CC78" s="466"/>
      <c r="CD78" s="466"/>
      <c r="CE78" s="466"/>
      <c r="CF78" s="466"/>
      <c r="CG78" s="466"/>
      <c r="CH78" s="663"/>
      <c r="CI78" s="466"/>
      <c r="CJ78" s="466"/>
      <c r="CK78" s="466"/>
      <c r="CL78" s="466"/>
      <c r="CM78" s="466"/>
      <c r="CN78" s="663"/>
      <c r="CO78" s="466"/>
      <c r="CP78" s="466"/>
      <c r="CQ78"/>
      <c r="CR78"/>
      <c r="CS78"/>
      <c r="CT78"/>
      <c r="CU78"/>
      <c r="CV78"/>
      <c r="CW78" s="14"/>
    </row>
    <row r="79" spans="2:101" s="123" customFormat="1" ht="11.25" customHeight="1" x14ac:dyDescent="0.2">
      <c r="B79" s="1033" t="s">
        <v>247</v>
      </c>
      <c r="C79" s="1034"/>
      <c r="D79" s="1034"/>
      <c r="E79" s="1034"/>
      <c r="F79" s="1034"/>
      <c r="G79" s="1034"/>
      <c r="H79" s="1033"/>
      <c r="I79" s="1034"/>
      <c r="J79" s="1034"/>
      <c r="K79" s="1034"/>
      <c r="L79" s="1034"/>
      <c r="M79" s="1034"/>
      <c r="N79" s="1033"/>
      <c r="O79" s="1034"/>
      <c r="P79" s="1034"/>
      <c r="Q79" s="1034"/>
      <c r="R79" s="1034"/>
      <c r="S79" s="1034"/>
      <c r="T79" s="1033"/>
      <c r="U79" s="1034"/>
      <c r="V79" s="1034"/>
      <c r="W79" s="1034"/>
      <c r="X79" s="1034"/>
      <c r="Y79" s="1034"/>
      <c r="Z79" s="1033"/>
      <c r="AA79" s="1034"/>
      <c r="AB79" s="1034"/>
      <c r="AC79" s="1034"/>
      <c r="AD79" s="1034"/>
      <c r="AE79" s="1034"/>
      <c r="AF79" s="1033"/>
      <c r="AG79" s="1034"/>
      <c r="AH79" s="1034"/>
      <c r="AI79" s="1034"/>
      <c r="AJ79" s="1034"/>
      <c r="AK79" s="1034"/>
      <c r="AL79" s="1033"/>
      <c r="AM79" s="1034"/>
      <c r="AN79" s="1034"/>
      <c r="AO79" s="1034"/>
      <c r="AP79" s="1034"/>
      <c r="AQ79" s="1034"/>
      <c r="AR79" s="1033"/>
      <c r="AS79" s="1034"/>
      <c r="AT79" s="1034"/>
      <c r="AU79" s="1034"/>
      <c r="AV79" s="1034"/>
      <c r="AW79" s="1034"/>
      <c r="AX79" s="1033"/>
      <c r="AY79" s="1034"/>
      <c r="AZ79" s="1034"/>
      <c r="BA79" s="1034"/>
      <c r="BB79" s="1034"/>
      <c r="BC79" s="1034"/>
      <c r="BD79" s="1033"/>
      <c r="BE79" s="1034"/>
      <c r="BF79" s="1034"/>
      <c r="BG79" s="1034"/>
      <c r="BH79" s="1034"/>
      <c r="BI79" s="1034"/>
      <c r="BJ79" s="1033"/>
      <c r="BK79" s="1034"/>
      <c r="BL79" s="1034"/>
      <c r="BM79" s="1034"/>
      <c r="BN79" s="1034"/>
      <c r="BO79" s="1034"/>
      <c r="BP79" s="1033"/>
      <c r="BQ79" s="1034"/>
      <c r="BR79" s="1034"/>
      <c r="BS79" s="1034"/>
      <c r="BT79" s="1034"/>
      <c r="BU79" s="1034"/>
      <c r="BV79" s="1033"/>
      <c r="BW79" s="1034"/>
      <c r="BX79" s="1034"/>
      <c r="BY79" s="1034"/>
      <c r="BZ79" s="1034"/>
      <c r="CA79" s="1034"/>
      <c r="CB79" s="1033"/>
      <c r="CC79" s="1034"/>
      <c r="CD79" s="1034"/>
      <c r="CE79" s="1034"/>
      <c r="CF79" s="1034"/>
      <c r="CG79" s="1034"/>
      <c r="CH79" s="1033"/>
      <c r="CI79" s="1034"/>
      <c r="CJ79" s="1034"/>
      <c r="CK79" s="1034"/>
      <c r="CL79" s="1034"/>
      <c r="CM79" s="1034"/>
      <c r="CN79" s="19"/>
      <c r="CO79" s="25"/>
      <c r="CP79" s="25"/>
      <c r="CQ79"/>
      <c r="CR79"/>
      <c r="CS79"/>
      <c r="CT79"/>
      <c r="CU79"/>
      <c r="CV79"/>
      <c r="CW79" s="14"/>
    </row>
    <row r="80" spans="2:101" s="123" customFormat="1" ht="11.25" customHeight="1" x14ac:dyDescent="0.2">
      <c r="B80" s="738" t="s">
        <v>248</v>
      </c>
      <c r="C80" s="741">
        <f>+'Cash Flow'!C50</f>
        <v>40.832000000000008</v>
      </c>
      <c r="D80" s="742">
        <f>+'Cash Flow'!D50</f>
        <v>-83.666000000000011</v>
      </c>
      <c r="E80" s="742">
        <f>+'Cash Flow'!E50</f>
        <v>-29.093999999999994</v>
      </c>
      <c r="F80" s="742">
        <f>+'Cash Flow'!F50</f>
        <v>89.327000000000027</v>
      </c>
      <c r="G80" s="753">
        <f>+'Cash Flow'!G50</f>
        <v>17.399000000000001</v>
      </c>
      <c r="H80" s="199"/>
      <c r="I80" s="741">
        <f>+'Cash Flow'!I50</f>
        <v>52.441000000000003</v>
      </c>
      <c r="J80" s="742">
        <f>+'Cash Flow'!J50</f>
        <v>50.91</v>
      </c>
      <c r="K80" s="742">
        <f>+'Cash Flow'!K50</f>
        <v>-173.91399999999999</v>
      </c>
      <c r="L80" s="742">
        <f>+'Cash Flow'!L50</f>
        <v>136.93600000000004</v>
      </c>
      <c r="M80" s="753">
        <f>+'Cash Flow'!M50</f>
        <v>66.373000000000076</v>
      </c>
      <c r="N80" s="199"/>
      <c r="O80" s="741">
        <f>+'Cash Flow'!O50</f>
        <v>22.986000000000004</v>
      </c>
      <c r="P80" s="742">
        <f>+'Cash Flow'!P50</f>
        <v>-74.506999999999991</v>
      </c>
      <c r="Q80" s="742">
        <f>+'Cash Flow'!Q50</f>
        <v>-94.758999999999986</v>
      </c>
      <c r="R80" s="742">
        <f>+'Cash Flow'!R50</f>
        <v>-3.8190000000000097</v>
      </c>
      <c r="S80" s="753">
        <f>+'Cash Flow'!S50</f>
        <v>-150.09899999999999</v>
      </c>
      <c r="T80" s="199"/>
      <c r="U80" s="741">
        <f>+'Cash Flow'!U50</f>
        <v>17.312000000000005</v>
      </c>
      <c r="V80" s="742">
        <f>+'Cash Flow'!V50</f>
        <v>-5.2259999999999938</v>
      </c>
      <c r="W80" s="742">
        <f>+'Cash Flow'!W50</f>
        <v>97.630999999999986</v>
      </c>
      <c r="X80" s="742">
        <f>+'Cash Flow'!X50</f>
        <v>72.808999999999969</v>
      </c>
      <c r="Y80" s="753">
        <f>+'Cash Flow'!Y50</f>
        <v>182.52600000000001</v>
      </c>
      <c r="Z80" s="199"/>
      <c r="AA80" s="741">
        <f>+'Cash Flow'!AA50</f>
        <v>-42.164000000000009</v>
      </c>
      <c r="AB80" s="742">
        <f>+'Cash Flow'!AB50</f>
        <v>30.316999999999993</v>
      </c>
      <c r="AC80" s="742">
        <f>+'Cash Flow'!AC50</f>
        <v>59.295000000000016</v>
      </c>
      <c r="AD80" s="742">
        <f>+'Cash Flow'!AD50</f>
        <v>0.62599999999997635</v>
      </c>
      <c r="AE80" s="753">
        <f>+'Cash Flow'!AE50</f>
        <v>48.073999999999955</v>
      </c>
      <c r="AF80" s="199"/>
      <c r="AG80" s="741">
        <f>+'Cash Flow'!AG50</f>
        <v>-14.88900000000001</v>
      </c>
      <c r="AH80" s="742">
        <f>+'Cash Flow'!AH50</f>
        <v>-123.70800000000003</v>
      </c>
      <c r="AI80" s="742">
        <f>+'Cash Flow'!AI50</f>
        <v>288.024</v>
      </c>
      <c r="AJ80" s="742">
        <f>+'Cash Flow'!AJ50</f>
        <v>35.688999999999957</v>
      </c>
      <c r="AK80" s="753">
        <f>+'Cash Flow'!AK50</f>
        <v>185.11600000000001</v>
      </c>
      <c r="AL80" s="199"/>
      <c r="AM80" s="741">
        <f>+'Cash Flow'!AM50</f>
        <v>6.97199999999998</v>
      </c>
      <c r="AN80" s="742">
        <f>+'Cash Flow'!AN50</f>
        <v>-80.378999999999991</v>
      </c>
      <c r="AO80" s="742">
        <f>+'Cash Flow'!AO50</f>
        <v>-27.924999999999969</v>
      </c>
      <c r="AP80" s="742">
        <f>+'Cash Flow'!AP50</f>
        <v>32.778999999999968</v>
      </c>
      <c r="AQ80" s="753">
        <f>+'Cash Flow'!AQ50</f>
        <v>-68.552999999999997</v>
      </c>
      <c r="AR80" s="199"/>
      <c r="AS80" s="741">
        <f>+'Cash Flow'!AS50</f>
        <v>98.140999999999991</v>
      </c>
      <c r="AT80" s="742">
        <f>+'Cash Flow'!AT50</f>
        <v>-87.31099999999995</v>
      </c>
      <c r="AU80" s="742">
        <f>+'Cash Flow'!AU50</f>
        <v>-92.08299999999997</v>
      </c>
      <c r="AV80" s="742">
        <f>+'Cash Flow'!AV50</f>
        <v>-159.06700000000001</v>
      </c>
      <c r="AW80" s="753">
        <f>+'Cash Flow'!AW50</f>
        <v>-240.32000000000011</v>
      </c>
      <c r="AX80" s="199"/>
      <c r="AY80" s="741">
        <f>+'Cash Flow'!AY50</f>
        <v>-4.1680000000000064</v>
      </c>
      <c r="AZ80" s="742">
        <f>+'Cash Flow'!AZ50</f>
        <v>24.132000000000012</v>
      </c>
      <c r="BA80" s="742">
        <f>+'Cash Flow'!BA50</f>
        <v>4.8499999999999943</v>
      </c>
      <c r="BB80" s="742">
        <f>+'Cash Flow'!BB50</f>
        <v>57.538000000000004</v>
      </c>
      <c r="BC80" s="753">
        <f>+'Cash Flow'!BC50</f>
        <v>82.351999999999947</v>
      </c>
      <c r="BD80" s="199"/>
      <c r="BE80" s="741">
        <f>+'Cash Flow'!BE50</f>
        <v>-160.82000000000025</v>
      </c>
      <c r="BF80" s="742">
        <f>+'Cash Flow'!BF50</f>
        <v>-90.989000000000075</v>
      </c>
      <c r="BG80" s="742">
        <f>+'Cash Flow'!BG50</f>
        <v>2.25</v>
      </c>
      <c r="BH80" s="742">
        <f>+'Cash Flow'!BH50</f>
        <v>39.752000000000123</v>
      </c>
      <c r="BI80" s="753">
        <f>+'Cash Flow'!BI50</f>
        <v>-209.80700000000002</v>
      </c>
      <c r="BJ80" s="199"/>
      <c r="BK80" s="741">
        <f>+'Cash Flow'!BK50</f>
        <v>-47.475000000000087</v>
      </c>
      <c r="BL80" s="742">
        <f>+'Cash Flow'!BL50</f>
        <v>20.409000000000027</v>
      </c>
      <c r="BM80" s="742">
        <f>+'Cash Flow'!BM50</f>
        <v>11.35199999999999</v>
      </c>
      <c r="BN80" s="742">
        <f>+'Cash Flow'!BN50</f>
        <v>-26.78</v>
      </c>
      <c r="BO80" s="753">
        <f>+'Cash Flow'!BO50</f>
        <v>-42.494000000000113</v>
      </c>
      <c r="BP80" s="199"/>
      <c r="BQ80" s="741">
        <f>+'Cash Flow'!BQ50</f>
        <v>4.819999999999979</v>
      </c>
      <c r="BR80" s="742">
        <f>+'Cash Flow'!BR50</f>
        <v>1.6769999999999783</v>
      </c>
      <c r="BS80" s="742">
        <f>+'Cash Flow'!BS50</f>
        <v>16.548999999999999</v>
      </c>
      <c r="BT80" s="742">
        <f>+'Cash Flow'!BT50</f>
        <v>43.786129347881769</v>
      </c>
      <c r="BU80" s="753">
        <f>+'Cash Flow'!BU50</f>
        <v>66.832129347881704</v>
      </c>
      <c r="BV80" s="199"/>
      <c r="BW80" s="741">
        <f>+'Cash Flow'!BW50</f>
        <v>35.757274909013731</v>
      </c>
      <c r="BX80" s="742">
        <f>+'Cash Flow'!BX50</f>
        <v>-57.606640174620175</v>
      </c>
      <c r="BY80" s="742">
        <f>+'Cash Flow'!BY50</f>
        <v>15.583538418353747</v>
      </c>
      <c r="BZ80" s="742">
        <f>+'Cash Flow'!BZ50</f>
        <v>20.621105607896382</v>
      </c>
      <c r="CA80" s="753">
        <f>+'Cash Flow'!CA50</f>
        <v>14.355278760643671</v>
      </c>
      <c r="CB80" s="199"/>
      <c r="CC80" s="741">
        <f>+'Cash Flow'!CC50</f>
        <v>9.1217567743457977</v>
      </c>
      <c r="CD80" s="742">
        <f>+'Cash Flow'!CD50</f>
        <v>-60.556428686866056</v>
      </c>
      <c r="CE80" s="742">
        <f>+'Cash Flow'!CE50</f>
        <v>14.200265714905754</v>
      </c>
      <c r="CF80" s="742">
        <f>+'Cash Flow'!CF50</f>
        <v>21.991706974298751</v>
      </c>
      <c r="CG80" s="753">
        <f>+'Cash Flow'!CG50</f>
        <v>-15.242699223315839</v>
      </c>
      <c r="CH80" s="199"/>
      <c r="CI80" s="741">
        <f>+'Cash Flow'!CI50</f>
        <v>5.1655060856763555</v>
      </c>
      <c r="CJ80" s="742">
        <f>+'Cash Flow'!CJ50</f>
        <v>-66.95908554392885</v>
      </c>
      <c r="CK80" s="742">
        <f>+'Cash Flow'!CK50</f>
        <v>11.404100839238851</v>
      </c>
      <c r="CL80" s="742">
        <f>+'Cash Flow'!CL50</f>
        <v>18.569145161587443</v>
      </c>
      <c r="CM80" s="753">
        <f>+'Cash Flow'!CM50</f>
        <v>-31.820333457426273</v>
      </c>
      <c r="CN80" s="199"/>
      <c r="CO80" s="198"/>
      <c r="CP80" s="198"/>
      <c r="CQ80"/>
      <c r="CR80"/>
      <c r="CS80"/>
      <c r="CT80"/>
      <c r="CU80"/>
      <c r="CV80"/>
      <c r="CW80" s="14"/>
    </row>
    <row r="81" spans="2:101" s="123" customFormat="1" ht="11.25" customHeight="1" x14ac:dyDescent="0.2">
      <c r="B81" s="739" t="s">
        <v>249</v>
      </c>
      <c r="C81" s="743">
        <f>+'Cash Flow'!C25</f>
        <v>52.522000000000006</v>
      </c>
      <c r="D81" s="654">
        <f>+'Cash Flow'!D25</f>
        <v>29.952999999999985</v>
      </c>
      <c r="E81" s="654">
        <f>+'Cash Flow'!E25</f>
        <v>34.437000000000019</v>
      </c>
      <c r="F81" s="654">
        <f>+'Cash Flow'!F25</f>
        <v>126.593</v>
      </c>
      <c r="G81" s="754">
        <f>+'Cash Flow'!G25</f>
        <v>243.50500000000002</v>
      </c>
      <c r="H81" s="199"/>
      <c r="I81" s="743">
        <f>+'Cash Flow'!I25</f>
        <v>53.14</v>
      </c>
      <c r="J81" s="654">
        <f>+'Cash Flow'!J25</f>
        <v>55.698999999999998</v>
      </c>
      <c r="K81" s="654">
        <f>+'Cash Flow'!K25</f>
        <v>59.294000000000011</v>
      </c>
      <c r="L81" s="654">
        <f>+'Cash Flow'!L25</f>
        <v>97.246000000000009</v>
      </c>
      <c r="M81" s="754">
        <f>+'Cash Flow'!M25</f>
        <v>265.37900000000002</v>
      </c>
      <c r="N81" s="199"/>
      <c r="O81" s="743">
        <f>+'Cash Flow'!O25</f>
        <v>32.596000000000004</v>
      </c>
      <c r="P81" s="654">
        <f>+'Cash Flow'!P25</f>
        <v>25.234000000000009</v>
      </c>
      <c r="Q81" s="654">
        <f>+'Cash Flow'!Q25</f>
        <v>14.704000000000001</v>
      </c>
      <c r="R81" s="654">
        <f>+'Cash Flow'!R25</f>
        <v>51.470999999999982</v>
      </c>
      <c r="S81" s="754">
        <f>+'Cash Flow'!S25</f>
        <v>124.005</v>
      </c>
      <c r="T81" s="199"/>
      <c r="U81" s="743">
        <f>+'Cash Flow'!U25</f>
        <v>46.835999999999999</v>
      </c>
      <c r="V81" s="654">
        <f>+'Cash Flow'!V25</f>
        <v>8.6160000000000068</v>
      </c>
      <c r="W81" s="654">
        <f>+'Cash Flow'!W25</f>
        <v>97.674999999999983</v>
      </c>
      <c r="X81" s="654">
        <f>+'Cash Flow'!X25</f>
        <v>112.35799999999998</v>
      </c>
      <c r="Y81" s="754">
        <f>+'Cash Flow'!Y25</f>
        <v>265.48500000000001</v>
      </c>
      <c r="Z81" s="199"/>
      <c r="AA81" s="743">
        <f>+'Cash Flow'!AA25</f>
        <v>22.758000000000003</v>
      </c>
      <c r="AB81" s="654">
        <f>+'Cash Flow'!AB25</f>
        <v>-37.201000000000008</v>
      </c>
      <c r="AC81" s="654">
        <f>+'Cash Flow'!AC25</f>
        <v>205.898</v>
      </c>
      <c r="AD81" s="654">
        <f>+'Cash Flow'!AD25</f>
        <v>71.156999999999996</v>
      </c>
      <c r="AE81" s="754">
        <f>+'Cash Flow'!AE25</f>
        <v>262.61199999999997</v>
      </c>
      <c r="AF81" s="199"/>
      <c r="AG81" s="743">
        <f>+'Cash Flow'!AG25</f>
        <v>66.715999999999994</v>
      </c>
      <c r="AH81" s="654">
        <f>+'Cash Flow'!AH25</f>
        <v>52.367999999999995</v>
      </c>
      <c r="AI81" s="654">
        <f>+'Cash Flow'!AI25</f>
        <v>109.57800000000002</v>
      </c>
      <c r="AJ81" s="654">
        <f>+'Cash Flow'!AJ25</f>
        <v>92.495999999999995</v>
      </c>
      <c r="AK81" s="754">
        <f>+'Cash Flow'!AK25</f>
        <v>321.15800000000002</v>
      </c>
      <c r="AL81" s="199"/>
      <c r="AM81" s="743">
        <f>+'Cash Flow'!AM25</f>
        <v>59.757999999999996</v>
      </c>
      <c r="AN81" s="654">
        <f>+'Cash Flow'!AN25</f>
        <v>73.442000000000007</v>
      </c>
      <c r="AO81" s="654">
        <f>+'Cash Flow'!AO25</f>
        <v>46.13600000000001</v>
      </c>
      <c r="AP81" s="654">
        <f>+'Cash Flow'!AP25</f>
        <v>119.85899999999999</v>
      </c>
      <c r="AQ81" s="754">
        <f>+'Cash Flow'!AQ25</f>
        <v>299.19499999999999</v>
      </c>
      <c r="AR81" s="199"/>
      <c r="AS81" s="743">
        <f>+'Cash Flow'!AS25</f>
        <v>21.125</v>
      </c>
      <c r="AT81" s="654">
        <f>+'Cash Flow'!AT25</f>
        <v>72.029000000000025</v>
      </c>
      <c r="AU81" s="654">
        <f>+'Cash Flow'!AU25</f>
        <v>56.596000000000025</v>
      </c>
      <c r="AV81" s="654">
        <f>+'Cash Flow'!AV25</f>
        <v>46.08599999999997</v>
      </c>
      <c r="AW81" s="754">
        <f>+'Cash Flow'!AW25</f>
        <v>195.83599999999996</v>
      </c>
      <c r="AX81" s="199"/>
      <c r="AY81" s="743">
        <f>+'Cash Flow'!AY25</f>
        <v>68.77</v>
      </c>
      <c r="AZ81" s="654">
        <f>+'Cash Flow'!AZ25</f>
        <v>29.625000000000007</v>
      </c>
      <c r="BA81" s="654">
        <f>+'Cash Flow'!BA25</f>
        <v>59.69</v>
      </c>
      <c r="BB81" s="654">
        <f>+'Cash Flow'!BB25</f>
        <v>104.60599999999999</v>
      </c>
      <c r="BC81" s="754">
        <f>+'Cash Flow'!BC25</f>
        <v>262.69099999999997</v>
      </c>
      <c r="BD81" s="199"/>
      <c r="BE81" s="743">
        <f>+'Cash Flow'!BE25</f>
        <v>5.424000000000003</v>
      </c>
      <c r="BF81" s="654">
        <f>+'Cash Flow'!BF25</f>
        <v>-58.376000000000019</v>
      </c>
      <c r="BG81" s="654">
        <f>+'Cash Flow'!BG25</f>
        <v>-33.58</v>
      </c>
      <c r="BH81" s="654">
        <f>+'Cash Flow'!BH25</f>
        <v>242.86100000000002</v>
      </c>
      <c r="BI81" s="754">
        <f>+'Cash Flow'!BI25</f>
        <v>156.32900000000001</v>
      </c>
      <c r="BJ81" s="199"/>
      <c r="BK81" s="743">
        <f>+'Cash Flow'!BK25</f>
        <v>-72.779000000000082</v>
      </c>
      <c r="BL81" s="654">
        <f>+'Cash Flow'!BL25</f>
        <v>17.473000000000027</v>
      </c>
      <c r="BM81" s="654">
        <f>+'Cash Flow'!BM25</f>
        <v>42.665999999999983</v>
      </c>
      <c r="BN81" s="654">
        <f>+'Cash Flow'!BN25</f>
        <v>175.35900000000001</v>
      </c>
      <c r="BO81" s="754">
        <f>+'Cash Flow'!BO25</f>
        <v>162.71899999999985</v>
      </c>
      <c r="BP81" s="199"/>
      <c r="BQ81" s="743">
        <f>+'Cash Flow'!BQ25</f>
        <v>-46.02800000000002</v>
      </c>
      <c r="BR81" s="654">
        <f>+'Cash Flow'!BR25</f>
        <v>123.13599999999997</v>
      </c>
      <c r="BS81" s="654">
        <f>+'Cash Flow'!BS25</f>
        <v>-37.094999999999999</v>
      </c>
      <c r="BT81" s="654">
        <f>+'Cash Flow'!BT25</f>
        <v>115.53819694376334</v>
      </c>
      <c r="BU81" s="754">
        <f>+'Cash Flow'!BU25</f>
        <v>155.55119694376327</v>
      </c>
      <c r="BV81" s="199"/>
      <c r="BW81" s="743">
        <f>+'Cash Flow'!BW25</f>
        <v>96.956672730756864</v>
      </c>
      <c r="BX81" s="654">
        <f>+'Cash Flow'!BX25</f>
        <v>4.3761135308004384</v>
      </c>
      <c r="BY81" s="654">
        <f>+'Cash Flow'!BY25</f>
        <v>77.2176957340223</v>
      </c>
      <c r="BZ81" s="654">
        <f>+'Cash Flow'!BZ25</f>
        <v>84.831241505459587</v>
      </c>
      <c r="CA81" s="754">
        <f>+'Cash Flow'!CA25</f>
        <v>263.38172350103918</v>
      </c>
      <c r="CB81" s="199"/>
      <c r="CC81" s="743">
        <f>+'Cash Flow'!CC25</f>
        <v>71.904262024048236</v>
      </c>
      <c r="CD81" s="654">
        <f>+'Cash Flow'!CD25</f>
        <v>3.0128878335102627</v>
      </c>
      <c r="CE81" s="654">
        <f>+'Cash Flow'!CE25</f>
        <v>77.426751994796533</v>
      </c>
      <c r="CF81" s="654">
        <f>+'Cash Flow'!CF25</f>
        <v>87.904312084924996</v>
      </c>
      <c r="CG81" s="754">
        <f>+'Cash Flow'!CG25</f>
        <v>240.24821393727996</v>
      </c>
      <c r="CH81" s="199"/>
      <c r="CI81" s="743">
        <f>+'Cash Flow'!CI25</f>
        <v>69.602799795194642</v>
      </c>
      <c r="CJ81" s="654">
        <f>+'Cash Flow'!CJ25</f>
        <v>-1.7246525031459043</v>
      </c>
      <c r="CK81" s="654">
        <f>+'Cash Flow'!CK25</f>
        <v>76.271413069925742</v>
      </c>
      <c r="CL81" s="654">
        <f>+'Cash Flow'!CL25</f>
        <v>86.235199211205767</v>
      </c>
      <c r="CM81" s="754">
        <f>+'Cash Flow'!CM25</f>
        <v>230.38475957318019</v>
      </c>
      <c r="CN81" s="199"/>
      <c r="CO81" s="198"/>
      <c r="CP81" s="198"/>
      <c r="CQ81"/>
      <c r="CR81"/>
      <c r="CS81"/>
      <c r="CT81"/>
      <c r="CU81"/>
      <c r="CV81"/>
      <c r="CW81" s="14"/>
    </row>
    <row r="82" spans="2:101" s="123" customFormat="1" ht="11.25" customHeight="1" x14ac:dyDescent="0.2">
      <c r="B82" s="739" t="s">
        <v>150</v>
      </c>
      <c r="C82" s="743">
        <f>+'Cash Flow'!C57</f>
        <v>45.857000000000006</v>
      </c>
      <c r="D82" s="654">
        <f>+'Cash Flow'!D57</f>
        <v>26.891999999999985</v>
      </c>
      <c r="E82" s="654">
        <f>+'Cash Flow'!E57</f>
        <v>29.433000000000018</v>
      </c>
      <c r="F82" s="654">
        <f>+'Cash Flow'!F57</f>
        <v>121.816</v>
      </c>
      <c r="G82" s="754">
        <f>+'Cash Flow'!G57</f>
        <v>223.99800000000002</v>
      </c>
      <c r="H82" s="199"/>
      <c r="I82" s="743">
        <f>+'Cash Flow'!I57</f>
        <v>48.133000000000003</v>
      </c>
      <c r="J82" s="654">
        <f>+'Cash Flow'!J57</f>
        <v>51.525999999999996</v>
      </c>
      <c r="K82" s="654">
        <f>+'Cash Flow'!K57</f>
        <v>52.13000000000001</v>
      </c>
      <c r="L82" s="654">
        <f>+'Cash Flow'!L57</f>
        <v>77.599000000000018</v>
      </c>
      <c r="M82" s="754">
        <f>+'Cash Flow'!M57</f>
        <v>229.38800000000003</v>
      </c>
      <c r="N82" s="199"/>
      <c r="O82" s="743">
        <f>+'Cash Flow'!O57</f>
        <v>21.117000000000004</v>
      </c>
      <c r="P82" s="654">
        <f>+'Cash Flow'!P57</f>
        <v>19.218000000000007</v>
      </c>
      <c r="Q82" s="654">
        <f>+'Cash Flow'!Q57</f>
        <v>9.3610000000000007</v>
      </c>
      <c r="R82" s="654">
        <f>+'Cash Flow'!R57</f>
        <v>41.990999999999985</v>
      </c>
      <c r="S82" s="754">
        <f>+'Cash Flow'!S57</f>
        <v>91.686999999999998</v>
      </c>
      <c r="T82" s="199"/>
      <c r="U82" s="743">
        <f>+'Cash Flow'!U57</f>
        <v>38.828000000000003</v>
      </c>
      <c r="V82" s="654">
        <f>+'Cash Flow'!V57</f>
        <v>3.4910000000000068</v>
      </c>
      <c r="W82" s="654">
        <f>+'Cash Flow'!W57</f>
        <v>93.301999999999978</v>
      </c>
      <c r="X82" s="654">
        <f>+'Cash Flow'!X57</f>
        <v>100.05999999999997</v>
      </c>
      <c r="Y82" s="754">
        <f>+'Cash Flow'!Y57</f>
        <v>235.68100000000001</v>
      </c>
      <c r="Z82" s="199"/>
      <c r="AA82" s="743">
        <f>+'Cash Flow'!AA57</f>
        <v>13.628000000000002</v>
      </c>
      <c r="AB82" s="654">
        <f>+'Cash Flow'!AB57</f>
        <v>-48.117000000000004</v>
      </c>
      <c r="AC82" s="654">
        <f>+'Cash Flow'!AC57</f>
        <v>196.745</v>
      </c>
      <c r="AD82" s="654">
        <f>+'Cash Flow'!AD57</f>
        <v>63.533999999999992</v>
      </c>
      <c r="AE82" s="754">
        <f>+'Cash Flow'!AE57</f>
        <v>225.78999999999996</v>
      </c>
      <c r="AF82" s="199"/>
      <c r="AG82" s="743">
        <f>+'Cash Flow'!AG57</f>
        <v>56.468999999999994</v>
      </c>
      <c r="AH82" s="654">
        <f>+'Cash Flow'!AH57</f>
        <v>40.23599999999999</v>
      </c>
      <c r="AI82" s="654">
        <f>+'Cash Flow'!AI57</f>
        <v>106.90600000000002</v>
      </c>
      <c r="AJ82" s="654">
        <f>+'Cash Flow'!AJ57</f>
        <v>87.896999999999991</v>
      </c>
      <c r="AK82" s="754">
        <f>+'Cash Flow'!AK57</f>
        <v>291.50800000000004</v>
      </c>
      <c r="AL82" s="199"/>
      <c r="AM82" s="743">
        <f>+'Cash Flow'!AM57</f>
        <v>56.551999999999992</v>
      </c>
      <c r="AN82" s="654">
        <f>+'Cash Flow'!AN57</f>
        <v>67.88300000000001</v>
      </c>
      <c r="AO82" s="654">
        <f>+'Cash Flow'!AO57</f>
        <v>40.64200000000001</v>
      </c>
      <c r="AP82" s="654">
        <f>+'Cash Flow'!AP57</f>
        <v>112.13499999999999</v>
      </c>
      <c r="AQ82" s="754">
        <f>+'Cash Flow'!AQ57</f>
        <v>277.21199999999999</v>
      </c>
      <c r="AR82" s="199"/>
      <c r="AS82" s="743">
        <f>+'Cash Flow'!AS57</f>
        <v>15.561</v>
      </c>
      <c r="AT82" s="654">
        <f>+'Cash Flow'!AT57</f>
        <v>60.149000000000029</v>
      </c>
      <c r="AU82" s="654">
        <f>+'Cash Flow'!AU57</f>
        <v>43.777000000000022</v>
      </c>
      <c r="AV82" s="654">
        <f>+'Cash Flow'!AV57</f>
        <v>35.961999999999975</v>
      </c>
      <c r="AW82" s="754">
        <f>+'Cash Flow'!AW57</f>
        <v>155.44899999999996</v>
      </c>
      <c r="AX82" s="199"/>
      <c r="AY82" s="743">
        <f>+'Cash Flow'!AY57</f>
        <v>52.596999999999994</v>
      </c>
      <c r="AZ82" s="654">
        <f>+'Cash Flow'!AZ57</f>
        <v>16.608000000000004</v>
      </c>
      <c r="BA82" s="654">
        <f>+'Cash Flow'!BA57</f>
        <v>45.697999999999993</v>
      </c>
      <c r="BB82" s="654">
        <f>+'Cash Flow'!BB57</f>
        <v>87.125999999999991</v>
      </c>
      <c r="BC82" s="754">
        <f>+'Cash Flow'!BC57</f>
        <v>202.02899999999997</v>
      </c>
      <c r="BD82" s="199"/>
      <c r="BE82" s="743">
        <f>+'Cash Flow'!BE57</f>
        <v>-11.639999999999997</v>
      </c>
      <c r="BF82" s="654">
        <f>+'Cash Flow'!BF57</f>
        <v>-82.29000000000002</v>
      </c>
      <c r="BG82" s="654">
        <f>+'Cash Flow'!BG57</f>
        <v>-48.881999999999998</v>
      </c>
      <c r="BH82" s="654">
        <f>+'Cash Flow'!BH57</f>
        <v>219.78700000000003</v>
      </c>
      <c r="BI82" s="754">
        <f>+'Cash Flow'!BI57</f>
        <v>76.975000000000023</v>
      </c>
      <c r="BJ82" s="199"/>
      <c r="BK82" s="743">
        <f>+'Cash Flow'!BK57</f>
        <v>-87.821000000000083</v>
      </c>
      <c r="BL82" s="654">
        <f>+'Cash Flow'!BL57</f>
        <v>3.1380000000000283</v>
      </c>
      <c r="BM82" s="654">
        <f>+'Cash Flow'!BM57</f>
        <v>34.585999999999984</v>
      </c>
      <c r="BN82" s="654">
        <f>+'Cash Flow'!BN57</f>
        <v>165.79700000000003</v>
      </c>
      <c r="BO82" s="754">
        <f>+'Cash Flow'!BO57</f>
        <v>115.69999999999985</v>
      </c>
      <c r="BP82" s="199"/>
      <c r="BQ82" s="743">
        <f>+'Cash Flow'!BQ57</f>
        <v>-52.702000000000019</v>
      </c>
      <c r="BR82" s="654">
        <f>+'Cash Flow'!BR57</f>
        <v>113.37899999999996</v>
      </c>
      <c r="BS82" s="654">
        <f>+'Cash Flow'!BS57</f>
        <v>-48.902999999999999</v>
      </c>
      <c r="BT82" s="654">
        <f>+'Cash Flow'!BT57</f>
        <v>103.16057846457386</v>
      </c>
      <c r="BU82" s="754">
        <f>+'Cash Flow'!BU57</f>
        <v>114.9345784645738</v>
      </c>
      <c r="BV82" s="199"/>
      <c r="BW82" s="743">
        <f>+'Cash Flow'!BW57</f>
        <v>86.470531370756859</v>
      </c>
      <c r="BX82" s="654">
        <f>+'Cash Flow'!BX57</f>
        <v>-7.082849509199562</v>
      </c>
      <c r="BY82" s="654">
        <f>+'Cash Flow'!BY57</f>
        <v>65.917865814022292</v>
      </c>
      <c r="BZ82" s="654">
        <f>+'Cash Flow'!BZ57</f>
        <v>72.861902958118819</v>
      </c>
      <c r="CA82" s="754">
        <f>+'Cash Flow'!CA57</f>
        <v>218.16745063369842</v>
      </c>
      <c r="CB82" s="199"/>
      <c r="CC82" s="743">
        <f>+'Cash Flow'!CC57</f>
        <v>61.157551448048238</v>
      </c>
      <c r="CD82" s="654">
        <f>+'Cash Flow'!CD57</f>
        <v>-8.7258641256897373</v>
      </c>
      <c r="CE82" s="654">
        <f>+'Cash Flow'!CE57</f>
        <v>65.825601914796536</v>
      </c>
      <c r="CF82" s="654">
        <f>+'Cash Flow'!CF57</f>
        <v>75.614027450822334</v>
      </c>
      <c r="CG82" s="754">
        <f>+'Cash Flow'!CG57</f>
        <v>193.8713166879773</v>
      </c>
      <c r="CH82" s="199"/>
      <c r="CI82" s="743">
        <f>+'Cash Flow'!CI57</f>
        <v>58.565705040586643</v>
      </c>
      <c r="CJ82" s="654">
        <f>+'Cash Flow'!CJ57</f>
        <v>-13.781202478569906</v>
      </c>
      <c r="CK82" s="654">
        <f>+'Cash Flow'!CK57</f>
        <v>64.359669353269737</v>
      </c>
      <c r="CL82" s="654">
        <f>+'Cash Flow'!CL57</f>
        <v>73.614049809240839</v>
      </c>
      <c r="CM82" s="754">
        <f>+'Cash Flow'!CM57</f>
        <v>182.75822172452726</v>
      </c>
      <c r="CN82" s="199"/>
      <c r="CO82" s="198"/>
      <c r="CP82" s="198"/>
      <c r="CQ82"/>
      <c r="CR82"/>
      <c r="CS82"/>
      <c r="CT82"/>
      <c r="CU82"/>
      <c r="CV82"/>
      <c r="CW82" s="14"/>
    </row>
    <row r="83" spans="2:101" s="123" customFormat="1" ht="11.25" customHeight="1" x14ac:dyDescent="0.2">
      <c r="B83" s="740" t="s">
        <v>250</v>
      </c>
      <c r="C83" s="744">
        <f>+'Cash Flow'!C58</f>
        <v>0.32950822028052429</v>
      </c>
      <c r="D83" s="745">
        <f>+'Cash Flow'!D58</f>
        <v>0.19384695230955526</v>
      </c>
      <c r="E83" s="745">
        <f>+'Cash Flow'!E58</f>
        <v>0.21552058696464019</v>
      </c>
      <c r="F83" s="745">
        <f>+'Cash Flow'!F58</f>
        <v>0.89169326267092208</v>
      </c>
      <c r="G83" s="755">
        <f>+'Cash Flow'!G58</f>
        <v>1.6258955207630164</v>
      </c>
      <c r="H83" s="19"/>
      <c r="I83" s="744">
        <f>+'Cash Flow'!I58</f>
        <v>0.35199093202676518</v>
      </c>
      <c r="J83" s="745">
        <f>+'Cash Flow'!J58</f>
        <v>0.37631369455825536</v>
      </c>
      <c r="K83" s="745">
        <f>+'Cash Flow'!K58</f>
        <v>0.38633416089228151</v>
      </c>
      <c r="L83" s="745">
        <f>+'Cash Flow'!L58</f>
        <v>0.63070670947291441</v>
      </c>
      <c r="M83" s="755">
        <f>+'Cash Flow'!M58</f>
        <v>1.7260195635816404</v>
      </c>
      <c r="N83" s="19"/>
      <c r="O83" s="744">
        <f>+'Cash Flow'!O58</f>
        <v>0.17788429139429884</v>
      </c>
      <c r="P83" s="745">
        <f>+'Cash Flow'!P58</f>
        <v>0.16241295382327095</v>
      </c>
      <c r="Q83" s="745">
        <f>+'Cash Flow'!Q58</f>
        <v>7.924052347334383E-2</v>
      </c>
      <c r="R83" s="745">
        <f>+'Cash Flow'!R58</f>
        <v>0.35511260327957567</v>
      </c>
      <c r="S83" s="755">
        <f>+'Cash Flow'!S58</f>
        <v>0.77467787588188075</v>
      </c>
      <c r="T83" s="19"/>
      <c r="U83" s="744">
        <f>+'Cash Flow'!U58</f>
        <v>0.32726751683622296</v>
      </c>
      <c r="V83" s="745">
        <f>+'Cash Flow'!V58</f>
        <v>2.9282982150047033E-2</v>
      </c>
      <c r="W83" s="745">
        <f>+'Cash Flow'!W58</f>
        <v>0.78120133295376515</v>
      </c>
      <c r="X83" s="745">
        <f>+'Cash Flow'!X58</f>
        <v>0.83719607088472003</v>
      </c>
      <c r="Y83" s="755">
        <f>+'Cash Flow'!Y58</f>
        <v>1.9771564235499406</v>
      </c>
      <c r="Z83" s="19"/>
      <c r="AA83" s="744">
        <f>+'Cash Flow'!AA58</f>
        <v>0.11377145528618181</v>
      </c>
      <c r="AB83" s="745">
        <f>+'Cash Flow'!AB58</f>
        <v>-0.40308109874092135</v>
      </c>
      <c r="AC83" s="745">
        <f>+'Cash Flow'!AC58</f>
        <v>1.6555870646347517</v>
      </c>
      <c r="AD83" s="745">
        <f>+'Cash Flow'!AD58</f>
        <v>0.53719909697384771</v>
      </c>
      <c r="AE83" s="755">
        <f>+'Cash Flow'!AE58</f>
        <v>1.8963432046092079</v>
      </c>
      <c r="AF83" s="19"/>
      <c r="AG83" s="744">
        <f>+'Cash Flow'!AG58</f>
        <v>0.48560863395966802</v>
      </c>
      <c r="AH83" s="745">
        <f>+'Cash Flow'!AH58</f>
        <v>0.3554856607707666</v>
      </c>
      <c r="AI83" s="745">
        <f>+'Cash Flow'!AI58</f>
        <v>0.99720164916142773</v>
      </c>
      <c r="AJ83" s="745">
        <f>+'Cash Flow'!AJ58</f>
        <v>0.82371518536567079</v>
      </c>
      <c r="AK83" s="755">
        <f>+'Cash Flow'!AK58</f>
        <v>2.6298468144993956</v>
      </c>
      <c r="AL83" s="19"/>
      <c r="AM83" s="744">
        <f>+'Cash Flow'!AM58</f>
        <v>0.53460385884310324</v>
      </c>
      <c r="AN83" s="745">
        <f>+'Cash Flow'!AN58</f>
        <v>0.65012689747641628</v>
      </c>
      <c r="AO83" s="745">
        <f>+'Cash Flow'!AO58</f>
        <v>0.39498134038252225</v>
      </c>
      <c r="AP83" s="745">
        <f>+'Cash Flow'!AP58</f>
        <v>1.0979203791097969</v>
      </c>
      <c r="AQ83" s="755">
        <f>+'Cash Flow'!AQ58</f>
        <v>2.6704557496122612</v>
      </c>
      <c r="AR83" s="19"/>
      <c r="AS83" s="744">
        <f>+'Cash Flow'!AS58</f>
        <v>0.15268006946692964</v>
      </c>
      <c r="AT83" s="745">
        <f>+'Cash Flow'!AT58</f>
        <v>0.58988113918091978</v>
      </c>
      <c r="AU83" s="745">
        <f>+'Cash Flow'!AU58</f>
        <v>0.42919048225963025</v>
      </c>
      <c r="AV83" s="745">
        <f>+'Cash Flow'!AV58</f>
        <v>0.35717690993603729</v>
      </c>
      <c r="AW83" s="755">
        <f>+'Cash Flow'!AW58</f>
        <v>1.5293625729268121</v>
      </c>
      <c r="AX83" s="19"/>
      <c r="AY83" s="744">
        <f>+'Cash Flow'!AY58</f>
        <v>0.52501447365794252</v>
      </c>
      <c r="AZ83" s="745">
        <f>+'Cash Flow'!AZ58</f>
        <v>0.16712284656255036</v>
      </c>
      <c r="BA83" s="745">
        <f>+'Cash Flow'!BA58</f>
        <v>0.45909182238296153</v>
      </c>
      <c r="BB83" s="745">
        <f>+'Cash Flow'!BB58</f>
        <v>0.87408328902354593</v>
      </c>
      <c r="BC83" s="755">
        <f>+'Cash Flow'!BC58</f>
        <v>2.0264910626517141</v>
      </c>
      <c r="BD83" s="19"/>
      <c r="BE83" s="744">
        <f>+'Cash Flow'!BE58</f>
        <v>-0.1162117369860825</v>
      </c>
      <c r="BF83" s="745">
        <f>+'Cash Flow'!BF58</f>
        <v>-0.82966174320713837</v>
      </c>
      <c r="BG83" s="745">
        <f>+'Cash Flow'!BG58</f>
        <v>-0.50955905347649322</v>
      </c>
      <c r="BH83" s="745">
        <f>+'Cash Flow'!BH58</f>
        <v>2.2865658909083346</v>
      </c>
      <c r="BI83" s="755">
        <f>+'Cash Flow'!BI58</f>
        <v>0.78624542910257222</v>
      </c>
      <c r="BJ83" s="19"/>
      <c r="BK83" s="744">
        <f>+'Cash Flow'!BK58</f>
        <v>-0.91394525965241002</v>
      </c>
      <c r="BL83" s="745">
        <f>+'Cash Flow'!BL58</f>
        <v>3.2720220220220517E-2</v>
      </c>
      <c r="BM83" s="745">
        <f>+'Cash Flow'!BM58</f>
        <v>0.3626925617928039</v>
      </c>
      <c r="BN83" s="745">
        <f>+'Cash Flow'!BN58</f>
        <v>1.7544099129128179</v>
      </c>
      <c r="BO83" s="755">
        <f>+'Cash Flow'!BO58</f>
        <v>1.2106689547647185</v>
      </c>
      <c r="BP83" s="19"/>
      <c r="BQ83" s="744">
        <f>+'Cash Flow'!BQ58</f>
        <v>-0.56054627256192913</v>
      </c>
      <c r="BR83" s="745">
        <f>+'Cash Flow'!BR58</f>
        <v>1.214545103962464</v>
      </c>
      <c r="BS83" s="745">
        <f>+'Cash Flow'!BS58</f>
        <v>-0.52805882797568271</v>
      </c>
      <c r="BT83" s="745">
        <f>+'Cash Flow'!BT58</f>
        <v>1.1197520448905565</v>
      </c>
      <c r="BU83" s="755">
        <f>+'Cash Flow'!BU58</f>
        <v>1.2355001259556024</v>
      </c>
      <c r="BV83" s="19"/>
      <c r="BW83" s="744">
        <f>+'Cash Flow'!BW58</f>
        <v>0.9469895662186929</v>
      </c>
      <c r="BX83" s="745">
        <f>+'Cash Flow'!BX58</f>
        <v>-7.8143790021071149E-2</v>
      </c>
      <c r="BY83" s="745">
        <f>+'Cash Flow'!BY58</f>
        <v>0.73269441085250087</v>
      </c>
      <c r="BZ83" s="745">
        <f>+'Cash Flow'!BZ58</f>
        <v>0.81597675410516335</v>
      </c>
      <c r="CA83" s="755">
        <f>+'Cash Flow'!CA58</f>
        <v>2.4159617071654935</v>
      </c>
      <c r="CB83" s="19"/>
      <c r="CC83" s="744">
        <f>+'Cash Flow'!CC58</f>
        <v>0.69009601765972217</v>
      </c>
      <c r="CD83" s="745">
        <f>+'Cash Flow'!CD58</f>
        <v>-9.9214472276922594E-2</v>
      </c>
      <c r="CE83" s="745">
        <f>+'Cash Flow'!CE58</f>
        <v>0.75421288145798571</v>
      </c>
      <c r="CF83" s="745">
        <f>+'Cash Flow'!CF58</f>
        <v>0.87309152568860993</v>
      </c>
      <c r="CG83" s="755">
        <f>+'Cash Flow'!CG58</f>
        <v>2.2128053203268809</v>
      </c>
      <c r="CH83" s="19"/>
      <c r="CI83" s="744">
        <f>+'Cash Flow'!CI58</f>
        <v>0.68153042012008114</v>
      </c>
      <c r="CJ83" s="745">
        <f>+'Cash Flow'!CJ58</f>
        <v>-0.16163672139003796</v>
      </c>
      <c r="CK83" s="745">
        <f>+'Cash Flow'!CK58</f>
        <v>0.7608600412152482</v>
      </c>
      <c r="CL83" s="745">
        <f>+'Cash Flow'!CL58</f>
        <v>0.8772374632338602</v>
      </c>
      <c r="CM83" s="755">
        <f>+'Cash Flow'!CM58</f>
        <v>2.1520158574729766</v>
      </c>
      <c r="CN83" s="19"/>
      <c r="CO83" s="104"/>
      <c r="CP83" s="104"/>
      <c r="CQ83"/>
      <c r="CR83"/>
      <c r="CS83"/>
      <c r="CT83"/>
      <c r="CU83"/>
      <c r="CV83"/>
      <c r="CW83" s="14"/>
    </row>
    <row r="84" spans="2:101" s="123" customFormat="1" ht="11.25" customHeight="1" x14ac:dyDescent="0.2">
      <c r="B84" s="14"/>
      <c r="C84" s="466"/>
      <c r="D84" s="466"/>
      <c r="E84" s="466"/>
      <c r="F84" s="466"/>
      <c r="G84" s="466"/>
      <c r="H84" s="663"/>
      <c r="I84" s="466"/>
      <c r="J84" s="466"/>
      <c r="K84" s="466"/>
      <c r="L84" s="466"/>
      <c r="M84" s="466"/>
      <c r="N84" s="663"/>
      <c r="O84" s="466"/>
      <c r="P84" s="466"/>
      <c r="Q84" s="466"/>
      <c r="R84" s="466"/>
      <c r="S84" s="466"/>
      <c r="T84" s="663"/>
      <c r="U84" s="466"/>
      <c r="V84" s="466"/>
      <c r="W84" s="466"/>
      <c r="X84" s="466"/>
      <c r="Y84" s="466"/>
      <c r="Z84" s="663"/>
      <c r="AA84" s="466"/>
      <c r="AB84" s="466"/>
      <c r="AC84" s="466"/>
      <c r="AD84" s="466"/>
      <c r="AE84" s="466"/>
      <c r="AF84" s="663"/>
      <c r="AG84" s="466"/>
      <c r="AH84" s="466"/>
      <c r="AI84" s="466"/>
      <c r="AJ84" s="466"/>
      <c r="AK84" s="466"/>
      <c r="AL84" s="663"/>
      <c r="AM84" s="466"/>
      <c r="AN84" s="466"/>
      <c r="AO84" s="466"/>
      <c r="AP84" s="466"/>
      <c r="AQ84" s="466"/>
      <c r="AR84" s="663"/>
      <c r="AS84" s="466"/>
      <c r="AT84" s="466"/>
      <c r="AU84" s="466"/>
      <c r="AV84" s="466"/>
      <c r="AW84" s="466"/>
      <c r="AX84" s="663"/>
      <c r="AY84" s="466"/>
      <c r="AZ84" s="466"/>
      <c r="BA84" s="466"/>
      <c r="BB84" s="466"/>
      <c r="BC84" s="466"/>
      <c r="BD84" s="663"/>
      <c r="BE84" s="466"/>
      <c r="BF84" s="466"/>
      <c r="BG84" s="466"/>
      <c r="BH84" s="466"/>
      <c r="BI84" s="466"/>
      <c r="BJ84" s="663"/>
      <c r="BK84" s="466"/>
      <c r="BL84" s="466"/>
      <c r="BM84" s="466"/>
      <c r="BN84" s="466"/>
      <c r="BO84" s="466"/>
      <c r="BP84" s="663"/>
      <c r="BQ84" s="466"/>
      <c r="BR84" s="466"/>
      <c r="BS84" s="466"/>
      <c r="BT84" s="466"/>
      <c r="BU84" s="466"/>
      <c r="BV84" s="663"/>
      <c r="BW84" s="466"/>
      <c r="BX84" s="466"/>
      <c r="BY84" s="466"/>
      <c r="BZ84" s="466"/>
      <c r="CA84" s="466"/>
      <c r="CB84" s="663"/>
      <c r="CC84" s="466"/>
      <c r="CD84" s="466"/>
      <c r="CE84" s="466"/>
      <c r="CF84" s="466"/>
      <c r="CG84" s="466"/>
      <c r="CH84" s="663"/>
      <c r="CI84" s="466"/>
      <c r="CJ84" s="466"/>
      <c r="CK84" s="466"/>
      <c r="CL84" s="466"/>
      <c r="CM84" s="466"/>
      <c r="CN84" s="663"/>
      <c r="CO84" s="466"/>
      <c r="CP84" s="466"/>
      <c r="CQ84"/>
      <c r="CR84"/>
      <c r="CS84"/>
      <c r="CT84"/>
      <c r="CU84"/>
      <c r="CV84"/>
      <c r="CW84" s="14"/>
    </row>
    <row r="85" spans="2:101" s="123" customFormat="1" ht="11.25" customHeight="1" x14ac:dyDescent="0.2">
      <c r="B85" s="1033" t="s">
        <v>66</v>
      </c>
      <c r="C85" s="1034"/>
      <c r="D85" s="1034"/>
      <c r="E85" s="1034"/>
      <c r="F85" s="1034"/>
      <c r="G85" s="1034"/>
      <c r="H85" s="1033"/>
      <c r="I85" s="1034"/>
      <c r="J85" s="1034"/>
      <c r="K85" s="1034"/>
      <c r="L85" s="1034"/>
      <c r="M85" s="1034"/>
      <c r="N85" s="1033"/>
      <c r="O85" s="1034"/>
      <c r="P85" s="1034"/>
      <c r="Q85" s="1034"/>
      <c r="R85" s="1034"/>
      <c r="S85" s="1034"/>
      <c r="T85" s="1033"/>
      <c r="U85" s="1034"/>
      <c r="V85" s="1034"/>
      <c r="W85" s="1034"/>
      <c r="X85" s="1034"/>
      <c r="Y85" s="1034"/>
      <c r="Z85" s="1033"/>
      <c r="AA85" s="1034"/>
      <c r="AB85" s="1034"/>
      <c r="AC85" s="1034"/>
      <c r="AD85" s="1034"/>
      <c r="AE85" s="1034"/>
      <c r="AF85" s="1033"/>
      <c r="AG85" s="1034"/>
      <c r="AH85" s="1034"/>
      <c r="AI85" s="1034"/>
      <c r="AJ85" s="1034"/>
      <c r="AK85" s="1034"/>
      <c r="AL85" s="1033"/>
      <c r="AM85" s="1034"/>
      <c r="AN85" s="1034"/>
      <c r="AO85" s="1034"/>
      <c r="AP85" s="1034"/>
      <c r="AQ85" s="1034"/>
      <c r="AR85" s="1033"/>
      <c r="AS85" s="1034"/>
      <c r="AT85" s="1034"/>
      <c r="AU85" s="1034"/>
      <c r="AV85" s="1034"/>
      <c r="AW85" s="1034"/>
      <c r="AX85" s="1033"/>
      <c r="AY85" s="1034"/>
      <c r="AZ85" s="1034"/>
      <c r="BA85" s="1034"/>
      <c r="BB85" s="1034"/>
      <c r="BC85" s="1034"/>
      <c r="BD85" s="1033"/>
      <c r="BE85" s="1034"/>
      <c r="BF85" s="1034"/>
      <c r="BG85" s="1034"/>
      <c r="BH85" s="1034"/>
      <c r="BI85" s="1034"/>
      <c r="BJ85" s="1033"/>
      <c r="BK85" s="1034"/>
      <c r="BL85" s="1034"/>
      <c r="BM85" s="1034"/>
      <c r="BN85" s="1034"/>
      <c r="BO85" s="1034"/>
      <c r="BP85" s="1033"/>
      <c r="BQ85" s="1034"/>
      <c r="BR85" s="1034"/>
      <c r="BS85" s="1034"/>
      <c r="BT85" s="1034"/>
      <c r="BU85" s="1034"/>
      <c r="BV85" s="1033"/>
      <c r="BW85" s="1034"/>
      <c r="BX85" s="1034"/>
      <c r="BY85" s="1034"/>
      <c r="BZ85" s="1034"/>
      <c r="CA85" s="1034"/>
      <c r="CB85" s="1033"/>
      <c r="CC85" s="1034"/>
      <c r="CD85" s="1034"/>
      <c r="CE85" s="1034"/>
      <c r="CF85" s="1034"/>
      <c r="CG85" s="1034"/>
      <c r="CH85" s="1033"/>
      <c r="CI85" s="1034"/>
      <c r="CJ85" s="1034"/>
      <c r="CK85" s="1034"/>
      <c r="CL85" s="1034"/>
      <c r="CM85" s="1034"/>
      <c r="CN85" s="19"/>
      <c r="CO85" s="25"/>
      <c r="CP85" s="25"/>
      <c r="CQ85"/>
      <c r="CR85"/>
      <c r="CS85"/>
      <c r="CT85"/>
      <c r="CU85"/>
      <c r="CV85"/>
      <c r="CW85" s="14"/>
    </row>
    <row r="86" spans="2:101" s="123" customFormat="1" ht="11.25" customHeight="1" x14ac:dyDescent="0.2">
      <c r="B86" s="535" t="s">
        <v>67</v>
      </c>
      <c r="C86" s="734">
        <f>+C9/'P&amp;L'!C26</f>
        <v>1.9057829386065761</v>
      </c>
      <c r="D86" s="735">
        <f>+D9/'P&amp;L'!D26</f>
        <v>1.308733637045153</v>
      </c>
      <c r="E86" s="735">
        <f>+E9/'P&amp;L'!E26</f>
        <v>1.1164044022348005</v>
      </c>
      <c r="F86" s="735">
        <f>+F9/'P&amp;L'!F26</f>
        <v>1.7699104031856645</v>
      </c>
      <c r="G86" s="756">
        <f>+G9/'P&amp;L'!G26</f>
        <v>1.7550464908651437</v>
      </c>
      <c r="H86" s="19"/>
      <c r="I86" s="734">
        <f>+I9/'P&amp;L'!I26</f>
        <v>2.151683790997843</v>
      </c>
      <c r="J86" s="735">
        <f>+J9/'P&amp;L'!J26</f>
        <v>2.5207014161243908</v>
      </c>
      <c r="K86" s="735">
        <f>+K9/'P&amp;L'!K26</f>
        <v>1.2689665394449179</v>
      </c>
      <c r="L86" s="735">
        <f>+L9/'P&amp;L'!L26</f>
        <v>2.5046856585524444</v>
      </c>
      <c r="M86" s="756">
        <f>+M9/'P&amp;L'!M26</f>
        <v>2.3187659894657635</v>
      </c>
      <c r="N86" s="19"/>
      <c r="O86" s="734">
        <f>+O9/'P&amp;L'!O26</f>
        <v>2.7895242266999123</v>
      </c>
      <c r="P86" s="735">
        <f>+P9/'P&amp;L'!P26</f>
        <v>2.1689118382800348</v>
      </c>
      <c r="Q86" s="735">
        <f>+Q9/'P&amp;L'!Q26</f>
        <v>1.3703421538253169</v>
      </c>
      <c r="R86" s="735">
        <f>+R9/'P&amp;L'!R26</f>
        <v>1.336735815707798</v>
      </c>
      <c r="S86" s="756">
        <f>+S9/'P&amp;L'!S26</f>
        <v>1.3355160322757804</v>
      </c>
      <c r="T86" s="19"/>
      <c r="U86" s="734">
        <f>+U9/'P&amp;L'!U26</f>
        <v>1.4781908751464479</v>
      </c>
      <c r="V86" s="735">
        <f>+V9/'P&amp;L'!V26</f>
        <v>1.4272496980271105</v>
      </c>
      <c r="W86" s="735">
        <f>+W9/'P&amp;L'!W26</f>
        <v>2.2420918666376406</v>
      </c>
      <c r="X86" s="735">
        <f>+X9/'P&amp;L'!X26</f>
        <v>2.8497046469987786</v>
      </c>
      <c r="Y86" s="756">
        <f>+Y9/'P&amp;L'!Y26</f>
        <v>2.8572591063908326</v>
      </c>
      <c r="Z86" s="19"/>
      <c r="AA86" s="734">
        <f>+AA9/'P&amp;L'!AA26</f>
        <v>2.4913761437253723</v>
      </c>
      <c r="AB86" s="735">
        <f>+AB9/'P&amp;L'!AB26</f>
        <v>2.7539225788076034</v>
      </c>
      <c r="AC86" s="735">
        <f>+AC9/'P&amp;L'!AC26</f>
        <v>3.2653045768573761</v>
      </c>
      <c r="AD86" s="735">
        <f>+AD9/'P&amp;L'!AD26</f>
        <v>3.2862795829845521</v>
      </c>
      <c r="AE86" s="756">
        <f>+AE9/'P&amp;L'!AE26</f>
        <v>3.2642819948599939</v>
      </c>
      <c r="AF86" s="19"/>
      <c r="AG86" s="734">
        <f>+AG9/'P&amp;L'!AG26</f>
        <v>3.2143096702068195</v>
      </c>
      <c r="AH86" s="735">
        <f>+AH9/'P&amp;L'!AH26</f>
        <v>2.2093545138091284</v>
      </c>
      <c r="AI86" s="735">
        <f>+AI9/'P&amp;L'!AI26</f>
        <v>5.0192339980971212</v>
      </c>
      <c r="AJ86" s="735">
        <f>+AJ9/'P&amp;L'!AJ26</f>
        <v>5.3771132436180977</v>
      </c>
      <c r="AK86" s="756">
        <f>+AK9/'P&amp;L'!AK26</f>
        <v>5.1763798423037359</v>
      </c>
      <c r="AL86" s="19"/>
      <c r="AM86" s="734">
        <f>+AM9/'P&amp;L'!AM26</f>
        <v>5.4900409328531055</v>
      </c>
      <c r="AN86" s="735">
        <f>+AN9/'P&amp;L'!AN26</f>
        <v>4.7921658765503041</v>
      </c>
      <c r="AO86" s="735">
        <f>+AO9/'P&amp;L'!AO26</f>
        <v>4.5915195925983516</v>
      </c>
      <c r="AP86" s="735">
        <f>+AP9/'P&amp;L'!AP26</f>
        <v>4.9467170579826503</v>
      </c>
      <c r="AQ86" s="756">
        <f>+AQ9/'P&amp;L'!AQ26</f>
        <v>4.8669935553479053</v>
      </c>
      <c r="AR86" s="19"/>
      <c r="AS86" s="734">
        <f>+AS9/'P&amp;L'!AS26</f>
        <v>5.9200835957966627</v>
      </c>
      <c r="AT86" s="735">
        <f>+AT9/'P&amp;L'!AT26</f>
        <v>5.0609799152675343</v>
      </c>
      <c r="AU86" s="735">
        <f>+AU9/'P&amp;L'!AU26</f>
        <v>4.1566583986117518</v>
      </c>
      <c r="AV86" s="735">
        <f>+AV9/'P&amp;L'!AV26</f>
        <v>2.6310833896150334</v>
      </c>
      <c r="AW86" s="756">
        <f>+AW9/'P&amp;L'!AW26</f>
        <v>2.6062591619688518</v>
      </c>
      <c r="AX86" s="19"/>
      <c r="AY86" s="734">
        <f>+AY9/'P&amp;L'!AY26</f>
        <v>2.6026631530614281</v>
      </c>
      <c r="AZ86" s="735">
        <f>+AZ9/'P&amp;L'!AZ26</f>
        <v>2.8666076316213172</v>
      </c>
      <c r="BA86" s="735">
        <f>+BA9/'P&amp;L'!BA26</f>
        <v>2.9106088004822177</v>
      </c>
      <c r="BB86" s="735">
        <f>+BB9/'P&amp;L'!BB26</f>
        <v>3.483852844688343</v>
      </c>
      <c r="BC86" s="756">
        <f>+BC9/'P&amp;L'!BC26</f>
        <v>3.483258771841836</v>
      </c>
      <c r="BD86" s="19"/>
      <c r="BE86" s="734">
        <f>+BE9/'P&amp;L'!BE26</f>
        <v>1.8613845570176313</v>
      </c>
      <c r="BF86" s="735">
        <f>+BF9/'P&amp;L'!BF26</f>
        <v>0.96235317840399248</v>
      </c>
      <c r="BG86" s="735">
        <f>+BG9/'P&amp;L'!BG26</f>
        <v>1.0184613780881893</v>
      </c>
      <c r="BH86" s="735">
        <f>+BH9/'P&amp;L'!BH26</f>
        <v>1.4299996878933845</v>
      </c>
      <c r="BI86" s="756">
        <f>+BI9/'P&amp;L'!BI26</f>
        <v>1.4039856182713326</v>
      </c>
      <c r="BJ86" s="19"/>
      <c r="BK86" s="734">
        <f>+BK9/'P&amp;L'!BK26</f>
        <v>0.9363929649287126</v>
      </c>
      <c r="BL86" s="735">
        <f>+BL9/'P&amp;L'!BL26</f>
        <v>1.1510155989322657</v>
      </c>
      <c r="BM86" s="735">
        <f>+BM9/'P&amp;L'!BM26</f>
        <v>1.2766388070344699</v>
      </c>
      <c r="BN86" s="735">
        <f>+BN9/'P&amp;L'!BN26</f>
        <v>1.0048252436430589</v>
      </c>
      <c r="BO86" s="756">
        <f>+BO9/'P&amp;L'!BO26</f>
        <v>0.99363797126623221</v>
      </c>
      <c r="BP86" s="19"/>
      <c r="BQ86" s="734">
        <f>+BQ9/'P&amp;L'!BQ26</f>
        <v>1.0612642125527818</v>
      </c>
      <c r="BR86" s="735">
        <f>+BR9/'P&amp;L'!BR26</f>
        <v>1.0868228513888443</v>
      </c>
      <c r="BS86" s="735">
        <f>+BS9/'P&amp;L'!BS26</f>
        <v>1.2742282067617619</v>
      </c>
      <c r="BT86" s="735">
        <f>+BT9/'P&amp;L'!BT26</f>
        <v>1.7561548280252888</v>
      </c>
      <c r="BU86" s="756">
        <f>+BU9/'P&amp;L'!BU26</f>
        <v>1.7391890530961471</v>
      </c>
      <c r="BV86" s="19"/>
      <c r="BW86" s="734">
        <f>+BW9/'P&amp;L'!BW26</f>
        <v>2.1634685792817847</v>
      </c>
      <c r="BX86" s="735">
        <f>+BX9/'P&amp;L'!BX26</f>
        <v>1.54395202289981</v>
      </c>
      <c r="BY86" s="735">
        <f>+BY9/'P&amp;L'!BY26</f>
        <v>1.7287046308485752</v>
      </c>
      <c r="BZ86" s="735">
        <f>+BZ9/'P&amp;L'!BZ26</f>
        <v>1.9726546864730539</v>
      </c>
      <c r="CA86" s="756">
        <f>+CA9/'P&amp;L'!CA26</f>
        <v>1.9506254283525537</v>
      </c>
      <c r="CB86" s="19"/>
      <c r="CC86" s="734">
        <f>+CC9/'P&amp;L'!CC26</f>
        <v>2.0905484238263168</v>
      </c>
      <c r="CD86" s="735">
        <f>+CD9/'P&amp;L'!CD26</f>
        <v>1.4179924091411842</v>
      </c>
      <c r="CE86" s="735">
        <f>+CE9/'P&amp;L'!CE26</f>
        <v>1.5916181270311298</v>
      </c>
      <c r="CF86" s="735">
        <f>+CF9/'P&amp;L'!CF26</f>
        <v>1.8579048017368329</v>
      </c>
      <c r="CG86" s="756">
        <f>+CG9/'P&amp;L'!CG26</f>
        <v>1.8365201679346679</v>
      </c>
      <c r="CH86" s="19"/>
      <c r="CI86" s="734">
        <f>+CI9/'P&amp;L'!CI26</f>
        <v>1.9325511708547538</v>
      </c>
      <c r="CJ86" s="735">
        <f>+CJ9/'P&amp;L'!CJ26</f>
        <v>1.162441115136859</v>
      </c>
      <c r="CK86" s="735">
        <f>+CK9/'P&amp;L'!CK26</f>
        <v>1.3064992819286021</v>
      </c>
      <c r="CL86" s="735">
        <f>+CL9/'P&amp;L'!CL26</f>
        <v>1.538249465956129</v>
      </c>
      <c r="CM86" s="756">
        <f>+CM9/'P&amp;L'!CM26</f>
        <v>1.5199834417049709</v>
      </c>
      <c r="CN86" s="19"/>
      <c r="CO86" s="35"/>
      <c r="CP86" s="35"/>
      <c r="CQ86"/>
      <c r="CR86"/>
      <c r="CS86"/>
      <c r="CT86"/>
      <c r="CU86"/>
      <c r="CV86"/>
      <c r="CW86" s="14"/>
    </row>
    <row r="87" spans="2:101" s="123" customFormat="1" ht="11.25" customHeight="1" x14ac:dyDescent="0.2">
      <c r="B87" s="529" t="s">
        <v>145</v>
      </c>
      <c r="C87" s="254">
        <f>+C13/('P&amp;L'!C8*4)</f>
        <v>9.8407598613552034E-3</v>
      </c>
      <c r="D87" s="212">
        <f>+D13/('P&amp;L'!D8*4)</f>
        <v>9.0764007818250163E-3</v>
      </c>
      <c r="E87" s="212">
        <f>+E13/('P&amp;L'!E8*4)</f>
        <v>9.8612532311760214E-3</v>
      </c>
      <c r="F87" s="212">
        <f>+F13/('P&amp;L'!F8*4)</f>
        <v>1.1192353847631649E-2</v>
      </c>
      <c r="G87" s="255">
        <f>+G13/('P&amp;L'!G8)</f>
        <v>1.1824979863479032E-2</v>
      </c>
      <c r="H87" s="141"/>
      <c r="I87" s="254">
        <f>+I13/('P&amp;L'!I8*4)</f>
        <v>1.2328504440385911E-2</v>
      </c>
      <c r="J87" s="212">
        <f>+J13/('P&amp;L'!J8*4)</f>
        <v>1.2682077434797141E-2</v>
      </c>
      <c r="K87" s="212">
        <f>+K13/('P&amp;L'!K8*4)</f>
        <v>1.1802943833934404E-2</v>
      </c>
      <c r="L87" s="212">
        <f>+L13/('P&amp;L'!L8*4)</f>
        <v>1.014564715797263E-2</v>
      </c>
      <c r="M87" s="255">
        <f>+M13/('P&amp;L'!M8)</f>
        <v>1.0534129626251656E-2</v>
      </c>
      <c r="N87" s="141"/>
      <c r="O87" s="254">
        <f>+O13/('P&amp;L'!O8*4)</f>
        <v>1.1236336456237001E-2</v>
      </c>
      <c r="P87" s="212">
        <f>+P13/('P&amp;L'!P8*4)</f>
        <v>1.2629351605941582E-2</v>
      </c>
      <c r="Q87" s="212">
        <f>+Q13/('P&amp;L'!Q8*4)</f>
        <v>1.0269437488209335E-2</v>
      </c>
      <c r="R87" s="212">
        <f>+R13/('P&amp;L'!R8*4)</f>
        <v>1.0719542906380948E-2</v>
      </c>
      <c r="S87" s="255">
        <f>+S13/('P&amp;L'!S8)</f>
        <v>1.0807222611657126E-2</v>
      </c>
      <c r="T87" s="141"/>
      <c r="U87" s="254">
        <f>+U13/('P&amp;L'!U8*4)</f>
        <v>1.2925559063754229E-2</v>
      </c>
      <c r="V87" s="212">
        <f>+V13/('P&amp;L'!V8*4)</f>
        <v>1.3602965086244449E-2</v>
      </c>
      <c r="W87" s="212">
        <f>+W13/('P&amp;L'!W8*4)</f>
        <v>1.0944915398910356E-2</v>
      </c>
      <c r="X87" s="212">
        <f>+X13/('P&amp;L'!X8*4)</f>
        <v>1.590133396984603E-2</v>
      </c>
      <c r="Y87" s="255">
        <f>+Y13/('P&amp;L'!Y8)</f>
        <v>1.5968488059465442E-2</v>
      </c>
      <c r="Z87" s="141"/>
      <c r="AA87" s="254">
        <f>+AA13/('P&amp;L'!AA8*4)</f>
        <v>1.3150354147568743E-2</v>
      </c>
      <c r="AB87" s="212">
        <f>+AB13/('P&amp;L'!AB8*4)</f>
        <v>1.4828017737055844E-2</v>
      </c>
      <c r="AC87" s="212">
        <f>+AC13/('P&amp;L'!AC8*4)</f>
        <v>1.3298065846116536E-2</v>
      </c>
      <c r="AD87" s="212">
        <f>+AD13/('P&amp;L'!AD8*4)</f>
        <v>1.1535167268411294E-2</v>
      </c>
      <c r="AE87" s="255">
        <f>+AE13/('P&amp;L'!AE8)</f>
        <v>1.1939092476732237E-2</v>
      </c>
      <c r="AF87" s="141"/>
      <c r="AG87" s="254">
        <f>+AG13/('P&amp;L'!AG8*4)</f>
        <v>1.0382961499701446E-2</v>
      </c>
      <c r="AH87" s="212">
        <f>+AH13/('P&amp;L'!AH8*4)</f>
        <v>1.3087381473377097E-2</v>
      </c>
      <c r="AI87" s="212">
        <f>+AI13/('P&amp;L'!AI8*4)</f>
        <v>1.0906896975520374E-2</v>
      </c>
      <c r="AJ87" s="212">
        <f>+AJ13/('P&amp;L'!AJ8*4)</f>
        <v>1.1991180497557496E-2</v>
      </c>
      <c r="AK87" s="255">
        <f>+AK13/('P&amp;L'!AK8)</f>
        <v>1.2702292442629539E-2</v>
      </c>
      <c r="AL87" s="141"/>
      <c r="AM87" s="254">
        <f>+AM13/('P&amp;L'!AM8*4)</f>
        <v>1.3787005538530742E-2</v>
      </c>
      <c r="AN87" s="212">
        <f>+AN13/('P&amp;L'!AN8*4)</f>
        <v>1.0914813657398064E-2</v>
      </c>
      <c r="AO87" s="212">
        <f>+AO13/('P&amp;L'!AO8*4)</f>
        <v>1.1335508335871929E-2</v>
      </c>
      <c r="AP87" s="212">
        <f>+AP13/('P&amp;L'!AP8*4)</f>
        <v>1.2277277282464171E-2</v>
      </c>
      <c r="AQ87" s="255">
        <f>+AQ13/('P&amp;L'!AQ8)</f>
        <v>1.302838547766806E-2</v>
      </c>
      <c r="AR87" s="141"/>
      <c r="AS87" s="254">
        <f>+AS13/('P&amp;L'!AS8*4)</f>
        <v>1.5585286180940208E-2</v>
      </c>
      <c r="AT87" s="212">
        <f>+AT13/('P&amp;L'!AT8*4)</f>
        <v>1.4510669440567702E-2</v>
      </c>
      <c r="AU87" s="212">
        <f>+AU13/('P&amp;L'!AU8*4)</f>
        <v>1.4749755005869699E-2</v>
      </c>
      <c r="AV87" s="212">
        <f>+AV13/('P&amp;L'!AV8*4)</f>
        <v>1.4969689050765055E-2</v>
      </c>
      <c r="AW87" s="255">
        <f>+AW13/('P&amp;L'!AW8)</f>
        <v>1.6239081726941971E-2</v>
      </c>
      <c r="AX87" s="141"/>
      <c r="AY87" s="254">
        <f>+AY13/('P&amp;L'!AY8*4)</f>
        <v>1.5848452962652138E-2</v>
      </c>
      <c r="AZ87" s="212">
        <f>+AZ13/('P&amp;L'!AZ8*4)</f>
        <v>1.5148944000327125E-2</v>
      </c>
      <c r="BA87" s="212">
        <f>+BA13/('P&amp;L'!BA8*4)</f>
        <v>1.4171294808830955E-2</v>
      </c>
      <c r="BB87" s="212">
        <f>+BB13/('P&amp;L'!BB8*4)</f>
        <v>1.4385867113145989E-2</v>
      </c>
      <c r="BC87" s="255">
        <f>+BC13/('P&amp;L'!BC8)</f>
        <v>1.5229623114068115E-2</v>
      </c>
      <c r="BD87" s="141"/>
      <c r="BE87" s="254">
        <f>+BE13/('P&amp;L'!BE8*4)</f>
        <v>2.06405802934717E-2</v>
      </c>
      <c r="BF87" s="212">
        <f>+BF13/('P&amp;L'!BF8*4)</f>
        <v>1.4966959638931477E-2</v>
      </c>
      <c r="BG87" s="212">
        <f>+BG13/('P&amp;L'!BG8*4)</f>
        <v>1.7816109184903769E-2</v>
      </c>
      <c r="BH87" s="212">
        <f>+BH13/('P&amp;L'!BH8*4)</f>
        <v>1.5692819359320938E-2</v>
      </c>
      <c r="BI87" s="255">
        <f>+BI13/('P&amp;L'!BI8)</f>
        <v>1.6940789198884736E-2</v>
      </c>
      <c r="BJ87" s="141"/>
      <c r="BK87" s="254">
        <f>+BK13/('P&amp;L'!BK8*4)</f>
        <v>1.5515942229120198E-2</v>
      </c>
      <c r="BL87" s="212">
        <f>+BL13/('P&amp;L'!BL8*4)</f>
        <v>1.8377870897823431E-2</v>
      </c>
      <c r="BM87" s="212">
        <f>+BM13/('P&amp;L'!BM8*4)</f>
        <v>2.0084362731838293E-2</v>
      </c>
      <c r="BN87" s="212">
        <f>+BN13/('P&amp;L'!BN8*4)</f>
        <v>1.9364277054072159E-2</v>
      </c>
      <c r="BO87" s="255">
        <f>+BO13/('P&amp;L'!BO8)</f>
        <v>2.0011703649854547E-2</v>
      </c>
      <c r="BP87" s="141"/>
      <c r="BQ87" s="254">
        <f>+BQ13/('P&amp;L'!BQ8*4)</f>
        <v>1.8724575670090445E-2</v>
      </c>
      <c r="BR87" s="212">
        <f>+BR13/('P&amp;L'!BR8*4)</f>
        <v>1.7423580376362904E-2</v>
      </c>
      <c r="BS87" s="212">
        <f>+BS13/('P&amp;L'!BS8*4)</f>
        <v>2.1143858955135972E-2</v>
      </c>
      <c r="BT87" s="760">
        <f t="shared" ref="BT87:BT89" si="69">+BS87</f>
        <v>2.1143858955135972E-2</v>
      </c>
      <c r="BU87" s="255">
        <f>+BU13/('P&amp;L'!BU8)</f>
        <v>2.2140701285172617E-2</v>
      </c>
      <c r="BV87" s="141"/>
      <c r="BW87" s="762">
        <f>+BQ87+0.001</f>
        <v>1.9724575670090446E-2</v>
      </c>
      <c r="BX87" s="760">
        <f t="shared" ref="BX87:BZ89" si="70">+BW87</f>
        <v>1.9724575670090446E-2</v>
      </c>
      <c r="BY87" s="760">
        <f t="shared" si="70"/>
        <v>1.9724575670090446E-2</v>
      </c>
      <c r="BZ87" s="760">
        <f t="shared" si="70"/>
        <v>1.9724575670090446E-2</v>
      </c>
      <c r="CA87" s="255">
        <f>+CA13/('P&amp;L'!CA8)</f>
        <v>2.0886336010811871E-2</v>
      </c>
      <c r="CB87" s="141"/>
      <c r="CC87" s="762">
        <f>+BW87+0.001</f>
        <v>2.0724575670090447E-2</v>
      </c>
      <c r="CD87" s="760">
        <f t="shared" ref="CD87:CF89" si="71">+CC87</f>
        <v>2.0724575670090447E-2</v>
      </c>
      <c r="CE87" s="760">
        <f t="shared" si="71"/>
        <v>2.0724575670090447E-2</v>
      </c>
      <c r="CF87" s="760">
        <f t="shared" si="71"/>
        <v>2.0724575670090447E-2</v>
      </c>
      <c r="CG87" s="255">
        <f>+CG13/('P&amp;L'!CG8)</f>
        <v>2.1968777474456021E-2</v>
      </c>
      <c r="CH87" s="141"/>
      <c r="CI87" s="762">
        <f>+CC87+0.001</f>
        <v>2.1724575670090448E-2</v>
      </c>
      <c r="CJ87" s="760">
        <f t="shared" ref="CJ87:CJ89" si="72">+CI87</f>
        <v>2.1724575670090448E-2</v>
      </c>
      <c r="CK87" s="760">
        <f t="shared" ref="CK87:CK89" si="73">+CJ87</f>
        <v>2.1724575670090448E-2</v>
      </c>
      <c r="CL87" s="760">
        <f t="shared" ref="CL87:CL89" si="74">+CK87</f>
        <v>2.1724575670090448E-2</v>
      </c>
      <c r="CM87" s="255">
        <f>+CM13/('P&amp;L'!CM8)</f>
        <v>2.3028263452432259E-2</v>
      </c>
      <c r="CN87" s="141"/>
      <c r="CO87" s="207"/>
      <c r="CP87" s="207"/>
      <c r="CQ87"/>
      <c r="CR87"/>
      <c r="CS87"/>
      <c r="CT87"/>
      <c r="CU87"/>
      <c r="CV87"/>
      <c r="CW87" s="14"/>
    </row>
    <row r="88" spans="2:101" s="128" customFormat="1" ht="11.25" customHeight="1" x14ac:dyDescent="0.2">
      <c r="B88" s="529" t="s">
        <v>353</v>
      </c>
      <c r="C88" s="254">
        <f>+C18/('P&amp;L'!C8*4)</f>
        <v>1.9573584871118918E-2</v>
      </c>
      <c r="D88" s="212">
        <f>+D18/('P&amp;L'!D8*4)</f>
        <v>2.6156137427208029E-2</v>
      </c>
      <c r="E88" s="212">
        <f>+E18/('P&amp;L'!E8*4)</f>
        <v>2.7649282446363183E-2</v>
      </c>
      <c r="F88" s="212">
        <f>+F18/('P&amp;L'!F8*4)</f>
        <v>1.7594362660540652E-2</v>
      </c>
      <c r="G88" s="255">
        <f>+G18/('P&amp;L'!G8)</f>
        <v>1.8588849763328873E-2</v>
      </c>
      <c r="H88" s="141"/>
      <c r="I88" s="254">
        <f>+I18/('P&amp;L'!I8*4)</f>
        <v>1.7760474363525677E-2</v>
      </c>
      <c r="J88" s="212">
        <f>+J18/('P&amp;L'!J8*4)</f>
        <v>1.6627200832353986E-2</v>
      </c>
      <c r="K88" s="212">
        <f>+K18/('P&amp;L'!K8*4)</f>
        <v>1.6858636250138361E-2</v>
      </c>
      <c r="L88" s="212">
        <f>+L18/('P&amp;L'!L8*4)</f>
        <v>1.7469436836127998E-2</v>
      </c>
      <c r="M88" s="255">
        <f>+M18/('P&amp;L'!M8)</f>
        <v>1.8138351281492927E-2</v>
      </c>
      <c r="N88" s="141"/>
      <c r="O88" s="254">
        <f>+O18/('P&amp;L'!O8*4)</f>
        <v>1.6968941694595348E-2</v>
      </c>
      <c r="P88" s="212">
        <f>+P18/('P&amp;L'!P8*4)</f>
        <v>1.6334610993849585E-2</v>
      </c>
      <c r="Q88" s="212">
        <f>+Q18/('P&amp;L'!Q8*4)</f>
        <v>1.6116374011587834E-2</v>
      </c>
      <c r="R88" s="212">
        <f>+R18/('P&amp;L'!R8*4)</f>
        <v>1.6531945776551385E-2</v>
      </c>
      <c r="S88" s="255">
        <f>+S18/('P&amp;L'!S8)</f>
        <v>1.6667167599532937E-2</v>
      </c>
      <c r="T88" s="141"/>
      <c r="U88" s="254">
        <f>+U18/('P&amp;L'!U8*4)</f>
        <v>1.823345099097114E-2</v>
      </c>
      <c r="V88" s="212">
        <f>+V18/('P&amp;L'!V8*4)</f>
        <v>1.7512095819257844E-2</v>
      </c>
      <c r="W88" s="212">
        <f>+W18/('P&amp;L'!W8*4)</f>
        <v>1.9794313753225282E-2</v>
      </c>
      <c r="X88" s="212">
        <f>+X18/('P&amp;L'!X8*4)</f>
        <v>2.3091938353417114E-2</v>
      </c>
      <c r="Y88" s="255">
        <f>+Y18/('P&amp;L'!Y8)</f>
        <v>2.3189459611734933E-2</v>
      </c>
      <c r="Z88" s="141"/>
      <c r="AA88" s="254">
        <f>+AA18/('P&amp;L'!AA8*4)</f>
        <v>2.2972227158099618E-2</v>
      </c>
      <c r="AB88" s="212">
        <f>+AB18/('P&amp;L'!AB8*4)</f>
        <v>2.4109415055037591E-2</v>
      </c>
      <c r="AC88" s="212">
        <f>+AC18/('P&amp;L'!AC8*4)</f>
        <v>2.7858182259140243E-2</v>
      </c>
      <c r="AD88" s="212">
        <f>+AD18/('P&amp;L'!AD8*4)</f>
        <v>2.5538317234637408E-2</v>
      </c>
      <c r="AE88" s="255">
        <f>+AE18/('P&amp;L'!AE8)</f>
        <v>2.6432588628292543E-2</v>
      </c>
      <c r="AF88" s="141"/>
      <c r="AG88" s="254">
        <f>+AG18/('P&amp;L'!AG8*4)</f>
        <v>2.8049189187913461E-2</v>
      </c>
      <c r="AH88" s="212">
        <f>+AH18/('P&amp;L'!AH8*4)</f>
        <v>2.6971261852662291E-2</v>
      </c>
      <c r="AI88" s="212">
        <f>+AI18/('P&amp;L'!AI8*4)</f>
        <v>2.3443348267655834E-2</v>
      </c>
      <c r="AJ88" s="212">
        <f>+AJ18/('P&amp;L'!AJ8*4)</f>
        <v>2.4576967193330589E-2</v>
      </c>
      <c r="AK88" s="255">
        <f>+AK18/('P&amp;L'!AK8)</f>
        <v>2.6034452963674969E-2</v>
      </c>
      <c r="AL88" s="141"/>
      <c r="AM88" s="254">
        <f>+AM18/('P&amp;L'!AM8*4)</f>
        <v>2.8482105203969751E-2</v>
      </c>
      <c r="AN88" s="212">
        <f>+AN18/('P&amp;L'!AN8*4)</f>
        <v>2.9658910992132085E-2</v>
      </c>
      <c r="AO88" s="212">
        <f>+AO18/('P&amp;L'!AO8*4)</f>
        <v>3.0457405654351479E-2</v>
      </c>
      <c r="AP88" s="212">
        <f>+AP18/('P&amp;L'!AP8*4)</f>
        <v>2.213288383753069E-2</v>
      </c>
      <c r="AQ88" s="255">
        <f>+AQ18/('P&amp;L'!AQ8)</f>
        <v>2.3486945495615873E-2</v>
      </c>
      <c r="AR88" s="141"/>
      <c r="AS88" s="254">
        <f>+AS18/('P&amp;L'!AS8*4)</f>
        <v>2.3712540832268144E-2</v>
      </c>
      <c r="AT88" s="212">
        <f>+AT18/('P&amp;L'!AT8*4)</f>
        <v>2.0342719611066505E-2</v>
      </c>
      <c r="AU88" s="212">
        <f>+AU18/('P&amp;L'!AU8*4)</f>
        <v>1.7698920917464916E-2</v>
      </c>
      <c r="AV88" s="212">
        <f>+AV18/('P&amp;L'!AV8*4)</f>
        <v>2.0537358097483208E-2</v>
      </c>
      <c r="AW88" s="255">
        <f>+AW18/('P&amp;L'!AW8)</f>
        <v>2.2278875364044968E-2</v>
      </c>
      <c r="AX88" s="141"/>
      <c r="AY88" s="254">
        <f>+AY18/('P&amp;L'!AY8*4)</f>
        <v>2.3519472690946112E-2</v>
      </c>
      <c r="AZ88" s="212">
        <f>+AZ18/('P&amp;L'!AZ8*4)</f>
        <v>1.8603432765635544E-2</v>
      </c>
      <c r="BA88" s="212">
        <f>+BA18/('P&amp;L'!BA8*4)</f>
        <v>1.7527393316281184E-2</v>
      </c>
      <c r="BB88" s="212">
        <f>+BB18/('P&amp;L'!BB8*4)</f>
        <v>1.7314438472708374E-2</v>
      </c>
      <c r="BC88" s="255">
        <f>+BC18/('P&amp;L'!BC8)</f>
        <v>1.8329960251760164E-2</v>
      </c>
      <c r="BD88" s="141"/>
      <c r="BE88" s="254">
        <f>+BE18/('P&amp;L'!BE8*4)</f>
        <v>1.8433636371590824E-2</v>
      </c>
      <c r="BF88" s="212">
        <f>+BF18/('P&amp;L'!BF8*4)</f>
        <v>1.3637966902052247E-2</v>
      </c>
      <c r="BG88" s="212">
        <f>+BG18/('P&amp;L'!BG8*4)</f>
        <v>2.5973281993185576E-2</v>
      </c>
      <c r="BH88" s="212">
        <f>+BH18/('P&amp;L'!BH8*4)</f>
        <v>1.5175715553354382E-2</v>
      </c>
      <c r="BI88" s="255">
        <f>+BI18/('P&amp;L'!BI8)</f>
        <v>1.6382562766129861E-2</v>
      </c>
      <c r="BJ88" s="141"/>
      <c r="BK88" s="254">
        <f>+BK18/('P&amp;L'!BK8*4)</f>
        <v>2.5467639721532591E-2</v>
      </c>
      <c r="BL88" s="212">
        <f>+BL18/('P&amp;L'!BL8*4)</f>
        <v>1.7118740749985369E-2</v>
      </c>
      <c r="BM88" s="212">
        <f>+BM18/('P&amp;L'!BM8*4)</f>
        <v>1.9233865600700721E-2</v>
      </c>
      <c r="BN88" s="212">
        <f>+BN18/('P&amp;L'!BN8*4)</f>
        <v>1.7565181947527805E-2</v>
      </c>
      <c r="BO88" s="255">
        <f>+BO18/('P&amp;L'!BO8)</f>
        <v>1.8152457471464531E-2</v>
      </c>
      <c r="BP88" s="141"/>
      <c r="BQ88" s="254">
        <f>+BQ18/('P&amp;L'!BQ8*4)</f>
        <v>1.6952876088381776E-2</v>
      </c>
      <c r="BR88" s="212">
        <f>+BR18/('P&amp;L'!BR8*4)</f>
        <v>2.0058640275896506E-2</v>
      </c>
      <c r="BS88" s="212">
        <f>+BS18/('P&amp;L'!BS8*4)</f>
        <v>2.2414017518626084E-2</v>
      </c>
      <c r="BT88" s="760">
        <f t="shared" si="69"/>
        <v>2.2414017518626084E-2</v>
      </c>
      <c r="BU88" s="255">
        <f>+BU18/('P&amp;L'!BU8)</f>
        <v>2.3470742381204779E-2</v>
      </c>
      <c r="BV88" s="141"/>
      <c r="BW88" s="762">
        <f>+BQ88+0.001</f>
        <v>1.7952876088381777E-2</v>
      </c>
      <c r="BX88" s="760">
        <f t="shared" si="70"/>
        <v>1.7952876088381777E-2</v>
      </c>
      <c r="BY88" s="760">
        <f t="shared" si="70"/>
        <v>1.7952876088381777E-2</v>
      </c>
      <c r="BZ88" s="760">
        <f t="shared" si="70"/>
        <v>1.7952876088381777E-2</v>
      </c>
      <c r="CA88" s="255">
        <f>+CA18/('P&amp;L'!CA8)</f>
        <v>1.9010284865646099E-2</v>
      </c>
      <c r="CB88" s="141"/>
      <c r="CC88" s="762">
        <f>+BW88+0.001</f>
        <v>1.8952876088381778E-2</v>
      </c>
      <c r="CD88" s="760">
        <f t="shared" si="71"/>
        <v>1.8952876088381778E-2</v>
      </c>
      <c r="CE88" s="760">
        <f t="shared" si="71"/>
        <v>1.8952876088381778E-2</v>
      </c>
      <c r="CF88" s="760">
        <f t="shared" si="71"/>
        <v>1.8952876088381778E-2</v>
      </c>
      <c r="CG88" s="255">
        <f>+CG18/('P&amp;L'!CG8)</f>
        <v>2.009071374558959E-2</v>
      </c>
      <c r="CH88" s="141"/>
      <c r="CI88" s="762">
        <f>+CC88+0.001</f>
        <v>1.9952876088381779E-2</v>
      </c>
      <c r="CJ88" s="760">
        <f t="shared" si="72"/>
        <v>1.9952876088381779E-2</v>
      </c>
      <c r="CK88" s="760">
        <f t="shared" si="73"/>
        <v>1.9952876088381779E-2</v>
      </c>
      <c r="CL88" s="760">
        <f t="shared" si="74"/>
        <v>1.9952876088381779E-2</v>
      </c>
      <c r="CM88" s="255">
        <f>+CM18/('P&amp;L'!CM8)</f>
        <v>2.1150244505331622E-2</v>
      </c>
      <c r="CN88" s="141"/>
      <c r="CO88" s="207"/>
      <c r="CP88" s="207"/>
      <c r="CQ88"/>
      <c r="CR88"/>
      <c r="CS88"/>
      <c r="CT88"/>
      <c r="CU88"/>
      <c r="CV88"/>
      <c r="CW88" s="14"/>
    </row>
    <row r="89" spans="2:101" s="128" customFormat="1" ht="11.25" customHeight="1" x14ac:dyDescent="0.2">
      <c r="B89" s="531" t="s">
        <v>352</v>
      </c>
      <c r="C89" s="736">
        <f>+C26/('P&amp;L'!C11*4)</f>
        <v>6.7992617480195222E-2</v>
      </c>
      <c r="D89" s="737">
        <f>+D26/('P&amp;L'!D11*4)</f>
        <v>7.7894205877874212E-2</v>
      </c>
      <c r="E89" s="737">
        <f>+E26/('P&amp;L'!E11*4)</f>
        <v>8.3740005076786389E-2</v>
      </c>
      <c r="F89" s="737">
        <f>+F26/('P&amp;L'!F11*4)</f>
        <v>8.2412242485543852E-2</v>
      </c>
      <c r="G89" s="757">
        <f>+G26/('P&amp;L'!G11)</f>
        <v>8.5443047970409775E-2</v>
      </c>
      <c r="H89" s="141"/>
      <c r="I89" s="736">
        <f>+I26/('P&amp;L'!I11*4)</f>
        <v>6.395320113384427E-2</v>
      </c>
      <c r="J89" s="737">
        <f>+J26/('P&amp;L'!J11*4)</f>
        <v>7.3371488907286758E-2</v>
      </c>
      <c r="K89" s="737">
        <f>+K26/('P&amp;L'!K11*4)</f>
        <v>8.002662419197322E-2</v>
      </c>
      <c r="L89" s="737">
        <f>+L26/('P&amp;L'!L11*4)</f>
        <v>7.4992000465427477E-2</v>
      </c>
      <c r="M89" s="757">
        <f>+M26/('P&amp;L'!M11)</f>
        <v>7.6666636927862589E-2</v>
      </c>
      <c r="N89" s="141"/>
      <c r="O89" s="736">
        <f>+O26/('P&amp;L'!O11*4)</f>
        <v>5.8947576334990939E-2</v>
      </c>
      <c r="P89" s="737">
        <f>+P26/('P&amp;L'!P11*4)</f>
        <v>6.3703040831008403E-2</v>
      </c>
      <c r="Q89" s="737">
        <f>+Q26/('P&amp;L'!Q11*4)</f>
        <v>6.1841445764134098E-2</v>
      </c>
      <c r="R89" s="737">
        <f>+R26/('P&amp;L'!R11*4)</f>
        <v>6.3843971872133698E-2</v>
      </c>
      <c r="S89" s="757">
        <f>+S26/('P&amp;L'!S11)</f>
        <v>6.4685399929441931E-2</v>
      </c>
      <c r="T89" s="141"/>
      <c r="U89" s="736">
        <f>+U26/('P&amp;L'!U11*4)</f>
        <v>4.7410854673601101E-2</v>
      </c>
      <c r="V89" s="737">
        <f>+V26/('P&amp;L'!V11*4)</f>
        <v>6.8210281734239306E-2</v>
      </c>
      <c r="W89" s="737">
        <f>+W26/('P&amp;L'!W11*4)</f>
        <v>7.9757764588430188E-2</v>
      </c>
      <c r="X89" s="737">
        <f>+X26/('P&amp;L'!X11*4)</f>
        <v>9.0237300586065369E-2</v>
      </c>
      <c r="Y89" s="757">
        <f>+Y26/('P&amp;L'!Y11)</f>
        <v>9.2368991023143679E-2</v>
      </c>
      <c r="Z89" s="141"/>
      <c r="AA89" s="736">
        <f>+AA26/('P&amp;L'!AA11*4)</f>
        <v>3.644416663179479E-2</v>
      </c>
      <c r="AB89" s="737">
        <f>+AB26/('P&amp;L'!AB11*4)</f>
        <v>4.7826224946971412E-2</v>
      </c>
      <c r="AC89" s="737">
        <f>+AC26/('P&amp;L'!AC11*4)</f>
        <v>7.4150493176310533E-2</v>
      </c>
      <c r="AD89" s="737">
        <f>+AD26/('P&amp;L'!AD11*4)</f>
        <v>7.078103731283529E-2</v>
      </c>
      <c r="AE89" s="757">
        <f>+AE26/('P&amp;L'!AE11)</f>
        <v>7.3644556160564006E-2</v>
      </c>
      <c r="AF89" s="141"/>
      <c r="AG89" s="736">
        <f>+AG26/('P&amp;L'!AG11*4)</f>
        <v>4.2057895997106222E-2</v>
      </c>
      <c r="AH89" s="737">
        <f>+AH26/('P&amp;L'!AH11*4)</f>
        <v>5.8278205984099052E-2</v>
      </c>
      <c r="AI89" s="737">
        <f>+AI26/('P&amp;L'!AI11*4)</f>
        <v>6.9925060612739703E-2</v>
      </c>
      <c r="AJ89" s="737">
        <f>+AJ26/('P&amp;L'!AJ11*4)</f>
        <v>7.8704889268269546E-2</v>
      </c>
      <c r="AK89" s="757">
        <f>+AK26/('P&amp;L'!AK11)</f>
        <v>8.2517821517579124E-2</v>
      </c>
      <c r="AL89" s="141"/>
      <c r="AM89" s="736">
        <f>+AM26/('P&amp;L'!AM11*4)</f>
        <v>5.2968125332335504E-2</v>
      </c>
      <c r="AN89" s="737">
        <f>+AN26/('P&amp;L'!AN11*4)</f>
        <v>7.0163517979578746E-2</v>
      </c>
      <c r="AO89" s="737">
        <f>+AO26/('P&amp;L'!AO11*4)</f>
        <v>8.9522194016749296E-2</v>
      </c>
      <c r="AP89" s="737">
        <f>+AP26/('P&amp;L'!AP11*4)</f>
        <v>8.0428133860668757E-2</v>
      </c>
      <c r="AQ89" s="757">
        <f>+AQ26/('P&amp;L'!AQ11)</f>
        <v>8.4522081419179884E-2</v>
      </c>
      <c r="AR89" s="141"/>
      <c r="AS89" s="736">
        <f>+AS26/('P&amp;L'!AS11*4)</f>
        <v>5.9343428037775238E-2</v>
      </c>
      <c r="AT89" s="737">
        <f>+AT26/('P&amp;L'!AT11*4)</f>
        <v>6.4746300279707292E-2</v>
      </c>
      <c r="AU89" s="737">
        <f>+AU26/('P&amp;L'!AU11*4)</f>
        <v>8.3535178920808167E-2</v>
      </c>
      <c r="AV89" s="737">
        <f>+AV26/('P&amp;L'!AV11*4)</f>
        <v>7.6812376761755147E-2</v>
      </c>
      <c r="AW89" s="757">
        <f>+AW26/('P&amp;L'!AW11)</f>
        <v>7.7151769867824641E-2</v>
      </c>
      <c r="AX89" s="141"/>
      <c r="AY89" s="736">
        <f>+AY26/('P&amp;L'!AY11*4)</f>
        <v>6.2079411505981695E-2</v>
      </c>
      <c r="AZ89" s="737">
        <f>+AZ26/('P&amp;L'!AZ11*4)</f>
        <v>8.3709757010156663E-2</v>
      </c>
      <c r="BA89" s="737">
        <f>+BA26/('P&amp;L'!BA11*4)</f>
        <v>9.5271923376523626E-2</v>
      </c>
      <c r="BB89" s="737">
        <f>+BB26/('P&amp;L'!BB11*4)</f>
        <v>9.2989831482878801E-2</v>
      </c>
      <c r="BC89" s="757">
        <f>+BC26/('P&amp;L'!BC11)</f>
        <v>9.7475148303089815E-2</v>
      </c>
      <c r="BD89" s="141"/>
      <c r="BE89" s="736">
        <f>+BE26/('P&amp;L'!BE11*4)</f>
        <v>4.0285139427480167E-2</v>
      </c>
      <c r="BF89" s="737">
        <f>+BF26/('P&amp;L'!BF11*4)</f>
        <v>5.100291867093483E-2</v>
      </c>
      <c r="BG89" s="737">
        <f>+BG26/('P&amp;L'!BG11*4)</f>
        <v>6.5860477296668787E-2</v>
      </c>
      <c r="BH89" s="737">
        <f>+BH26/('P&amp;L'!BH11*4)</f>
        <v>7.7271904395211338E-2</v>
      </c>
      <c r="BI89" s="757">
        <f>+BI26/('P&amp;L'!BI11)</f>
        <v>8.2496285193305555E-2</v>
      </c>
      <c r="BJ89" s="141"/>
      <c r="BK89" s="736">
        <f>+BK26/('P&amp;L'!BK11*4)</f>
        <v>4.1160379831392743E-2</v>
      </c>
      <c r="BL89" s="737">
        <f>+BL26/('P&amp;L'!BL11*4)</f>
        <v>7.6219136481668934E-2</v>
      </c>
      <c r="BM89" s="737">
        <f>+BM26/('P&amp;L'!BM11*4)</f>
        <v>7.6558879716032077E-2</v>
      </c>
      <c r="BN89" s="737">
        <f>+BN26/('P&amp;L'!BN11*4)</f>
        <v>6.2052992847885569E-2</v>
      </c>
      <c r="BO89" s="757">
        <f>+BO26/('P&amp;L'!BO11)</f>
        <v>6.1229388728737483E-2</v>
      </c>
      <c r="BP89" s="141"/>
      <c r="BQ89" s="736">
        <f>+BQ26/('P&amp;L'!BQ11*4)</f>
        <v>4.6046597157910131E-2</v>
      </c>
      <c r="BR89" s="737">
        <f>+BR26/('P&amp;L'!BR11*4)</f>
        <v>6.1416762667858796E-2</v>
      </c>
      <c r="BS89" s="737">
        <f>+BS26/('P&amp;L'!BS11*4)</f>
        <v>6.3830330470897631E-2</v>
      </c>
      <c r="BT89" s="761">
        <f t="shared" si="69"/>
        <v>6.3830330470897631E-2</v>
      </c>
      <c r="BU89" s="757">
        <f>+BU26/('P&amp;L'!BU11)</f>
        <v>6.6679362099915582E-2</v>
      </c>
      <c r="BV89" s="141"/>
      <c r="BW89" s="763">
        <f>BT89-0.001</f>
        <v>6.283033047089763E-2</v>
      </c>
      <c r="BX89" s="761">
        <f t="shared" si="70"/>
        <v>6.283033047089763E-2</v>
      </c>
      <c r="BY89" s="761">
        <f t="shared" si="70"/>
        <v>6.283033047089763E-2</v>
      </c>
      <c r="BZ89" s="761">
        <f t="shared" si="70"/>
        <v>6.283033047089763E-2</v>
      </c>
      <c r="CA89" s="757">
        <f>+CA26/('P&amp;L'!CA11)</f>
        <v>6.5804830965768446E-2</v>
      </c>
      <c r="CB89" s="141"/>
      <c r="CC89" s="763">
        <f>BZ89-0.001</f>
        <v>6.1830330470897629E-2</v>
      </c>
      <c r="CD89" s="761">
        <f t="shared" si="71"/>
        <v>6.1830330470897629E-2</v>
      </c>
      <c r="CE89" s="761">
        <f t="shared" si="71"/>
        <v>6.1830330470897629E-2</v>
      </c>
      <c r="CF89" s="761">
        <f t="shared" si="71"/>
        <v>6.1830330470897629E-2</v>
      </c>
      <c r="CG89" s="757">
        <f>+CG26/('P&amp;L'!CG11)</f>
        <v>6.4823240213641928E-2</v>
      </c>
      <c r="CH89" s="141"/>
      <c r="CI89" s="763">
        <f>CF89-0.001</f>
        <v>6.0830330470897628E-2</v>
      </c>
      <c r="CJ89" s="761">
        <f t="shared" si="72"/>
        <v>6.0830330470897628E-2</v>
      </c>
      <c r="CK89" s="761">
        <f t="shared" si="73"/>
        <v>6.0830330470897628E-2</v>
      </c>
      <c r="CL89" s="761">
        <f t="shared" si="74"/>
        <v>6.0830330470897628E-2</v>
      </c>
      <c r="CM89" s="757">
        <f>+CM26/('P&amp;L'!CM11)</f>
        <v>6.3769088519320796E-2</v>
      </c>
      <c r="CN89" s="141"/>
      <c r="CO89" s="207"/>
      <c r="CP89" s="207"/>
      <c r="CQ89"/>
      <c r="CR89"/>
      <c r="CS89"/>
      <c r="CT89"/>
      <c r="CU89"/>
      <c r="CV89"/>
      <c r="CW89" s="14"/>
    </row>
    <row r="90" spans="2:101" s="123" customFormat="1" ht="11.25" customHeight="1" x14ac:dyDescent="0.2">
      <c r="B90" s="1"/>
      <c r="C90" s="50"/>
      <c r="D90" s="50"/>
      <c r="E90" s="50"/>
      <c r="F90" s="50"/>
      <c r="G90" s="50"/>
      <c r="H90" s="40"/>
      <c r="I90" s="50"/>
      <c r="J90" s="50"/>
      <c r="K90" s="50"/>
      <c r="L90" s="50"/>
      <c r="M90" s="50"/>
      <c r="N90" s="40"/>
      <c r="O90" s="50"/>
      <c r="P90" s="50"/>
      <c r="Q90" s="50"/>
      <c r="R90" s="50"/>
      <c r="S90" s="50"/>
      <c r="T90" s="40"/>
      <c r="U90" s="50"/>
      <c r="V90" s="50"/>
      <c r="W90" s="50"/>
      <c r="X90" s="50"/>
      <c r="Y90" s="50"/>
      <c r="Z90" s="40"/>
      <c r="AA90" s="50"/>
      <c r="AB90" s="50"/>
      <c r="AC90" s="50"/>
      <c r="AD90" s="50"/>
      <c r="AE90" s="50"/>
      <c r="AF90" s="40"/>
      <c r="AG90" s="50"/>
      <c r="AH90" s="50"/>
      <c r="AI90" s="50"/>
      <c r="AJ90" s="50"/>
      <c r="AK90" s="50"/>
      <c r="AL90" s="40"/>
      <c r="AM90" s="50"/>
      <c r="AN90" s="50"/>
      <c r="AO90" s="50"/>
      <c r="AP90" s="50"/>
      <c r="AQ90" s="50"/>
      <c r="AR90" s="40"/>
      <c r="AS90" s="50"/>
      <c r="AT90" s="50"/>
      <c r="AU90" s="50"/>
      <c r="AV90" s="50"/>
      <c r="AW90" s="50"/>
      <c r="AX90" s="40"/>
      <c r="AY90" s="50"/>
      <c r="AZ90" s="50"/>
      <c r="BA90" s="50"/>
      <c r="BB90" s="50"/>
      <c r="BC90" s="50"/>
      <c r="BD90" s="40"/>
      <c r="BE90" s="50"/>
      <c r="BF90" s="50"/>
      <c r="BG90" s="50"/>
      <c r="BH90" s="50"/>
      <c r="BI90" s="50"/>
      <c r="BJ90" s="40"/>
      <c r="BK90" s="50"/>
      <c r="BL90" s="50"/>
      <c r="BM90" s="50"/>
      <c r="BN90" s="50"/>
      <c r="BO90" s="50"/>
      <c r="BP90" s="40"/>
      <c r="BQ90" s="50"/>
      <c r="BR90" s="50"/>
      <c r="BS90" s="50"/>
      <c r="BT90" s="50"/>
      <c r="BU90" s="53"/>
      <c r="BV90" s="40"/>
      <c r="BW90" s="50"/>
      <c r="BX90" s="50"/>
      <c r="BY90" s="50"/>
      <c r="BZ90" s="50"/>
      <c r="CA90" s="53"/>
      <c r="CB90" s="40"/>
      <c r="CC90" s="50"/>
      <c r="CD90" s="50"/>
      <c r="CE90" s="50"/>
      <c r="CF90" s="50"/>
      <c r="CG90" s="53"/>
      <c r="CH90" s="40"/>
      <c r="CI90" s="50"/>
      <c r="CJ90" s="50"/>
      <c r="CK90" s="50"/>
      <c r="CL90" s="50"/>
      <c r="CM90" s="53"/>
      <c r="CN90" s="26"/>
      <c r="CO90" s="53"/>
      <c r="CP90" s="53"/>
      <c r="CQ90"/>
      <c r="CR90"/>
      <c r="CS90"/>
      <c r="CT90"/>
      <c r="CU90"/>
      <c r="CV90"/>
      <c r="CW90" s="14"/>
    </row>
    <row r="91" spans="2:101" s="123" customFormat="1" ht="11.25" customHeight="1" x14ac:dyDescent="0.2">
      <c r="B91" s="1033" t="s">
        <v>68</v>
      </c>
      <c r="C91" s="1034"/>
      <c r="D91" s="1034"/>
      <c r="E91" s="1034"/>
      <c r="F91" s="1034"/>
      <c r="G91" s="1034"/>
      <c r="H91" s="1033"/>
      <c r="I91" s="1034"/>
      <c r="J91" s="1034"/>
      <c r="K91" s="1034"/>
      <c r="L91" s="1034"/>
      <c r="M91" s="1034"/>
      <c r="N91" s="1033"/>
      <c r="O91" s="1034"/>
      <c r="P91" s="1034"/>
      <c r="Q91" s="1034"/>
      <c r="R91" s="1034"/>
      <c r="S91" s="1034"/>
      <c r="T91" s="1033"/>
      <c r="U91" s="1034"/>
      <c r="V91" s="1034"/>
      <c r="W91" s="1034"/>
      <c r="X91" s="1034"/>
      <c r="Y91" s="1034"/>
      <c r="Z91" s="1033"/>
      <c r="AA91" s="1034"/>
      <c r="AB91" s="1034"/>
      <c r="AC91" s="1034"/>
      <c r="AD91" s="1034"/>
      <c r="AE91" s="1034"/>
      <c r="AF91" s="1033"/>
      <c r="AG91" s="1034"/>
      <c r="AH91" s="1034"/>
      <c r="AI91" s="1034"/>
      <c r="AJ91" s="1034"/>
      <c r="AK91" s="1034"/>
      <c r="AL91" s="1033"/>
      <c r="AM91" s="1034"/>
      <c r="AN91" s="1034"/>
      <c r="AO91" s="1034"/>
      <c r="AP91" s="1034"/>
      <c r="AQ91" s="1034"/>
      <c r="AR91" s="1033"/>
      <c r="AS91" s="1034"/>
      <c r="AT91" s="1034"/>
      <c r="AU91" s="1034"/>
      <c r="AV91" s="1034"/>
      <c r="AW91" s="1034"/>
      <c r="AX91" s="1033"/>
      <c r="AY91" s="1034"/>
      <c r="AZ91" s="1034"/>
      <c r="BA91" s="1034"/>
      <c r="BB91" s="1034"/>
      <c r="BC91" s="1034"/>
      <c r="BD91" s="1033"/>
      <c r="BE91" s="1034"/>
      <c r="BF91" s="1034"/>
      <c r="BG91" s="1034"/>
      <c r="BH91" s="1034"/>
      <c r="BI91" s="1034"/>
      <c r="BJ91" s="1033"/>
      <c r="BK91" s="1034"/>
      <c r="BL91" s="1034"/>
      <c r="BM91" s="1034"/>
      <c r="BN91" s="1034"/>
      <c r="BO91" s="1034"/>
      <c r="BP91" s="1033"/>
      <c r="BQ91" s="1034"/>
      <c r="BR91" s="1034"/>
      <c r="BS91" s="1034"/>
      <c r="BT91" s="1034"/>
      <c r="BU91" s="1034"/>
      <c r="BV91" s="1033"/>
      <c r="BW91" s="1034"/>
      <c r="BX91" s="1034"/>
      <c r="BY91" s="1034"/>
      <c r="BZ91" s="1034"/>
      <c r="CA91" s="1034"/>
      <c r="CB91" s="1033"/>
      <c r="CC91" s="1034"/>
      <c r="CD91" s="1034"/>
      <c r="CE91" s="1034"/>
      <c r="CF91" s="1034"/>
      <c r="CG91" s="1034"/>
      <c r="CH91" s="1033"/>
      <c r="CI91" s="1034"/>
      <c r="CJ91" s="1034"/>
      <c r="CK91" s="1034"/>
      <c r="CL91" s="1034"/>
      <c r="CM91" s="1034"/>
      <c r="CN91" s="26"/>
      <c r="CO91" s="26"/>
      <c r="CP91" s="26"/>
      <c r="CQ91"/>
      <c r="CR91"/>
      <c r="CS91"/>
      <c r="CT91"/>
      <c r="CU91"/>
      <c r="CV91"/>
      <c r="CW91" s="14"/>
    </row>
    <row r="92" spans="2:101" s="123" customFormat="1" ht="11.25" customHeight="1" x14ac:dyDescent="0.2">
      <c r="B92" s="750" t="s">
        <v>69</v>
      </c>
      <c r="C92" s="746"/>
      <c r="D92" s="747">
        <f>C98</f>
        <v>1289.5609999999999</v>
      </c>
      <c r="E92" s="747">
        <f>D98</f>
        <v>1242.079</v>
      </c>
      <c r="F92" s="747">
        <f>E98</f>
        <v>1303.7939999999999</v>
      </c>
      <c r="G92" s="758">
        <f>+C92</f>
        <v>0</v>
      </c>
      <c r="H92" s="19"/>
      <c r="I92" s="752">
        <f>+G98</f>
        <v>1379.2139999999999</v>
      </c>
      <c r="J92" s="747">
        <f>I98</f>
        <v>1438.8909999999998</v>
      </c>
      <c r="K92" s="747">
        <f>J98</f>
        <v>1511.5669999999998</v>
      </c>
      <c r="L92" s="747">
        <f>K98</f>
        <v>1306.4839999999999</v>
      </c>
      <c r="M92" s="758">
        <f>+G98</f>
        <v>1379.2139999999999</v>
      </c>
      <c r="N92" s="19"/>
      <c r="O92" s="752">
        <f>+M98</f>
        <v>1004.7869999999999</v>
      </c>
      <c r="P92" s="747">
        <f>O98</f>
        <v>1054.7460000000001</v>
      </c>
      <c r="Q92" s="747">
        <f>P98</f>
        <v>1062.6979999999999</v>
      </c>
      <c r="R92" s="747">
        <f>Q98</f>
        <v>1121.239</v>
      </c>
      <c r="S92" s="758">
        <f>+M98</f>
        <v>1004.7869999999999</v>
      </c>
      <c r="T92" s="19"/>
      <c r="U92" s="752">
        <f>+S98</f>
        <v>1186.32</v>
      </c>
      <c r="V92" s="747">
        <f>U98</f>
        <v>1259.759</v>
      </c>
      <c r="W92" s="747">
        <f>V98</f>
        <v>1319.1030000000001</v>
      </c>
      <c r="X92" s="747">
        <f>W98</f>
        <v>1378.3520000000001</v>
      </c>
      <c r="Y92" s="758">
        <f>+S98</f>
        <v>1186.32</v>
      </c>
      <c r="Z92" s="19"/>
      <c r="AA92" s="752">
        <f>+Y98</f>
        <v>1441.511</v>
      </c>
      <c r="AB92" s="747">
        <f>AA98</f>
        <v>1485.8809999999999</v>
      </c>
      <c r="AC92" s="747">
        <f>AB98</f>
        <v>1501.402</v>
      </c>
      <c r="AD92" s="747">
        <f>AC98</f>
        <v>1551.5559999999998</v>
      </c>
      <c r="AE92" s="758">
        <f>+Y98</f>
        <v>1441.511</v>
      </c>
      <c r="AF92" s="19"/>
      <c r="AG92" s="752">
        <f>+AE98</f>
        <v>1560.5400000000002</v>
      </c>
      <c r="AH92" s="747">
        <f>AG98</f>
        <v>1534.1510000000001</v>
      </c>
      <c r="AI92" s="747">
        <f>AH98</f>
        <v>1404.145</v>
      </c>
      <c r="AJ92" s="747">
        <f>AI98</f>
        <v>1351.0870000000002</v>
      </c>
      <c r="AK92" s="758">
        <f>+AE98</f>
        <v>1560.5400000000002</v>
      </c>
      <c r="AL92" s="19"/>
      <c r="AM92" s="752">
        <f>+AK98</f>
        <v>1375.202</v>
      </c>
      <c r="AN92" s="747">
        <f>AM98</f>
        <v>1365.742</v>
      </c>
      <c r="AO92" s="747">
        <f>AN98</f>
        <v>1356.7460000000001</v>
      </c>
      <c r="AP92" s="747">
        <f>AO98</f>
        <v>1350.7329999999999</v>
      </c>
      <c r="AQ92" s="758">
        <f>+AK98</f>
        <v>1375.202</v>
      </c>
      <c r="AR92" s="19"/>
      <c r="AS92" s="752">
        <f>+AQ98</f>
        <v>1394.4549999999999</v>
      </c>
      <c r="AT92" s="747">
        <f>AS98</f>
        <v>1395.914</v>
      </c>
      <c r="AU92" s="747">
        <f>AT98</f>
        <v>1441.614</v>
      </c>
      <c r="AV92" s="747">
        <f>AU98</f>
        <v>1456.35</v>
      </c>
      <c r="AW92" s="758">
        <f>+AQ98</f>
        <v>1394.4549999999999</v>
      </c>
      <c r="AX92" s="19"/>
      <c r="AY92" s="752">
        <f>+AW98</f>
        <v>1471.6640000000002</v>
      </c>
      <c r="AZ92" s="747">
        <f>AY98</f>
        <v>1468.1010000000001</v>
      </c>
      <c r="BA92" s="747">
        <f>AZ98</f>
        <v>1463.7010000000002</v>
      </c>
      <c r="BB92" s="747">
        <f>BA98</f>
        <v>1454.6879999999999</v>
      </c>
      <c r="BC92" s="758">
        <f>+AW98</f>
        <v>1471.6640000000002</v>
      </c>
      <c r="BD92" s="19"/>
      <c r="BE92" s="752">
        <f>+BC98</f>
        <v>1514.1229999999998</v>
      </c>
      <c r="BF92" s="747">
        <f>BE98</f>
        <v>1514.0529999999999</v>
      </c>
      <c r="BG92" s="747">
        <f>BF98</f>
        <v>1363.2569999999998</v>
      </c>
      <c r="BH92" s="747">
        <f>BG98</f>
        <v>1362.547</v>
      </c>
      <c r="BI92" s="758">
        <f>+BC98</f>
        <v>1514.1229999999998</v>
      </c>
      <c r="BJ92" s="19"/>
      <c r="BK92" s="752">
        <f>+BI98</f>
        <v>1441.7459999999999</v>
      </c>
      <c r="BL92" s="747">
        <f>BK98</f>
        <v>1418.037</v>
      </c>
      <c r="BM92" s="747">
        <f>BL98</f>
        <v>1406.0520000000001</v>
      </c>
      <c r="BN92" s="747">
        <f>BM98</f>
        <v>1386.075</v>
      </c>
      <c r="BO92" s="758">
        <f>+BI98</f>
        <v>1441.7459999999999</v>
      </c>
      <c r="BP92" s="19"/>
      <c r="BQ92" s="752">
        <f>+BO98</f>
        <v>1394.433</v>
      </c>
      <c r="BR92" s="747">
        <f>BQ98</f>
        <v>1384.5020000000002</v>
      </c>
      <c r="BS92" s="747">
        <f>BR98</f>
        <v>1366.94</v>
      </c>
      <c r="BT92" s="747">
        <f>BS98</f>
        <v>1462.9900000000002</v>
      </c>
      <c r="BU92" s="758">
        <f>+BO98</f>
        <v>1394.433</v>
      </c>
      <c r="BV92" s="19"/>
      <c r="BW92" s="752">
        <f>+BU98</f>
        <v>1436.2597114662688</v>
      </c>
      <c r="BX92" s="747">
        <f>BW98</f>
        <v>1425.2591303784479</v>
      </c>
      <c r="BY92" s="747">
        <f>BX98</f>
        <v>1418.78674917739</v>
      </c>
      <c r="BZ92" s="747">
        <f>BY98</f>
        <v>1414.5677672449638</v>
      </c>
      <c r="CA92" s="758">
        <f>+BU98</f>
        <v>1436.2597114662688</v>
      </c>
      <c r="CB92" s="19"/>
      <c r="CC92" s="752">
        <f>+CA98</f>
        <v>1411.4055661015198</v>
      </c>
      <c r="CD92" s="747">
        <f>CC98</f>
        <v>1401.8792113998863</v>
      </c>
      <c r="CE92" s="747">
        <f>CD98</f>
        <v>1396.9678531309676</v>
      </c>
      <c r="CF92" s="747">
        <f>CE98</f>
        <v>1393.9547852059318</v>
      </c>
      <c r="CG92" s="758">
        <f>+CA98</f>
        <v>1411.4055661015198</v>
      </c>
      <c r="CH92" s="19"/>
      <c r="CI92" s="752">
        <f>+CG98</f>
        <v>1392.166042892361</v>
      </c>
      <c r="CJ92" s="747">
        <f>CI98</f>
        <v>1378.3492626095228</v>
      </c>
      <c r="CK92" s="747">
        <f>CJ98</f>
        <v>1368.9277245484029</v>
      </c>
      <c r="CL92" s="747">
        <f>CK98</f>
        <v>1361.8255743014474</v>
      </c>
      <c r="CM92" s="758">
        <f>+CG98</f>
        <v>1392.166042892361</v>
      </c>
      <c r="CN92" s="19"/>
      <c r="CO92" s="25"/>
      <c r="CP92" s="25"/>
      <c r="CQ92"/>
      <c r="CR92"/>
      <c r="CS92"/>
      <c r="CT92"/>
      <c r="CU92"/>
      <c r="CV92"/>
      <c r="CW92" s="14"/>
    </row>
    <row r="93" spans="2:101" s="123" customFormat="1" ht="11.25" customHeight="1" x14ac:dyDescent="0.2">
      <c r="B93" s="490" t="s">
        <v>70</v>
      </c>
      <c r="C93" s="748"/>
      <c r="D93" s="19">
        <f>+D39+D40-C40-C39+D43-C43</f>
        <v>-97.571999999999989</v>
      </c>
      <c r="E93" s="19">
        <f>+E39+E40-D40-D39+E43-D43</f>
        <v>6.701999999999984</v>
      </c>
      <c r="F93" s="19">
        <f>+F39+F40-E40-E39+F43-E43</f>
        <v>8.5049999999999955</v>
      </c>
      <c r="G93" s="270">
        <f>SUM(C93:F93)</f>
        <v>-82.365000000000009</v>
      </c>
      <c r="H93" s="19"/>
      <c r="I93" s="692">
        <f>+I39+I40-H40-H39+I43-H43</f>
        <v>58.311999999999998</v>
      </c>
      <c r="J93" s="19">
        <f>+J39+J40-I40-I39+J43-I43</f>
        <v>5.0469999999999828</v>
      </c>
      <c r="K93" s="19">
        <f>+K39+K40-J40-J39+K43-J43</f>
        <v>-185.60300000000001</v>
      </c>
      <c r="L93" s="19">
        <f>+L39+L40-K40-K39+L43-K43</f>
        <v>1.7049999999999983</v>
      </c>
      <c r="M93" s="270">
        <f>SUM(I93:L93)</f>
        <v>-120.53900000000003</v>
      </c>
      <c r="N93" s="19"/>
      <c r="O93" s="692">
        <f>+O39+O40-N40-N39+O43-N43</f>
        <v>-116.22800000000001</v>
      </c>
      <c r="P93" s="19">
        <f>+P39+P40-O40-O39+P43-O43</f>
        <v>5.2339999999999947</v>
      </c>
      <c r="Q93" s="19">
        <f>+Q39+Q40-P40-P39+Q43-P43</f>
        <v>6.8059999999999974</v>
      </c>
      <c r="R93" s="19">
        <f>+R39+R40-Q40-Q39+R43-Q43</f>
        <v>5.7660000000000053</v>
      </c>
      <c r="S93" s="270">
        <f>SUM(O93:R93)</f>
        <v>-98.422000000000011</v>
      </c>
      <c r="T93" s="19"/>
      <c r="U93" s="692">
        <f>+U39+U40-T40-T39+U43-T43</f>
        <v>-92.967000000000013</v>
      </c>
      <c r="V93" s="19">
        <f>+V39+V40-U40-U39+V43-U43</f>
        <v>4.5670000000000073</v>
      </c>
      <c r="W93" s="19">
        <f>+W39+W40-V40-V39+W43-V43</f>
        <v>6.1490000000000009</v>
      </c>
      <c r="X93" s="19">
        <f>+X39+X40-W40-W39+X43-W43</f>
        <v>6.5860000000000127</v>
      </c>
      <c r="Y93" s="270">
        <f>SUM(U93:X93)</f>
        <v>-75.664999999999992</v>
      </c>
      <c r="Z93" s="19"/>
      <c r="AA93" s="692">
        <f>+AA39+AA40-Z40-Z39+AA43-Z43</f>
        <v>-65.87700000000001</v>
      </c>
      <c r="AB93" s="19">
        <f>+AB39+AB40-AA40-AA39+AB43-AA43</f>
        <v>-32.457999999999984</v>
      </c>
      <c r="AC93" s="19">
        <f>+AC39+AC40-AB40-AB39+AC43-AB43</f>
        <v>3.9399999999999977</v>
      </c>
      <c r="AD93" s="19">
        <f>+AD39+AD40-AC40-AC39+AD43-AC43</f>
        <v>-19.511999999999986</v>
      </c>
      <c r="AE93" s="270">
        <f>SUM(AA93:AD93)</f>
        <v>-113.90699999999998</v>
      </c>
      <c r="AF93" s="19"/>
      <c r="AG93" s="692">
        <f>+AG39+AG40-AF40-AF39+AG43-AF43</f>
        <v>-113.923</v>
      </c>
      <c r="AH93" s="19">
        <f>+AH39+AH40-AG40-AG39+AH43-AG43</f>
        <v>-5.5000000000006821E-2</v>
      </c>
      <c r="AI93" s="19">
        <f>+AI39+AI40-AH40-AH39+AI43-AH43</f>
        <v>-3.0000000000001137E-2</v>
      </c>
      <c r="AJ93" s="19">
        <f>+AJ39+AJ40-AI40-AI39+AJ43-AI43</f>
        <v>0.52200000000000557</v>
      </c>
      <c r="AK93" s="270">
        <f>SUM(AG93:AJ93)</f>
        <v>-113.486</v>
      </c>
      <c r="AL93" s="19"/>
      <c r="AM93" s="692">
        <f>+AM39+AM40-AL40-AL39+AM43-AL43</f>
        <v>-113.49299999999999</v>
      </c>
      <c r="AN93" s="19">
        <f>+AN39+AN40-AM40-AM39+AN43-AM43</f>
        <v>-1.3999999999995794E-2</v>
      </c>
      <c r="AO93" s="19">
        <f>+AO39+AO40-AN40-AN39+AO43-AN43</f>
        <v>-1.300000000000523E-2</v>
      </c>
      <c r="AP93" s="19">
        <f>+AP39+AP40-AO40-AO39+AP43-AO43</f>
        <v>19.451999999999998</v>
      </c>
      <c r="AQ93" s="270">
        <f>SUM(AM93:AP93)</f>
        <v>-94.067999999999998</v>
      </c>
      <c r="AR93" s="19"/>
      <c r="AS93" s="692">
        <f>+AS39+AS40-AR40-AR39+AS43-AR43</f>
        <v>-94.070999999999998</v>
      </c>
      <c r="AT93" s="19">
        <f>+AT39+AT40-AS40-AS39+AT43-AS43</f>
        <v>7.6350000000000051</v>
      </c>
      <c r="AU93" s="19">
        <f>+AU39+AU40-AT40-AT39+AU43-AT43</f>
        <v>-7.6380000000000052</v>
      </c>
      <c r="AV93" s="19">
        <f>+AV39+AV40-AU40-AU39+AV43-AU43</f>
        <v>9.1699999999999875</v>
      </c>
      <c r="AW93" s="270">
        <f>SUM(AS93:AV93)</f>
        <v>-84.904000000000011</v>
      </c>
      <c r="AX93" s="19"/>
      <c r="AY93" s="692">
        <f>+AY39+AY40-AX40-AX39+AY43-AX43</f>
        <v>-84.915000000000006</v>
      </c>
      <c r="AZ93" s="19">
        <f>+AZ39+AZ40-AY40-AY39+AZ43-AY43</f>
        <v>2.6149999999999949</v>
      </c>
      <c r="BA93" s="19">
        <f>+BA39+BA40-AZ40-AZ39+BA43-AZ43</f>
        <v>9.402000000000001</v>
      </c>
      <c r="BB93" s="19">
        <f>+BB39+BB40-BA40-BA39+BB43-BA43</f>
        <v>17.219000000000008</v>
      </c>
      <c r="BC93" s="270">
        <f>SUM(AY93:BB93)</f>
        <v>-55.679000000000002</v>
      </c>
      <c r="BD93" s="19"/>
      <c r="BE93" s="692">
        <f>+BE39+BE40-BD40-BD39+BE43-BD43</f>
        <v>-52.522000000000006</v>
      </c>
      <c r="BF93" s="19">
        <f>+BF39+BF40-BE40-BE39+BF43-BE43</f>
        <v>3.5379999999999967</v>
      </c>
      <c r="BG93" s="19">
        <f>+BG39+BG40-BF40-BF39+BG43-BF43</f>
        <v>6.6059999999999945</v>
      </c>
      <c r="BH93" s="19">
        <f>+BH39+BH40-BG40-BG39+BH43-BG43</f>
        <v>22.93</v>
      </c>
      <c r="BI93" s="270">
        <f>SUM(BE93:BH93)</f>
        <v>-19.448000000000015</v>
      </c>
      <c r="BJ93" s="19"/>
      <c r="BK93" s="692">
        <f>+BK39+BK40-BJ40-BJ39+BK43-BJ43</f>
        <v>-14.075000000000003</v>
      </c>
      <c r="BL93" s="19">
        <f>+BL39+BL40-BK40-BK39+BL43-BK43</f>
        <v>3.6830000000000069</v>
      </c>
      <c r="BM93" s="19">
        <f>+BM39+BM40-BL40-BL39+BM43-BL43</f>
        <v>8.7240000000000038</v>
      </c>
      <c r="BN93" s="19">
        <f>+BN39+BN40-BM40-BM39+BN43-BM43</f>
        <v>7.5359999999999872</v>
      </c>
      <c r="BO93" s="270">
        <f>SUM(BK93:BN93)</f>
        <v>5.867999999999995</v>
      </c>
      <c r="BP93" s="19"/>
      <c r="BQ93" s="692">
        <f>+BQ39+BQ40-BP40-BP39+BQ43-BP43</f>
        <v>14.471999999999994</v>
      </c>
      <c r="BR93" s="19">
        <f>+BR39+BR40-BQ40-BQ39+BR43-BQ43</f>
        <v>6.4750000000000085</v>
      </c>
      <c r="BS93" s="19">
        <f>+BS39+BS40-BR40-BR39+BS43-BR43</f>
        <v>-22.64</v>
      </c>
      <c r="BT93" s="19">
        <f>+BT39+BT40-BS40-BS39+BT43-BS43</f>
        <v>-26.72240840711062</v>
      </c>
      <c r="BU93" s="270">
        <f>SUM(BQ93:BT93)</f>
        <v>-28.415408407110618</v>
      </c>
      <c r="BV93" s="19"/>
      <c r="BW93" s="692">
        <f>+BW39+BW40-BV40-BV39+BW43-BV43</f>
        <v>-45.862475928972685</v>
      </c>
      <c r="BX93" s="19">
        <f>+BX39+BX40-BW40-BW39+BX43-BW43</f>
        <v>-16.745642261031065</v>
      </c>
      <c r="BY93" s="19">
        <f>+BY39+BY40-BX40-BX39+BY43-BX43</f>
        <v>-16.883804610799658</v>
      </c>
      <c r="BZ93" s="19">
        <f>+BZ39+BZ40-BY40-BY39+BZ43-BY43</f>
        <v>-16.401068647829121</v>
      </c>
      <c r="CA93" s="270">
        <f>SUM(BW93:BZ93)</f>
        <v>-95.892991448632529</v>
      </c>
      <c r="CB93" s="19"/>
      <c r="CC93" s="692">
        <f>+CC39+CC40-CB40-CB39+CC43-CB43</f>
        <v>-113.15374963167342</v>
      </c>
      <c r="CD93" s="19">
        <f>+CD39+CD40-CC40-CC39+CD43-CC43</f>
        <v>-16.545405868529585</v>
      </c>
      <c r="CE93" s="19">
        <f>+CE39+CE40-CD40-CD39+CE43-CD43</f>
        <v>-16.668289836581337</v>
      </c>
      <c r="CF93" s="19">
        <f>+CF39+CF40-CE40-CE39+CF43-CE43</f>
        <v>-16.171925852583897</v>
      </c>
      <c r="CG93" s="270">
        <f>SUM(CC93:CF93)</f>
        <v>-162.53937118936824</v>
      </c>
      <c r="CH93" s="19"/>
      <c r="CI93" s="692">
        <f>+CI39+CI40-CH40-CH39+CI43-CH43</f>
        <v>-179.56856213178159</v>
      </c>
      <c r="CJ93" s="19">
        <f>+CJ39+CJ40-CI40-CI39+CJ43-CI43</f>
        <v>-16.291890434445634</v>
      </c>
      <c r="CK93" s="19">
        <f>+CK39+CK40-CJ40-CJ39+CK43-CJ43</f>
        <v>-16.419724418375637</v>
      </c>
      <c r="CL93" s="19">
        <f>+CL39+CL40-CK40-CK39+CL43-CK43</f>
        <v>-15.907713011694554</v>
      </c>
      <c r="CM93" s="270">
        <f>SUM(CI93:CL93)</f>
        <v>-228.18788999629743</v>
      </c>
      <c r="CN93" s="19"/>
      <c r="CO93" s="25"/>
      <c r="CP93" s="25"/>
      <c r="CQ93"/>
      <c r="CR93"/>
      <c r="CS93"/>
      <c r="CT93"/>
      <c r="CU93"/>
      <c r="CV93"/>
      <c r="CW93" s="14"/>
    </row>
    <row r="94" spans="2:101" s="123" customFormat="1" ht="11.25" customHeight="1" x14ac:dyDescent="0.2">
      <c r="B94" s="490" t="s">
        <v>71</v>
      </c>
      <c r="C94" s="692"/>
      <c r="D94" s="19">
        <f>+'P&amp;L'!D64</f>
        <v>48.237000000000023</v>
      </c>
      <c r="E94" s="19">
        <f>+'P&amp;L'!E64</f>
        <v>58.591000000000015</v>
      </c>
      <c r="F94" s="19">
        <f>+'P&amp;L'!F64</f>
        <v>59.923999999999999</v>
      </c>
      <c r="G94" s="270">
        <f>+'P&amp;L'!G64</f>
        <v>208.33599999999984</v>
      </c>
      <c r="H94" s="19"/>
      <c r="I94" s="692">
        <f>+'P&amp;L'!I64</f>
        <v>47.544000000000025</v>
      </c>
      <c r="J94" s="19">
        <f>+'P&amp;L'!J64</f>
        <v>53.740999999999964</v>
      </c>
      <c r="K94" s="19">
        <f>+'P&amp;L'!K64</f>
        <v>60.364000000000033</v>
      </c>
      <c r="L94" s="19">
        <f>+'P&amp;L'!L64</f>
        <v>63.208999999999996</v>
      </c>
      <c r="M94" s="270">
        <f>+'P&amp;L'!M64</f>
        <v>224.858</v>
      </c>
      <c r="N94" s="19"/>
      <c r="O94" s="692">
        <f>+'P&amp;L'!O64</f>
        <v>45.964000000000013</v>
      </c>
      <c r="P94" s="19">
        <f>+'P&amp;L'!P64</f>
        <v>46.902999999999977</v>
      </c>
      <c r="Q94" s="19">
        <f>+'P&amp;L'!Q64</f>
        <v>52.807000000000031</v>
      </c>
      <c r="R94" s="19">
        <f>+'P&amp;L'!R64</f>
        <v>53.961000000000006</v>
      </c>
      <c r="S94" s="270">
        <f>+'P&amp;L'!S64</f>
        <v>199.63500000000036</v>
      </c>
      <c r="T94" s="19"/>
      <c r="U94" s="692">
        <f>+'P&amp;L'!U64</f>
        <v>45.05699999999996</v>
      </c>
      <c r="V94" s="19">
        <f>+'P&amp;L'!V64</f>
        <v>49.343000000000046</v>
      </c>
      <c r="W94" s="19">
        <f>+'P&amp;L'!W64</f>
        <v>56.048999999999971</v>
      </c>
      <c r="X94" s="19">
        <f>+'P&amp;L'!X64</f>
        <v>61.805</v>
      </c>
      <c r="Y94" s="270">
        <f>+'P&amp;L'!Y64</f>
        <v>212.25400000000042</v>
      </c>
      <c r="Z94" s="19"/>
      <c r="AA94" s="692">
        <f>+'P&amp;L'!AA64</f>
        <v>53.925000000000054</v>
      </c>
      <c r="AB94" s="19">
        <f>+'P&amp;L'!AB64</f>
        <v>53.357000000000014</v>
      </c>
      <c r="AC94" s="19">
        <f>+'P&amp;L'!AC64</f>
        <v>55.395999999999987</v>
      </c>
      <c r="AD94" s="19">
        <f>+'P&amp;L'!AD64</f>
        <v>62.707000000000058</v>
      </c>
      <c r="AE94" s="270">
        <f>+'P&amp;L'!AE64</f>
        <v>225.38500000000028</v>
      </c>
      <c r="AF94" s="19"/>
      <c r="AG94" s="692">
        <f>+'P&amp;L'!AG64</f>
        <v>48.61000000000007</v>
      </c>
      <c r="AH94" s="19">
        <f>+'P&amp;L'!AH64</f>
        <v>48.953999999999951</v>
      </c>
      <c r="AI94" s="19">
        <f>+'P&amp;L'!AI64</f>
        <v>53.108000000000004</v>
      </c>
      <c r="AJ94" s="19">
        <f>+'P&amp;L'!AJ64</f>
        <v>62.143000000000001</v>
      </c>
      <c r="AK94" s="270">
        <f>+'P&amp;L'!AK64</f>
        <v>212.81500000000011</v>
      </c>
      <c r="AL94" s="19"/>
      <c r="AM94" s="692">
        <f>+'P&amp;L'!AM64</f>
        <v>47.53799999999994</v>
      </c>
      <c r="AN94" s="19">
        <f>+'P&amp;L'!AN64</f>
        <v>45.541999999999945</v>
      </c>
      <c r="AO94" s="19">
        <f>+'P&amp;L'!AO64</f>
        <v>53.63000000000001</v>
      </c>
      <c r="AP94" s="19">
        <f>+'P&amp;L'!AP64</f>
        <v>63.562000000000012</v>
      </c>
      <c r="AQ94" s="270">
        <f>+'P&amp;L'!AQ64</f>
        <v>210.27199999999979</v>
      </c>
      <c r="AR94" s="19"/>
      <c r="AS94" s="692">
        <f>+'P&amp;L'!AS64</f>
        <v>45.892000000000039</v>
      </c>
      <c r="AT94" s="19">
        <f>+'P&amp;L'!AT64</f>
        <v>42.027999999999906</v>
      </c>
      <c r="AU94" s="19">
        <f>+'P&amp;L'!AU64</f>
        <v>57.020999999999987</v>
      </c>
      <c r="AV94" s="19">
        <f>+'P&amp;L'!AV64</f>
        <v>55.669999999999938</v>
      </c>
      <c r="AW94" s="270">
        <f>+'P&amp;L'!AW64</f>
        <v>200.61099999999982</v>
      </c>
      <c r="AX94" s="19"/>
      <c r="AY94" s="692">
        <f>+'P&amp;L'!AY64</f>
        <v>38.324999999999953</v>
      </c>
      <c r="AZ94" s="19">
        <f>+'P&amp;L'!AZ64</f>
        <v>41.865000000000038</v>
      </c>
      <c r="BA94" s="19">
        <f>+'P&amp;L'!BA64</f>
        <v>46.43399999999999</v>
      </c>
      <c r="BB94" s="19">
        <f>+'P&amp;L'!BB64</f>
        <v>53.458999999999968</v>
      </c>
      <c r="BC94" s="270">
        <f>+'P&amp;L'!BC64</f>
        <v>180.08300000000003</v>
      </c>
      <c r="BD94" s="19"/>
      <c r="BE94" s="692">
        <f>+'P&amp;L'!BE64</f>
        <v>20.310999999999915</v>
      </c>
      <c r="BF94" s="19">
        <f>+'P&amp;L'!BF64</f>
        <v>42.563000000000116</v>
      </c>
      <c r="BG94" s="19">
        <f>+'P&amp;L'!BG64</f>
        <v>57.190000000000033</v>
      </c>
      <c r="BH94" s="19">
        <f>+'P&amp;L'!BH64</f>
        <v>65.62</v>
      </c>
      <c r="BI94" s="270">
        <f>+'P&amp;L'!BI64</f>
        <v>185.68399999999954</v>
      </c>
      <c r="BJ94" s="19"/>
      <c r="BK94" s="692">
        <f>+'P&amp;L'!BK64</f>
        <v>38.905999999999899</v>
      </c>
      <c r="BL94" s="19">
        <f>+'P&amp;L'!BL64</f>
        <v>45.756000000000036</v>
      </c>
      <c r="BM94" s="19">
        <f>+'P&amp;L'!BM64</f>
        <v>27.768999999999995</v>
      </c>
      <c r="BN94" s="19">
        <f>+'P&amp;L'!BN64</f>
        <v>62.057000000000002</v>
      </c>
      <c r="BO94" s="270">
        <f>+'P&amp;L'!BO64</f>
        <v>174.48799999999994</v>
      </c>
      <c r="BP94" s="19"/>
      <c r="BQ94" s="692">
        <f>+'P&amp;L'!BQ64</f>
        <v>30.846999999999991</v>
      </c>
      <c r="BR94" s="19">
        <f>+'P&amp;L'!BR64</f>
        <v>40.243999999999971</v>
      </c>
      <c r="BS94" s="19">
        <f>+'P&amp;L'!BS64</f>
        <v>108.955</v>
      </c>
      <c r="BT94" s="19">
        <f>+'P&amp;L'!BT64</f>
        <v>25.941522154097179</v>
      </c>
      <c r="BU94" s="270">
        <f>+'P&amp;L'!BU64</f>
        <v>205.98752215409692</v>
      </c>
      <c r="BV94" s="19"/>
      <c r="BW94" s="692">
        <f>+'P&amp;L'!BW64</f>
        <v>32.165741645425328</v>
      </c>
      <c r="BX94" s="19">
        <f>+'P&amp;L'!BX64</f>
        <v>35.803154237920204</v>
      </c>
      <c r="BY94" s="19">
        <f>+'P&amp;L'!BY64</f>
        <v>38.005353822883507</v>
      </c>
      <c r="BZ94" s="19">
        <f>+'P&amp;L'!BZ64</f>
        <v>40.485967374714328</v>
      </c>
      <c r="CA94" s="270">
        <f>+'P&amp;L'!CA64</f>
        <v>146.46021708094327</v>
      </c>
      <c r="CB94" s="19"/>
      <c r="CC94" s="692">
        <f>+'P&amp;L'!CC64</f>
        <v>34.776361148846661</v>
      </c>
      <c r="CD94" s="19">
        <f>+'P&amp;L'!CD64</f>
        <v>38.470863064159765</v>
      </c>
      <c r="CE94" s="19">
        <f>+'P&amp;L'!CE64</f>
        <v>40.286895173204577</v>
      </c>
      <c r="CF94" s="19">
        <f>+'P&amp;L'!CF64</f>
        <v>43.011925519346057</v>
      </c>
      <c r="CG94" s="270">
        <f>+'P&amp;L'!CG64</f>
        <v>156.54604490555732</v>
      </c>
      <c r="CH94" s="19"/>
      <c r="CI94" s="692">
        <f>+'P&amp;L'!CI64</f>
        <v>31.618915253443706</v>
      </c>
      <c r="CJ94" s="19">
        <f>+'P&amp;L'!CJ64</f>
        <v>35.054619580729785</v>
      </c>
      <c r="CK94" s="19">
        <f>+'P&amp;L'!CK64</f>
        <v>37.279603992360222</v>
      </c>
      <c r="CL94" s="19">
        <f>+'P&amp;L'!CL64</f>
        <v>39.826516370154735</v>
      </c>
      <c r="CM94" s="270">
        <f>+'P&amp;L'!CM64</f>
        <v>143.77965519668822</v>
      </c>
      <c r="CN94" s="19"/>
      <c r="CO94" s="25"/>
      <c r="CP94" s="25"/>
      <c r="CQ94"/>
      <c r="CR94"/>
      <c r="CS94"/>
      <c r="CT94"/>
      <c r="CU94"/>
      <c r="CV94"/>
      <c r="CW94" s="14"/>
    </row>
    <row r="95" spans="2:101" s="123" customFormat="1" ht="11.25" customHeight="1" x14ac:dyDescent="0.2">
      <c r="B95" s="490" t="s">
        <v>72</v>
      </c>
      <c r="C95" s="692"/>
      <c r="D95" s="19">
        <f>+'Cash Flow'!D36</f>
        <v>0</v>
      </c>
      <c r="E95" s="19">
        <f>+'Cash Flow'!E36</f>
        <v>0</v>
      </c>
      <c r="F95" s="19">
        <f>+'Cash Flow'!F36</f>
        <v>0</v>
      </c>
      <c r="G95" s="270">
        <f>+'Cash Flow'!G36</f>
        <v>0</v>
      </c>
      <c r="H95" s="126"/>
      <c r="I95" s="692">
        <f>+'Cash Flow'!I36</f>
        <v>0</v>
      </c>
      <c r="J95" s="19">
        <f>+'Cash Flow'!J36</f>
        <v>0</v>
      </c>
      <c r="K95" s="19">
        <f>+'Cash Flow'!K36</f>
        <v>0</v>
      </c>
      <c r="L95" s="19">
        <f>+'Cash Flow'!L36</f>
        <v>0</v>
      </c>
      <c r="M95" s="270">
        <f>+'Cash Flow'!M36</f>
        <v>0</v>
      </c>
      <c r="N95" s="126"/>
      <c r="O95" s="692">
        <f>+'Cash Flow'!O36</f>
        <v>0</v>
      </c>
      <c r="P95" s="19">
        <f>+'Cash Flow'!P36</f>
        <v>0</v>
      </c>
      <c r="Q95" s="19">
        <f>+'Cash Flow'!Q36</f>
        <v>0</v>
      </c>
      <c r="R95" s="19">
        <f>+'Cash Flow'!R36</f>
        <v>0</v>
      </c>
      <c r="S95" s="270">
        <f>+'Cash Flow'!S36</f>
        <v>0</v>
      </c>
      <c r="T95" s="126"/>
      <c r="U95" s="692">
        <f>+'Cash Flow'!U36</f>
        <v>0</v>
      </c>
      <c r="V95" s="19">
        <f>+'Cash Flow'!V36</f>
        <v>0</v>
      </c>
      <c r="W95" s="19">
        <f>+'Cash Flow'!W36</f>
        <v>0</v>
      </c>
      <c r="X95" s="19">
        <f>+'Cash Flow'!X36</f>
        <v>-11.885999999999999</v>
      </c>
      <c r="Y95" s="270">
        <f>+'Cash Flow'!Y36</f>
        <v>-11.885999999999999</v>
      </c>
      <c r="Z95" s="126"/>
      <c r="AA95" s="692">
        <f>+'Cash Flow'!AA36</f>
        <v>-11.916</v>
      </c>
      <c r="AB95" s="19">
        <f>+'Cash Flow'!AB36</f>
        <v>-11.818000000000001</v>
      </c>
      <c r="AC95" s="19">
        <f>+'Cash Flow'!AC36</f>
        <v>-11.808999999999997</v>
      </c>
      <c r="AD95" s="19">
        <f>+'Cash Flow'!AD36</f>
        <v>-14.448999999999998</v>
      </c>
      <c r="AE95" s="270">
        <f>+'Cash Flow'!AE36</f>
        <v>-49.991999999999997</v>
      </c>
      <c r="AF95" s="126"/>
      <c r="AG95" s="692">
        <f>+'Cash Flow'!AG36</f>
        <v>-13.801</v>
      </c>
      <c r="AH95" s="19">
        <f>+'Cash Flow'!AH36</f>
        <v>-13.412000000000001</v>
      </c>
      <c r="AI95" s="19">
        <f>+'Cash Flow'!AI36</f>
        <v>-12.586999999999998</v>
      </c>
      <c r="AJ95" s="19">
        <f>+'Cash Flow'!AJ36</f>
        <v>-14.941000000000004</v>
      </c>
      <c r="AK95" s="270">
        <f>+'Cash Flow'!AK36</f>
        <v>-54.741</v>
      </c>
      <c r="AL95" s="126"/>
      <c r="AM95" s="692">
        <f>+'Cash Flow'!AM36</f>
        <v>-14.817</v>
      </c>
      <c r="AN95" s="19">
        <f>+'Cash Flow'!AN36</f>
        <v>-14.529</v>
      </c>
      <c r="AO95" s="19">
        <f>+'Cash Flow'!AO36</f>
        <v>-14.398999999999997</v>
      </c>
      <c r="AP95" s="19">
        <f>+'Cash Flow'!AP36</f>
        <v>-2.2000000000005571E-2</v>
      </c>
      <c r="AQ95" s="270">
        <f>+'Cash Flow'!AQ36</f>
        <v>-43.767000000000003</v>
      </c>
      <c r="AR95" s="126"/>
      <c r="AS95" s="692">
        <f>+'Cash Flow'!AS36</f>
        <v>-29.773</v>
      </c>
      <c r="AT95" s="19">
        <f>+'Cash Flow'!AT36</f>
        <v>-18.614999999999998</v>
      </c>
      <c r="AU95" s="19">
        <f>+'Cash Flow'!AU36</f>
        <v>-16.945000000000004</v>
      </c>
      <c r="AV95" s="19">
        <f>+'Cash Flow'!AV36</f>
        <v>-20.323999999999995</v>
      </c>
      <c r="AW95" s="270">
        <f>+'Cash Flow'!AW36</f>
        <v>-85.656999999999996</v>
      </c>
      <c r="AX95" s="126"/>
      <c r="AY95" s="692">
        <f>+'Cash Flow'!AY36</f>
        <v>-20.062000000000001</v>
      </c>
      <c r="AZ95" s="19">
        <f>+'Cash Flow'!AZ36</f>
        <v>-20.111999999999998</v>
      </c>
      <c r="BA95" s="19">
        <f>+'Cash Flow'!BA36</f>
        <v>-20.166000000000007</v>
      </c>
      <c r="BB95" s="19">
        <f>+'Cash Flow'!BB36</f>
        <v>-21.419999999999998</v>
      </c>
      <c r="BC95" s="270">
        <f>+'Cash Flow'!BC36</f>
        <v>-81.760000000000005</v>
      </c>
      <c r="BD95" s="126"/>
      <c r="BE95" s="692">
        <f>+'Cash Flow'!BE36</f>
        <v>-23.128</v>
      </c>
      <c r="BF95" s="19">
        <f>+'Cash Flow'!BF36</f>
        <v>-22.228000000000002</v>
      </c>
      <c r="BG95" s="19">
        <f>+'Cash Flow'!BG36</f>
        <v>-21.654000000000003</v>
      </c>
      <c r="BH95" s="19">
        <f>+'Cash Flow'!BH36</f>
        <v>-23.586999999999982</v>
      </c>
      <c r="BI95" s="270">
        <f>+'Cash Flow'!BI36</f>
        <v>-90.59699999999998</v>
      </c>
      <c r="BJ95" s="126"/>
      <c r="BK95" s="692">
        <f>+'Cash Flow'!BK36</f>
        <v>-24.196999999999999</v>
      </c>
      <c r="BL95" s="19">
        <f>+'Cash Flow'!BL36</f>
        <v>-23.458000000000002</v>
      </c>
      <c r="BM95" s="19">
        <f>+'Cash Flow'!BM36</f>
        <v>-23.292000000000002</v>
      </c>
      <c r="BN95" s="19">
        <f>+'Cash Flow'!BN36</f>
        <v>-24.962999999999994</v>
      </c>
      <c r="BO95" s="270">
        <f>+'Cash Flow'!BO36</f>
        <v>-95.91</v>
      </c>
      <c r="BP95" s="126"/>
      <c r="BQ95" s="692">
        <f>+'Cash Flow'!BQ36</f>
        <v>-25.21</v>
      </c>
      <c r="BR95" s="19">
        <f>+'Cash Flow'!BR36</f>
        <v>-24.759</v>
      </c>
      <c r="BS95" s="19">
        <f>+'Cash Flow'!BS36</f>
        <v>-24.672000000000004</v>
      </c>
      <c r="BT95" s="19">
        <f>+'Cash Flow'!BT36</f>
        <v>-25.949402280717994</v>
      </c>
      <c r="BU95" s="270">
        <f>+'Cash Flow'!BU36</f>
        <v>-100.590402280718</v>
      </c>
      <c r="BV95" s="126"/>
      <c r="BW95" s="692">
        <f>+'Cash Flow'!BW36</f>
        <v>-25.719255211384137</v>
      </c>
      <c r="BX95" s="19">
        <f>+'Cash Flow'!BX36</f>
        <v>-25.529893177947127</v>
      </c>
      <c r="BY95" s="19">
        <f>+'Cash Flow'!BY36</f>
        <v>-25.340531144510106</v>
      </c>
      <c r="BZ95" s="19">
        <f>+'Cash Flow'!BZ36</f>
        <v>-27.24709987032919</v>
      </c>
      <c r="CA95" s="270">
        <f>+'Cash Flow'!CA36</f>
        <v>-103.83677940417057</v>
      </c>
      <c r="CB95" s="126"/>
      <c r="CC95" s="692">
        <f>+'Cash Flow'!CC36</f>
        <v>-27.041957667439085</v>
      </c>
      <c r="CD95" s="19">
        <f>+'Cash Flow'!CD36</f>
        <v>-26.836815464548991</v>
      </c>
      <c r="CE95" s="19">
        <f>+'Cash Flow'!CE36</f>
        <v>-26.631673261658886</v>
      </c>
      <c r="CF95" s="19">
        <f>+'Cash Flow'!CF36</f>
        <v>-28.628741980332858</v>
      </c>
      <c r="CG95" s="270">
        <f>+'Cash Flow'!CG36</f>
        <v>-109.13918837397982</v>
      </c>
      <c r="CH95" s="126"/>
      <c r="CI95" s="692">
        <f>+'Cash Flow'!CI36</f>
        <v>-28.406504593868579</v>
      </c>
      <c r="CJ95" s="19">
        <f>+'Cash Flow'!CJ36</f>
        <v>-28.184267207404307</v>
      </c>
      <c r="CK95" s="19">
        <f>+'Cash Flow'!CK36</f>
        <v>-27.962029820940028</v>
      </c>
      <c r="CL95" s="19">
        <f>+'Cash Flow'!CL36</f>
        <v>-30.051441804015411</v>
      </c>
      <c r="CM95" s="270">
        <f>+'Cash Flow'!CM36</f>
        <v>-114.60424342622832</v>
      </c>
      <c r="CN95" s="126"/>
      <c r="CO95" s="25"/>
      <c r="CP95" s="25"/>
      <c r="CQ95"/>
      <c r="CR95"/>
      <c r="CS95"/>
      <c r="CT95"/>
      <c r="CU95"/>
      <c r="CV95"/>
      <c r="CW95" s="14"/>
    </row>
    <row r="96" spans="2:101" s="123" customFormat="1" ht="11.25" customHeight="1" x14ac:dyDescent="0.2">
      <c r="B96" s="490" t="s">
        <v>42</v>
      </c>
      <c r="C96" s="748"/>
      <c r="D96" s="19">
        <f>D41-C41</f>
        <v>1.8529999999999998</v>
      </c>
      <c r="E96" s="19">
        <f>E41-D41</f>
        <v>-3.5779999999999994</v>
      </c>
      <c r="F96" s="19">
        <f>F41-E41</f>
        <v>6.9909999999999997</v>
      </c>
      <c r="G96" s="270">
        <f>SUM(C96:F96)</f>
        <v>5.266</v>
      </c>
      <c r="H96" s="19"/>
      <c r="I96" s="692">
        <f>I41-G41</f>
        <v>6.0730000000000004</v>
      </c>
      <c r="J96" s="19">
        <f>J41-I41</f>
        <v>13.887</v>
      </c>
      <c r="K96" s="19">
        <f>K41-J41</f>
        <v>-7.6320000000000014</v>
      </c>
      <c r="L96" s="19">
        <f>L41-K41</f>
        <v>0.65200000000000102</v>
      </c>
      <c r="M96" s="270">
        <f>SUM(I96:L96)</f>
        <v>12.98</v>
      </c>
      <c r="N96" s="19"/>
      <c r="O96" s="692">
        <f>O41-M41</f>
        <v>-0.31599999999999895</v>
      </c>
      <c r="P96" s="19">
        <f>P41-O41</f>
        <v>-44.185000000000002</v>
      </c>
      <c r="Q96" s="19">
        <f>Q41-P41</f>
        <v>-1.072000000000001</v>
      </c>
      <c r="R96" s="19">
        <f>R41-Q41</f>
        <v>5.3539999999999992</v>
      </c>
      <c r="S96" s="270">
        <f>SUM(O96:R96)</f>
        <v>-40.219000000000008</v>
      </c>
      <c r="T96" s="19"/>
      <c r="U96" s="692">
        <f>U41-S41</f>
        <v>22.927</v>
      </c>
      <c r="V96" s="19">
        <f>V41-U41</f>
        <v>5.4339999999999993</v>
      </c>
      <c r="W96" s="19">
        <f>W41-V41</f>
        <v>-2.9489999999999981</v>
      </c>
      <c r="X96" s="19">
        <f>X41-W41</f>
        <v>6.7459999999999987</v>
      </c>
      <c r="Y96" s="270">
        <f>SUM(U96:X96)</f>
        <v>32.158000000000001</v>
      </c>
      <c r="Z96" s="19"/>
      <c r="AA96" s="692">
        <f>AA41-Y41</f>
        <v>-7.3120000000000012</v>
      </c>
      <c r="AB96" s="19">
        <f>AB41-AA41</f>
        <v>6.5500000000000007</v>
      </c>
      <c r="AC96" s="19">
        <f>AC41-AB41</f>
        <v>2.7390000000000008</v>
      </c>
      <c r="AD96" s="19">
        <f>AD41-AC41</f>
        <v>16.682000000000002</v>
      </c>
      <c r="AE96" s="270">
        <f>SUM(AA96:AD96)</f>
        <v>18.659000000000002</v>
      </c>
      <c r="AF96" s="19"/>
      <c r="AG96" s="692">
        <f>AG41-AE41</f>
        <v>-2.0100000000000051</v>
      </c>
      <c r="AH96" s="19">
        <f>AH41-AG41</f>
        <v>-9.036999999999999</v>
      </c>
      <c r="AI96" s="19">
        <f>AI41-AH41</f>
        <v>-5.6609999999999978</v>
      </c>
      <c r="AJ96" s="19">
        <f>AJ41-AI41</f>
        <v>7.2129999999999974</v>
      </c>
      <c r="AK96" s="270">
        <f>SUM(AG96:AJ96)</f>
        <v>-9.4950000000000045</v>
      </c>
      <c r="AL96" s="19"/>
      <c r="AM96" s="692">
        <f>AM41-AK41</f>
        <v>-11.314</v>
      </c>
      <c r="AN96" s="19">
        <f>AN41-AM41</f>
        <v>8.4880000000000031</v>
      </c>
      <c r="AO96" s="19">
        <f>AO41-AN41</f>
        <v>-2.7759999999999998</v>
      </c>
      <c r="AP96" s="19">
        <f>AP41-AO41</f>
        <v>-1.6880000000000024</v>
      </c>
      <c r="AQ96" s="270">
        <f>SUM(AM96:AP96)</f>
        <v>-7.2899999999999991</v>
      </c>
      <c r="AR96" s="19"/>
      <c r="AS96" s="692">
        <f>AS41-AQ41</f>
        <v>-8.3539999999999992</v>
      </c>
      <c r="AT96" s="19">
        <f>AT41-AS41</f>
        <v>14.651</v>
      </c>
      <c r="AU96" s="19">
        <f>AU41-AT41</f>
        <v>6.5580000000000034</v>
      </c>
      <c r="AV96" s="19">
        <f>AV41-AU41</f>
        <v>-12.650000000000002</v>
      </c>
      <c r="AW96" s="270">
        <f>SUM(AS96:AV96)</f>
        <v>0.20500000000000185</v>
      </c>
      <c r="AX96" s="19"/>
      <c r="AY96" s="692">
        <f>AY41-AW41</f>
        <v>8.0010000000000012</v>
      </c>
      <c r="AZ96" s="19">
        <f>AZ41-AY41</f>
        <v>-40.683</v>
      </c>
      <c r="BA96" s="19">
        <f>BA41-AZ41</f>
        <v>-52.923999999999999</v>
      </c>
      <c r="BB96" s="19">
        <f>BB41-BA41</f>
        <v>-0.10999999999999943</v>
      </c>
      <c r="BC96" s="270">
        <f>SUM(AY96:BB96)</f>
        <v>-85.715999999999994</v>
      </c>
      <c r="BD96" s="19"/>
      <c r="BE96" s="692">
        <f>BE41-BC41</f>
        <v>-10.658000000000008</v>
      </c>
      <c r="BF96" s="19">
        <f>BF41-BE41</f>
        <v>7.3780000000000072</v>
      </c>
      <c r="BG96" s="19">
        <f>BG41-BF41</f>
        <v>-18.237000000000002</v>
      </c>
      <c r="BH96" s="19">
        <f>BH41-BG41</f>
        <v>13.899000000000001</v>
      </c>
      <c r="BI96" s="270">
        <f>SUM(BE96:BH96)</f>
        <v>-7.6180000000000021</v>
      </c>
      <c r="BJ96" s="19"/>
      <c r="BK96" s="692">
        <f>BK41-BI41</f>
        <v>-19.823999999999998</v>
      </c>
      <c r="BL96" s="19">
        <f>BL41-BK41</f>
        <v>-13.564000000000007</v>
      </c>
      <c r="BM96" s="19">
        <f>BM41-BL41</f>
        <v>6.5190000000000055</v>
      </c>
      <c r="BN96" s="19">
        <f>BN41-BM41</f>
        <v>2.1640000000000015</v>
      </c>
      <c r="BO96" s="270">
        <f>SUM(BK96:BN96)</f>
        <v>-24.704999999999998</v>
      </c>
      <c r="BP96" s="19"/>
      <c r="BQ96" s="692">
        <f>BQ41-BO41</f>
        <v>12.521000000000001</v>
      </c>
      <c r="BR96" s="19">
        <f>BR41-BQ41</f>
        <v>-3.527000000000001</v>
      </c>
      <c r="BS96" s="19">
        <f>BS41-BR41</f>
        <v>-11.158000000000001</v>
      </c>
      <c r="BT96" s="19">
        <f>BT41-BS41</f>
        <v>0</v>
      </c>
      <c r="BU96" s="270">
        <f>SUM(BQ96:BT96)</f>
        <v>-2.1640000000000015</v>
      </c>
      <c r="BV96" s="19"/>
      <c r="BW96" s="692">
        <f>BW41-BU41</f>
        <v>0</v>
      </c>
      <c r="BX96" s="19">
        <f>BX41-BW41</f>
        <v>0</v>
      </c>
      <c r="BY96" s="19">
        <f>BY41-BX41</f>
        <v>0</v>
      </c>
      <c r="BZ96" s="19">
        <f>BZ41-BY41</f>
        <v>0</v>
      </c>
      <c r="CA96" s="270">
        <f>SUM(BW96:BZ96)</f>
        <v>0</v>
      </c>
      <c r="CB96" s="19"/>
      <c r="CC96" s="692">
        <f>CC41-CA41</f>
        <v>0</v>
      </c>
      <c r="CD96" s="19">
        <f>CD41-CC41</f>
        <v>0</v>
      </c>
      <c r="CE96" s="19">
        <f>CE41-CD41</f>
        <v>0</v>
      </c>
      <c r="CF96" s="19">
        <f>CF41-CE41</f>
        <v>0</v>
      </c>
      <c r="CG96" s="270">
        <f>SUM(CC96:CF96)</f>
        <v>0</v>
      </c>
      <c r="CH96" s="19"/>
      <c r="CI96" s="692">
        <f>CI41-CG41</f>
        <v>0</v>
      </c>
      <c r="CJ96" s="19">
        <f>CJ41-CI41</f>
        <v>0</v>
      </c>
      <c r="CK96" s="19">
        <f>CK41-CJ41</f>
        <v>0</v>
      </c>
      <c r="CL96" s="19">
        <f>CL41-CK41</f>
        <v>0</v>
      </c>
      <c r="CM96" s="270">
        <f>SUM(CI96:CL96)</f>
        <v>0</v>
      </c>
      <c r="CN96" s="19"/>
      <c r="CO96" s="25"/>
      <c r="CP96" s="25"/>
      <c r="CQ96"/>
      <c r="CR96"/>
      <c r="CS96"/>
      <c r="CT96"/>
      <c r="CU96"/>
      <c r="CV96"/>
      <c r="CW96" s="14"/>
    </row>
    <row r="97" spans="2:101" s="123" customFormat="1" ht="11.25" customHeight="1" x14ac:dyDescent="0.2">
      <c r="B97" s="764" t="s">
        <v>73</v>
      </c>
      <c r="C97" s="749">
        <f>+C98-SUM(C92:C96)</f>
        <v>1289.5609999999999</v>
      </c>
      <c r="D97" s="64">
        <f>+D98-SUM(D92:D96)</f>
        <v>0</v>
      </c>
      <c r="E97" s="64">
        <f>+E98-SUM(E92:E96)</f>
        <v>0</v>
      </c>
      <c r="F97" s="64">
        <f>+F98-SUM(F92:F96)</f>
        <v>0</v>
      </c>
      <c r="G97" s="759">
        <f>SUM(C97:F97)</f>
        <v>1289.5609999999999</v>
      </c>
      <c r="H97" s="19"/>
      <c r="I97" s="749">
        <f>+I98-SUM(I92:I96)</f>
        <v>-52.25200000000018</v>
      </c>
      <c r="J97" s="64">
        <f>+J98-SUM(J92:J96)</f>
        <v>9.9999999997635314E-4</v>
      </c>
      <c r="K97" s="64">
        <f>+K98-SUM(K92:K96)</f>
        <v>-72.211999999999762</v>
      </c>
      <c r="L97" s="64">
        <f>+L98-SUM(L92:L96)</f>
        <v>-367.26300000000003</v>
      </c>
      <c r="M97" s="759">
        <f>SUM(I97:L97)</f>
        <v>-491.726</v>
      </c>
      <c r="N97" s="19"/>
      <c r="O97" s="749">
        <f>+O98-SUM(O92:O96)</f>
        <v>120.5390000000001</v>
      </c>
      <c r="P97" s="64">
        <f>+P98-SUM(P92:P96)</f>
        <v>0</v>
      </c>
      <c r="Q97" s="64">
        <f>+Q98-SUM(Q92:Q96)</f>
        <v>0</v>
      </c>
      <c r="R97" s="64">
        <f>+R98-SUM(R92:R96)</f>
        <v>0</v>
      </c>
      <c r="S97" s="759">
        <f>SUM(O97:R97)</f>
        <v>120.5390000000001</v>
      </c>
      <c r="T97" s="19"/>
      <c r="U97" s="749">
        <f>+U98-SUM(U92:U96)</f>
        <v>98.422000000000253</v>
      </c>
      <c r="V97" s="64">
        <f>+V98-SUM(V92:V96)</f>
        <v>0</v>
      </c>
      <c r="W97" s="64">
        <f>+W98-SUM(W92:W96)</f>
        <v>0</v>
      </c>
      <c r="X97" s="64">
        <f>+X98-SUM(X92:X96)</f>
        <v>-9.2000000000325599E-2</v>
      </c>
      <c r="Y97" s="759">
        <f>SUM(U97:X97)</f>
        <v>98.329999999999927</v>
      </c>
      <c r="Z97" s="19"/>
      <c r="AA97" s="749">
        <f>+AA98-SUM(AA92:AA96)</f>
        <v>75.549999999999727</v>
      </c>
      <c r="AB97" s="64">
        <f>+AB98-SUM(AB92:AB96)</f>
        <v>-0.10999999999967258</v>
      </c>
      <c r="AC97" s="64">
        <f>+AC98-SUM(AC92:AC96)</f>
        <v>-0.11200000000030741</v>
      </c>
      <c r="AD97" s="64">
        <f>+AD98-SUM(AD92:AD96)</f>
        <v>-36.443999999999733</v>
      </c>
      <c r="AE97" s="759">
        <f>SUM(AA97:AD97)</f>
        <v>38.884000000000015</v>
      </c>
      <c r="AF97" s="19"/>
      <c r="AG97" s="749">
        <f>+AG98-SUM(AG92:AG96)</f>
        <v>54.734999999999673</v>
      </c>
      <c r="AH97" s="64">
        <f>+AH98-SUM(AH92:AH96)</f>
        <v>-156.4559999999999</v>
      </c>
      <c r="AI97" s="64">
        <f>+AI98-SUM(AI92:AI96)</f>
        <v>-87.887999999999693</v>
      </c>
      <c r="AJ97" s="64">
        <f>+AJ98-SUM(AJ92:AJ96)</f>
        <v>-30.822000000000116</v>
      </c>
      <c r="AK97" s="759">
        <f>SUM(AG97:AJ97)</f>
        <v>-220.43100000000004</v>
      </c>
      <c r="AL97" s="19"/>
      <c r="AM97" s="749">
        <f>+AM98-SUM(AM92:AM96)</f>
        <v>82.625999999999976</v>
      </c>
      <c r="AN97" s="64">
        <f>+AN98-SUM(AN92:AN96)</f>
        <v>-48.482999999999947</v>
      </c>
      <c r="AO97" s="64">
        <f>+AO98-SUM(AO92:AO96)</f>
        <v>-42.455000000000382</v>
      </c>
      <c r="AP97" s="64">
        <f>+AP98-SUM(AP92:AP96)</f>
        <v>-37.58199999999988</v>
      </c>
      <c r="AQ97" s="759">
        <f>SUM(AM97:AP97)</f>
        <v>-45.894000000000233</v>
      </c>
      <c r="AR97" s="19"/>
      <c r="AS97" s="749">
        <f>+AS98-SUM(AS92:AS96)</f>
        <v>87.764999999999873</v>
      </c>
      <c r="AT97" s="64">
        <f>+AT98-SUM(AT92:AT96)</f>
        <v>1.0000000002037268E-3</v>
      </c>
      <c r="AU97" s="64">
        <f>+AU98-SUM(AU92:AU96)</f>
        <v>-24.260000000000218</v>
      </c>
      <c r="AV97" s="64">
        <f>+AV98-SUM(AV92:AV96)</f>
        <v>-16.551999999999452</v>
      </c>
      <c r="AW97" s="759">
        <f>SUM(AS97:AV97)</f>
        <v>46.954000000000406</v>
      </c>
      <c r="AX97" s="19"/>
      <c r="AY97" s="749">
        <f>+AY98-SUM(AY92:AY96)</f>
        <v>55.087999999999738</v>
      </c>
      <c r="AZ97" s="64">
        <f>+AZ98-SUM(AZ92:AZ96)</f>
        <v>11.915000000000191</v>
      </c>
      <c r="BA97" s="64">
        <f>+BA98-SUM(BA92:BA96)</f>
        <v>8.2409999999995307</v>
      </c>
      <c r="BB97" s="64">
        <f>+BB98-SUM(BB92:BB96)</f>
        <v>10.286999999999807</v>
      </c>
      <c r="BC97" s="759">
        <f>SUM(AY97:BB97)</f>
        <v>85.530999999999267</v>
      </c>
      <c r="BD97" s="19"/>
      <c r="BE97" s="749">
        <f>+BE98-SUM(BE92:BE96)</f>
        <v>65.926999999999907</v>
      </c>
      <c r="BF97" s="64">
        <f>+BF98-SUM(BF92:BF96)</f>
        <v>-182.04700000000003</v>
      </c>
      <c r="BG97" s="64">
        <f>+BG98-SUM(BG92:BG96)</f>
        <v>-24.614999999999782</v>
      </c>
      <c r="BH97" s="64">
        <f>+BH98-SUM(BH92:BH96)</f>
        <v>0.33699999999976171</v>
      </c>
      <c r="BI97" s="759">
        <f>SUM(BE97:BH97)</f>
        <v>-140.39800000000014</v>
      </c>
      <c r="BJ97" s="19"/>
      <c r="BK97" s="749">
        <f>+BK98-SUM(BK92:BK96)</f>
        <v>-4.5189999999997781</v>
      </c>
      <c r="BL97" s="64">
        <f>+BL98-SUM(BL92:BL96)</f>
        <v>-24.401999999999816</v>
      </c>
      <c r="BM97" s="64">
        <f>+BM98-SUM(BM92:BM96)</f>
        <v>-39.697000000000116</v>
      </c>
      <c r="BN97" s="64">
        <f>+BN98-SUM(BN92:BN96)</f>
        <v>-38.436000000000149</v>
      </c>
      <c r="BO97" s="759">
        <f>SUM(BK97:BN97)</f>
        <v>-107.05399999999986</v>
      </c>
      <c r="BP97" s="19"/>
      <c r="BQ97" s="749">
        <f>+BQ98-SUM(BQ92:BQ96)</f>
        <v>-42.560999999999694</v>
      </c>
      <c r="BR97" s="64">
        <f>+BR98-SUM(BR92:BR96)</f>
        <v>-35.994999999999891</v>
      </c>
      <c r="BS97" s="64">
        <f>+BS98-SUM(BS92:BS96)</f>
        <v>45.565000000000282</v>
      </c>
      <c r="BT97" s="64">
        <f>+BT98-SUM(BT92:BT96)</f>
        <v>0</v>
      </c>
      <c r="BU97" s="759">
        <f>SUM(BQ97:BT97)</f>
        <v>-32.990999999999303</v>
      </c>
      <c r="BV97" s="19"/>
      <c r="BW97" s="749">
        <f>+BW98-SUM(BW92:BW96)</f>
        <v>28.415408407110363</v>
      </c>
      <c r="BX97" s="64">
        <f>+BX98-SUM(BX92:BX96)</f>
        <v>0</v>
      </c>
      <c r="BY97" s="64">
        <f>+BY98-SUM(BY92:BY96)</f>
        <v>0</v>
      </c>
      <c r="BZ97" s="64">
        <f>+BZ98-SUM(BZ92:BZ96)</f>
        <v>0</v>
      </c>
      <c r="CA97" s="759">
        <f>SUM(BW97:BZ97)</f>
        <v>28.415408407110363</v>
      </c>
      <c r="CB97" s="19"/>
      <c r="CC97" s="749">
        <f>+CC98-SUM(CC92:CC96)</f>
        <v>95.892991448632529</v>
      </c>
      <c r="CD97" s="64">
        <f>+CD98-SUM(CD92:CD96)</f>
        <v>0</v>
      </c>
      <c r="CE97" s="64">
        <f>+CE98-SUM(CE92:CE96)</f>
        <v>0</v>
      </c>
      <c r="CF97" s="64">
        <f>+CF98-SUM(CF92:CF96)</f>
        <v>0</v>
      </c>
      <c r="CG97" s="759">
        <f>SUM(CC97:CF97)</f>
        <v>95.892991448632529</v>
      </c>
      <c r="CH97" s="19"/>
      <c r="CI97" s="749">
        <f>+CI98-SUM(CI92:CI96)</f>
        <v>162.53937118936824</v>
      </c>
      <c r="CJ97" s="64">
        <f>+CJ98-SUM(CJ92:CJ96)</f>
        <v>0</v>
      </c>
      <c r="CK97" s="64">
        <f>+CK98-SUM(CK92:CK96)</f>
        <v>0</v>
      </c>
      <c r="CL97" s="64">
        <f>+CL98-SUM(CL92:CL96)</f>
        <v>0</v>
      </c>
      <c r="CM97" s="759">
        <f>SUM(CI97:CL97)</f>
        <v>162.53937118936824</v>
      </c>
      <c r="CN97" s="19"/>
      <c r="CO97" s="19"/>
      <c r="CP97" s="19"/>
      <c r="CQ97"/>
      <c r="CR97"/>
      <c r="CS97"/>
      <c r="CT97"/>
      <c r="CU97"/>
      <c r="CV97"/>
      <c r="CW97" s="14"/>
    </row>
    <row r="98" spans="2:101" s="123" customFormat="1" ht="11.25" customHeight="1" x14ac:dyDescent="0.2">
      <c r="B98" s="751" t="s">
        <v>74</v>
      </c>
      <c r="C98" s="711">
        <f>+C44</f>
        <v>1289.5609999999999</v>
      </c>
      <c r="D98" s="102">
        <f>+D44</f>
        <v>1242.079</v>
      </c>
      <c r="E98" s="102">
        <f>+E44</f>
        <v>1303.7939999999999</v>
      </c>
      <c r="F98" s="102">
        <f>+F44</f>
        <v>1379.2139999999999</v>
      </c>
      <c r="G98" s="726">
        <f>+G44</f>
        <v>1379.2139999999999</v>
      </c>
      <c r="H98" s="19"/>
      <c r="I98" s="711">
        <f>+I44</f>
        <v>1438.8909999999998</v>
      </c>
      <c r="J98" s="102">
        <f>+J44</f>
        <v>1511.5669999999998</v>
      </c>
      <c r="K98" s="102">
        <f>+K44</f>
        <v>1306.4839999999999</v>
      </c>
      <c r="L98" s="102">
        <f>+L44</f>
        <v>1004.7869999999999</v>
      </c>
      <c r="M98" s="726">
        <f>+M44</f>
        <v>1004.7869999999999</v>
      </c>
      <c r="N98" s="19"/>
      <c r="O98" s="711">
        <f>+O44</f>
        <v>1054.7460000000001</v>
      </c>
      <c r="P98" s="102">
        <f>+P44</f>
        <v>1062.6979999999999</v>
      </c>
      <c r="Q98" s="102">
        <f>+Q44</f>
        <v>1121.239</v>
      </c>
      <c r="R98" s="102">
        <f>+R44</f>
        <v>1186.32</v>
      </c>
      <c r="S98" s="726">
        <f>+S44</f>
        <v>1186.32</v>
      </c>
      <c r="T98" s="19"/>
      <c r="U98" s="711">
        <f>+U44</f>
        <v>1259.759</v>
      </c>
      <c r="V98" s="102">
        <f>+V44</f>
        <v>1319.1030000000001</v>
      </c>
      <c r="W98" s="102">
        <f>+W44</f>
        <v>1378.3520000000001</v>
      </c>
      <c r="X98" s="102">
        <f>+X44</f>
        <v>1441.511</v>
      </c>
      <c r="Y98" s="726">
        <f>+Y44</f>
        <v>1441.511</v>
      </c>
      <c r="Z98" s="19"/>
      <c r="AA98" s="711">
        <f>+AA44</f>
        <v>1485.8809999999999</v>
      </c>
      <c r="AB98" s="102">
        <f>+AB44</f>
        <v>1501.402</v>
      </c>
      <c r="AC98" s="102">
        <f>+AC44</f>
        <v>1551.5559999999998</v>
      </c>
      <c r="AD98" s="102">
        <f>+AD44</f>
        <v>1560.5400000000002</v>
      </c>
      <c r="AE98" s="726">
        <f>+AE44</f>
        <v>1560.5400000000002</v>
      </c>
      <c r="AF98" s="19"/>
      <c r="AG98" s="711">
        <f>+AG44</f>
        <v>1534.1510000000001</v>
      </c>
      <c r="AH98" s="102">
        <f>+AH44</f>
        <v>1404.145</v>
      </c>
      <c r="AI98" s="102">
        <f>+AI44</f>
        <v>1351.0870000000002</v>
      </c>
      <c r="AJ98" s="102">
        <f>+AJ44</f>
        <v>1375.202</v>
      </c>
      <c r="AK98" s="726">
        <f>+AK44</f>
        <v>1375.202</v>
      </c>
      <c r="AL98" s="19"/>
      <c r="AM98" s="711">
        <f>+AM44</f>
        <v>1365.742</v>
      </c>
      <c r="AN98" s="102">
        <f>+AN44</f>
        <v>1356.7460000000001</v>
      </c>
      <c r="AO98" s="102">
        <f>+AO44</f>
        <v>1350.7329999999999</v>
      </c>
      <c r="AP98" s="102">
        <f>+AP44</f>
        <v>1394.4549999999999</v>
      </c>
      <c r="AQ98" s="726">
        <f>+AQ44</f>
        <v>1394.4549999999999</v>
      </c>
      <c r="AR98" s="19"/>
      <c r="AS98" s="711">
        <f>+AS44</f>
        <v>1395.914</v>
      </c>
      <c r="AT98" s="102">
        <f>+AT44</f>
        <v>1441.614</v>
      </c>
      <c r="AU98" s="102">
        <f>+AU44</f>
        <v>1456.35</v>
      </c>
      <c r="AV98" s="102">
        <f>+AV44</f>
        <v>1471.6640000000002</v>
      </c>
      <c r="AW98" s="726">
        <f>+AW44</f>
        <v>1471.6640000000002</v>
      </c>
      <c r="AX98" s="19"/>
      <c r="AY98" s="711">
        <f>+AY44</f>
        <v>1468.1010000000001</v>
      </c>
      <c r="AZ98" s="102">
        <f>+AZ44</f>
        <v>1463.7010000000002</v>
      </c>
      <c r="BA98" s="102">
        <f>+BA44</f>
        <v>1454.6879999999999</v>
      </c>
      <c r="BB98" s="102">
        <f>+BB44</f>
        <v>1514.1229999999998</v>
      </c>
      <c r="BC98" s="726">
        <f>+BC44</f>
        <v>1514.1229999999998</v>
      </c>
      <c r="BD98" s="19"/>
      <c r="BE98" s="711">
        <f>+BE44</f>
        <v>1514.0529999999999</v>
      </c>
      <c r="BF98" s="102">
        <f>+BF44</f>
        <v>1363.2569999999998</v>
      </c>
      <c r="BG98" s="102">
        <f>+BG44</f>
        <v>1362.547</v>
      </c>
      <c r="BH98" s="102">
        <f>+BH44</f>
        <v>1441.7459999999999</v>
      </c>
      <c r="BI98" s="726">
        <f>+BI44</f>
        <v>1441.7459999999999</v>
      </c>
      <c r="BJ98" s="19"/>
      <c r="BK98" s="711">
        <f>+BK44</f>
        <v>1418.037</v>
      </c>
      <c r="BL98" s="102">
        <f>+BL44</f>
        <v>1406.0520000000001</v>
      </c>
      <c r="BM98" s="102">
        <f>+BM44</f>
        <v>1386.075</v>
      </c>
      <c r="BN98" s="102">
        <f>+BN44</f>
        <v>1394.433</v>
      </c>
      <c r="BO98" s="726">
        <f>+BO44</f>
        <v>1394.433</v>
      </c>
      <c r="BP98" s="19"/>
      <c r="BQ98" s="711">
        <f>+BQ44</f>
        <v>1384.5020000000002</v>
      </c>
      <c r="BR98" s="102">
        <f>+BR44</f>
        <v>1366.94</v>
      </c>
      <c r="BS98" s="102">
        <f>+BS44</f>
        <v>1462.9900000000002</v>
      </c>
      <c r="BT98" s="102">
        <f>+BT44</f>
        <v>1436.2597114662688</v>
      </c>
      <c r="BU98" s="726">
        <f>+BU44</f>
        <v>1436.2597114662688</v>
      </c>
      <c r="BV98" s="19"/>
      <c r="BW98" s="711">
        <f>+BW44</f>
        <v>1425.2591303784479</v>
      </c>
      <c r="BX98" s="102">
        <f>+BX44</f>
        <v>1418.78674917739</v>
      </c>
      <c r="BY98" s="102">
        <f>+BY44</f>
        <v>1414.5677672449638</v>
      </c>
      <c r="BZ98" s="102">
        <f>+BZ44</f>
        <v>1411.4055661015198</v>
      </c>
      <c r="CA98" s="726">
        <f>+CA44</f>
        <v>1411.4055661015198</v>
      </c>
      <c r="CB98" s="19"/>
      <c r="CC98" s="711">
        <f>+CC44</f>
        <v>1401.8792113998863</v>
      </c>
      <c r="CD98" s="102">
        <f>+CD44</f>
        <v>1396.9678531309676</v>
      </c>
      <c r="CE98" s="102">
        <f>+CE44</f>
        <v>1393.9547852059318</v>
      </c>
      <c r="CF98" s="102">
        <f>+CF44</f>
        <v>1392.166042892361</v>
      </c>
      <c r="CG98" s="726">
        <f>+CG44</f>
        <v>1392.166042892361</v>
      </c>
      <c r="CH98" s="19"/>
      <c r="CI98" s="711">
        <f>+CI44</f>
        <v>1378.3492626095228</v>
      </c>
      <c r="CJ98" s="102">
        <f>+CJ44</f>
        <v>1368.9277245484029</v>
      </c>
      <c r="CK98" s="102">
        <f>+CK44</f>
        <v>1361.8255743014474</v>
      </c>
      <c r="CL98" s="102">
        <f>+CL44</f>
        <v>1355.6929358558921</v>
      </c>
      <c r="CM98" s="726">
        <f>+CM44</f>
        <v>1355.6929358558921</v>
      </c>
      <c r="CN98" s="19"/>
      <c r="CO98" s="25"/>
      <c r="CP98" s="25"/>
      <c r="CQ98"/>
      <c r="CR98"/>
      <c r="CS98"/>
      <c r="CT98"/>
      <c r="CU98"/>
      <c r="CV98"/>
      <c r="CW98" s="14"/>
    </row>
    <row r="99" spans="2:101" s="123" customFormat="1" ht="11.25" hidden="1" customHeight="1" outlineLevel="1" x14ac:dyDescent="0.2">
      <c r="B99" s="28" t="s">
        <v>44</v>
      </c>
      <c r="C99" s="34">
        <f>+C98-C44</f>
        <v>0</v>
      </c>
      <c r="D99" s="34">
        <f>+D98-D44</f>
        <v>0</v>
      </c>
      <c r="E99" s="34">
        <f>+E98-E44</f>
        <v>0</v>
      </c>
      <c r="F99" s="34">
        <f>+F98-F44</f>
        <v>0</v>
      </c>
      <c r="G99" s="34">
        <f>+G98-G44</f>
        <v>0</v>
      </c>
      <c r="H99" s="29"/>
      <c r="I99" s="34">
        <f>+I98-I44</f>
        <v>0</v>
      </c>
      <c r="J99" s="34">
        <f>+J98-J44</f>
        <v>0</v>
      </c>
      <c r="K99" s="34">
        <f>+K98-K44</f>
        <v>0</v>
      </c>
      <c r="L99" s="34">
        <f>+L98-L44</f>
        <v>0</v>
      </c>
      <c r="M99" s="34">
        <f>+M98-M44</f>
        <v>0</v>
      </c>
      <c r="N99" s="29"/>
      <c r="O99" s="34">
        <f>+O98-O44</f>
        <v>0</v>
      </c>
      <c r="P99" s="34">
        <f>+P98-P44</f>
        <v>0</v>
      </c>
      <c r="Q99" s="34">
        <f>+Q98-Q44</f>
        <v>0</v>
      </c>
      <c r="R99" s="34">
        <f>+R98-R44</f>
        <v>0</v>
      </c>
      <c r="S99" s="34">
        <f>+S98-S44</f>
        <v>0</v>
      </c>
      <c r="T99" s="29"/>
      <c r="U99" s="34">
        <f>+U98-U44</f>
        <v>0</v>
      </c>
      <c r="V99" s="34">
        <f>+V98-V44</f>
        <v>0</v>
      </c>
      <c r="W99" s="34">
        <f>+W98-W44</f>
        <v>0</v>
      </c>
      <c r="X99" s="34">
        <f>+X98-X44</f>
        <v>0</v>
      </c>
      <c r="Y99" s="34">
        <f>+Y98-Y44</f>
        <v>0</v>
      </c>
      <c r="Z99" s="29"/>
      <c r="AA99" s="34">
        <f>+AA98-AA44</f>
        <v>0</v>
      </c>
      <c r="AB99" s="34">
        <f>+AB98-AB44</f>
        <v>0</v>
      </c>
      <c r="AC99" s="34">
        <f>+AC98-AC44</f>
        <v>0</v>
      </c>
      <c r="AD99" s="34">
        <f>+AD98-AD44</f>
        <v>0</v>
      </c>
      <c r="AE99" s="34">
        <f>+AE98-AE44</f>
        <v>0</v>
      </c>
      <c r="AF99" s="29"/>
      <c r="AG99" s="34">
        <f>+AG98-AG44</f>
        <v>0</v>
      </c>
      <c r="AH99" s="34">
        <f>+AH98-AH44</f>
        <v>0</v>
      </c>
      <c r="AI99" s="34">
        <f>+AI98-AI44</f>
        <v>0</v>
      </c>
      <c r="AJ99" s="34">
        <f>+AJ98-AJ44</f>
        <v>0</v>
      </c>
      <c r="AK99" s="34">
        <f>+AK98-AK44</f>
        <v>0</v>
      </c>
      <c r="AL99" s="29"/>
      <c r="AM99" s="34">
        <f>+AM98-AM44</f>
        <v>0</v>
      </c>
      <c r="AN99" s="34">
        <f>+AN98-AN44</f>
        <v>0</v>
      </c>
      <c r="AO99" s="34">
        <f>+AO98-AO44</f>
        <v>0</v>
      </c>
      <c r="AP99" s="34">
        <f>+AP98-AP44</f>
        <v>0</v>
      </c>
      <c r="AQ99" s="34">
        <f>+AQ98-AQ44</f>
        <v>0</v>
      </c>
      <c r="AR99" s="29"/>
      <c r="AS99" s="34">
        <f>+AS98-AS44</f>
        <v>0</v>
      </c>
      <c r="AT99" s="34">
        <f>+AT98-AT44</f>
        <v>0</v>
      </c>
      <c r="AU99" s="34">
        <f>+AU98-AU44</f>
        <v>0</v>
      </c>
      <c r="AV99" s="34">
        <f>+AV98-AV44</f>
        <v>0</v>
      </c>
      <c r="AW99" s="34">
        <f>+AW98-AW44</f>
        <v>0</v>
      </c>
      <c r="AX99" s="29"/>
      <c r="AY99" s="34">
        <f>+AY98-AY44</f>
        <v>0</v>
      </c>
      <c r="AZ99" s="34">
        <f>+AZ98-AZ44</f>
        <v>0</v>
      </c>
      <c r="BA99" s="34">
        <f>+BA98-BA44</f>
        <v>0</v>
      </c>
      <c r="BB99" s="34">
        <f>+BB98-BB44</f>
        <v>0</v>
      </c>
      <c r="BC99" s="34">
        <f>+BC98-BC44</f>
        <v>0</v>
      </c>
      <c r="BD99" s="29"/>
      <c r="BE99" s="34">
        <f>+BE98-BE44</f>
        <v>0</v>
      </c>
      <c r="BF99" s="34">
        <f>+BF98-BF44</f>
        <v>0</v>
      </c>
      <c r="BG99" s="34">
        <f>+BG98-BG44</f>
        <v>0</v>
      </c>
      <c r="BH99" s="34">
        <f>+BH98-BH44</f>
        <v>0</v>
      </c>
      <c r="BI99" s="34">
        <f>+BI98-BI44</f>
        <v>0</v>
      </c>
      <c r="BJ99" s="29"/>
      <c r="BK99" s="34">
        <f>+BK98-BK44</f>
        <v>0</v>
      </c>
      <c r="BL99" s="34">
        <f>+BL98-BL44</f>
        <v>0</v>
      </c>
      <c r="BM99" s="34">
        <f>+BM98-BM44</f>
        <v>0</v>
      </c>
      <c r="BN99" s="34">
        <f>+BN98-BN44</f>
        <v>0</v>
      </c>
      <c r="BO99" s="34">
        <f>+BO98-BO44</f>
        <v>0</v>
      </c>
      <c r="BP99" s="29"/>
      <c r="BQ99" s="34">
        <f>+BQ98-BQ44</f>
        <v>0</v>
      </c>
      <c r="BR99" s="34">
        <f>+BR98-BR44</f>
        <v>0</v>
      </c>
      <c r="BS99" s="34">
        <f>+BS98-BS44</f>
        <v>0</v>
      </c>
      <c r="BT99" s="34">
        <f>+BT98-BT44</f>
        <v>0</v>
      </c>
      <c r="BU99" s="34">
        <f>+BU98-BU44</f>
        <v>0</v>
      </c>
      <c r="BV99" s="29"/>
      <c r="BW99" s="34">
        <f>+BW98-BW44</f>
        <v>0</v>
      </c>
      <c r="BX99" s="34">
        <f>+BX98-BX44</f>
        <v>0</v>
      </c>
      <c r="BY99" s="34">
        <f>+BY98-BY44</f>
        <v>0</v>
      </c>
      <c r="BZ99" s="34">
        <f>+BZ98-BZ44</f>
        <v>0</v>
      </c>
      <c r="CA99" s="34">
        <f>+CA98-CA44</f>
        <v>0</v>
      </c>
      <c r="CB99" s="29"/>
      <c r="CC99" s="34">
        <f>+CC98-CC44</f>
        <v>0</v>
      </c>
      <c r="CD99" s="34">
        <f>+CD98-CD44</f>
        <v>0</v>
      </c>
      <c r="CE99" s="34">
        <f>+CE98-CE44</f>
        <v>0</v>
      </c>
      <c r="CF99" s="34">
        <f>+CF98-CF44</f>
        <v>0</v>
      </c>
      <c r="CG99" s="34">
        <f>+CG98-CG44</f>
        <v>0</v>
      </c>
      <c r="CH99" s="29"/>
      <c r="CI99" s="34">
        <f>+CI98-CI44</f>
        <v>0</v>
      </c>
      <c r="CJ99" s="34">
        <f>+CJ98-CJ44</f>
        <v>0</v>
      </c>
      <c r="CK99" s="34">
        <f>+CK98-CK44</f>
        <v>0</v>
      </c>
      <c r="CL99" s="34">
        <f>+CL98-CL44</f>
        <v>0</v>
      </c>
      <c r="CM99" s="34">
        <f>+CM98-CM44</f>
        <v>0</v>
      </c>
      <c r="CN99" s="29"/>
      <c r="CO99" s="34"/>
      <c r="CP99" s="34"/>
      <c r="CQ99"/>
      <c r="CR99"/>
      <c r="CS99"/>
      <c r="CT99"/>
      <c r="CU99"/>
      <c r="CV99"/>
      <c r="CW99" s="14"/>
    </row>
    <row r="100" spans="2:101" s="123" customFormat="1" ht="11.25" customHeight="1" collapsed="1" x14ac:dyDescent="0.2">
      <c r="B100" s="14"/>
      <c r="C100" s="50"/>
      <c r="D100" s="80"/>
      <c r="E100" s="50"/>
      <c r="F100" s="50"/>
      <c r="G100" s="50"/>
      <c r="H100" s="45"/>
      <c r="I100" s="50"/>
      <c r="J100" s="50"/>
      <c r="K100" s="50"/>
      <c r="L100" s="50"/>
      <c r="M100" s="50"/>
      <c r="N100" s="45"/>
      <c r="O100" s="50"/>
      <c r="P100" s="50"/>
      <c r="Q100" s="50"/>
      <c r="R100" s="50"/>
      <c r="S100" s="50"/>
      <c r="T100" s="45"/>
      <c r="U100" s="50"/>
      <c r="V100" s="50"/>
      <c r="W100" s="50"/>
      <c r="X100" s="50"/>
      <c r="Y100" s="50"/>
      <c r="Z100" s="45"/>
      <c r="AA100" s="80"/>
      <c r="AB100" s="80"/>
      <c r="AC100" s="80"/>
      <c r="AD100" s="80"/>
      <c r="AE100" s="467"/>
      <c r="AF100" s="45"/>
      <c r="AG100" s="80"/>
      <c r="AH100" s="80"/>
      <c r="AI100" s="80"/>
      <c r="AJ100" s="80"/>
      <c r="AK100" s="467"/>
      <c r="AL100" s="45"/>
      <c r="AM100" s="50"/>
      <c r="AN100" s="50"/>
      <c r="AO100" s="50"/>
      <c r="AP100" s="50"/>
      <c r="AQ100" s="53"/>
      <c r="AR100" s="45"/>
      <c r="AS100" s="50"/>
      <c r="AT100" s="50"/>
      <c r="AU100" s="50"/>
      <c r="AV100" s="50"/>
      <c r="AW100" s="53"/>
      <c r="AX100" s="45"/>
      <c r="AY100" s="50"/>
      <c r="AZ100" s="50"/>
      <c r="BA100" s="50"/>
      <c r="BB100" s="50"/>
      <c r="BC100" s="468"/>
      <c r="BD100" s="45"/>
      <c r="BE100" s="50"/>
      <c r="BF100" s="50"/>
      <c r="BG100" s="50"/>
      <c r="BH100" s="50"/>
      <c r="BI100" s="53"/>
      <c r="BJ100" s="45"/>
      <c r="BK100" s="50"/>
      <c r="BL100" s="50"/>
      <c r="BM100" s="50"/>
      <c r="BN100" s="50"/>
      <c r="BO100" s="53"/>
      <c r="BP100" s="45"/>
      <c r="BQ100" s="50"/>
      <c r="BR100" s="50"/>
      <c r="BS100" s="50"/>
      <c r="BT100" s="50"/>
      <c r="BU100" s="53"/>
      <c r="BV100" s="45"/>
      <c r="BW100" s="50"/>
      <c r="BX100" s="50"/>
      <c r="BY100" s="50"/>
      <c r="BZ100" s="50"/>
      <c r="CA100" s="53"/>
      <c r="CB100" s="45"/>
      <c r="CC100" s="50"/>
      <c r="CD100" s="50"/>
      <c r="CE100" s="50"/>
      <c r="CF100" s="50"/>
      <c r="CG100" s="53"/>
      <c r="CH100" s="45"/>
      <c r="CI100" s="50"/>
      <c r="CJ100" s="50"/>
      <c r="CK100" s="50"/>
      <c r="CL100" s="50"/>
      <c r="CM100" s="53"/>
      <c r="CN100" s="44"/>
      <c r="CO100" s="53"/>
      <c r="CP100" s="53"/>
      <c r="CQ100"/>
      <c r="CR100"/>
      <c r="CS100"/>
      <c r="CT100"/>
      <c r="CU100"/>
      <c r="CV100"/>
      <c r="CW100" s="14"/>
    </row>
    <row r="101" spans="2:101" s="123" customFormat="1" ht="11.25" customHeight="1" x14ac:dyDescent="0.2">
      <c r="B101" s="1033" t="s">
        <v>75</v>
      </c>
      <c r="C101" s="1034"/>
      <c r="D101" s="1034"/>
      <c r="E101" s="1034"/>
      <c r="F101" s="1034"/>
      <c r="G101" s="1034"/>
      <c r="H101" s="1033"/>
      <c r="I101" s="1048"/>
      <c r="J101" s="1049"/>
      <c r="K101" s="1049"/>
      <c r="L101" s="1049"/>
      <c r="M101" s="1050"/>
      <c r="N101" s="1033"/>
      <c r="O101" s="1034"/>
      <c r="P101" s="1034"/>
      <c r="Q101" s="1034"/>
      <c r="R101" s="1034"/>
      <c r="S101" s="1034"/>
      <c r="T101" s="1033"/>
      <c r="U101" s="1034"/>
      <c r="V101" s="1034"/>
      <c r="W101" s="1034"/>
      <c r="X101" s="1034"/>
      <c r="Y101" s="1034"/>
      <c r="Z101" s="1033"/>
      <c r="AA101" s="1034"/>
      <c r="AB101" s="1034"/>
      <c r="AC101" s="1034"/>
      <c r="AD101" s="1034"/>
      <c r="AE101" s="1034"/>
      <c r="AF101" s="1033"/>
      <c r="AG101" s="1034"/>
      <c r="AH101" s="1034"/>
      <c r="AI101" s="1034"/>
      <c r="AJ101" s="1034"/>
      <c r="AK101" s="1034"/>
      <c r="AL101" s="1033"/>
      <c r="AM101" s="1034"/>
      <c r="AN101" s="1034"/>
      <c r="AO101" s="1034"/>
      <c r="AP101" s="1034"/>
      <c r="AQ101" s="1034"/>
      <c r="AR101" s="1033"/>
      <c r="AS101" s="1034"/>
      <c r="AT101" s="1034"/>
      <c r="AU101" s="1034"/>
      <c r="AV101" s="1034"/>
      <c r="AW101" s="1034"/>
      <c r="AX101" s="1033"/>
      <c r="AY101" s="1034"/>
      <c r="AZ101" s="1034"/>
      <c r="BA101" s="1034"/>
      <c r="BB101" s="1034"/>
      <c r="BC101" s="1034"/>
      <c r="BD101" s="1033"/>
      <c r="BE101" s="1034"/>
      <c r="BF101" s="1034"/>
      <c r="BG101" s="1034"/>
      <c r="BH101" s="1034"/>
      <c r="BI101" s="1034"/>
      <c r="BJ101" s="1033"/>
      <c r="BK101" s="1034"/>
      <c r="BL101" s="1034"/>
      <c r="BM101" s="1034"/>
      <c r="BN101" s="1034"/>
      <c r="BO101" s="1034"/>
      <c r="BP101" s="1033"/>
      <c r="BQ101" s="1034"/>
      <c r="BR101" s="1034"/>
      <c r="BS101" s="1034"/>
      <c r="BT101" s="1034"/>
      <c r="BU101" s="1034"/>
      <c r="BV101" s="1033"/>
      <c r="BW101" s="1034"/>
      <c r="BX101" s="1034"/>
      <c r="BY101" s="1034"/>
      <c r="BZ101" s="1034"/>
      <c r="CA101" s="1034"/>
      <c r="CB101" s="1033"/>
      <c r="CC101" s="1034"/>
      <c r="CD101" s="1034"/>
      <c r="CE101" s="1034"/>
      <c r="CF101" s="1034"/>
      <c r="CG101" s="1035"/>
      <c r="CH101" s="1033"/>
      <c r="CI101" s="1034"/>
      <c r="CJ101" s="1034"/>
      <c r="CK101" s="1034"/>
      <c r="CL101" s="1034"/>
      <c r="CM101" s="1035"/>
      <c r="CN101" s="42"/>
      <c r="CO101" s="53"/>
      <c r="CP101" s="53"/>
      <c r="CQ101"/>
      <c r="CR101"/>
      <c r="CS101"/>
      <c r="CT101"/>
      <c r="CU101"/>
      <c r="CV101"/>
      <c r="CW101" s="14"/>
    </row>
    <row r="102" spans="2:101" s="123" customFormat="1" ht="11.25" customHeight="1" x14ac:dyDescent="0.2">
      <c r="B102" s="614" t="s">
        <v>76</v>
      </c>
      <c r="C102" s="772"/>
      <c r="D102" s="773"/>
      <c r="E102" s="773"/>
      <c r="F102" s="773"/>
      <c r="G102" s="774"/>
      <c r="H102" s="585"/>
      <c r="I102" s="618"/>
      <c r="J102" s="619"/>
      <c r="K102" s="619"/>
      <c r="L102" s="619"/>
      <c r="M102" s="617"/>
      <c r="N102" s="585"/>
      <c r="O102" s="772"/>
      <c r="P102" s="773"/>
      <c r="Q102" s="773"/>
      <c r="R102" s="773"/>
      <c r="S102" s="774"/>
      <c r="T102" s="585"/>
      <c r="U102" s="772"/>
      <c r="V102" s="773"/>
      <c r="W102" s="773"/>
      <c r="X102" s="773"/>
      <c r="Y102" s="774"/>
      <c r="Z102" s="585"/>
      <c r="AA102" s="772"/>
      <c r="AB102" s="773"/>
      <c r="AC102" s="773"/>
      <c r="AD102" s="773"/>
      <c r="AE102" s="774"/>
      <c r="AF102" s="585"/>
      <c r="AG102" s="772"/>
      <c r="AH102" s="773"/>
      <c r="AI102" s="773"/>
      <c r="AJ102" s="773"/>
      <c r="AK102" s="774"/>
      <c r="AL102" s="585"/>
      <c r="AM102" s="772"/>
      <c r="AN102" s="773"/>
      <c r="AO102" s="773"/>
      <c r="AP102" s="773"/>
      <c r="AQ102" s="774"/>
      <c r="AR102" s="585"/>
      <c r="AS102" s="772"/>
      <c r="AT102" s="773"/>
      <c r="AU102" s="773"/>
      <c r="AV102" s="773"/>
      <c r="AW102" s="774"/>
      <c r="AX102" s="585"/>
      <c r="AY102" s="772"/>
      <c r="AZ102" s="773"/>
      <c r="BA102" s="773"/>
      <c r="BB102" s="773"/>
      <c r="BC102" s="774"/>
      <c r="BD102" s="585"/>
      <c r="BE102" s="772"/>
      <c r="BF102" s="773"/>
      <c r="BG102" s="773"/>
      <c r="BH102" s="773"/>
      <c r="BI102" s="774"/>
      <c r="BJ102" s="585"/>
      <c r="BK102" s="772"/>
      <c r="BL102" s="773"/>
      <c r="BM102" s="773"/>
      <c r="BN102" s="773"/>
      <c r="BO102" s="774"/>
      <c r="BP102" s="585"/>
      <c r="BQ102" s="772"/>
      <c r="BR102" s="773"/>
      <c r="BS102" s="773"/>
      <c r="BT102" s="773"/>
      <c r="BU102" s="774"/>
      <c r="BV102" s="585"/>
      <c r="BW102" s="772"/>
      <c r="BX102" s="773"/>
      <c r="BY102" s="773"/>
      <c r="BZ102" s="773"/>
      <c r="CA102" s="774"/>
      <c r="CB102" s="585"/>
      <c r="CC102" s="772"/>
      <c r="CD102" s="773"/>
      <c r="CE102" s="773"/>
      <c r="CF102" s="773"/>
      <c r="CG102" s="774"/>
      <c r="CH102" s="585"/>
      <c r="CI102" s="772"/>
      <c r="CJ102" s="773"/>
      <c r="CK102" s="773"/>
      <c r="CL102" s="773"/>
      <c r="CM102" s="774"/>
      <c r="CN102" s="42"/>
      <c r="CO102" s="51"/>
      <c r="CP102" s="51"/>
      <c r="CQ102"/>
      <c r="CR102"/>
      <c r="CS102"/>
      <c r="CT102"/>
      <c r="CU102"/>
      <c r="CV102"/>
      <c r="CW102" s="14"/>
    </row>
    <row r="103" spans="2:101" s="123" customFormat="1" ht="11.25" customHeight="1" x14ac:dyDescent="0.2">
      <c r="B103" s="566" t="s">
        <v>77</v>
      </c>
      <c r="C103" s="425">
        <v>220.01300000000001</v>
      </c>
      <c r="D103" s="199">
        <f>C109</f>
        <v>227.69399999999999</v>
      </c>
      <c r="E103" s="199">
        <f>D109</f>
        <v>231.90525</v>
      </c>
      <c r="F103" s="199">
        <f>E109</f>
        <v>237.90924999999999</v>
      </c>
      <c r="G103" s="695">
        <f>C103</f>
        <v>220.01300000000001</v>
      </c>
      <c r="H103" s="199"/>
      <c r="I103" s="175">
        <f>F109</f>
        <v>225.04599999999999</v>
      </c>
      <c r="J103" s="199">
        <f>I109</f>
        <v>230.76</v>
      </c>
      <c r="K103" s="199">
        <f>J109</f>
        <v>237.11075</v>
      </c>
      <c r="L103" s="199">
        <f>K109</f>
        <v>244.63174999999998</v>
      </c>
      <c r="M103" s="695">
        <f>I103</f>
        <v>225.04599999999999</v>
      </c>
      <c r="N103" s="199"/>
      <c r="O103" s="175">
        <f>L109</f>
        <v>259.36099999999999</v>
      </c>
      <c r="P103" s="199">
        <f>O109</f>
        <v>270.96824999999995</v>
      </c>
      <c r="Q103" s="199">
        <f>P109</f>
        <v>294.32524999999998</v>
      </c>
      <c r="R103" s="199">
        <f>Q109</f>
        <v>309.68450000000001</v>
      </c>
      <c r="S103" s="695">
        <f>O103</f>
        <v>259.36099999999999</v>
      </c>
      <c r="T103" s="199"/>
      <c r="U103" s="175">
        <f>R109</f>
        <v>301.00599999999997</v>
      </c>
      <c r="V103" s="199">
        <f>U109</f>
        <v>316.04224999999997</v>
      </c>
      <c r="W103" s="199">
        <f>V109</f>
        <v>321.17674999999997</v>
      </c>
      <c r="X103" s="199">
        <f>W109</f>
        <v>325.54974999999996</v>
      </c>
      <c r="Y103" s="695">
        <f>U103</f>
        <v>301.00599999999997</v>
      </c>
      <c r="Z103" s="199"/>
      <c r="AA103" s="175">
        <f>X109</f>
        <v>323.33699999999999</v>
      </c>
      <c r="AB103" s="199">
        <f>AA109</f>
        <v>344.13749999999999</v>
      </c>
      <c r="AC103" s="199">
        <f>AB109</f>
        <v>355.05349999999999</v>
      </c>
      <c r="AD103" s="199">
        <f>AC109</f>
        <v>365.62175000000002</v>
      </c>
      <c r="AE103" s="695">
        <f>AA103</f>
        <v>323.33699999999999</v>
      </c>
      <c r="AF103" s="199"/>
      <c r="AG103" s="175">
        <f>AD109</f>
        <v>362.69600000000003</v>
      </c>
      <c r="AH103" s="199">
        <f>AG109</f>
        <v>372.94300000000004</v>
      </c>
      <c r="AI103" s="199">
        <f>AH109</f>
        <v>387.25650000000007</v>
      </c>
      <c r="AJ103" s="199">
        <f>AI109</f>
        <v>391.29525000000012</v>
      </c>
      <c r="AK103" s="695">
        <f>AG103</f>
        <v>362.69600000000003</v>
      </c>
      <c r="AL103" s="199"/>
      <c r="AM103" s="175">
        <f>AJ109</f>
        <v>391.31599999999997</v>
      </c>
      <c r="AN103" s="199">
        <f>AM109</f>
        <v>394.52199999999999</v>
      </c>
      <c r="AO103" s="199">
        <f>AN109</f>
        <v>402.72874999999999</v>
      </c>
      <c r="AP103" s="199">
        <f>AO109</f>
        <v>409.23750000000001</v>
      </c>
      <c r="AQ103" s="695">
        <f>AM103</f>
        <v>391.31599999999997</v>
      </c>
      <c r="AR103" s="199"/>
      <c r="AS103" s="175">
        <f>AP109</f>
        <v>401.89800000000002</v>
      </c>
      <c r="AT103" s="199">
        <f>AS109</f>
        <v>407.46200000000005</v>
      </c>
      <c r="AU103" s="199">
        <f>AT109</f>
        <v>454.58275000000003</v>
      </c>
      <c r="AV103" s="199">
        <f>AU109</f>
        <v>467.35450000000003</v>
      </c>
      <c r="AW103" s="695">
        <f>AS103</f>
        <v>401.89800000000002</v>
      </c>
      <c r="AX103" s="199"/>
      <c r="AY103" s="175">
        <f>AV109</f>
        <v>443.16899999999998</v>
      </c>
      <c r="AZ103" s="199">
        <f>AY109</f>
        <v>459.34199999999998</v>
      </c>
      <c r="BA103" s="199">
        <f>AZ109</f>
        <v>472.35899999999998</v>
      </c>
      <c r="BB103" s="199">
        <f>BA109</f>
        <v>488.5335</v>
      </c>
      <c r="BC103" s="695">
        <f>AY103</f>
        <v>443.16899999999998</v>
      </c>
      <c r="BD103" s="199"/>
      <c r="BE103" s="175">
        <f>BB109</f>
        <v>435.08699999999999</v>
      </c>
      <c r="BF103" s="199">
        <f>BE109</f>
        <v>728.33349999999996</v>
      </c>
      <c r="BG103" s="199">
        <f>BF109</f>
        <v>752.37224999999989</v>
      </c>
      <c r="BH103" s="199">
        <f>BG109</f>
        <v>768.01274999999987</v>
      </c>
      <c r="BI103" s="695">
        <f>BE103</f>
        <v>435.08699999999999</v>
      </c>
      <c r="BJ103" s="199"/>
      <c r="BK103" s="175">
        <f>BH109</f>
        <v>555.54899999999998</v>
      </c>
      <c r="BL103" s="199">
        <f>BK109</f>
        <v>570.59100000000001</v>
      </c>
      <c r="BM103" s="199">
        <f>BL109</f>
        <v>584.92600000000004</v>
      </c>
      <c r="BN103" s="199">
        <f>BM109</f>
        <v>593.00600000000009</v>
      </c>
      <c r="BO103" s="695">
        <f>BK103</f>
        <v>555.54899999999998</v>
      </c>
      <c r="BP103" s="199"/>
      <c r="BQ103" s="175">
        <f>BN109</f>
        <v>549.99699999999996</v>
      </c>
      <c r="BR103" s="199">
        <f>BQ109</f>
        <v>556.67099999999994</v>
      </c>
      <c r="BS103" s="199">
        <f>BR109</f>
        <v>566.42799999999988</v>
      </c>
      <c r="BT103" s="199">
        <f>BS109</f>
        <v>578.23599999999988</v>
      </c>
      <c r="BU103" s="695">
        <f>+BQ103</f>
        <v>549.99699999999996</v>
      </c>
      <c r="BV103" s="199"/>
      <c r="BW103" s="175">
        <f>BU109</f>
        <v>590.61361847918943</v>
      </c>
      <c r="BX103" s="199">
        <f>BW109</f>
        <v>601.09975983918946</v>
      </c>
      <c r="BY103" s="199">
        <f>BX109</f>
        <v>612.55872287918942</v>
      </c>
      <c r="BZ103" s="199">
        <f>BY109</f>
        <v>623.8585527991894</v>
      </c>
      <c r="CA103" s="695">
        <f>+BW103</f>
        <v>590.61361847918943</v>
      </c>
      <c r="CB103" s="199"/>
      <c r="CC103" s="175">
        <f>CA109</f>
        <v>635.82789134653024</v>
      </c>
      <c r="CD103" s="199">
        <f>CC109</f>
        <v>646.57460192253029</v>
      </c>
      <c r="CE103" s="199">
        <f>CD109</f>
        <v>658.31335388173034</v>
      </c>
      <c r="CF103" s="199">
        <f>CE109</f>
        <v>669.91450396173036</v>
      </c>
      <c r="CG103" s="695">
        <f>+CC103</f>
        <v>635.82789134653024</v>
      </c>
      <c r="CH103" s="199"/>
      <c r="CI103" s="175">
        <f>CG109</f>
        <v>682.20478859583295</v>
      </c>
      <c r="CJ103" s="199">
        <f>CI109</f>
        <v>693.24188335044096</v>
      </c>
      <c r="CK103" s="199">
        <f>CJ109</f>
        <v>705.29843332586495</v>
      </c>
      <c r="CL103" s="199">
        <f>CK109</f>
        <v>717.21017704252097</v>
      </c>
      <c r="CM103" s="695">
        <f>+CI103</f>
        <v>682.20478859583295</v>
      </c>
      <c r="CN103" s="199"/>
      <c r="CO103" s="51"/>
      <c r="CP103" s="51"/>
      <c r="CQ103"/>
      <c r="CR103"/>
      <c r="CS103"/>
      <c r="CT103"/>
      <c r="CU103"/>
      <c r="CV103"/>
      <c r="CW103" s="14"/>
    </row>
    <row r="104" spans="2:101" s="123" customFormat="1" ht="11.25" customHeight="1" x14ac:dyDescent="0.2">
      <c r="B104" s="658" t="s">
        <v>78</v>
      </c>
      <c r="C104" s="175">
        <f>+-'Cash Flow'!C28</f>
        <v>6.665</v>
      </c>
      <c r="D104" s="199">
        <f>+-'Cash Flow'!D28</f>
        <v>3.0610000000000008</v>
      </c>
      <c r="E104" s="199">
        <f>+-'Cash Flow'!E28</f>
        <v>5.0040000000000004</v>
      </c>
      <c r="F104" s="199">
        <f>+-'Cash Flow'!F28</f>
        <v>4.7770000000000001</v>
      </c>
      <c r="G104" s="695">
        <f>SUM(C104:F104)</f>
        <v>19.507000000000001</v>
      </c>
      <c r="H104" s="199"/>
      <c r="I104" s="175">
        <f>+-'Cash Flow'!I28</f>
        <v>5.0069999999999997</v>
      </c>
      <c r="J104" s="199">
        <f>+-'Cash Flow'!J28</f>
        <v>4.173</v>
      </c>
      <c r="K104" s="199">
        <f>+-'Cash Flow'!K28</f>
        <v>7.1640000000000015</v>
      </c>
      <c r="L104" s="199">
        <f>+-'Cash Flow'!L28</f>
        <v>19.646999999999998</v>
      </c>
      <c r="M104" s="695">
        <f>SUM(I104:L104)</f>
        <v>35.991</v>
      </c>
      <c r="N104" s="199"/>
      <c r="O104" s="175">
        <f>+-'Cash Flow'!O28</f>
        <v>11.478999999999999</v>
      </c>
      <c r="P104" s="199">
        <f>+-'Cash Flow'!P28</f>
        <v>6.0160000000000018</v>
      </c>
      <c r="Q104" s="199">
        <f>+-'Cash Flow'!Q28</f>
        <v>5.343</v>
      </c>
      <c r="R104" s="199">
        <f>+-'Cash Flow'!R28</f>
        <v>9.4799999999999969</v>
      </c>
      <c r="S104" s="695">
        <f>SUM(O104:R104)</f>
        <v>32.317999999999998</v>
      </c>
      <c r="T104" s="199"/>
      <c r="U104" s="175">
        <f>+-'Cash Flow'!U28</f>
        <v>8.0079999999999991</v>
      </c>
      <c r="V104" s="199">
        <f>+-'Cash Flow'!V28</f>
        <v>5.125</v>
      </c>
      <c r="W104" s="199">
        <f>+-'Cash Flow'!W28</f>
        <v>4.3730000000000011</v>
      </c>
      <c r="X104" s="199">
        <f>+-'Cash Flow'!X28</f>
        <v>12.297999999999998</v>
      </c>
      <c r="Y104" s="695">
        <f>SUM(U104:X104)</f>
        <v>29.803999999999998</v>
      </c>
      <c r="Z104" s="199"/>
      <c r="AA104" s="175">
        <f>+-'Cash Flow'!AA28</f>
        <v>9.1300000000000008</v>
      </c>
      <c r="AB104" s="199">
        <f>+-'Cash Flow'!AB28</f>
        <v>10.915999999999999</v>
      </c>
      <c r="AC104" s="199">
        <f>+-'Cash Flow'!AC28</f>
        <v>9.1530000000000005</v>
      </c>
      <c r="AD104" s="199">
        <f>+-'Cash Flow'!AD28</f>
        <v>7.6230000000000064</v>
      </c>
      <c r="AE104" s="695">
        <f>SUM(AA104:AD104)</f>
        <v>36.822000000000003</v>
      </c>
      <c r="AF104" s="199"/>
      <c r="AG104" s="175">
        <f>+-'Cash Flow'!AG28</f>
        <v>10.247</v>
      </c>
      <c r="AH104" s="199">
        <f>+-'Cash Flow'!AH28</f>
        <v>12.132000000000001</v>
      </c>
      <c r="AI104" s="199">
        <f>+-'Cash Flow'!AI28</f>
        <v>2.671999999999997</v>
      </c>
      <c r="AJ104" s="199">
        <f>+-'Cash Flow'!AJ28</f>
        <v>4.5990000000000002</v>
      </c>
      <c r="AK104" s="695">
        <f>SUM(AG104:AJ104)</f>
        <v>29.65</v>
      </c>
      <c r="AL104" s="199"/>
      <c r="AM104" s="175">
        <f>+-'Cash Flow'!AM28</f>
        <v>3.206</v>
      </c>
      <c r="AN104" s="199">
        <f>+-'Cash Flow'!AN28</f>
        <v>5.5590000000000011</v>
      </c>
      <c r="AO104" s="199">
        <f>+-'Cash Flow'!AO28</f>
        <v>5.4939999999999998</v>
      </c>
      <c r="AP104" s="199">
        <f>+-'Cash Flow'!AP28</f>
        <v>7.7240000000000002</v>
      </c>
      <c r="AQ104" s="695">
        <f>SUM(AM104:AP104)</f>
        <v>21.983000000000001</v>
      </c>
      <c r="AR104" s="199"/>
      <c r="AS104" s="175">
        <f>+-'Cash Flow'!AS28</f>
        <v>5.5640000000000001</v>
      </c>
      <c r="AT104" s="199">
        <f>+-'Cash Flow'!AT28</f>
        <v>11.879999999999999</v>
      </c>
      <c r="AU104" s="199">
        <f>+-'Cash Flow'!AU28</f>
        <v>12.819000000000003</v>
      </c>
      <c r="AV104" s="199">
        <f>+-'Cash Flow'!AV28</f>
        <v>10.123999999999999</v>
      </c>
      <c r="AW104" s="695">
        <f>SUM(AS104:AV104)</f>
        <v>40.387</v>
      </c>
      <c r="AX104" s="199"/>
      <c r="AY104" s="175">
        <f>+-'Cash Flow'!AY28</f>
        <v>16.172999999999998</v>
      </c>
      <c r="AZ104" s="199">
        <f>+-'Cash Flow'!AZ28</f>
        <v>13.017000000000003</v>
      </c>
      <c r="BA104" s="199">
        <f>+-'Cash Flow'!BA28</f>
        <v>13.992000000000001</v>
      </c>
      <c r="BB104" s="199">
        <f>+-'Cash Flow'!BB28</f>
        <v>17.48</v>
      </c>
      <c r="BC104" s="695">
        <f>SUM(AY104:BB104)</f>
        <v>60.662000000000006</v>
      </c>
      <c r="BD104" s="199"/>
      <c r="BE104" s="175">
        <f>+-'Cash Flow'!BE28</f>
        <v>17.064</v>
      </c>
      <c r="BF104" s="199">
        <f>+-'Cash Flow'!BF28</f>
        <v>23.914000000000001</v>
      </c>
      <c r="BG104" s="199">
        <f>+-'Cash Flow'!BG28</f>
        <v>15.302</v>
      </c>
      <c r="BH104" s="199">
        <f>+-'Cash Flow'!BH28</f>
        <v>23.073999999999991</v>
      </c>
      <c r="BI104" s="695">
        <f>SUM(BE104:BH104)</f>
        <v>79.353999999999985</v>
      </c>
      <c r="BJ104" s="199"/>
      <c r="BK104" s="175">
        <f>+-'Cash Flow'!BK28</f>
        <v>15.042</v>
      </c>
      <c r="BL104" s="199">
        <f>+-'Cash Flow'!BL28</f>
        <v>14.334999999999999</v>
      </c>
      <c r="BM104" s="199">
        <f>+-'Cash Flow'!BM28</f>
        <v>8.0800000000000018</v>
      </c>
      <c r="BN104" s="199">
        <f>+-'Cash Flow'!BN28</f>
        <v>9.5619999999999976</v>
      </c>
      <c r="BO104" s="695">
        <f>SUM(BK104:BN104)</f>
        <v>47.018999999999998</v>
      </c>
      <c r="BP104" s="199"/>
      <c r="BQ104" s="175">
        <f>+-'Cash Flow'!BQ28</f>
        <v>6.6740000000000004</v>
      </c>
      <c r="BR104" s="199">
        <f>+-'Cash Flow'!BR28</f>
        <v>9.7570000000000014</v>
      </c>
      <c r="BS104" s="199">
        <f>+-'Cash Flow'!BS28</f>
        <v>11.808</v>
      </c>
      <c r="BT104" s="199">
        <f>+BT105*'P&amp;L'!BT8</f>
        <v>12.377618479189477</v>
      </c>
      <c r="BU104" s="695">
        <f>+SUM(BQ104:BT104)</f>
        <v>40.616618479189476</v>
      </c>
      <c r="BV104" s="199"/>
      <c r="BW104" s="175">
        <f>+BW105*'P&amp;L'!BW8</f>
        <v>10.486141360000001</v>
      </c>
      <c r="BX104" s="199">
        <f>+BX105*'P&amp;L'!BX8</f>
        <v>11.45896304</v>
      </c>
      <c r="BY104" s="199">
        <f>+BY105*'P&amp;L'!BY8</f>
        <v>11.299829920000001</v>
      </c>
      <c r="BZ104" s="199">
        <f>+BZ105*'P&amp;L'!BZ8</f>
        <v>11.969338547340765</v>
      </c>
      <c r="CA104" s="695">
        <f>+SUM(BW104:BZ104)</f>
        <v>45.214272867340767</v>
      </c>
      <c r="CB104" s="199"/>
      <c r="CC104" s="175">
        <f>+CC105*'P&amp;L'!CC8</f>
        <v>10.746710576000002</v>
      </c>
      <c r="CD104" s="199">
        <f>+CD105*'P&amp;L'!CD8</f>
        <v>11.7387519592</v>
      </c>
      <c r="CE104" s="199">
        <f>+CE105*'P&amp;L'!CE8</f>
        <v>11.60115008</v>
      </c>
      <c r="CF104" s="199">
        <f>+CF105*'P&amp;L'!CF8</f>
        <v>12.290284634102658</v>
      </c>
      <c r="CG104" s="695">
        <f>+SUM(CC104:CF104)</f>
        <v>46.376897249302658</v>
      </c>
      <c r="CH104" s="199"/>
      <c r="CI104" s="175">
        <f>+CI105*'P&amp;L'!CI8</f>
        <v>11.037094754608001</v>
      </c>
      <c r="CJ104" s="199">
        <f>+CJ105*'P&amp;L'!CJ8</f>
        <v>12.056549975424002</v>
      </c>
      <c r="CK104" s="199">
        <f>+CK105*'P&amp;L'!CK8</f>
        <v>11.911743716656</v>
      </c>
      <c r="CL104" s="199">
        <f>+CL105*'P&amp;L'!CL8</f>
        <v>12.62114940196493</v>
      </c>
      <c r="CM104" s="695">
        <f>+SUM(CI104:CL104)</f>
        <v>47.62653784865293</v>
      </c>
      <c r="CN104" s="199"/>
      <c r="CO104" s="51"/>
      <c r="CP104" s="51"/>
      <c r="CQ104"/>
      <c r="CR104"/>
      <c r="CS104"/>
      <c r="CT104"/>
      <c r="CU104"/>
      <c r="CV104"/>
      <c r="CW104" s="14"/>
    </row>
    <row r="105" spans="2:101" s="87" customFormat="1" ht="11.25" customHeight="1" x14ac:dyDescent="0.2">
      <c r="B105" s="765" t="s">
        <v>79</v>
      </c>
      <c r="C105" s="775">
        <f>+C104/'P&amp;L'!C8</f>
        <v>1.0167996973247412E-2</v>
      </c>
      <c r="D105" s="184">
        <f>+D104/'P&amp;L'!D8</f>
        <v>4.408928476262221E-3</v>
      </c>
      <c r="E105" s="184">
        <f>+E104/'P&amp;L'!E8</f>
        <v>7.0529137667126153E-3</v>
      </c>
      <c r="F105" s="184">
        <f>+F104/'P&amp;L'!F8</f>
        <v>6.4628901308677756E-3</v>
      </c>
      <c r="G105" s="794">
        <f>+G104/'P&amp;L'!G8</f>
        <v>6.9707739928344722E-3</v>
      </c>
      <c r="H105" s="184"/>
      <c r="I105" s="775">
        <f>+I104/'P&amp;L'!I8</f>
        <v>7.1385494501734377E-3</v>
      </c>
      <c r="J105" s="184">
        <f>+J104/'P&amp;L'!J8</f>
        <v>5.6240498549849595E-3</v>
      </c>
      <c r="K105" s="184">
        <f>+K104/'P&amp;L'!K8</f>
        <v>9.2207180421805396E-3</v>
      </c>
      <c r="L105" s="184">
        <f>+L104/'P&amp;L'!L8</f>
        <v>2.5240625497823705E-2</v>
      </c>
      <c r="M105" s="794">
        <f>+M104/'P&amp;L'!M8</f>
        <v>1.2002084883295556E-2</v>
      </c>
      <c r="N105" s="184"/>
      <c r="O105" s="775">
        <f>+O104/'P&amp;L'!O8</f>
        <v>1.5431687994633389E-2</v>
      </c>
      <c r="P105" s="184">
        <f>+P104/'P&amp;L'!P8</f>
        <v>7.9214074192091519E-3</v>
      </c>
      <c r="Q105" s="184">
        <f>+Q104/'P&amp;L'!Q8</f>
        <v>6.5879759266999826E-3</v>
      </c>
      <c r="R105" s="184">
        <f>+R104/'P&amp;L'!R8</f>
        <v>1.2155653917762124E-2</v>
      </c>
      <c r="S105" s="794">
        <f>+S104/'P&amp;L'!S8</f>
        <v>1.0444611852976526E-2</v>
      </c>
      <c r="T105" s="184"/>
      <c r="U105" s="775">
        <f>+U104/'P&amp;L'!U8</f>
        <v>1.0142113708697926E-2</v>
      </c>
      <c r="V105" s="184">
        <f>+V104/'P&amp;L'!V8</f>
        <v>6.2887216532036896E-3</v>
      </c>
      <c r="W105" s="184">
        <f>+W104/'P&amp;L'!W8</f>
        <v>5.3323805854034482E-3</v>
      </c>
      <c r="X105" s="184">
        <f>+X104/'P&amp;L'!X8</f>
        <v>1.5131120795509632E-2</v>
      </c>
      <c r="Y105" s="794">
        <f>+Y104/'P&amp;L'!Y8</f>
        <v>9.2062213348094255E-3</v>
      </c>
      <c r="Z105" s="184"/>
      <c r="AA105" s="775">
        <f>+AA104/'P&amp;L'!AA8</f>
        <v>1.074386875770046E-2</v>
      </c>
      <c r="AB105" s="184">
        <f>+AB104/'P&amp;L'!AB8</f>
        <v>1.2731305996869655E-2</v>
      </c>
      <c r="AC105" s="184">
        <f>+AC104/'P&amp;L'!AC8</f>
        <v>1.1099254229066878E-2</v>
      </c>
      <c r="AD105" s="184">
        <f>+AD104/'P&amp;L'!AD8</f>
        <v>8.6250691600882161E-3</v>
      </c>
      <c r="AE105" s="794">
        <f>+AE104/'P&amp;L'!AE8</f>
        <v>1.0780315428598197E-2</v>
      </c>
      <c r="AF105" s="184"/>
      <c r="AG105" s="775">
        <f>+AG104/'P&amp;L'!AG8</f>
        <v>1.2091968346349281E-2</v>
      </c>
      <c r="AH105" s="184">
        <f>+AH104/'P&amp;L'!AH8</f>
        <v>1.4158424507658645E-2</v>
      </c>
      <c r="AI105" s="184">
        <f>+AI104/'P&amp;L'!AI8</f>
        <v>2.9853747919064135E-3</v>
      </c>
      <c r="AJ105" s="184">
        <f>+AJ104/'P&amp;L'!AJ8</f>
        <v>4.9117088560278709E-3</v>
      </c>
      <c r="AK105" s="794">
        <f>+AK104/'P&amp;L'!AK8</f>
        <v>8.3859849685815457E-3</v>
      </c>
      <c r="AL105" s="184"/>
      <c r="AM105" s="775">
        <f>+AM104/'P&amp;L'!AM8</f>
        <v>3.6053867131490905E-3</v>
      </c>
      <c r="AN105" s="184">
        <f>+AN104/'P&amp;L'!AN8</f>
        <v>6.4103377218220183E-3</v>
      </c>
      <c r="AO105" s="184">
        <f>+AO104/'P&amp;L'!AO8</f>
        <v>5.9987268810441753E-3</v>
      </c>
      <c r="AP105" s="184">
        <f>+AP104/'P&amp;L'!AP8</f>
        <v>8.0047008445145937E-3</v>
      </c>
      <c r="AQ105" s="794">
        <f>+AQ104/'P&amp;L'!AQ8</f>
        <v>6.0439149546410824E-3</v>
      </c>
      <c r="AR105" s="184"/>
      <c r="AS105" s="775">
        <f>+AS104/'P&amp;L'!AS8</f>
        <v>6.3218292856128391E-3</v>
      </c>
      <c r="AT105" s="184">
        <f>+AT104/'P&amp;L'!AT8</f>
        <v>1.1893868250379943E-2</v>
      </c>
      <c r="AU105" s="184">
        <f>+AU104/'P&amp;L'!AU8</f>
        <v>1.1840074481910151E-2</v>
      </c>
      <c r="AV105" s="184">
        <f>+AV104/'P&amp;L'!AV8</f>
        <v>9.1862909760388779E-3</v>
      </c>
      <c r="AW105" s="794">
        <f>+AW104/'P&amp;L'!AW8</f>
        <v>9.938443025655096E-3</v>
      </c>
      <c r="AX105" s="184"/>
      <c r="AY105" s="775">
        <f>+AY104/'P&amp;L'!AY8</f>
        <v>1.7224449281968483E-2</v>
      </c>
      <c r="AZ105" s="184">
        <f>+AZ104/'P&amp;L'!AZ8</f>
        <v>1.3306822596144019E-2</v>
      </c>
      <c r="BA105" s="184">
        <f>+BA104/'P&amp;L'!BA8</f>
        <v>1.4595859916463947E-2</v>
      </c>
      <c r="BB105" s="184">
        <f>+BB104/'P&amp;L'!BB8</f>
        <v>1.6887893563760976E-2</v>
      </c>
      <c r="BC105" s="794">
        <f>+BC104/'P&amp;L'!BC8</f>
        <v>1.5511146511065969E-2</v>
      </c>
      <c r="BD105" s="184"/>
      <c r="BE105" s="775">
        <f>+BE104/'P&amp;L'!BE8</f>
        <v>1.4930832028139685E-2</v>
      </c>
      <c r="BF105" s="184">
        <f>+BF104/'P&amp;L'!BF8</f>
        <v>1.7214100100056869E-2</v>
      </c>
      <c r="BG105" s="184">
        <f>+BG104/'P&amp;L'!BG8</f>
        <v>1.0923344562206026E-2</v>
      </c>
      <c r="BH105" s="184">
        <f>+BH104/'P&amp;L'!BH8</f>
        <v>1.5871836672926246E-2</v>
      </c>
      <c r="BI105" s="794">
        <f>+BI104/'P&amp;L'!BI8</f>
        <v>1.4731460041513333E-2</v>
      </c>
      <c r="BJ105" s="184"/>
      <c r="BK105" s="775">
        <f>+BK104/'P&amp;L'!BK8</f>
        <v>1.128909756265967E-2</v>
      </c>
      <c r="BL105" s="184">
        <f>+BL104/'P&amp;L'!BL8</f>
        <v>1.0107591022964362E-2</v>
      </c>
      <c r="BM105" s="184">
        <f>+BM104/'P&amp;L'!BM8</f>
        <v>5.7820924018439739E-3</v>
      </c>
      <c r="BN105" s="184">
        <f>+BN104/'P&amp;L'!BN8</f>
        <v>6.6171544990007132E-3</v>
      </c>
      <c r="BO105" s="794">
        <f>+BO104/'P&amp;L'!BO8</f>
        <v>8.4065675605077446E-3</v>
      </c>
      <c r="BP105" s="184"/>
      <c r="BQ105" s="775">
        <f>+BQ104/'P&amp;L'!BQ8</f>
        <v>5.117646833293076E-3</v>
      </c>
      <c r="BR105" s="184">
        <f>+BR104/'P&amp;L'!BR8</f>
        <v>7.041018605983676E-3</v>
      </c>
      <c r="BS105" s="184">
        <f>+BS104/'P&amp;L'!BS8</f>
        <v>8.5862500745334212E-3</v>
      </c>
      <c r="BT105" s="789">
        <f>+BS105</f>
        <v>8.5862500745334212E-3</v>
      </c>
      <c r="BU105" s="794">
        <f>+BU104/'P&amp;L'!BU8</f>
        <v>7.3759392789384814E-3</v>
      </c>
      <c r="BV105" s="184"/>
      <c r="BW105" s="791">
        <v>8.0000000000000002E-3</v>
      </c>
      <c r="BX105" s="789">
        <f>+BW105</f>
        <v>8.0000000000000002E-3</v>
      </c>
      <c r="BY105" s="789">
        <f>+BX105</f>
        <v>8.0000000000000002E-3</v>
      </c>
      <c r="BZ105" s="789">
        <f>+BY105</f>
        <v>8.0000000000000002E-3</v>
      </c>
      <c r="CA105" s="794">
        <f>+CA104/'P&amp;L'!CA8</f>
        <v>8.0000000000000002E-3</v>
      </c>
      <c r="CB105" s="184"/>
      <c r="CC105" s="791">
        <f>BZ105</f>
        <v>8.0000000000000002E-3</v>
      </c>
      <c r="CD105" s="789">
        <f>+CC105</f>
        <v>8.0000000000000002E-3</v>
      </c>
      <c r="CE105" s="789">
        <f>+CD105</f>
        <v>8.0000000000000002E-3</v>
      </c>
      <c r="CF105" s="789">
        <f>+CE105</f>
        <v>8.0000000000000002E-3</v>
      </c>
      <c r="CG105" s="794">
        <f>+CG104/'P&amp;L'!CG8</f>
        <v>8.0000000000000002E-3</v>
      </c>
      <c r="CH105" s="184"/>
      <c r="CI105" s="791">
        <f>CF105</f>
        <v>8.0000000000000002E-3</v>
      </c>
      <c r="CJ105" s="789">
        <f>+CI105</f>
        <v>8.0000000000000002E-3</v>
      </c>
      <c r="CK105" s="789">
        <f>+CJ105</f>
        <v>8.0000000000000002E-3</v>
      </c>
      <c r="CL105" s="789">
        <f>+CK105</f>
        <v>8.0000000000000002E-3</v>
      </c>
      <c r="CM105" s="794">
        <f>+CM104/'P&amp;L'!CM8</f>
        <v>8.0000000000000019E-3</v>
      </c>
      <c r="CN105" s="184"/>
      <c r="CO105" s="192"/>
      <c r="CP105" s="192"/>
      <c r="CQ105"/>
      <c r="CR105"/>
      <c r="CS105"/>
      <c r="CT105"/>
      <c r="CU105"/>
      <c r="CV105"/>
      <c r="CW105" s="469"/>
    </row>
    <row r="106" spans="2:101" s="123" customFormat="1" ht="11.25" customHeight="1" x14ac:dyDescent="0.2">
      <c r="B106" s="766" t="s">
        <v>187</v>
      </c>
      <c r="C106" s="425">
        <v>0</v>
      </c>
      <c r="D106" s="200">
        <v>0</v>
      </c>
      <c r="E106" s="200">
        <v>0</v>
      </c>
      <c r="F106" s="200">
        <v>0</v>
      </c>
      <c r="G106" s="804">
        <f>SUM(C106:F106)</f>
        <v>0</v>
      </c>
      <c r="H106" s="171"/>
      <c r="I106" s="425">
        <v>0</v>
      </c>
      <c r="J106" s="200">
        <v>0</v>
      </c>
      <c r="K106" s="200">
        <v>0</v>
      </c>
      <c r="L106" s="200">
        <v>0</v>
      </c>
      <c r="M106" s="804">
        <f>SUM(I106:L106)</f>
        <v>0</v>
      </c>
      <c r="N106" s="171"/>
      <c r="O106" s="425">
        <v>0</v>
      </c>
      <c r="P106" s="200">
        <v>0</v>
      </c>
      <c r="Q106" s="200">
        <v>0</v>
      </c>
      <c r="R106" s="200">
        <v>0</v>
      </c>
      <c r="S106" s="804">
        <f>SUM(O106:R106)</f>
        <v>0</v>
      </c>
      <c r="T106" s="171"/>
      <c r="U106" s="425">
        <v>0</v>
      </c>
      <c r="V106" s="200">
        <v>0</v>
      </c>
      <c r="W106" s="200">
        <v>0</v>
      </c>
      <c r="X106" s="200">
        <v>0</v>
      </c>
      <c r="Y106" s="695">
        <f>SUM(U106:X106)</f>
        <v>0</v>
      </c>
      <c r="Z106" s="171"/>
      <c r="AA106" s="425">
        <v>0</v>
      </c>
      <c r="AB106" s="200">
        <v>0</v>
      </c>
      <c r="AC106" s="200">
        <v>0</v>
      </c>
      <c r="AD106" s="200">
        <v>0</v>
      </c>
      <c r="AE106" s="695">
        <f>SUM(AA106:AD106)</f>
        <v>0</v>
      </c>
      <c r="AF106" s="171"/>
      <c r="AG106" s="425">
        <v>0</v>
      </c>
      <c r="AH106" s="200">
        <v>0</v>
      </c>
      <c r="AI106" s="200">
        <v>0</v>
      </c>
      <c r="AJ106" s="200">
        <v>0</v>
      </c>
      <c r="AK106" s="695">
        <f>SUM(AG106:AJ106)</f>
        <v>0</v>
      </c>
      <c r="AL106" s="171"/>
      <c r="AM106" s="425">
        <v>0</v>
      </c>
      <c r="AN106" s="200">
        <v>0</v>
      </c>
      <c r="AO106" s="200">
        <v>0</v>
      </c>
      <c r="AP106" s="200">
        <v>0</v>
      </c>
      <c r="AQ106" s="695">
        <f>SUM(AM106:AP106)</f>
        <v>0</v>
      </c>
      <c r="AR106" s="171"/>
      <c r="AS106" s="425">
        <v>0</v>
      </c>
      <c r="AT106" s="200">
        <v>0</v>
      </c>
      <c r="AU106" s="200">
        <v>0</v>
      </c>
      <c r="AV106" s="200">
        <v>0</v>
      </c>
      <c r="AW106" s="695">
        <f>SUM(AS106:AV106)</f>
        <v>0</v>
      </c>
      <c r="AX106" s="171"/>
      <c r="AY106" s="425">
        <v>0</v>
      </c>
      <c r="AZ106" s="200">
        <v>0</v>
      </c>
      <c r="BA106" s="200">
        <v>0</v>
      </c>
      <c r="BB106" s="200">
        <v>0</v>
      </c>
      <c r="BC106" s="695">
        <f>+SUM(AY106:BB106)</f>
        <v>0</v>
      </c>
      <c r="BD106" s="171"/>
      <c r="BE106" s="425">
        <v>0</v>
      </c>
      <c r="BF106" s="200">
        <v>0</v>
      </c>
      <c r="BG106" s="200">
        <v>0</v>
      </c>
      <c r="BH106" s="200">
        <v>0</v>
      </c>
      <c r="BI106" s="695">
        <f>+SUM(BE106:BH106)</f>
        <v>0</v>
      </c>
      <c r="BJ106" s="171"/>
      <c r="BK106" s="425">
        <v>0</v>
      </c>
      <c r="BL106" s="200">
        <v>0</v>
      </c>
      <c r="BM106" s="200">
        <v>0</v>
      </c>
      <c r="BN106" s="200">
        <v>0</v>
      </c>
      <c r="BO106" s="695">
        <f>+SUM(BK106:BN106)</f>
        <v>0</v>
      </c>
      <c r="BP106" s="171"/>
      <c r="BQ106" s="425">
        <v>0</v>
      </c>
      <c r="BR106" s="200">
        <v>0</v>
      </c>
      <c r="BS106" s="200">
        <v>0</v>
      </c>
      <c r="BT106" s="200">
        <v>0</v>
      </c>
      <c r="BU106" s="695">
        <f>+SUM(BQ106:BT106)</f>
        <v>0</v>
      </c>
      <c r="BV106" s="171"/>
      <c r="BW106" s="425">
        <v>0</v>
      </c>
      <c r="BX106" s="200">
        <v>0</v>
      </c>
      <c r="BY106" s="200">
        <v>0</v>
      </c>
      <c r="BZ106" s="200">
        <v>0</v>
      </c>
      <c r="CA106" s="695">
        <f>+SUM(BW106:BZ106)</f>
        <v>0</v>
      </c>
      <c r="CB106" s="171"/>
      <c r="CC106" s="425">
        <v>0</v>
      </c>
      <c r="CD106" s="200">
        <v>0</v>
      </c>
      <c r="CE106" s="200">
        <v>0</v>
      </c>
      <c r="CF106" s="200">
        <v>0</v>
      </c>
      <c r="CG106" s="695">
        <f>+SUM(CC106:CF106)</f>
        <v>0</v>
      </c>
      <c r="CH106" s="171"/>
      <c r="CI106" s="425">
        <v>0</v>
      </c>
      <c r="CJ106" s="200">
        <v>0</v>
      </c>
      <c r="CK106" s="200">
        <v>0</v>
      </c>
      <c r="CL106" s="200">
        <v>0</v>
      </c>
      <c r="CM106" s="695">
        <f>+SUM(CI106:CL106)</f>
        <v>0</v>
      </c>
      <c r="CN106" s="171"/>
      <c r="CO106" s="59"/>
      <c r="CP106" s="59"/>
      <c r="CQ106"/>
      <c r="CR106"/>
      <c r="CS106"/>
      <c r="CT106"/>
      <c r="CU106"/>
      <c r="CV106"/>
      <c r="CW106" s="14"/>
    </row>
    <row r="107" spans="2:101" s="123" customFormat="1" ht="11.25" customHeight="1" x14ac:dyDescent="0.2">
      <c r="B107" s="658" t="s">
        <v>267</v>
      </c>
      <c r="C107" s="175">
        <f>C140*C137*-1</f>
        <v>1.016</v>
      </c>
      <c r="D107" s="199">
        <f>D140*D137*-1</f>
        <v>1.1502499999999998</v>
      </c>
      <c r="E107" s="199">
        <f>E140*E137*-1</f>
        <v>1</v>
      </c>
      <c r="F107" s="199">
        <f>F140*F137*-1</f>
        <v>0</v>
      </c>
      <c r="G107" s="695">
        <f>+SUM(C107:F107)</f>
        <v>3.1662499999999998</v>
      </c>
      <c r="H107" s="199"/>
      <c r="I107" s="175">
        <f>I140*I137*-1</f>
        <v>0.70699999999999996</v>
      </c>
      <c r="J107" s="199">
        <f>J140*J137*-1</f>
        <v>2.1777500000000001</v>
      </c>
      <c r="K107" s="199">
        <f>K140*K137*-1</f>
        <v>0.3570000000000001</v>
      </c>
      <c r="L107" s="199">
        <f>L140*L137*-1</f>
        <v>2.4317499999999996</v>
      </c>
      <c r="M107" s="695">
        <f>+SUM(I107:L107)</f>
        <v>5.6734999999999998</v>
      </c>
      <c r="N107" s="199"/>
      <c r="O107" s="175">
        <f>O140*O137*-1</f>
        <v>0.12825</v>
      </c>
      <c r="P107" s="199">
        <f>P140*P137*-1</f>
        <v>17.340999999999998</v>
      </c>
      <c r="Q107" s="199">
        <f>Q140*Q137*-1</f>
        <v>10.016250000000001</v>
      </c>
      <c r="R107" s="199">
        <f>R140*R137*-1</f>
        <v>3.7084999999999986</v>
      </c>
      <c r="S107" s="695">
        <f>+SUM(O107:R107)</f>
        <v>31.193999999999999</v>
      </c>
      <c r="T107" s="199"/>
      <c r="U107" s="175">
        <f>U140*U137*-1</f>
        <v>7.0282499999999999</v>
      </c>
      <c r="V107" s="199">
        <f>V140*V137*-1</f>
        <v>9.5000000000000639E-3</v>
      </c>
      <c r="W107" s="199">
        <f>W140*W137*-1</f>
        <v>0</v>
      </c>
      <c r="X107" s="199">
        <f>X140*X137*-1</f>
        <v>6.3802500000000002</v>
      </c>
      <c r="Y107" s="695">
        <f>+SUM(U107:X107)</f>
        <v>13.417999999999999</v>
      </c>
      <c r="Z107" s="199"/>
      <c r="AA107" s="175">
        <f>AA140*AA137*-1</f>
        <v>11.670500000000001</v>
      </c>
      <c r="AB107" s="199">
        <f>AB140*AB137*-1</f>
        <v>0</v>
      </c>
      <c r="AC107" s="199">
        <f>AC140*AC137*-1</f>
        <v>1.4152500000000003</v>
      </c>
      <c r="AD107" s="199">
        <f>AD140*AD137*-1</f>
        <v>-3.9000000000001478E-2</v>
      </c>
      <c r="AE107" s="695">
        <f>+SUM(AA107:AD107)</f>
        <v>13.046749999999999</v>
      </c>
      <c r="AF107" s="199"/>
      <c r="AG107" s="175">
        <f>AG140*AG137*-1</f>
        <v>0</v>
      </c>
      <c r="AH107" s="199">
        <f>AH140*AH137*-1</f>
        <v>2.1815000000000002</v>
      </c>
      <c r="AI107" s="199">
        <f>AI140*AI137*-1</f>
        <v>1.3667499999999997</v>
      </c>
      <c r="AJ107" s="199">
        <f>AJ140*AJ137*-1</f>
        <v>2.1067500000000003</v>
      </c>
      <c r="AK107" s="695">
        <f>+SUM(AG107:AJ107)</f>
        <v>5.6550000000000002</v>
      </c>
      <c r="AL107" s="199"/>
      <c r="AM107" s="175">
        <f>AM140*AM137*-1</f>
        <v>0</v>
      </c>
      <c r="AN107" s="199">
        <f>AN140*AN137*-1</f>
        <v>2.6477499999999998</v>
      </c>
      <c r="AO107" s="199">
        <f>AO140*AO137*-1</f>
        <v>1.0147500000000003</v>
      </c>
      <c r="AP107" s="199">
        <f>AP140*AP137*-1</f>
        <v>0</v>
      </c>
      <c r="AQ107" s="695">
        <f>+SUM(AM107:AP107)</f>
        <v>3.6625000000000001</v>
      </c>
      <c r="AR107" s="199"/>
      <c r="AS107" s="175">
        <f>AS140*AS137*-1</f>
        <v>0</v>
      </c>
      <c r="AT107" s="199">
        <f>AT140*AT137*-1</f>
        <v>35.240749999999998</v>
      </c>
      <c r="AU107" s="199">
        <f>AU140*AU137*-1</f>
        <v>-4.7249999999998238E-2</v>
      </c>
      <c r="AV107" s="199">
        <f>AV140*AV137*-1</f>
        <v>1.2602499999999992</v>
      </c>
      <c r="AW107" s="695">
        <f>+SUM(AS107:AV107)</f>
        <v>36.453749999999999</v>
      </c>
      <c r="AX107" s="199"/>
      <c r="AY107" s="175">
        <f>AY140*AY137*-1</f>
        <v>0</v>
      </c>
      <c r="AZ107" s="199">
        <f>AZ140*AZ137*-1</f>
        <v>0</v>
      </c>
      <c r="BA107" s="199">
        <f>BA140*BA137*-1</f>
        <v>2.1825000000000001</v>
      </c>
      <c r="BB107" s="199">
        <f>BB140*BB137*-1</f>
        <v>0.44625000000000004</v>
      </c>
      <c r="BC107" s="695">
        <f>+SUM(AY107:BB107)</f>
        <v>2.6287500000000001</v>
      </c>
      <c r="BD107" s="199"/>
      <c r="BE107" s="175">
        <f>BE140*BE137*-1</f>
        <v>276.1825</v>
      </c>
      <c r="BF107" s="199">
        <f>BF140*BF137*-1</f>
        <v>0.12475000000000591</v>
      </c>
      <c r="BG107" s="199">
        <f>BG140*BG137*-1</f>
        <v>0.33850000000001046</v>
      </c>
      <c r="BH107" s="199">
        <f>BH140*BH137*-1</f>
        <v>0</v>
      </c>
      <c r="BI107" s="695">
        <f>+SUM(BE107:BH107)</f>
        <v>276.64575000000002</v>
      </c>
      <c r="BJ107" s="199"/>
      <c r="BK107" s="175">
        <f>BK140*BK137*-1</f>
        <v>0</v>
      </c>
      <c r="BL107" s="199">
        <f>BL140*BL137*-1</f>
        <v>0</v>
      </c>
      <c r="BM107" s="199">
        <f>BM140*BM137*-1</f>
        <v>0</v>
      </c>
      <c r="BN107" s="199">
        <f>BN140*BN137*-1</f>
        <v>0</v>
      </c>
      <c r="BO107" s="695">
        <f>+SUM(BK107:BN107)</f>
        <v>0</v>
      </c>
      <c r="BP107" s="199"/>
      <c r="BQ107" s="175">
        <f>BQ140*BQ137*-1</f>
        <v>0</v>
      </c>
      <c r="BR107" s="199">
        <f>BR140*BR137*-1</f>
        <v>0</v>
      </c>
      <c r="BS107" s="199">
        <f>BS140*BS137*-1</f>
        <v>0</v>
      </c>
      <c r="BT107" s="199">
        <f>BT140*BT137*-1</f>
        <v>0</v>
      </c>
      <c r="BU107" s="695">
        <f>+SUM(BQ107:BT107)</f>
        <v>0</v>
      </c>
      <c r="BV107" s="199"/>
      <c r="BW107" s="175">
        <f>BW140*BW137*-1</f>
        <v>0</v>
      </c>
      <c r="BX107" s="199">
        <f>BX140*BX137*-1</f>
        <v>0</v>
      </c>
      <c r="BY107" s="199">
        <f>BY140*BY137*-1</f>
        <v>0</v>
      </c>
      <c r="BZ107" s="199">
        <f>BZ140*BZ137*-1</f>
        <v>0</v>
      </c>
      <c r="CA107" s="695">
        <f>+SUM(BW107:BZ107)</f>
        <v>0</v>
      </c>
      <c r="CB107" s="199"/>
      <c r="CC107" s="175">
        <f>CC140*CC137*-1</f>
        <v>0</v>
      </c>
      <c r="CD107" s="199">
        <f>CD140*CD137*-1</f>
        <v>0</v>
      </c>
      <c r="CE107" s="199">
        <f>CE140*CE137*-1</f>
        <v>0</v>
      </c>
      <c r="CF107" s="199">
        <f>CF140*CF137*-1</f>
        <v>0</v>
      </c>
      <c r="CG107" s="695">
        <f>+SUM(CC107:CF107)</f>
        <v>0</v>
      </c>
      <c r="CH107" s="199"/>
      <c r="CI107" s="175">
        <f>CI140*CI137*-1</f>
        <v>0</v>
      </c>
      <c r="CJ107" s="199">
        <f>CJ140*CJ137*-1</f>
        <v>0</v>
      </c>
      <c r="CK107" s="199">
        <f>CK140*CK137*-1</f>
        <v>0</v>
      </c>
      <c r="CL107" s="199">
        <f>CL140*CL137*-1</f>
        <v>0</v>
      </c>
      <c r="CM107" s="695">
        <f>+SUM(CI107:CL107)</f>
        <v>0</v>
      </c>
      <c r="CN107" s="199"/>
      <c r="CO107" s="51"/>
      <c r="CP107" s="51"/>
      <c r="CQ107"/>
      <c r="CR107"/>
      <c r="CS107"/>
      <c r="CT107"/>
      <c r="CU107"/>
      <c r="CV107"/>
      <c r="CW107" s="14"/>
    </row>
    <row r="108" spans="2:101" s="123" customFormat="1" ht="11.25" customHeight="1" x14ac:dyDescent="0.2">
      <c r="B108" s="1231" t="s">
        <v>37</v>
      </c>
      <c r="C108" s="776">
        <v>0</v>
      </c>
      <c r="D108" s="172">
        <v>0</v>
      </c>
      <c r="E108" s="172">
        <v>0</v>
      </c>
      <c r="F108" s="173">
        <f>F109-F103-F104-F106-F107</f>
        <v>-17.640249999999995</v>
      </c>
      <c r="G108" s="795">
        <f>SUM(C108:F108)</f>
        <v>-17.640249999999995</v>
      </c>
      <c r="H108" s="199"/>
      <c r="I108" s="779">
        <v>0</v>
      </c>
      <c r="J108" s="173">
        <v>0</v>
      </c>
      <c r="K108" s="173">
        <v>0</v>
      </c>
      <c r="L108" s="173">
        <f>L109-L103-L104-L106-L107</f>
        <v>-7.3494999999999902</v>
      </c>
      <c r="M108" s="795">
        <f>SUM(I108:L108)</f>
        <v>-7.3494999999999902</v>
      </c>
      <c r="N108" s="199"/>
      <c r="O108" s="779">
        <v>0</v>
      </c>
      <c r="P108" s="173">
        <v>0</v>
      </c>
      <c r="Q108" s="173">
        <v>0</v>
      </c>
      <c r="R108" s="173">
        <f>R109-R103-R104-R106-R107</f>
        <v>-21.867000000000036</v>
      </c>
      <c r="S108" s="795">
        <f>+SUM(O108:R108)</f>
        <v>-21.867000000000036</v>
      </c>
      <c r="T108" s="199"/>
      <c r="U108" s="779">
        <v>0</v>
      </c>
      <c r="V108" s="173">
        <v>0</v>
      </c>
      <c r="W108" s="173">
        <v>0</v>
      </c>
      <c r="X108" s="173">
        <f>+X109-X103-X104-X107-X106</f>
        <v>-20.89099999999997</v>
      </c>
      <c r="Y108" s="795">
        <f>+SUM(U108:X108)</f>
        <v>-20.89099999999997</v>
      </c>
      <c r="Z108" s="199"/>
      <c r="AA108" s="779">
        <v>0</v>
      </c>
      <c r="AB108" s="173">
        <v>0</v>
      </c>
      <c r="AC108" s="173">
        <v>0</v>
      </c>
      <c r="AD108" s="173">
        <f>+AD109-AD103-AD104-AD107-AD106</f>
        <v>-10.509749999999999</v>
      </c>
      <c r="AE108" s="795">
        <f>+SUM(AA108:AD108)</f>
        <v>-10.509749999999999</v>
      </c>
      <c r="AF108" s="199"/>
      <c r="AG108" s="779">
        <v>0</v>
      </c>
      <c r="AH108" s="173">
        <v>0</v>
      </c>
      <c r="AI108" s="173">
        <v>0</v>
      </c>
      <c r="AJ108" s="173">
        <f>+AJ109-AJ103-AJ104-AJ107-AJ106</f>
        <v>-6.6850000000001497</v>
      </c>
      <c r="AK108" s="795">
        <f>+SUM(AG108:AJ108)</f>
        <v>-6.6850000000001497</v>
      </c>
      <c r="AL108" s="199"/>
      <c r="AM108" s="779">
        <v>0</v>
      </c>
      <c r="AN108" s="173">
        <v>0</v>
      </c>
      <c r="AO108" s="173">
        <v>0</v>
      </c>
      <c r="AP108" s="173">
        <f>+AP109-AP103-AP104-AP107-AP106</f>
        <v>-15.063499999999987</v>
      </c>
      <c r="AQ108" s="795">
        <f>+SUM(AM108:AP108)</f>
        <v>-15.063499999999987</v>
      </c>
      <c r="AR108" s="199"/>
      <c r="AS108" s="779">
        <v>0</v>
      </c>
      <c r="AT108" s="173">
        <v>0</v>
      </c>
      <c r="AU108" s="173">
        <v>0</v>
      </c>
      <c r="AV108" s="173">
        <f>+AV109-AV103-AV104-AV107-AV106</f>
        <v>-35.569750000000042</v>
      </c>
      <c r="AW108" s="795">
        <f>+SUM(AS108:AV108)</f>
        <v>-35.569750000000042</v>
      </c>
      <c r="AX108" s="199"/>
      <c r="AY108" s="776">
        <v>0</v>
      </c>
      <c r="AZ108" s="172">
        <v>0</v>
      </c>
      <c r="BA108" s="172">
        <v>0</v>
      </c>
      <c r="BB108" s="173">
        <f>BB109-BB107-BB106-BB104-BB103</f>
        <v>-71.372750000000053</v>
      </c>
      <c r="BC108" s="795">
        <f>+SUM(AY108:BB108)</f>
        <v>-71.372750000000053</v>
      </c>
      <c r="BD108" s="199"/>
      <c r="BE108" s="776">
        <v>0</v>
      </c>
      <c r="BF108" s="172">
        <v>0</v>
      </c>
      <c r="BG108" s="172">
        <v>0</v>
      </c>
      <c r="BH108" s="173">
        <f>BH109-BH107-BH106-BH104-BH103</f>
        <v>-235.53774999999985</v>
      </c>
      <c r="BI108" s="795">
        <f>+SUM(BE108:BH108)</f>
        <v>-235.53774999999985</v>
      </c>
      <c r="BJ108" s="199"/>
      <c r="BK108" s="776">
        <v>0</v>
      </c>
      <c r="BL108" s="172">
        <v>0</v>
      </c>
      <c r="BM108" s="172">
        <v>0</v>
      </c>
      <c r="BN108" s="173">
        <f>BN109-BN107-BN106-BN104-BN103</f>
        <v>-52.57100000000014</v>
      </c>
      <c r="BO108" s="795">
        <f>+SUM(BK108:BN108)</f>
        <v>-52.57100000000014</v>
      </c>
      <c r="BP108" s="199"/>
      <c r="BQ108" s="776">
        <v>0</v>
      </c>
      <c r="BR108" s="172">
        <v>0</v>
      </c>
      <c r="BS108" s="172">
        <v>0</v>
      </c>
      <c r="BT108" s="172">
        <v>0</v>
      </c>
      <c r="BU108" s="795">
        <f>+SUM(BQ108:BT108)</f>
        <v>0</v>
      </c>
      <c r="BV108" s="199"/>
      <c r="BW108" s="776">
        <v>0</v>
      </c>
      <c r="BX108" s="172">
        <v>0</v>
      </c>
      <c r="BY108" s="172">
        <v>0</v>
      </c>
      <c r="BZ108" s="172">
        <v>0</v>
      </c>
      <c r="CA108" s="795">
        <f>+SUM(BW108:BZ108)</f>
        <v>0</v>
      </c>
      <c r="CB108" s="199"/>
      <c r="CC108" s="776">
        <v>0</v>
      </c>
      <c r="CD108" s="172">
        <v>0</v>
      </c>
      <c r="CE108" s="172">
        <v>0</v>
      </c>
      <c r="CF108" s="172">
        <v>0</v>
      </c>
      <c r="CG108" s="795">
        <f>+SUM(CC108:CF108)</f>
        <v>0</v>
      </c>
      <c r="CH108" s="199"/>
      <c r="CI108" s="776">
        <v>0</v>
      </c>
      <c r="CJ108" s="172">
        <v>0</v>
      </c>
      <c r="CK108" s="172">
        <v>0</v>
      </c>
      <c r="CL108" s="172">
        <v>0</v>
      </c>
      <c r="CM108" s="795">
        <f>+SUM(CI108:CL108)</f>
        <v>0</v>
      </c>
      <c r="CN108" s="199"/>
      <c r="CO108" s="42"/>
      <c r="CP108" s="42"/>
      <c r="CQ108"/>
      <c r="CR108"/>
      <c r="CS108"/>
      <c r="CT108"/>
      <c r="CU108"/>
      <c r="CV108"/>
      <c r="CW108" s="14"/>
    </row>
    <row r="109" spans="2:101" s="123" customFormat="1" ht="11.25" customHeight="1" x14ac:dyDescent="0.2">
      <c r="B109" s="566" t="s">
        <v>80</v>
      </c>
      <c r="C109" s="175">
        <f>C103+C104+C106+C107+C108</f>
        <v>227.69399999999999</v>
      </c>
      <c r="D109" s="199">
        <f>D103+D104+D106+D107+D108</f>
        <v>231.90525</v>
      </c>
      <c r="E109" s="199">
        <f>E103+E104+E106+E107+E108</f>
        <v>237.90924999999999</v>
      </c>
      <c r="F109" s="200">
        <v>225.04599999999999</v>
      </c>
      <c r="G109" s="695">
        <f>G103+G104+G106+G107+G108</f>
        <v>225.04599999999999</v>
      </c>
      <c r="H109" s="199"/>
      <c r="I109" s="175">
        <f>I103+I104+I106+I107+I108</f>
        <v>230.76</v>
      </c>
      <c r="J109" s="199">
        <f>J103+J104+J106+J107+J108</f>
        <v>237.11075</v>
      </c>
      <c r="K109" s="199">
        <f>K103+K104+K106+K107+K108</f>
        <v>244.63174999999998</v>
      </c>
      <c r="L109" s="200">
        <v>259.36099999999999</v>
      </c>
      <c r="M109" s="695">
        <f>M103+M104+M106+M107+M108</f>
        <v>259.36099999999999</v>
      </c>
      <c r="N109" s="199"/>
      <c r="O109" s="175">
        <f>O103+O104+O106+O107+O108</f>
        <v>270.96824999999995</v>
      </c>
      <c r="P109" s="199">
        <f>P103+P104+P106+P107+P108</f>
        <v>294.32524999999998</v>
      </c>
      <c r="Q109" s="199">
        <f>Q103+Q104+Q106+Q107+Q108</f>
        <v>309.68450000000001</v>
      </c>
      <c r="R109" s="200">
        <v>301.00599999999997</v>
      </c>
      <c r="S109" s="695">
        <f>+S103+S104+S107+S108+S106</f>
        <v>301.00599999999997</v>
      </c>
      <c r="T109" s="199"/>
      <c r="U109" s="175">
        <f>+U103+U104+U107+U108+U106</f>
        <v>316.04224999999997</v>
      </c>
      <c r="V109" s="199">
        <f>+V103+V104+V107+V108+V106</f>
        <v>321.17674999999997</v>
      </c>
      <c r="W109" s="199">
        <f>+W103+W104+W107+W108+W106</f>
        <v>325.54974999999996</v>
      </c>
      <c r="X109" s="200">
        <v>323.33699999999999</v>
      </c>
      <c r="Y109" s="695">
        <f>+Y103+Y104+Y107+Y108+Y106</f>
        <v>323.33699999999999</v>
      </c>
      <c r="Z109" s="199"/>
      <c r="AA109" s="175">
        <f>+AA103+AA104+AA107+AA108+AA106</f>
        <v>344.13749999999999</v>
      </c>
      <c r="AB109" s="199">
        <f>+AB103+AB104+AB107+AB108+AB106</f>
        <v>355.05349999999999</v>
      </c>
      <c r="AC109" s="199">
        <f>+AC103+AC104+AC107+AC108+AC106</f>
        <v>365.62175000000002</v>
      </c>
      <c r="AD109" s="200">
        <v>362.69600000000003</v>
      </c>
      <c r="AE109" s="695">
        <f>+AE103+AE104+AE107+AE108+AE106</f>
        <v>362.69599999999997</v>
      </c>
      <c r="AF109" s="199"/>
      <c r="AG109" s="175">
        <f>+AG103+AG104+AG107+AG108+AG106</f>
        <v>372.94300000000004</v>
      </c>
      <c r="AH109" s="199">
        <f>+AH103+AH104+AH107+AH108+AH106</f>
        <v>387.25650000000007</v>
      </c>
      <c r="AI109" s="199">
        <f>+AI103+AI104+AI107+AI108+AI106</f>
        <v>391.29525000000012</v>
      </c>
      <c r="AJ109" s="200">
        <v>391.31599999999997</v>
      </c>
      <c r="AK109" s="695">
        <f>+AK103+AK104+AK107+AK108+AK106</f>
        <v>391.3159999999998</v>
      </c>
      <c r="AL109" s="199"/>
      <c r="AM109" s="175">
        <f>+AM103+AM104+AM107+AM108+AM106</f>
        <v>394.52199999999999</v>
      </c>
      <c r="AN109" s="199">
        <f>+AN103+AN104+AN107+AN108+AN106</f>
        <v>402.72874999999999</v>
      </c>
      <c r="AO109" s="199">
        <f>+AO103+AO104+AO107+AO108+AO106</f>
        <v>409.23750000000001</v>
      </c>
      <c r="AP109" s="200">
        <v>401.89800000000002</v>
      </c>
      <c r="AQ109" s="695">
        <f>+AQ103+AQ104+AQ107+AQ108+AQ106</f>
        <v>401.89800000000002</v>
      </c>
      <c r="AR109" s="199"/>
      <c r="AS109" s="175">
        <f>+AS103+AS104+AS107+AS108+AS106</f>
        <v>407.46200000000005</v>
      </c>
      <c r="AT109" s="199">
        <f>+AT103+AT104+AT107+AT108+AT106</f>
        <v>454.58275000000003</v>
      </c>
      <c r="AU109" s="199">
        <f>+AU103+AU104+AU107+AU108+AU106</f>
        <v>467.35450000000003</v>
      </c>
      <c r="AV109" s="200">
        <v>443.16899999999998</v>
      </c>
      <c r="AW109" s="695">
        <f>+AW103+AW104+AW107+AW108+AW106</f>
        <v>443.16899999999998</v>
      </c>
      <c r="AX109" s="199"/>
      <c r="AY109" s="175">
        <f>+AY103+AY104+AY107+AY108+AY106</f>
        <v>459.34199999999998</v>
      </c>
      <c r="AZ109" s="199">
        <f>+AZ103+AZ104+AZ107+AZ108+AZ106</f>
        <v>472.35899999999998</v>
      </c>
      <c r="BA109" s="199">
        <f>+BA103+BA104+BA107+BA108+BA106</f>
        <v>488.5335</v>
      </c>
      <c r="BB109" s="786">
        <v>435.08699999999999</v>
      </c>
      <c r="BC109" s="695">
        <f>+BC103+BC104+BC107+BC108+BC106</f>
        <v>435.08699999999999</v>
      </c>
      <c r="BD109" s="199"/>
      <c r="BE109" s="175">
        <f>+BE103+BE104+BE107+BE108+BE106</f>
        <v>728.33349999999996</v>
      </c>
      <c r="BF109" s="199">
        <f>+BF103+BF104+BF107+BF108+BF106</f>
        <v>752.37224999999989</v>
      </c>
      <c r="BG109" s="199">
        <f>+BG103+BG104+BG107+BG108+BG106</f>
        <v>768.01274999999987</v>
      </c>
      <c r="BH109" s="786">
        <v>555.54899999999998</v>
      </c>
      <c r="BI109" s="695">
        <f>+BI103+BI104+BI107+BI108+BI106</f>
        <v>555.54900000000021</v>
      </c>
      <c r="BJ109" s="199"/>
      <c r="BK109" s="175">
        <f>+BK103+BK104+BK107+BK108+BK106</f>
        <v>570.59100000000001</v>
      </c>
      <c r="BL109" s="199">
        <f>+BL103+BL104+BL107+BL108+BL106</f>
        <v>584.92600000000004</v>
      </c>
      <c r="BM109" s="199">
        <f>+BM103+BM104+BM107+BM108+BM106</f>
        <v>593.00600000000009</v>
      </c>
      <c r="BN109" s="786">
        <v>549.99699999999996</v>
      </c>
      <c r="BO109" s="695">
        <f>+BO103+BO104+BO107+BO108+BO106</f>
        <v>549.99699999999984</v>
      </c>
      <c r="BP109" s="199"/>
      <c r="BQ109" s="175">
        <f>+BQ103+BQ104+BQ107+BQ108+BQ106</f>
        <v>556.67099999999994</v>
      </c>
      <c r="BR109" s="199">
        <f>+BR103+BR104+BR107+BR108+BR106</f>
        <v>566.42799999999988</v>
      </c>
      <c r="BS109" s="199">
        <f>+BS103+BS104+BS107+BS108+BS106</f>
        <v>578.23599999999988</v>
      </c>
      <c r="BT109" s="199">
        <f>+BT103+BT104+BT107+BT108+BT106</f>
        <v>590.61361847918931</v>
      </c>
      <c r="BU109" s="695">
        <f>+BU103+BU104+BU107+BU108+BU106</f>
        <v>590.61361847918943</v>
      </c>
      <c r="BV109" s="199"/>
      <c r="BW109" s="175">
        <f>+BW103+BW104+BW107+BW108+BW106</f>
        <v>601.09975983918946</v>
      </c>
      <c r="BX109" s="199">
        <f>+BX103+BX104+BX107+BX108+BX106</f>
        <v>612.55872287918942</v>
      </c>
      <c r="BY109" s="199">
        <f>+BY103+BY104+BY107+BY108+BY106</f>
        <v>623.8585527991894</v>
      </c>
      <c r="BZ109" s="199">
        <f>+BZ103+BZ104+BZ107+BZ108+BZ106</f>
        <v>635.82789134653012</v>
      </c>
      <c r="CA109" s="695">
        <f>+CA103+CA104+CA107+CA108+CA106</f>
        <v>635.82789134653024</v>
      </c>
      <c r="CB109" s="199"/>
      <c r="CC109" s="175">
        <f>+CC103+CC104+CC107+CC108+CC106</f>
        <v>646.57460192253029</v>
      </c>
      <c r="CD109" s="199">
        <f>+CD103+CD104+CD107+CD108+CD106</f>
        <v>658.31335388173034</v>
      </c>
      <c r="CE109" s="199">
        <f>+CE103+CE104+CE107+CE108+CE106</f>
        <v>669.91450396173036</v>
      </c>
      <c r="CF109" s="199">
        <f>+CF103+CF104+CF107+CF108+CF106</f>
        <v>682.20478859583307</v>
      </c>
      <c r="CG109" s="695">
        <f>+CG103+CG104+CG107+CG108+CG106</f>
        <v>682.20478859583295</v>
      </c>
      <c r="CH109" s="199"/>
      <c r="CI109" s="175">
        <f>+CI103+CI104+CI107+CI108+CI106</f>
        <v>693.24188335044096</v>
      </c>
      <c r="CJ109" s="199">
        <f>+CJ103+CJ104+CJ107+CJ108+CJ106</f>
        <v>705.29843332586495</v>
      </c>
      <c r="CK109" s="199">
        <f>+CK103+CK104+CK107+CK108+CK106</f>
        <v>717.21017704252097</v>
      </c>
      <c r="CL109" s="199">
        <f>+CL103+CL104+CL107+CL108+CL106</f>
        <v>729.83132644448585</v>
      </c>
      <c r="CM109" s="695">
        <f>+CM103+CM104+CM107+CM108+CM106</f>
        <v>729.83132644448585</v>
      </c>
      <c r="CN109" s="199"/>
      <c r="CO109" s="51"/>
      <c r="CP109" s="51"/>
      <c r="CQ109"/>
      <c r="CR109"/>
      <c r="CS109"/>
      <c r="CT109"/>
      <c r="CU109"/>
      <c r="CV109"/>
      <c r="CW109" s="14"/>
    </row>
    <row r="110" spans="2:101" s="123" customFormat="1" ht="11.25" customHeight="1" x14ac:dyDescent="0.2">
      <c r="B110" s="566"/>
      <c r="C110" s="777"/>
      <c r="D110" s="26"/>
      <c r="E110" s="26"/>
      <c r="F110" s="26"/>
      <c r="G110" s="796"/>
      <c r="H110" s="42"/>
      <c r="I110" s="777"/>
      <c r="J110" s="26"/>
      <c r="K110" s="26"/>
      <c r="L110" s="26"/>
      <c r="M110" s="805"/>
      <c r="N110" s="42"/>
      <c r="O110" s="777"/>
      <c r="P110" s="26"/>
      <c r="Q110" s="26"/>
      <c r="R110" s="26"/>
      <c r="S110" s="796"/>
      <c r="T110" s="42"/>
      <c r="U110" s="777"/>
      <c r="V110" s="26"/>
      <c r="W110" s="26"/>
      <c r="X110" s="26"/>
      <c r="Y110" s="796"/>
      <c r="Z110" s="42"/>
      <c r="AA110" s="777"/>
      <c r="AB110" s="26"/>
      <c r="AC110" s="26"/>
      <c r="AD110" s="26"/>
      <c r="AE110" s="796"/>
      <c r="AF110" s="42"/>
      <c r="AG110" s="777"/>
      <c r="AH110" s="26"/>
      <c r="AI110" s="26"/>
      <c r="AJ110" s="26"/>
      <c r="AK110" s="796"/>
      <c r="AL110" s="42"/>
      <c r="AM110" s="777"/>
      <c r="AN110" s="26"/>
      <c r="AO110" s="26"/>
      <c r="AP110" s="26"/>
      <c r="AQ110" s="796"/>
      <c r="AR110" s="42"/>
      <c r="AS110" s="777"/>
      <c r="AT110" s="26"/>
      <c r="AU110" s="26"/>
      <c r="AV110" s="26"/>
      <c r="AW110" s="796"/>
      <c r="AX110" s="42"/>
      <c r="AY110" s="777"/>
      <c r="AZ110" s="26"/>
      <c r="BA110" s="26"/>
      <c r="BB110" s="26"/>
      <c r="BC110" s="802"/>
      <c r="BD110" s="42"/>
      <c r="BE110" s="777"/>
      <c r="BF110" s="26"/>
      <c r="BG110" s="26"/>
      <c r="BH110" s="26"/>
      <c r="BI110" s="802"/>
      <c r="BJ110" s="42"/>
      <c r="BK110" s="777"/>
      <c r="BL110" s="26"/>
      <c r="BM110" s="26"/>
      <c r="BN110" s="26"/>
      <c r="BO110" s="796"/>
      <c r="BP110" s="42"/>
      <c r="BQ110" s="777"/>
      <c r="BR110" s="26"/>
      <c r="BS110" s="26"/>
      <c r="BT110" s="26"/>
      <c r="BU110" s="796"/>
      <c r="BV110" s="42"/>
      <c r="BW110" s="777"/>
      <c r="BX110" s="26"/>
      <c r="BY110" s="26"/>
      <c r="BZ110" s="26"/>
      <c r="CA110" s="796"/>
      <c r="CB110" s="42"/>
      <c r="CC110" s="777"/>
      <c r="CD110" s="26"/>
      <c r="CE110" s="26"/>
      <c r="CF110" s="26"/>
      <c r="CG110" s="796"/>
      <c r="CH110" s="42"/>
      <c r="CI110" s="777"/>
      <c r="CJ110" s="26"/>
      <c r="CK110" s="26"/>
      <c r="CL110" s="26"/>
      <c r="CM110" s="796"/>
      <c r="CN110" s="42"/>
      <c r="CO110" s="53"/>
      <c r="CP110" s="53"/>
      <c r="CQ110"/>
      <c r="CR110"/>
      <c r="CS110"/>
      <c r="CT110"/>
      <c r="CU110"/>
      <c r="CV110"/>
      <c r="CW110" s="14"/>
    </row>
    <row r="111" spans="2:101" s="123" customFormat="1" ht="11.25" customHeight="1" x14ac:dyDescent="0.2">
      <c r="B111" s="566" t="s">
        <v>81</v>
      </c>
      <c r="C111" s="425">
        <v>-78.471999999999994</v>
      </c>
      <c r="D111" s="199">
        <f>C115</f>
        <v>-84.296999999999997</v>
      </c>
      <c r="E111" s="199">
        <f>D115</f>
        <v>-90.638249999999999</v>
      </c>
      <c r="F111" s="199">
        <f>E115</f>
        <v>-105.61024999999998</v>
      </c>
      <c r="G111" s="695">
        <f>C111</f>
        <v>-78.471999999999994</v>
      </c>
      <c r="H111" s="199"/>
      <c r="I111" s="175">
        <f>F115</f>
        <v>-93.093999999999994</v>
      </c>
      <c r="J111" s="199">
        <f>I115</f>
        <v>-98.580999999999989</v>
      </c>
      <c r="K111" s="199">
        <f>J115</f>
        <v>-104.71975</v>
      </c>
      <c r="L111" s="199">
        <f>K115</f>
        <v>-110.65174999999999</v>
      </c>
      <c r="M111" s="695">
        <f>I111</f>
        <v>-93.093999999999994</v>
      </c>
      <c r="N111" s="199"/>
      <c r="O111" s="175">
        <f>L115</f>
        <v>-110.429</v>
      </c>
      <c r="P111" s="199">
        <f>O115</f>
        <v>-115.52224999999996</v>
      </c>
      <c r="Q111" s="199">
        <f>P115</f>
        <v>-135.90724999999998</v>
      </c>
      <c r="R111" s="199">
        <f>Q115</f>
        <v>-151.09350000000001</v>
      </c>
      <c r="S111" s="695">
        <f>O111</f>
        <v>-110.429</v>
      </c>
      <c r="T111" s="199"/>
      <c r="U111" s="175">
        <f>R115</f>
        <v>-134.506</v>
      </c>
      <c r="V111" s="199">
        <f>U115</f>
        <v>-145.17924999999997</v>
      </c>
      <c r="W111" s="199">
        <f>V115</f>
        <v>-150.61574999999996</v>
      </c>
      <c r="X111" s="199">
        <f>W115</f>
        <v>-156.89274999999995</v>
      </c>
      <c r="Y111" s="695">
        <f>U111</f>
        <v>-134.506</v>
      </c>
      <c r="Z111" s="199"/>
      <c r="AA111" s="175">
        <f>X115</f>
        <v>-153.739</v>
      </c>
      <c r="AB111" s="199">
        <f>AA115</f>
        <v>-165.41649999999998</v>
      </c>
      <c r="AC111" s="199">
        <f>AB115</f>
        <v>-172.22349999999997</v>
      </c>
      <c r="AD111" s="199">
        <f>AC115</f>
        <v>-180.04975000000002</v>
      </c>
      <c r="AE111" s="695">
        <f>AA111</f>
        <v>-153.739</v>
      </c>
      <c r="AF111" s="199"/>
      <c r="AG111" s="175">
        <f>AD115</f>
        <v>-173.113</v>
      </c>
      <c r="AH111" s="199">
        <f>AG115</f>
        <v>-176.70000000000005</v>
      </c>
      <c r="AI111" s="199">
        <f>AH115</f>
        <v>-186.08650000000009</v>
      </c>
      <c r="AJ111" s="199">
        <f>AI115</f>
        <v>-194.69725000000011</v>
      </c>
      <c r="AK111" s="695">
        <f>AG111</f>
        <v>-173.113</v>
      </c>
      <c r="AL111" s="199"/>
      <c r="AM111" s="175">
        <f>AJ115</f>
        <v>-195.851</v>
      </c>
      <c r="AN111" s="199">
        <f>AM115</f>
        <v>-201.02699999999999</v>
      </c>
      <c r="AO111" s="199">
        <f>AN115</f>
        <v>-210.37474999999998</v>
      </c>
      <c r="AP111" s="199">
        <f>AO115</f>
        <v>-217.85250000000002</v>
      </c>
      <c r="AQ111" s="695">
        <f>AM111</f>
        <v>-195.851</v>
      </c>
      <c r="AR111" s="199"/>
      <c r="AS111" s="175">
        <f>AP115</f>
        <v>-209.87799999999999</v>
      </c>
      <c r="AT111" s="199">
        <f>AS115</f>
        <v>-213.77400000000006</v>
      </c>
      <c r="AU111" s="199">
        <f>AT115</f>
        <v>-255.66575000000003</v>
      </c>
      <c r="AV111" s="199">
        <f>AU115</f>
        <v>-262.76850000000002</v>
      </c>
      <c r="AW111" s="695">
        <f>AS111</f>
        <v>-209.87799999999999</v>
      </c>
      <c r="AX111" s="199"/>
      <c r="AY111" s="175">
        <f>AV115</f>
        <v>-238.23</v>
      </c>
      <c r="AZ111" s="199">
        <f>AY115</f>
        <v>-244.88899999999998</v>
      </c>
      <c r="BA111" s="199">
        <f>AZ115</f>
        <v>-252.81799999999998</v>
      </c>
      <c r="BB111" s="199">
        <f>BA115</f>
        <v>-263.1155</v>
      </c>
      <c r="BC111" s="695">
        <f>AY111</f>
        <v>-238.23</v>
      </c>
      <c r="BD111" s="199"/>
      <c r="BE111" s="175">
        <f>BB115</f>
        <v>-230.95400000000001</v>
      </c>
      <c r="BF111" s="199">
        <f>BE115</f>
        <v>-469.36949999999996</v>
      </c>
      <c r="BG111" s="199">
        <f>BF115</f>
        <v>-480.1822499999999</v>
      </c>
      <c r="BH111" s="199">
        <f>BG115</f>
        <v>-489.72474999999986</v>
      </c>
      <c r="BI111" s="695">
        <f>BE111</f>
        <v>-230.95400000000001</v>
      </c>
      <c r="BJ111" s="199"/>
      <c r="BK111" s="175">
        <f>BH115</f>
        <v>-262.23399999999998</v>
      </c>
      <c r="BL111" s="199">
        <f>BK115</f>
        <v>-272.48700000000002</v>
      </c>
      <c r="BM111" s="199">
        <f>BL115</f>
        <v>-281.58400000000006</v>
      </c>
      <c r="BN111" s="199">
        <f>BM115</f>
        <v>-292.6110000000001</v>
      </c>
      <c r="BO111" s="695">
        <f>BK111</f>
        <v>-262.23399999999998</v>
      </c>
      <c r="BP111" s="199"/>
      <c r="BQ111" s="175">
        <f>BN115</f>
        <v>-251.54499999999999</v>
      </c>
      <c r="BR111" s="199">
        <f>BQ115</f>
        <v>-261.85199999999992</v>
      </c>
      <c r="BS111" s="199">
        <f>BR115</f>
        <v>-279.71299999999991</v>
      </c>
      <c r="BT111" s="199">
        <f>BS115</f>
        <v>-290.79699999999985</v>
      </c>
      <c r="BU111" s="695">
        <f>BQ111</f>
        <v>-251.54499999999999</v>
      </c>
      <c r="BV111" s="199"/>
      <c r="BW111" s="175">
        <f>BU115</f>
        <v>-302.57960946139656</v>
      </c>
      <c r="BX111" s="199">
        <f>BW115</f>
        <v>-314.61443539600219</v>
      </c>
      <c r="BY111" s="199">
        <f>BX115</f>
        <v>-326.86293551969652</v>
      </c>
      <c r="BZ111" s="199">
        <f>BY115</f>
        <v>-339.3449328423423</v>
      </c>
      <c r="CA111" s="695">
        <f>BW111</f>
        <v>-302.57960946139656</v>
      </c>
      <c r="CB111" s="199"/>
      <c r="CC111" s="175">
        <f>CA115</f>
        <v>-352.05718473739029</v>
      </c>
      <c r="CD111" s="199">
        <f>CC115</f>
        <v>-365.01333365997471</v>
      </c>
      <c r="CE111" s="199">
        <f>CD115</f>
        <v>-378.18846634301622</v>
      </c>
      <c r="CF111" s="199">
        <f>CE115</f>
        <v>-391.60279743276271</v>
      </c>
      <c r="CG111" s="695">
        <f>CC111</f>
        <v>-352.05718473739029</v>
      </c>
      <c r="CH111" s="199"/>
      <c r="CI111" s="175">
        <f>CG115</f>
        <v>-405.25352304082998</v>
      </c>
      <c r="CJ111" s="199">
        <f>CI115</f>
        <v>-419.15468553628062</v>
      </c>
      <c r="CK111" s="199">
        <f>CJ115</f>
        <v>-433.2807488976095</v>
      </c>
      <c r="CL111" s="199">
        <f>CK115</f>
        <v>-447.65248637783139</v>
      </c>
      <c r="CM111" s="695">
        <f>CI111</f>
        <v>-405.25352304082998</v>
      </c>
      <c r="CN111" s="199"/>
      <c r="CO111" s="51"/>
      <c r="CP111" s="51"/>
      <c r="CQ111"/>
      <c r="CR111"/>
      <c r="CS111"/>
      <c r="CT111"/>
      <c r="CU111"/>
      <c r="CV111"/>
      <c r="CW111" s="14"/>
    </row>
    <row r="112" spans="2:101" s="123" customFormat="1" ht="11.25" customHeight="1" x14ac:dyDescent="0.2">
      <c r="B112" s="658" t="s">
        <v>82</v>
      </c>
      <c r="C112" s="175">
        <f>-'Cash Flow'!C11</f>
        <v>-4.859</v>
      </c>
      <c r="D112" s="199">
        <f>-'Cash Flow'!D11</f>
        <v>-5.141</v>
      </c>
      <c r="E112" s="199">
        <f>-'Cash Flow'!E11</f>
        <v>-5.0169999999999995</v>
      </c>
      <c r="F112" s="199">
        <f>-'Cash Flow'!F11</f>
        <v>-4.7740000000000009</v>
      </c>
      <c r="G112" s="695">
        <f>+SUM(C112:F112)</f>
        <v>-19.791</v>
      </c>
      <c r="H112" s="199"/>
      <c r="I112" s="175">
        <f>-'Cash Flow'!I11</f>
        <v>-4.8360000000000003</v>
      </c>
      <c r="J112" s="199">
        <f>-'Cash Flow'!J11</f>
        <v>-4.8390000000000004</v>
      </c>
      <c r="K112" s="199">
        <f>-'Cash Flow'!K11</f>
        <v>-4.8519999999999985</v>
      </c>
      <c r="L112" s="199">
        <f>-'Cash Flow'!L11</f>
        <v>-4.9650000000000016</v>
      </c>
      <c r="M112" s="695">
        <f>+SUM(I112:L112)</f>
        <v>-19.492000000000001</v>
      </c>
      <c r="N112" s="199"/>
      <c r="O112" s="175">
        <f>-'Cash Flow'!O11</f>
        <v>-4.9649999999999999</v>
      </c>
      <c r="P112" s="199">
        <f>-'Cash Flow'!P11</f>
        <v>-6.0030000000000001</v>
      </c>
      <c r="Q112" s="199">
        <f>-'Cash Flow'!Q11</f>
        <v>-5.3590000000000018</v>
      </c>
      <c r="R112" s="199">
        <f>-'Cash Flow'!R11</f>
        <v>-6.5629999999999988</v>
      </c>
      <c r="S112" s="695">
        <f>+SUM(O112:R112)</f>
        <v>-22.89</v>
      </c>
      <c r="T112" s="199"/>
      <c r="U112" s="175">
        <f>-'Cash Flow'!U11</f>
        <v>-5.7539999999999996</v>
      </c>
      <c r="V112" s="199">
        <f>-'Cash Flow'!V11</f>
        <v>-6.1740000000000013</v>
      </c>
      <c r="W112" s="199">
        <f>-'Cash Flow'!W11</f>
        <v>-5.9819999999999993</v>
      </c>
      <c r="X112" s="199">
        <f>-'Cash Flow'!X11</f>
        <v>-7.782</v>
      </c>
      <c r="Y112" s="695">
        <f>+SUM(U112:X112)</f>
        <v>-25.692</v>
      </c>
      <c r="Z112" s="199"/>
      <c r="AA112" s="175">
        <f>-'Cash Flow'!AA11</f>
        <v>-6.4089999999999998</v>
      </c>
      <c r="AB112" s="199">
        <f>-'Cash Flow'!AB11</f>
        <v>-6.444</v>
      </c>
      <c r="AC112" s="199">
        <f>-'Cash Flow'!AC11</f>
        <v>-5.9150000000000018</v>
      </c>
      <c r="AD112" s="199">
        <f>-'Cash Flow'!AD11</f>
        <v>-5.844999999999998</v>
      </c>
      <c r="AE112" s="695">
        <f>+SUM(AA112:AD112)</f>
        <v>-24.613</v>
      </c>
      <c r="AF112" s="199"/>
      <c r="AG112" s="175">
        <f>-'Cash Flow'!AG11</f>
        <v>-5.4169999999999998</v>
      </c>
      <c r="AH112" s="199">
        <f>-'Cash Flow'!AH11</f>
        <v>-6.7040000000000006</v>
      </c>
      <c r="AI112" s="199">
        <f>-'Cash Flow'!AI11</f>
        <v>-6.3209999999999997</v>
      </c>
      <c r="AJ112" s="199">
        <f>-'Cash Flow'!AJ11</f>
        <v>-6.8119999999999994</v>
      </c>
      <c r="AK112" s="695">
        <f>+SUM(AG112:AJ112)</f>
        <v>-25.253999999999998</v>
      </c>
      <c r="AL112" s="199"/>
      <c r="AM112" s="175">
        <f>-'Cash Flow'!AM11</f>
        <v>-6.4139999999999997</v>
      </c>
      <c r="AN112" s="199">
        <f>-'Cash Flow'!AN11</f>
        <v>-6.3049999999999997</v>
      </c>
      <c r="AO112" s="199">
        <f>-'Cash Flow'!AO11</f>
        <v>-6.418000000000001</v>
      </c>
      <c r="AP112" s="199">
        <f>-'Cash Flow'!AP11</f>
        <v>-6.5830000000000002</v>
      </c>
      <c r="AQ112" s="695">
        <f>+SUM(AM112:AP112)</f>
        <v>-25.72</v>
      </c>
      <c r="AR112" s="199"/>
      <c r="AS112" s="175">
        <f>-'Cash Flow'!AS11</f>
        <v>-6.58</v>
      </c>
      <c r="AT112" s="199">
        <f>-'Cash Flow'!AT11</f>
        <v>-6.7609999999999992</v>
      </c>
      <c r="AU112" s="199">
        <f>-'Cash Flow'!AU11</f>
        <v>-6.979000000000001</v>
      </c>
      <c r="AV112" s="199">
        <f>-'Cash Flow'!AV11</f>
        <v>-6.793000000000001</v>
      </c>
      <c r="AW112" s="695">
        <f>+SUM(AS112:AV112)</f>
        <v>-27.113</v>
      </c>
      <c r="AX112" s="199"/>
      <c r="AY112" s="175">
        <f>-'Cash Flow'!AY11</f>
        <v>-5.907</v>
      </c>
      <c r="AZ112" s="199">
        <f>-'Cash Flow'!AZ11</f>
        <v>-5.7560000000000002</v>
      </c>
      <c r="BA112" s="199">
        <f>-'Cash Flow'!BA11</f>
        <v>-5.6340000000000003</v>
      </c>
      <c r="BB112" s="199">
        <f>-'Cash Flow'!BB11</f>
        <v>-6.4710000000000001</v>
      </c>
      <c r="BC112" s="695">
        <f>+SUM(AY112:BB112)</f>
        <v>-23.768000000000001</v>
      </c>
      <c r="BD112" s="199"/>
      <c r="BE112" s="175">
        <f>-'Cash Flow'!BE11</f>
        <v>-7.3460000000000001</v>
      </c>
      <c r="BF112" s="199">
        <f>-'Cash Flow'!BF11</f>
        <v>-9.4450000000000003</v>
      </c>
      <c r="BG112" s="199">
        <f>-'Cash Flow'!BG11</f>
        <v>-8.1490000000000009</v>
      </c>
      <c r="BH112" s="199">
        <f>-'Cash Flow'!BH11</f>
        <v>-9.3749999999999964</v>
      </c>
      <c r="BI112" s="695">
        <f>+SUM(BE112:BH112)</f>
        <v>-34.314999999999998</v>
      </c>
      <c r="BJ112" s="199"/>
      <c r="BK112" s="175">
        <f>-'Cash Flow'!BK11</f>
        <v>-9.0640000000000001</v>
      </c>
      <c r="BL112" s="199">
        <f>-'Cash Flow'!BL11</f>
        <v>-8.9460000000000015</v>
      </c>
      <c r="BM112" s="199">
        <f>-'Cash Flow'!BM11</f>
        <v>-11.026999999999997</v>
      </c>
      <c r="BN112" s="199">
        <f>-'Cash Flow'!BN11</f>
        <v>-10.966999999999999</v>
      </c>
      <c r="BO112" s="695">
        <f>+SUM(BK112:BN112)</f>
        <v>-40.003999999999998</v>
      </c>
      <c r="BP112" s="199"/>
      <c r="BQ112" s="175">
        <f>-'Cash Flow'!BQ11</f>
        <v>-11.433</v>
      </c>
      <c r="BR112" s="199">
        <f>-'Cash Flow'!BR11</f>
        <v>-11.024999999999999</v>
      </c>
      <c r="BS112" s="199">
        <f>-'Cash Flow'!BS11</f>
        <v>-11.542000000000002</v>
      </c>
      <c r="BT112" s="199">
        <f>-(BT103*BT113)/4</f>
        <v>-11.782609461396683</v>
      </c>
      <c r="BU112" s="695">
        <f>+SUM(BQ112:BT112)</f>
        <v>-45.782609461396682</v>
      </c>
      <c r="BV112" s="199"/>
      <c r="BW112" s="175">
        <f>-(BW103*BW113)/4</f>
        <v>-12.034825934605644</v>
      </c>
      <c r="BX112" s="199">
        <f>-(BX103*BX113)/4</f>
        <v>-12.248500123694321</v>
      </c>
      <c r="BY112" s="199">
        <f>-(BY103*BY113)/4</f>
        <v>-12.481997322645784</v>
      </c>
      <c r="BZ112" s="199">
        <f>-(BZ103*BZ113)/4</f>
        <v>-12.712251895047995</v>
      </c>
      <c r="CA112" s="695">
        <f>+SUM(BW112:BZ112)</f>
        <v>-49.477575275993743</v>
      </c>
      <c r="CB112" s="199"/>
      <c r="CC112" s="175">
        <f>-(CC103*CC113)/4</f>
        <v>-12.956148922584431</v>
      </c>
      <c r="CD112" s="199">
        <f>-(CD103*CD113)/4</f>
        <v>-13.175132683041529</v>
      </c>
      <c r="CE112" s="199">
        <f>-(CE103*CE113)/4</f>
        <v>-13.414331089746506</v>
      </c>
      <c r="CF112" s="199">
        <f>-(CF103*CF113)/4</f>
        <v>-13.65072560806721</v>
      </c>
      <c r="CG112" s="695">
        <f>+SUM(CC112:CF112)</f>
        <v>-53.196338303439674</v>
      </c>
      <c r="CH112" s="199"/>
      <c r="CI112" s="175">
        <f>-(CI103*CI113)/4</f>
        <v>-13.901162495450624</v>
      </c>
      <c r="CJ112" s="199">
        <f>-(CJ103*CJ113)/4</f>
        <v>-14.126063361328875</v>
      </c>
      <c r="CK112" s="199">
        <f>-(CK103*CK113)/4</f>
        <v>-14.37173748022191</v>
      </c>
      <c r="CL112" s="199">
        <f>-(CL103*CL113)/4</f>
        <v>-14.614460908402796</v>
      </c>
      <c r="CM112" s="695">
        <f>+SUM(CI112:CL112)</f>
        <v>-57.013424245404202</v>
      </c>
      <c r="CN112" s="199"/>
      <c r="CO112" s="51"/>
      <c r="CP112" s="51"/>
      <c r="CQ112"/>
      <c r="CR112"/>
      <c r="CS112"/>
      <c r="CT112"/>
      <c r="CU112"/>
      <c r="CV112"/>
      <c r="CW112" s="14"/>
    </row>
    <row r="113" spans="2:101" s="93" customFormat="1" ht="11.25" customHeight="1" x14ac:dyDescent="0.2">
      <c r="B113" s="767" t="s">
        <v>83</v>
      </c>
      <c r="C113" s="778">
        <f>-(C112*4)/C103</f>
        <v>8.8340234440692139E-2</v>
      </c>
      <c r="D113" s="167">
        <f>-(D112*4)/D103</f>
        <v>9.0314193610723167E-2</v>
      </c>
      <c r="E113" s="167">
        <f>-(E112*4)/E103</f>
        <v>8.6535341481057446E-2</v>
      </c>
      <c r="F113" s="167">
        <f>-(F112*4)/F103</f>
        <v>8.0265899707556584E-2</v>
      </c>
      <c r="G113" s="797">
        <f>-(G112)/G103</f>
        <v>8.9953775458722893E-2</v>
      </c>
      <c r="H113" s="167"/>
      <c r="I113" s="778">
        <f>-(I112*4)/I103</f>
        <v>8.5955760155701513E-2</v>
      </c>
      <c r="J113" s="167">
        <f>-(J112*4)/J103</f>
        <v>8.3879355174206985E-2</v>
      </c>
      <c r="K113" s="167">
        <f>-(K112*4)/K103</f>
        <v>8.1852045932122419E-2</v>
      </c>
      <c r="L113" s="167">
        <f>-(L112*4)/L103</f>
        <v>8.1183247881765175E-2</v>
      </c>
      <c r="M113" s="797">
        <f>-(M112)/M103</f>
        <v>8.6613403481954801E-2</v>
      </c>
      <c r="N113" s="167"/>
      <c r="O113" s="778">
        <f>-(O112*4)/O103</f>
        <v>7.6572807785287689E-2</v>
      </c>
      <c r="P113" s="167">
        <f>-(P112*4)/P103</f>
        <v>8.8615548131561556E-2</v>
      </c>
      <c r="Q113" s="167">
        <f>-(Q112*4)/Q103</f>
        <v>7.2830992244124509E-2</v>
      </c>
      <c r="R113" s="167">
        <f>-(R112*4)/R103</f>
        <v>8.4770145099286515E-2</v>
      </c>
      <c r="S113" s="797">
        <f>-(S112)/S103</f>
        <v>8.8255366072771166E-2</v>
      </c>
      <c r="T113" s="167"/>
      <c r="U113" s="778">
        <f>-(U112*4)/U103</f>
        <v>7.6463592087865365E-2</v>
      </c>
      <c r="V113" s="167">
        <f>-(V112*4)/V103</f>
        <v>7.8141451024348829E-2</v>
      </c>
      <c r="W113" s="167">
        <f>-(W112*4)/W103</f>
        <v>7.4501034087928214E-2</v>
      </c>
      <c r="X113" s="167">
        <f>-(X112*4)/X103</f>
        <v>9.5616722175335733E-2</v>
      </c>
      <c r="Y113" s="797">
        <f>-(Y112)/Y103</f>
        <v>8.5353780323315823E-2</v>
      </c>
      <c r="Z113" s="167"/>
      <c r="AA113" s="778">
        <f>-(AA112*4)/AA103</f>
        <v>7.9285698821972117E-2</v>
      </c>
      <c r="AB113" s="167">
        <f>-(AB112*4)/AB103</f>
        <v>7.4900294213795363E-2</v>
      </c>
      <c r="AC113" s="167">
        <f>-(AC112*4)/AC103</f>
        <v>6.6637844719176151E-2</v>
      </c>
      <c r="AD113" s="167">
        <f>-(AD112*4)/AD103</f>
        <v>6.3945867553010696E-2</v>
      </c>
      <c r="AE113" s="797">
        <f>-(AE112)/AE103</f>
        <v>7.6121817175269141E-2</v>
      </c>
      <c r="AF113" s="167"/>
      <c r="AG113" s="778">
        <f>-(AG112*4)/AG103</f>
        <v>5.9741491497011266E-2</v>
      </c>
      <c r="AH113" s="167">
        <f>-(AH112*4)/AH103</f>
        <v>7.1903749366525174E-2</v>
      </c>
      <c r="AI113" s="167">
        <f>-(AI112*4)/AI103</f>
        <v>6.5290059689120758E-2</v>
      </c>
      <c r="AJ113" s="167">
        <f>-(AJ112*4)/AJ103</f>
        <v>6.9635396800753369E-2</v>
      </c>
      <c r="AK113" s="797">
        <f>-(AK112)/AK103</f>
        <v>6.9628559454749966E-2</v>
      </c>
      <c r="AL113" s="167"/>
      <c r="AM113" s="778">
        <f>-(AM112*4)/AM103</f>
        <v>6.5563381001543505E-2</v>
      </c>
      <c r="AN113" s="167">
        <f>-(AN112*4)/AN103</f>
        <v>6.3925459163240578E-2</v>
      </c>
      <c r="AO113" s="167">
        <f>-(AO112*4)/AO103</f>
        <v>6.3745138632392159E-2</v>
      </c>
      <c r="AP113" s="167">
        <f>-(AP112*4)/AP103</f>
        <v>6.4344054491584965E-2</v>
      </c>
      <c r="AQ113" s="797">
        <f>-(AQ112)/AQ103</f>
        <v>6.5726931686923104E-2</v>
      </c>
      <c r="AR113" s="167"/>
      <c r="AS113" s="778">
        <f>-(AS112*4)/AS103</f>
        <v>6.54892534921796E-2</v>
      </c>
      <c r="AT113" s="167">
        <f>-(AT112*4)/AT103</f>
        <v>6.637183344704535E-2</v>
      </c>
      <c r="AU113" s="167">
        <f>-(AU112*4)/AU103</f>
        <v>6.1410161296265649E-2</v>
      </c>
      <c r="AV113" s="167">
        <f>-(AV112*4)/AV103</f>
        <v>5.8140020049020608E-2</v>
      </c>
      <c r="AW113" s="797">
        <f>-(AW112)/AW103</f>
        <v>6.7462390954918905E-2</v>
      </c>
      <c r="AX113" s="167"/>
      <c r="AY113" s="778">
        <f>-(AY112*4)/AY103</f>
        <v>5.3316003601334934E-2</v>
      </c>
      <c r="AZ113" s="167">
        <f>-(AZ112*4)/AZ103</f>
        <v>5.0123872844198877E-2</v>
      </c>
      <c r="BA113" s="167">
        <f>-(BA112*4)/BA103</f>
        <v>4.7709475208474912E-2</v>
      </c>
      <c r="BB113" s="167">
        <f>-(BB112*4)/BB103</f>
        <v>5.2983060527067236E-2</v>
      </c>
      <c r="BC113" s="797">
        <f>-(BC112)/BC103</f>
        <v>5.3631910174222482E-2</v>
      </c>
      <c r="BD113" s="167"/>
      <c r="BE113" s="778">
        <f>-(BE112*4)/BE103</f>
        <v>6.7535918103735576E-2</v>
      </c>
      <c r="BF113" s="167">
        <f>-(BF112*4)/BF103</f>
        <v>5.1871841676924109E-2</v>
      </c>
      <c r="BG113" s="167">
        <f>-(BG112*4)/BG103</f>
        <v>4.3324298576934497E-2</v>
      </c>
      <c r="BH113" s="167">
        <f>-(BH112*4)/BH103</f>
        <v>4.882731439028843E-2</v>
      </c>
      <c r="BI113" s="797">
        <f>-(BI112)/BI103</f>
        <v>7.8869283614541458E-2</v>
      </c>
      <c r="BJ113" s="167"/>
      <c r="BK113" s="778">
        <f>-(BK112*4)/BK103</f>
        <v>6.5261570086527027E-2</v>
      </c>
      <c r="BL113" s="167">
        <f>-(BL112*4)/BL103</f>
        <v>6.2713922932538371E-2</v>
      </c>
      <c r="BM113" s="167">
        <f>-(BM112*4)/BM103</f>
        <v>7.5407829366449755E-2</v>
      </c>
      <c r="BN113" s="167">
        <f>-(BN112*4)/BN103</f>
        <v>7.3975642742231937E-2</v>
      </c>
      <c r="BO113" s="797">
        <f>-(BO112)/BO103</f>
        <v>7.2008049694986406E-2</v>
      </c>
      <c r="BP113" s="167"/>
      <c r="BQ113" s="778">
        <f>-(BQ112*4)/BQ103</f>
        <v>8.3149544452060659E-2</v>
      </c>
      <c r="BR113" s="167">
        <f>-(BR112*4)/BR103</f>
        <v>7.9220940196273917E-2</v>
      </c>
      <c r="BS113" s="167">
        <f>-(BS112*4)/BS103</f>
        <v>8.1507270120827383E-2</v>
      </c>
      <c r="BT113" s="790">
        <f>BS113</f>
        <v>8.1507270120827383E-2</v>
      </c>
      <c r="BU113" s="797">
        <f>-(BU112)/BU103</f>
        <v>8.324156215651482E-2</v>
      </c>
      <c r="BV113" s="167"/>
      <c r="BW113" s="792">
        <f>BT113</f>
        <v>8.1507270120827383E-2</v>
      </c>
      <c r="BX113" s="790">
        <f>BW113</f>
        <v>8.1507270120827383E-2</v>
      </c>
      <c r="BY113" s="790">
        <f>BX113</f>
        <v>8.1507270120827383E-2</v>
      </c>
      <c r="BZ113" s="790">
        <f>BY113</f>
        <v>8.1507270120827383E-2</v>
      </c>
      <c r="CA113" s="797">
        <f>-(CA112)/CA103</f>
        <v>8.377317035695328E-2</v>
      </c>
      <c r="CB113" s="167"/>
      <c r="CC113" s="792">
        <f>BZ113</f>
        <v>8.1507270120827383E-2</v>
      </c>
      <c r="CD113" s="790">
        <f>CC113</f>
        <v>8.1507270120827383E-2</v>
      </c>
      <c r="CE113" s="790">
        <f>CD113</f>
        <v>8.1507270120827383E-2</v>
      </c>
      <c r="CF113" s="790">
        <f>CE113</f>
        <v>8.1507270120827383E-2</v>
      </c>
      <c r="CG113" s="797">
        <f>-(CG112)/CG103</f>
        <v>8.3664681948416336E-2</v>
      </c>
      <c r="CH113" s="167"/>
      <c r="CI113" s="792">
        <f>CF113</f>
        <v>8.1507270120827383E-2</v>
      </c>
      <c r="CJ113" s="790">
        <f>CI113</f>
        <v>8.1507270120827383E-2</v>
      </c>
      <c r="CK113" s="790">
        <f>CJ113</f>
        <v>8.1507270120827383E-2</v>
      </c>
      <c r="CL113" s="790">
        <f>CK113</f>
        <v>8.1507270120827383E-2</v>
      </c>
      <c r="CM113" s="797">
        <f>-(CM112)/CM103</f>
        <v>8.3572301453283079E-2</v>
      </c>
      <c r="CN113" s="167"/>
      <c r="CO113" s="232"/>
      <c r="CP113" s="232"/>
      <c r="CQ113"/>
      <c r="CR113"/>
      <c r="CS113"/>
      <c r="CT113"/>
      <c r="CU113"/>
      <c r="CV113"/>
      <c r="CW113" s="439"/>
    </row>
    <row r="114" spans="2:101" s="123" customFormat="1" ht="11.25" customHeight="1" x14ac:dyDescent="0.2">
      <c r="B114" s="1231" t="s">
        <v>37</v>
      </c>
      <c r="C114" s="779">
        <f>C115-C112-C111</f>
        <v>-0.96600000000000819</v>
      </c>
      <c r="D114" s="173">
        <f>D115-D112-D111</f>
        <v>-1.2002499999999969</v>
      </c>
      <c r="E114" s="173">
        <f>E115-E112-E111</f>
        <v>-9.9549999999999841</v>
      </c>
      <c r="F114" s="173">
        <f>F115-F112-F111</f>
        <v>17.290249999999986</v>
      </c>
      <c r="G114" s="795">
        <f>+SUM(C114:F114)</f>
        <v>5.1689999999999969</v>
      </c>
      <c r="H114" s="199"/>
      <c r="I114" s="779">
        <f>I115-I112-I111</f>
        <v>-0.65099999999999625</v>
      </c>
      <c r="J114" s="173">
        <f>J115-J112-J111</f>
        <v>-1.2997500000000173</v>
      </c>
      <c r="K114" s="173">
        <f>K115-K112-K111</f>
        <v>-1.0799999999999841</v>
      </c>
      <c r="L114" s="173">
        <f>L115-L112-L111</f>
        <v>5.1877499999999941</v>
      </c>
      <c r="M114" s="795">
        <f>+SUM(I114:L114)</f>
        <v>2.1569999999999965</v>
      </c>
      <c r="N114" s="199"/>
      <c r="O114" s="779">
        <f>O115-O112-O111</f>
        <v>-0.12824999999995157</v>
      </c>
      <c r="P114" s="173">
        <f>P115-P112-P111</f>
        <v>-14.382000000000033</v>
      </c>
      <c r="Q114" s="173">
        <f>Q115-Q112-Q111</f>
        <v>-9.8272500000000207</v>
      </c>
      <c r="R114" s="173">
        <f>R115-R112-R111</f>
        <v>23.150500000000008</v>
      </c>
      <c r="S114" s="795">
        <f>+SUM(O114:R114)</f>
        <v>-1.1869999999999976</v>
      </c>
      <c r="T114" s="199"/>
      <c r="U114" s="779">
        <f>U115-U112-U111</f>
        <v>-4.9192499999999768</v>
      </c>
      <c r="V114" s="173">
        <f>V115-V112-V111</f>
        <v>0.73750000000001137</v>
      </c>
      <c r="W114" s="173">
        <f>W115-W112-W111</f>
        <v>-0.29499999999998749</v>
      </c>
      <c r="X114" s="173">
        <f>X115-X112-X111</f>
        <v>10.935749999999956</v>
      </c>
      <c r="Y114" s="795">
        <f>+SUM(U114:X114)</f>
        <v>6.4590000000000032</v>
      </c>
      <c r="Z114" s="199"/>
      <c r="AA114" s="779">
        <f>AA115-AA112-AA111</f>
        <v>-5.2684999999999889</v>
      </c>
      <c r="AB114" s="173">
        <f>AB115-AB112-AB111</f>
        <v>-0.36299999999999955</v>
      </c>
      <c r="AC114" s="173">
        <f>AC115-AC112-AC111</f>
        <v>-1.9112500000000523</v>
      </c>
      <c r="AD114" s="173">
        <f>AD115-AD112-AD111</f>
        <v>12.781750000000017</v>
      </c>
      <c r="AE114" s="795">
        <f>+SUM(AA114:AD114)</f>
        <v>5.2389999999999759</v>
      </c>
      <c r="AF114" s="199"/>
      <c r="AG114" s="779">
        <f>AG115-AG112-AG111</f>
        <v>1.8299999999999557</v>
      </c>
      <c r="AH114" s="173">
        <f>AH115-AH112-AH111</f>
        <v>-2.682500000000033</v>
      </c>
      <c r="AI114" s="173">
        <f>AI115-AI112-AI111</f>
        <v>-2.2897500000000264</v>
      </c>
      <c r="AJ114" s="173">
        <f>AJ115-AJ112-AJ111</f>
        <v>5.6582500000001232</v>
      </c>
      <c r="AK114" s="795">
        <f>+SUM(AG114:AJ114)</f>
        <v>2.5160000000000196</v>
      </c>
      <c r="AL114" s="199"/>
      <c r="AM114" s="779">
        <f>AM115-AM112-AM111</f>
        <v>1.2379999999999995</v>
      </c>
      <c r="AN114" s="173">
        <f>AN115-AN112-AN111</f>
        <v>-3.0427499999999839</v>
      </c>
      <c r="AO114" s="173">
        <f>AO115-AO112-AO111</f>
        <v>-1.0597500000000366</v>
      </c>
      <c r="AP114" s="173">
        <f>AP115-AP112-AP111</f>
        <v>14.557500000000033</v>
      </c>
      <c r="AQ114" s="795">
        <f>+SUM(AM114:AP114)</f>
        <v>11.693000000000012</v>
      </c>
      <c r="AR114" s="199"/>
      <c r="AS114" s="779">
        <f>AS115-AS112-AS111</f>
        <v>2.6839999999999407</v>
      </c>
      <c r="AT114" s="173">
        <f>AT115-AT112-AT111</f>
        <v>-35.130749999999978</v>
      </c>
      <c r="AU114" s="173">
        <f>AU115-AU112-AU111</f>
        <v>-0.12374999999997272</v>
      </c>
      <c r="AV114" s="173">
        <f>AV115-AV112-AV111</f>
        <v>31.331500000000034</v>
      </c>
      <c r="AW114" s="795">
        <f>+SUM(AS114:AV114)</f>
        <v>-1.2389999999999759</v>
      </c>
      <c r="AX114" s="199"/>
      <c r="AY114" s="779">
        <f>AY115-AY112-AY111</f>
        <v>-0.75199999999998113</v>
      </c>
      <c r="AZ114" s="173">
        <f>AZ115-AZ112-AZ111</f>
        <v>-2.1730000000000018</v>
      </c>
      <c r="BA114" s="173">
        <f>BA115-BA112-BA111</f>
        <v>-4.6634999999999991</v>
      </c>
      <c r="BB114" s="173">
        <f>BB115-BB112-BB111</f>
        <v>38.632499999999993</v>
      </c>
      <c r="BC114" s="795">
        <f>+SUM(AY114:BB114)</f>
        <v>31.044000000000011</v>
      </c>
      <c r="BD114" s="199"/>
      <c r="BE114" s="779">
        <f>BE115-BE112-BE111</f>
        <v>-231.06949999999995</v>
      </c>
      <c r="BF114" s="173">
        <f>BF115-BF112-BF111</f>
        <v>-1.3677499999999441</v>
      </c>
      <c r="BG114" s="173">
        <f>BG115-BG112-BG111</f>
        <v>-1.3934999999999604</v>
      </c>
      <c r="BH114" s="173">
        <f>BH115-BH112-BH111</f>
        <v>236.86574999999988</v>
      </c>
      <c r="BI114" s="795">
        <f>+SUM(BE114:BH114)</f>
        <v>3.035000000000025</v>
      </c>
      <c r="BJ114" s="199"/>
      <c r="BK114" s="779">
        <f>BK115-BK112-BK111</f>
        <v>-1.1890000000000214</v>
      </c>
      <c r="BL114" s="173">
        <f>BL115-BL112-BL111</f>
        <v>-0.15100000000001046</v>
      </c>
      <c r="BM114" s="173">
        <f>BM115-BM112-BM111</f>
        <v>0</v>
      </c>
      <c r="BN114" s="173">
        <f>BN115-BN112-BN111</f>
        <v>52.033000000000129</v>
      </c>
      <c r="BO114" s="795">
        <f>+SUM(BK114:BN114)</f>
        <v>50.693000000000097</v>
      </c>
      <c r="BP114" s="199"/>
      <c r="BQ114" s="779">
        <f>BQ115-BQ112-BQ111</f>
        <v>1.1260000000000616</v>
      </c>
      <c r="BR114" s="173">
        <f>BR115-BR112-BR111</f>
        <v>-6.8360000000000127</v>
      </c>
      <c r="BS114" s="173">
        <f>BS115-BS112-BS111</f>
        <v>0.45800000000002683</v>
      </c>
      <c r="BT114" s="172">
        <v>0</v>
      </c>
      <c r="BU114" s="795">
        <f>+SUM(BQ114:BT114)</f>
        <v>-5.2519999999999243</v>
      </c>
      <c r="BV114" s="199"/>
      <c r="BW114" s="776">
        <v>0</v>
      </c>
      <c r="BX114" s="172">
        <v>0</v>
      </c>
      <c r="BY114" s="172">
        <v>0</v>
      </c>
      <c r="BZ114" s="172">
        <v>0</v>
      </c>
      <c r="CA114" s="795">
        <f>+SUM(BW114:BZ114)</f>
        <v>0</v>
      </c>
      <c r="CB114" s="199"/>
      <c r="CC114" s="776">
        <v>0</v>
      </c>
      <c r="CD114" s="172">
        <v>0</v>
      </c>
      <c r="CE114" s="172">
        <v>0</v>
      </c>
      <c r="CF114" s="172">
        <v>0</v>
      </c>
      <c r="CG114" s="795">
        <f>+SUM(CC114:CF114)</f>
        <v>0</v>
      </c>
      <c r="CH114" s="199"/>
      <c r="CI114" s="776">
        <v>0</v>
      </c>
      <c r="CJ114" s="172">
        <v>0</v>
      </c>
      <c r="CK114" s="172">
        <v>0</v>
      </c>
      <c r="CL114" s="172">
        <v>0</v>
      </c>
      <c r="CM114" s="795">
        <f>+SUM(CI114:CL114)</f>
        <v>0</v>
      </c>
      <c r="CN114" s="199"/>
      <c r="CO114" s="42"/>
      <c r="CP114" s="42"/>
      <c r="CQ114"/>
      <c r="CR114"/>
      <c r="CS114"/>
      <c r="CT114"/>
      <c r="CU114"/>
      <c r="CV114"/>
      <c r="CW114" s="14"/>
    </row>
    <row r="115" spans="2:101" s="123" customFormat="1" ht="11.25" customHeight="1" x14ac:dyDescent="0.2">
      <c r="B115" s="566" t="s">
        <v>84</v>
      </c>
      <c r="C115" s="175">
        <f>-C109+C117</f>
        <v>-84.296999999999997</v>
      </c>
      <c r="D115" s="199">
        <f>-D109+D117</f>
        <v>-90.638249999999999</v>
      </c>
      <c r="E115" s="199">
        <f>-E109+E117</f>
        <v>-105.61024999999998</v>
      </c>
      <c r="F115" s="200">
        <v>-93.093999999999994</v>
      </c>
      <c r="G115" s="695">
        <f>+G111+G112+G114</f>
        <v>-93.093999999999994</v>
      </c>
      <c r="H115" s="199"/>
      <c r="I115" s="175">
        <f>-I109+I117</f>
        <v>-98.580999999999989</v>
      </c>
      <c r="J115" s="199">
        <f>-J109+J117</f>
        <v>-104.71975</v>
      </c>
      <c r="K115" s="199">
        <f>-K109+K117</f>
        <v>-110.65174999999999</v>
      </c>
      <c r="L115" s="200">
        <v>-110.429</v>
      </c>
      <c r="M115" s="695">
        <f>+M111+M112+M114</f>
        <v>-110.429</v>
      </c>
      <c r="N115" s="199"/>
      <c r="O115" s="175">
        <f>-O109+O117</f>
        <v>-115.52224999999996</v>
      </c>
      <c r="P115" s="199">
        <f>-P109+P117</f>
        <v>-135.90724999999998</v>
      </c>
      <c r="Q115" s="199">
        <f>-Q109+Q117</f>
        <v>-151.09350000000001</v>
      </c>
      <c r="R115" s="200">
        <v>-134.506</v>
      </c>
      <c r="S115" s="695">
        <f>+S111+S112+S114</f>
        <v>-134.50600000000003</v>
      </c>
      <c r="T115" s="199"/>
      <c r="U115" s="175">
        <f>-U109+U117</f>
        <v>-145.17924999999997</v>
      </c>
      <c r="V115" s="199">
        <f>-V109+V117</f>
        <v>-150.61574999999996</v>
      </c>
      <c r="W115" s="199">
        <f>-W109+W117</f>
        <v>-156.89274999999995</v>
      </c>
      <c r="X115" s="200">
        <v>-153.739</v>
      </c>
      <c r="Y115" s="695">
        <f>+Y111+Y112+Y114</f>
        <v>-153.739</v>
      </c>
      <c r="Z115" s="199"/>
      <c r="AA115" s="175">
        <f>-AA109+AA117</f>
        <v>-165.41649999999998</v>
      </c>
      <c r="AB115" s="199">
        <f>-AB109+AB117</f>
        <v>-172.22349999999997</v>
      </c>
      <c r="AC115" s="199">
        <f>-AC109+AC117</f>
        <v>-180.04975000000002</v>
      </c>
      <c r="AD115" s="200">
        <v>-173.113</v>
      </c>
      <c r="AE115" s="695">
        <f>+AE111+AE112+AE114</f>
        <v>-173.11300000000003</v>
      </c>
      <c r="AF115" s="199"/>
      <c r="AG115" s="175">
        <f>-AG109+AG117</f>
        <v>-176.70000000000005</v>
      </c>
      <c r="AH115" s="199">
        <f>-AH109+AH117</f>
        <v>-186.08650000000009</v>
      </c>
      <c r="AI115" s="199">
        <f>-AI109+AI117</f>
        <v>-194.69725000000011</v>
      </c>
      <c r="AJ115" s="200">
        <v>-195.851</v>
      </c>
      <c r="AK115" s="695">
        <f>+AK111+AK112+AK114</f>
        <v>-195.85099999999997</v>
      </c>
      <c r="AL115" s="199"/>
      <c r="AM115" s="175">
        <f>-AM109+AM117</f>
        <v>-201.02699999999999</v>
      </c>
      <c r="AN115" s="199">
        <f>-AN109+AN117</f>
        <v>-210.37474999999998</v>
      </c>
      <c r="AO115" s="199">
        <f>-AO109+AO117</f>
        <v>-217.85250000000002</v>
      </c>
      <c r="AP115" s="200">
        <v>-209.87799999999999</v>
      </c>
      <c r="AQ115" s="695">
        <f>+AQ111+AQ112+AQ114</f>
        <v>-209.87799999999999</v>
      </c>
      <c r="AR115" s="199"/>
      <c r="AS115" s="175">
        <f>-AS109+AS117</f>
        <v>-213.77400000000006</v>
      </c>
      <c r="AT115" s="199">
        <f>-AT109+AT117</f>
        <v>-255.66575000000003</v>
      </c>
      <c r="AU115" s="199">
        <f>-AU109+AU117</f>
        <v>-262.76850000000002</v>
      </c>
      <c r="AV115" s="200">
        <v>-238.23</v>
      </c>
      <c r="AW115" s="695">
        <f>+AW111+AW112+AW114</f>
        <v>-238.22999999999996</v>
      </c>
      <c r="AX115" s="199"/>
      <c r="AY115" s="175">
        <f>-AY109+AY117</f>
        <v>-244.88899999999998</v>
      </c>
      <c r="AZ115" s="199">
        <f>-AZ109+AZ117</f>
        <v>-252.81799999999998</v>
      </c>
      <c r="BA115" s="199">
        <f>-BA109+BA117</f>
        <v>-263.1155</v>
      </c>
      <c r="BB115" s="200">
        <v>-230.95400000000001</v>
      </c>
      <c r="BC115" s="695">
        <f>+BC111+BC112+BC114</f>
        <v>-230.95399999999998</v>
      </c>
      <c r="BD115" s="199"/>
      <c r="BE115" s="175">
        <f>-BE109+BE117</f>
        <v>-469.36949999999996</v>
      </c>
      <c r="BF115" s="199">
        <f>-BF109+BF117</f>
        <v>-480.1822499999999</v>
      </c>
      <c r="BG115" s="199">
        <f>-BG109+BG117</f>
        <v>-489.72474999999986</v>
      </c>
      <c r="BH115" s="200">
        <v>-262.23399999999998</v>
      </c>
      <c r="BI115" s="695">
        <f>+BI111+BI112+BI114</f>
        <v>-262.23399999999998</v>
      </c>
      <c r="BJ115" s="199"/>
      <c r="BK115" s="175">
        <f>-BK109+BK117</f>
        <v>-272.48700000000002</v>
      </c>
      <c r="BL115" s="199">
        <f>-BL109+BL117</f>
        <v>-281.58400000000006</v>
      </c>
      <c r="BM115" s="199">
        <f>-BM109+BM117</f>
        <v>-292.6110000000001</v>
      </c>
      <c r="BN115" s="200">
        <v>-251.54499999999999</v>
      </c>
      <c r="BO115" s="695">
        <f>+BO111+BO112+BO114</f>
        <v>-251.5449999999999</v>
      </c>
      <c r="BP115" s="199"/>
      <c r="BQ115" s="175">
        <f>-BQ109+BQ117</f>
        <v>-261.85199999999992</v>
      </c>
      <c r="BR115" s="199">
        <f>-BR109+BR117</f>
        <v>-279.71299999999991</v>
      </c>
      <c r="BS115" s="199">
        <f>-BS109+BS117</f>
        <v>-290.79699999999985</v>
      </c>
      <c r="BT115" s="199">
        <f>+BT111+BT112+BT114</f>
        <v>-302.57960946139656</v>
      </c>
      <c r="BU115" s="695">
        <f>+BU111+BU112+BU114</f>
        <v>-302.57960946139656</v>
      </c>
      <c r="BV115" s="199"/>
      <c r="BW115" s="175">
        <f>+BW111+BW112+BW114</f>
        <v>-314.61443539600219</v>
      </c>
      <c r="BX115" s="199">
        <f>+BX111+BX112+BX114</f>
        <v>-326.86293551969652</v>
      </c>
      <c r="BY115" s="199">
        <f>+BY111+BY112+BY114</f>
        <v>-339.3449328423423</v>
      </c>
      <c r="BZ115" s="199">
        <f>+BZ111+BZ112+BZ114</f>
        <v>-352.05718473739029</v>
      </c>
      <c r="CA115" s="695">
        <f>+CA111+CA112+CA114</f>
        <v>-352.05718473739029</v>
      </c>
      <c r="CB115" s="199"/>
      <c r="CC115" s="175">
        <f>+CC111+CC112+CC114</f>
        <v>-365.01333365997471</v>
      </c>
      <c r="CD115" s="199">
        <f>+CD111+CD112+CD114</f>
        <v>-378.18846634301622</v>
      </c>
      <c r="CE115" s="199">
        <f>+CE111+CE112+CE114</f>
        <v>-391.60279743276271</v>
      </c>
      <c r="CF115" s="199">
        <f>+CF111+CF112+CF114</f>
        <v>-405.25352304082992</v>
      </c>
      <c r="CG115" s="695">
        <f>+CG111+CG112+CG114</f>
        <v>-405.25352304082998</v>
      </c>
      <c r="CH115" s="199"/>
      <c r="CI115" s="175">
        <f>+CI111+CI112+CI114</f>
        <v>-419.15468553628062</v>
      </c>
      <c r="CJ115" s="199">
        <f>+CJ111+CJ112+CJ114</f>
        <v>-433.2807488976095</v>
      </c>
      <c r="CK115" s="199">
        <f>+CK111+CK112+CK114</f>
        <v>-447.65248637783139</v>
      </c>
      <c r="CL115" s="199">
        <f>+CL111+CL112+CL114</f>
        <v>-462.2669472862342</v>
      </c>
      <c r="CM115" s="695">
        <f>+CM111+CM112+CM114</f>
        <v>-462.2669472862342</v>
      </c>
      <c r="CN115" s="199"/>
      <c r="CO115" s="51"/>
      <c r="CP115" s="51"/>
      <c r="CQ115"/>
      <c r="CR115"/>
      <c r="CS115"/>
      <c r="CT115"/>
      <c r="CU115"/>
      <c r="CV115"/>
      <c r="CW115" s="14"/>
    </row>
    <row r="116" spans="2:101" s="123" customFormat="1" ht="11.25" customHeight="1" x14ac:dyDescent="0.2">
      <c r="B116" s="566"/>
      <c r="C116" s="175"/>
      <c r="D116" s="199"/>
      <c r="E116" s="199"/>
      <c r="F116" s="199"/>
      <c r="G116" s="695"/>
      <c r="H116" s="199"/>
      <c r="I116" s="175"/>
      <c r="J116" s="199"/>
      <c r="K116" s="199"/>
      <c r="L116" s="199"/>
      <c r="M116" s="695"/>
      <c r="N116" s="199"/>
      <c r="O116" s="175"/>
      <c r="P116" s="199"/>
      <c r="Q116" s="199"/>
      <c r="R116" s="199"/>
      <c r="S116" s="695"/>
      <c r="T116" s="199"/>
      <c r="U116" s="175"/>
      <c r="V116" s="199"/>
      <c r="W116" s="199"/>
      <c r="X116" s="199"/>
      <c r="Y116" s="695"/>
      <c r="Z116" s="199"/>
      <c r="AA116" s="175"/>
      <c r="AB116" s="199"/>
      <c r="AC116" s="199"/>
      <c r="AD116" s="199"/>
      <c r="AE116" s="695"/>
      <c r="AF116" s="199"/>
      <c r="AG116" s="175"/>
      <c r="AH116" s="199"/>
      <c r="AI116" s="199"/>
      <c r="AJ116" s="199"/>
      <c r="AK116" s="695"/>
      <c r="AL116" s="199"/>
      <c r="AM116" s="175"/>
      <c r="AN116" s="199"/>
      <c r="AO116" s="199"/>
      <c r="AP116" s="199"/>
      <c r="AQ116" s="695"/>
      <c r="AR116" s="199"/>
      <c r="AS116" s="175"/>
      <c r="AT116" s="199"/>
      <c r="AU116" s="199"/>
      <c r="AV116" s="199"/>
      <c r="AW116" s="695"/>
      <c r="AX116" s="199"/>
      <c r="AY116" s="175"/>
      <c r="AZ116" s="199"/>
      <c r="BA116" s="199"/>
      <c r="BB116" s="199"/>
      <c r="BC116" s="695"/>
      <c r="BD116" s="199"/>
      <c r="BE116" s="175"/>
      <c r="BF116" s="199"/>
      <c r="BG116" s="199"/>
      <c r="BH116" s="199"/>
      <c r="BI116" s="695"/>
      <c r="BJ116" s="199"/>
      <c r="BK116" s="175"/>
      <c r="BL116" s="199"/>
      <c r="BM116" s="199"/>
      <c r="BN116" s="199"/>
      <c r="BO116" s="695"/>
      <c r="BP116" s="199"/>
      <c r="BQ116" s="175"/>
      <c r="BR116" s="199"/>
      <c r="BS116" s="199"/>
      <c r="BT116" s="199"/>
      <c r="BU116" s="695"/>
      <c r="BV116" s="199"/>
      <c r="BW116" s="175"/>
      <c r="BX116" s="199"/>
      <c r="BY116" s="199"/>
      <c r="BZ116" s="199"/>
      <c r="CA116" s="695"/>
      <c r="CB116" s="199"/>
      <c r="CC116" s="175"/>
      <c r="CD116" s="199"/>
      <c r="CE116" s="199"/>
      <c r="CF116" s="199"/>
      <c r="CG116" s="695"/>
      <c r="CH116" s="199"/>
      <c r="CI116" s="175"/>
      <c r="CJ116" s="199"/>
      <c r="CK116" s="199"/>
      <c r="CL116" s="199"/>
      <c r="CM116" s="695"/>
      <c r="CN116" s="199"/>
      <c r="CO116" s="51"/>
      <c r="CP116" s="51"/>
      <c r="CQ116"/>
      <c r="CR116"/>
      <c r="CS116"/>
      <c r="CT116"/>
      <c r="CU116"/>
      <c r="CV116"/>
      <c r="CW116" s="14"/>
    </row>
    <row r="117" spans="2:101" s="123" customFormat="1" ht="11.25" customHeight="1" x14ac:dyDescent="0.2">
      <c r="B117" s="566" t="s">
        <v>85</v>
      </c>
      <c r="C117" s="175">
        <f>+C17</f>
        <v>143.39699999999999</v>
      </c>
      <c r="D117" s="199">
        <f>+D17</f>
        <v>141.267</v>
      </c>
      <c r="E117" s="199">
        <f>+E17</f>
        <v>132.29900000000001</v>
      </c>
      <c r="F117" s="199">
        <f>+F17</f>
        <v>131.952</v>
      </c>
      <c r="G117" s="695">
        <f>+G17</f>
        <v>131.952</v>
      </c>
      <c r="H117" s="199"/>
      <c r="I117" s="175">
        <f>+I17</f>
        <v>132.179</v>
      </c>
      <c r="J117" s="199">
        <f>+J17</f>
        <v>132.39099999999999</v>
      </c>
      <c r="K117" s="199">
        <f>+K17</f>
        <v>133.97999999999999</v>
      </c>
      <c r="L117" s="199">
        <f>+L17</f>
        <v>148.93199999999999</v>
      </c>
      <c r="M117" s="695">
        <f>+M17</f>
        <v>148.93199999999999</v>
      </c>
      <c r="N117" s="199"/>
      <c r="O117" s="175">
        <f>+O17</f>
        <v>155.446</v>
      </c>
      <c r="P117" s="199">
        <f>+P17</f>
        <v>158.41800000000001</v>
      </c>
      <c r="Q117" s="199">
        <f>+Q17</f>
        <v>158.59100000000001</v>
      </c>
      <c r="R117" s="199">
        <f>+R17</f>
        <v>166.5</v>
      </c>
      <c r="S117" s="695">
        <f>+S17</f>
        <v>166.5</v>
      </c>
      <c r="T117" s="199"/>
      <c r="U117" s="175">
        <f>+U17</f>
        <v>170.863</v>
      </c>
      <c r="V117" s="199">
        <f>+V17</f>
        <v>170.56100000000001</v>
      </c>
      <c r="W117" s="199">
        <f>+W17</f>
        <v>168.65700000000001</v>
      </c>
      <c r="X117" s="199">
        <f>+X17</f>
        <v>169.59800000000001</v>
      </c>
      <c r="Y117" s="695">
        <f>+Y17</f>
        <v>169.59800000000001</v>
      </c>
      <c r="Z117" s="199"/>
      <c r="AA117" s="175">
        <f>+AA17</f>
        <v>178.721</v>
      </c>
      <c r="AB117" s="199">
        <f>+AB17</f>
        <v>182.83</v>
      </c>
      <c r="AC117" s="199">
        <f>+AC17</f>
        <v>185.572</v>
      </c>
      <c r="AD117" s="199">
        <f>+AD17</f>
        <v>189.583</v>
      </c>
      <c r="AE117" s="695">
        <f>+AE17</f>
        <v>189.583</v>
      </c>
      <c r="AF117" s="199"/>
      <c r="AG117" s="175">
        <f>+AG17</f>
        <v>196.24299999999999</v>
      </c>
      <c r="AH117" s="199">
        <f>+AH17</f>
        <v>201.17</v>
      </c>
      <c r="AI117" s="199">
        <f>+AI17</f>
        <v>196.59800000000001</v>
      </c>
      <c r="AJ117" s="199">
        <f>+AJ17</f>
        <v>195.465</v>
      </c>
      <c r="AK117" s="695">
        <f>+AK17</f>
        <v>195.465</v>
      </c>
      <c r="AL117" s="199"/>
      <c r="AM117" s="175">
        <f>+AM17</f>
        <v>193.495</v>
      </c>
      <c r="AN117" s="199">
        <f>+AN17</f>
        <v>192.35400000000001</v>
      </c>
      <c r="AO117" s="199">
        <f>+AO17</f>
        <v>191.38499999999999</v>
      </c>
      <c r="AP117" s="199">
        <f>+AP17</f>
        <v>192.02</v>
      </c>
      <c r="AQ117" s="695">
        <f>+AQ17</f>
        <v>192.02</v>
      </c>
      <c r="AR117" s="199"/>
      <c r="AS117" s="175">
        <f>+AS17</f>
        <v>193.68799999999999</v>
      </c>
      <c r="AT117" s="199">
        <f>+AT17</f>
        <v>198.917</v>
      </c>
      <c r="AU117" s="199">
        <f>+AU17</f>
        <v>204.58600000000001</v>
      </c>
      <c r="AV117" s="199">
        <f>+AV17</f>
        <v>204.93899999999999</v>
      </c>
      <c r="AW117" s="695">
        <f>+AW17</f>
        <v>204.93899999999999</v>
      </c>
      <c r="AX117" s="199"/>
      <c r="AY117" s="175">
        <f>+AY17</f>
        <v>214.453</v>
      </c>
      <c r="AZ117" s="199">
        <f>+AZ17</f>
        <v>219.541</v>
      </c>
      <c r="BA117" s="199">
        <f>+BA17</f>
        <v>225.41800000000001</v>
      </c>
      <c r="BB117" s="199">
        <f>+BB17</f>
        <v>204.13300000000001</v>
      </c>
      <c r="BC117" s="695">
        <f>+BC17</f>
        <v>204.13300000000001</v>
      </c>
      <c r="BD117" s="199"/>
      <c r="BE117" s="175">
        <f>+BE17</f>
        <v>258.964</v>
      </c>
      <c r="BF117" s="199">
        <f>+BF17</f>
        <v>272.19</v>
      </c>
      <c r="BG117" s="199">
        <f>+BG17</f>
        <v>278.28800000000001</v>
      </c>
      <c r="BH117" s="199">
        <f>+BH17</f>
        <v>293.315</v>
      </c>
      <c r="BI117" s="695">
        <f>+BI17</f>
        <v>293.315</v>
      </c>
      <c r="BJ117" s="199"/>
      <c r="BK117" s="175">
        <f>+BK17</f>
        <v>298.10399999999998</v>
      </c>
      <c r="BL117" s="199">
        <f>+BL17</f>
        <v>303.34199999999998</v>
      </c>
      <c r="BM117" s="199">
        <f>+BM17</f>
        <v>300.39499999999998</v>
      </c>
      <c r="BN117" s="199">
        <f>+BN17</f>
        <v>298.452</v>
      </c>
      <c r="BO117" s="695">
        <f>+BO17</f>
        <v>298.452</v>
      </c>
      <c r="BP117" s="199"/>
      <c r="BQ117" s="175">
        <f>+BQ17</f>
        <v>294.81900000000002</v>
      </c>
      <c r="BR117" s="199">
        <f>+BR17</f>
        <v>286.71499999999997</v>
      </c>
      <c r="BS117" s="199">
        <f>+BS17</f>
        <v>287.43900000000002</v>
      </c>
      <c r="BT117" s="199">
        <f>+BT109+BT115</f>
        <v>288.03400901779276</v>
      </c>
      <c r="BU117" s="695">
        <f>+BU109+BU115</f>
        <v>288.03400901779287</v>
      </c>
      <c r="BV117" s="199"/>
      <c r="BW117" s="175">
        <f>+BW109+BW115</f>
        <v>286.48532444318727</v>
      </c>
      <c r="BX117" s="199">
        <f>+BX109+BX115</f>
        <v>285.6957873594929</v>
      </c>
      <c r="BY117" s="199">
        <f>+BY109+BY115</f>
        <v>284.51361995684709</v>
      </c>
      <c r="BZ117" s="199">
        <f>+BZ109+BZ115</f>
        <v>283.77070660913984</v>
      </c>
      <c r="CA117" s="695">
        <f>+CA109+CA115</f>
        <v>283.77070660913995</v>
      </c>
      <c r="CB117" s="199"/>
      <c r="CC117" s="175">
        <f>+CC109+CC115</f>
        <v>281.56126826255559</v>
      </c>
      <c r="CD117" s="199">
        <f>+CD109+CD115</f>
        <v>280.12488753871412</v>
      </c>
      <c r="CE117" s="199">
        <f>+CE109+CE115</f>
        <v>278.31170652896765</v>
      </c>
      <c r="CF117" s="199">
        <f>+CF109+CF115</f>
        <v>276.95126555500315</v>
      </c>
      <c r="CG117" s="695">
        <f>+CG109+CG115</f>
        <v>276.95126555500298</v>
      </c>
      <c r="CH117" s="199"/>
      <c r="CI117" s="175">
        <f>+CI109+CI115</f>
        <v>274.08719781416033</v>
      </c>
      <c r="CJ117" s="199">
        <f>+CJ109+CJ115</f>
        <v>272.01768442825545</v>
      </c>
      <c r="CK117" s="199">
        <f>+CK109+CK115</f>
        <v>269.55769066468957</v>
      </c>
      <c r="CL117" s="199">
        <f>+CL109+CL115</f>
        <v>267.56437915825165</v>
      </c>
      <c r="CM117" s="695">
        <f>+CM109+CM115</f>
        <v>267.56437915825165</v>
      </c>
      <c r="CN117" s="199"/>
      <c r="CO117" s="42"/>
      <c r="CP117" s="42"/>
      <c r="CQ117"/>
      <c r="CR117"/>
      <c r="CS117"/>
      <c r="CT117"/>
      <c r="CU117"/>
      <c r="CV117"/>
      <c r="CW117" s="14"/>
    </row>
    <row r="118" spans="2:101" s="123" customFormat="1" ht="11.25" customHeight="1" x14ac:dyDescent="0.2">
      <c r="B118" s="768" t="s">
        <v>44</v>
      </c>
      <c r="C118" s="780">
        <f>C117-(C109+C115)</f>
        <v>0</v>
      </c>
      <c r="D118" s="208">
        <f>D117-(D109+D115)</f>
        <v>0</v>
      </c>
      <c r="E118" s="208">
        <f>E117-(E109+E115)</f>
        <v>0</v>
      </c>
      <c r="F118" s="208">
        <f>F117-(F109+F115)</f>
        <v>0</v>
      </c>
      <c r="G118" s="798">
        <f>G117-(G109+G115)</f>
        <v>0</v>
      </c>
      <c r="H118" s="208"/>
      <c r="I118" s="780">
        <f>I117-(I109+I115)</f>
        <v>0</v>
      </c>
      <c r="J118" s="208">
        <f>J117-(J109+J115)</f>
        <v>0</v>
      </c>
      <c r="K118" s="208">
        <f>K117-(K109+K115)</f>
        <v>0</v>
      </c>
      <c r="L118" s="208">
        <f>L117-(L109+L115)</f>
        <v>0</v>
      </c>
      <c r="M118" s="798">
        <f>M117-(M109+M115)</f>
        <v>0</v>
      </c>
      <c r="N118" s="208"/>
      <c r="O118" s="780">
        <f>O117-(O109+O115)</f>
        <v>0</v>
      </c>
      <c r="P118" s="208">
        <f>P117-(P109+P115)</f>
        <v>0</v>
      </c>
      <c r="Q118" s="208">
        <f>Q117-(Q109+Q115)</f>
        <v>0</v>
      </c>
      <c r="R118" s="208">
        <f>R117-(R109+R115)</f>
        <v>0</v>
      </c>
      <c r="S118" s="798">
        <f>S117-(S109+S115)</f>
        <v>0</v>
      </c>
      <c r="T118" s="208"/>
      <c r="U118" s="780">
        <f>U117-(U109+U115)</f>
        <v>0</v>
      </c>
      <c r="V118" s="208">
        <f>V117-(V109+V115)</f>
        <v>0</v>
      </c>
      <c r="W118" s="208">
        <f>W117-(W109+W115)</f>
        <v>0</v>
      </c>
      <c r="X118" s="208">
        <f>X117-(X109+X115)</f>
        <v>0</v>
      </c>
      <c r="Y118" s="798">
        <f>Y117-(Y109+Y115)</f>
        <v>0</v>
      </c>
      <c r="Z118" s="208"/>
      <c r="AA118" s="780">
        <f>AA117-(AA109+AA115)</f>
        <v>0</v>
      </c>
      <c r="AB118" s="208">
        <f>AB117-(AB109+AB115)</f>
        <v>0</v>
      </c>
      <c r="AC118" s="208">
        <f>AC117-(AC109+AC115)</f>
        <v>0</v>
      </c>
      <c r="AD118" s="208">
        <f>AD117-(AD109+AD115)</f>
        <v>0</v>
      </c>
      <c r="AE118" s="798">
        <f>AE117-(AE109+AE115)</f>
        <v>0</v>
      </c>
      <c r="AF118" s="208"/>
      <c r="AG118" s="780">
        <f>AG117-(AG109+AG115)</f>
        <v>0</v>
      </c>
      <c r="AH118" s="208">
        <f>AH117-(AH109+AH115)</f>
        <v>0</v>
      </c>
      <c r="AI118" s="208">
        <f>AI117-(AI109+AI115)</f>
        <v>0</v>
      </c>
      <c r="AJ118" s="208">
        <f>AJ117-(AJ109+AJ115)</f>
        <v>0</v>
      </c>
      <c r="AK118" s="798">
        <f>AK117-(AK109+AK115)</f>
        <v>0</v>
      </c>
      <c r="AL118" s="208"/>
      <c r="AM118" s="780">
        <f>AM117-(AM109+AM115)</f>
        <v>0</v>
      </c>
      <c r="AN118" s="208">
        <f>AN117-(AN109+AN115)</f>
        <v>0</v>
      </c>
      <c r="AO118" s="208">
        <f>AO117-(AO109+AO115)</f>
        <v>0</v>
      </c>
      <c r="AP118" s="208">
        <f>AP117-(AP109+AP115)</f>
        <v>0</v>
      </c>
      <c r="AQ118" s="798">
        <f>AQ117-(AQ109+AQ115)</f>
        <v>0</v>
      </c>
      <c r="AR118" s="208"/>
      <c r="AS118" s="780">
        <f>AS117-(AS109+AS115)</f>
        <v>0</v>
      </c>
      <c r="AT118" s="208">
        <f>AT117-(AT109+AT115)</f>
        <v>0</v>
      </c>
      <c r="AU118" s="208">
        <f>AU117-(AU109+AU115)</f>
        <v>0</v>
      </c>
      <c r="AV118" s="208">
        <f>AV117-(AV109+AV115)</f>
        <v>0</v>
      </c>
      <c r="AW118" s="798">
        <f>AW117-(AW109+AW115)</f>
        <v>0</v>
      </c>
      <c r="AX118" s="208"/>
      <c r="AY118" s="780">
        <f>AY117-(AY109+AY115)</f>
        <v>0</v>
      </c>
      <c r="AZ118" s="208">
        <f>AZ117-(AZ109+AZ115)</f>
        <v>0</v>
      </c>
      <c r="BA118" s="208">
        <f>BA117-(BA109+BA115)</f>
        <v>0</v>
      </c>
      <c r="BB118" s="208">
        <f>BB117-(BB109+BB115)</f>
        <v>0</v>
      </c>
      <c r="BC118" s="798">
        <f>BC117-(BC109+BC115)</f>
        <v>0</v>
      </c>
      <c r="BD118" s="208"/>
      <c r="BE118" s="780">
        <f>BE117-(BE109+BE115)</f>
        <v>0</v>
      </c>
      <c r="BF118" s="208">
        <f>BF117-(BF109+BF115)</f>
        <v>0</v>
      </c>
      <c r="BG118" s="208">
        <f>BG117-(BG109+BG115)</f>
        <v>0</v>
      </c>
      <c r="BH118" s="208">
        <f>BH117-(BH109+BH115)</f>
        <v>0</v>
      </c>
      <c r="BI118" s="798">
        <f>BI117-(BI109+BI115)</f>
        <v>0</v>
      </c>
      <c r="BJ118" s="208"/>
      <c r="BK118" s="780">
        <f>BK117-(BK109+BK115)</f>
        <v>0</v>
      </c>
      <c r="BL118" s="208">
        <f>BL117-(BL109+BL115)</f>
        <v>0</v>
      </c>
      <c r="BM118" s="208">
        <f>BM117-(BM109+BM115)</f>
        <v>0</v>
      </c>
      <c r="BN118" s="208">
        <f>BN117-(BN109+BN115)</f>
        <v>0</v>
      </c>
      <c r="BO118" s="798">
        <f>BO117-(BO109+BO115)</f>
        <v>0</v>
      </c>
      <c r="BP118" s="208"/>
      <c r="BQ118" s="780">
        <f>BQ117-(BQ109+BQ115)</f>
        <v>0</v>
      </c>
      <c r="BR118" s="208">
        <f>BR117-(BR109+BR115)</f>
        <v>0</v>
      </c>
      <c r="BS118" s="208">
        <f>BS117-(BS109+BS115)</f>
        <v>0</v>
      </c>
      <c r="BT118" s="208">
        <f>BT117-(BT109+BT115)</f>
        <v>0</v>
      </c>
      <c r="BU118" s="798">
        <f>BU117-(BU109+BU115)</f>
        <v>0</v>
      </c>
      <c r="BV118" s="208"/>
      <c r="BW118" s="780">
        <f>BW117-(BW109+BW115)</f>
        <v>0</v>
      </c>
      <c r="BX118" s="208">
        <f>BX117-(BX109+BX115)</f>
        <v>0</v>
      </c>
      <c r="BY118" s="208">
        <f>BY117-(BY109+BY115)</f>
        <v>0</v>
      </c>
      <c r="BZ118" s="208">
        <f>BZ117-(BZ109+BZ115)</f>
        <v>0</v>
      </c>
      <c r="CA118" s="798">
        <f>CA117-(CA109+CA115)</f>
        <v>0</v>
      </c>
      <c r="CB118" s="208"/>
      <c r="CC118" s="780">
        <f>CC117-(CC109+CC115)</f>
        <v>0</v>
      </c>
      <c r="CD118" s="208">
        <f>CD117-(CD109+CD115)</f>
        <v>0</v>
      </c>
      <c r="CE118" s="208">
        <f>CE117-(CE109+CE115)</f>
        <v>0</v>
      </c>
      <c r="CF118" s="208">
        <f>CF117-(CF109+CF115)</f>
        <v>0</v>
      </c>
      <c r="CG118" s="798">
        <f>CG117-(CG109+CG115)</f>
        <v>0</v>
      </c>
      <c r="CH118" s="208"/>
      <c r="CI118" s="780">
        <f>CI117-(CI109+CI115)</f>
        <v>0</v>
      </c>
      <c r="CJ118" s="208">
        <f>CJ117-(CJ109+CJ115)</f>
        <v>0</v>
      </c>
      <c r="CK118" s="208">
        <f>CK117-(CK109+CK115)</f>
        <v>0</v>
      </c>
      <c r="CL118" s="208">
        <f>CL117-(CL109+CL115)</f>
        <v>0</v>
      </c>
      <c r="CM118" s="798">
        <f>CM117-(CM109+CM115)</f>
        <v>0</v>
      </c>
      <c r="CN118" s="208"/>
      <c r="CO118" s="208"/>
      <c r="CP118" s="208"/>
      <c r="CQ118"/>
      <c r="CR118"/>
      <c r="CS118"/>
      <c r="CT118"/>
      <c r="CU118"/>
      <c r="CV118"/>
      <c r="CW118" s="14"/>
    </row>
    <row r="119" spans="2:101" s="123" customFormat="1" ht="11.25" customHeight="1" x14ac:dyDescent="0.2">
      <c r="B119" s="768"/>
      <c r="C119" s="780"/>
      <c r="D119" s="208"/>
      <c r="E119" s="208"/>
      <c r="F119" s="208"/>
      <c r="G119" s="798"/>
      <c r="H119" s="208"/>
      <c r="I119" s="780"/>
      <c r="J119" s="208"/>
      <c r="K119" s="208"/>
      <c r="L119" s="208"/>
      <c r="M119" s="798"/>
      <c r="N119" s="208"/>
      <c r="O119" s="780"/>
      <c r="P119" s="208"/>
      <c r="Q119" s="208"/>
      <c r="R119" s="208"/>
      <c r="S119" s="798"/>
      <c r="T119" s="208"/>
      <c r="U119" s="780"/>
      <c r="V119" s="208"/>
      <c r="W119" s="208"/>
      <c r="X119" s="208"/>
      <c r="Y119" s="798"/>
      <c r="Z119" s="208"/>
      <c r="AA119" s="780"/>
      <c r="AB119" s="208"/>
      <c r="AC119" s="208"/>
      <c r="AD119" s="208"/>
      <c r="AE119" s="798"/>
      <c r="AF119" s="208"/>
      <c r="AG119" s="780"/>
      <c r="AH119" s="208"/>
      <c r="AI119" s="208"/>
      <c r="AJ119" s="208"/>
      <c r="AK119" s="798"/>
      <c r="AL119" s="208"/>
      <c r="AM119" s="780"/>
      <c r="AN119" s="208"/>
      <c r="AO119" s="208"/>
      <c r="AP119" s="208"/>
      <c r="AQ119" s="798"/>
      <c r="AR119" s="208"/>
      <c r="AS119" s="780"/>
      <c r="AT119" s="208"/>
      <c r="AU119" s="208"/>
      <c r="AV119" s="208"/>
      <c r="AW119" s="798"/>
      <c r="AX119" s="208"/>
      <c r="AY119" s="780"/>
      <c r="AZ119" s="208"/>
      <c r="BA119" s="208"/>
      <c r="BB119" s="208"/>
      <c r="BC119" s="798"/>
      <c r="BD119" s="208"/>
      <c r="BE119" s="780"/>
      <c r="BF119" s="208"/>
      <c r="BG119" s="208"/>
      <c r="BH119" s="208"/>
      <c r="BI119" s="798"/>
      <c r="BJ119" s="208"/>
      <c r="BK119" s="780"/>
      <c r="BL119" s="208"/>
      <c r="BM119" s="208"/>
      <c r="BN119" s="208"/>
      <c r="BO119" s="798"/>
      <c r="BP119" s="208"/>
      <c r="BQ119" s="780"/>
      <c r="BR119" s="208"/>
      <c r="BS119" s="208"/>
      <c r="BT119" s="208"/>
      <c r="BU119" s="798"/>
      <c r="BV119" s="208"/>
      <c r="BW119" s="780"/>
      <c r="BX119" s="208"/>
      <c r="BY119" s="208"/>
      <c r="BZ119" s="208"/>
      <c r="CA119" s="798"/>
      <c r="CB119" s="208"/>
      <c r="CC119" s="780"/>
      <c r="CD119" s="208"/>
      <c r="CE119" s="208"/>
      <c r="CF119" s="208"/>
      <c r="CG119" s="798"/>
      <c r="CH119" s="208"/>
      <c r="CI119" s="780"/>
      <c r="CJ119" s="208"/>
      <c r="CK119" s="208"/>
      <c r="CL119" s="208"/>
      <c r="CM119" s="798"/>
      <c r="CN119" s="208"/>
      <c r="CO119" s="208"/>
      <c r="CP119" s="208"/>
      <c r="CQ119"/>
      <c r="CR119"/>
      <c r="CS119"/>
      <c r="CT119"/>
      <c r="CU119"/>
      <c r="CV119"/>
      <c r="CW119" s="14"/>
    </row>
    <row r="120" spans="2:101" s="123" customFormat="1" ht="11.25" customHeight="1" x14ac:dyDescent="0.2">
      <c r="B120" s="567" t="s">
        <v>86</v>
      </c>
      <c r="C120" s="618"/>
      <c r="D120" s="619"/>
      <c r="E120" s="619"/>
      <c r="F120" s="619"/>
      <c r="G120" s="617"/>
      <c r="H120" s="585"/>
      <c r="I120" s="618"/>
      <c r="J120" s="619"/>
      <c r="K120" s="619"/>
      <c r="L120" s="619"/>
      <c r="M120" s="617"/>
      <c r="N120" s="585"/>
      <c r="O120" s="618"/>
      <c r="P120" s="619"/>
      <c r="Q120" s="619"/>
      <c r="R120" s="619"/>
      <c r="S120" s="617"/>
      <c r="T120" s="585"/>
      <c r="U120" s="618"/>
      <c r="V120" s="619"/>
      <c r="W120" s="619"/>
      <c r="X120" s="619"/>
      <c r="Y120" s="617"/>
      <c r="Z120" s="585"/>
      <c r="AA120" s="618"/>
      <c r="AB120" s="619"/>
      <c r="AC120" s="619"/>
      <c r="AD120" s="619"/>
      <c r="AE120" s="617"/>
      <c r="AF120" s="585"/>
      <c r="AG120" s="618"/>
      <c r="AH120" s="619"/>
      <c r="AI120" s="619"/>
      <c r="AJ120" s="619"/>
      <c r="AK120" s="617"/>
      <c r="AL120" s="585"/>
      <c r="AM120" s="618"/>
      <c r="AN120" s="619"/>
      <c r="AO120" s="619"/>
      <c r="AP120" s="619"/>
      <c r="AQ120" s="617"/>
      <c r="AR120" s="585"/>
      <c r="AS120" s="618"/>
      <c r="AT120" s="619"/>
      <c r="AU120" s="619"/>
      <c r="AV120" s="619"/>
      <c r="AW120" s="617"/>
      <c r="AX120" s="585"/>
      <c r="AY120" s="618"/>
      <c r="AZ120" s="619"/>
      <c r="BA120" s="619"/>
      <c r="BB120" s="619"/>
      <c r="BC120" s="617"/>
      <c r="BD120" s="585"/>
      <c r="BE120" s="618"/>
      <c r="BF120" s="619"/>
      <c r="BG120" s="619"/>
      <c r="BH120" s="619"/>
      <c r="BI120" s="617"/>
      <c r="BJ120" s="585"/>
      <c r="BK120" s="618"/>
      <c r="BL120" s="619"/>
      <c r="BM120" s="619"/>
      <c r="BN120" s="619"/>
      <c r="BO120" s="617"/>
      <c r="BP120" s="585"/>
      <c r="BQ120" s="618"/>
      <c r="BR120" s="619"/>
      <c r="BS120" s="619"/>
      <c r="BT120" s="619"/>
      <c r="BU120" s="617"/>
      <c r="BV120" s="585"/>
      <c r="BW120" s="618"/>
      <c r="BX120" s="619"/>
      <c r="BY120" s="619"/>
      <c r="BZ120" s="619"/>
      <c r="CA120" s="617"/>
      <c r="CB120" s="585"/>
      <c r="CC120" s="618"/>
      <c r="CD120" s="619"/>
      <c r="CE120" s="619"/>
      <c r="CF120" s="619"/>
      <c r="CG120" s="617"/>
      <c r="CH120" s="585"/>
      <c r="CI120" s="618"/>
      <c r="CJ120" s="619"/>
      <c r="CK120" s="619"/>
      <c r="CL120" s="619"/>
      <c r="CM120" s="617"/>
      <c r="CN120" s="42"/>
      <c r="CO120" s="51"/>
      <c r="CP120" s="51"/>
      <c r="CQ120"/>
      <c r="CR120"/>
      <c r="CS120"/>
      <c r="CT120"/>
      <c r="CU120"/>
      <c r="CV120"/>
      <c r="CW120" s="14"/>
    </row>
    <row r="121" spans="2:101" s="123" customFormat="1" ht="11.25" customHeight="1" x14ac:dyDescent="0.2">
      <c r="B121" s="566" t="s">
        <v>87</v>
      </c>
      <c r="C121" s="425">
        <v>108.008</v>
      </c>
      <c r="D121" s="199">
        <f>C126</f>
        <v>106.627</v>
      </c>
      <c r="E121" s="199">
        <f>D126</f>
        <v>105.191</v>
      </c>
      <c r="F121" s="199">
        <f>E126</f>
        <v>103.68600000000001</v>
      </c>
      <c r="G121" s="695">
        <f>C121</f>
        <v>108.008</v>
      </c>
      <c r="H121" s="199"/>
      <c r="I121" s="175">
        <f>+G126</f>
        <v>102.35699999999997</v>
      </c>
      <c r="J121" s="199">
        <f>I126</f>
        <v>101.161</v>
      </c>
      <c r="K121" s="199">
        <f>J126</f>
        <v>102.119</v>
      </c>
      <c r="L121" s="199">
        <f>K126</f>
        <v>100.873</v>
      </c>
      <c r="M121" s="695">
        <f>I121</f>
        <v>102.35699999999997</v>
      </c>
      <c r="N121" s="199"/>
      <c r="O121" s="175">
        <f>+M126</f>
        <v>200.39799999999997</v>
      </c>
      <c r="P121" s="199">
        <f>O126</f>
        <v>198.93899999999999</v>
      </c>
      <c r="Q121" s="199">
        <f>P126</f>
        <v>195.465</v>
      </c>
      <c r="R121" s="199">
        <f>Q126</f>
        <v>193.678</v>
      </c>
      <c r="S121" s="695">
        <f>O121</f>
        <v>200.39799999999997</v>
      </c>
      <c r="T121" s="199"/>
      <c r="U121" s="175">
        <f>+S126</f>
        <v>220.93199999999996</v>
      </c>
      <c r="V121" s="199">
        <f>U126</f>
        <v>219.88900000000001</v>
      </c>
      <c r="W121" s="199">
        <f>V126</f>
        <v>229.62700000000001</v>
      </c>
      <c r="X121" s="199">
        <f>W126</f>
        <v>226.26</v>
      </c>
      <c r="Y121" s="695">
        <f>U121</f>
        <v>220.93199999999996</v>
      </c>
      <c r="Z121" s="199"/>
      <c r="AA121" s="175">
        <f>+Y126</f>
        <v>223.59399999999999</v>
      </c>
      <c r="AB121" s="199">
        <f>AA126</f>
        <v>220.00700000000001</v>
      </c>
      <c r="AC121" s="199">
        <f>AB126</f>
        <v>233.37</v>
      </c>
      <c r="AD121" s="199">
        <f>AC126</f>
        <v>230.001</v>
      </c>
      <c r="AE121" s="695">
        <f>AA121</f>
        <v>223.59399999999999</v>
      </c>
      <c r="AF121" s="199"/>
      <c r="AG121" s="175">
        <f>+AE126</f>
        <v>227.21600000000001</v>
      </c>
      <c r="AH121" s="199">
        <f>AG126</f>
        <v>223.101</v>
      </c>
      <c r="AI121" s="199">
        <f>AH126</f>
        <v>220.56899999999999</v>
      </c>
      <c r="AJ121" s="199">
        <f>AI126</f>
        <v>215.529</v>
      </c>
      <c r="AK121" s="695">
        <f>AG121</f>
        <v>227.21600000000001</v>
      </c>
      <c r="AL121" s="199"/>
      <c r="AM121" s="175">
        <f>+AK126</f>
        <v>212.55699999999999</v>
      </c>
      <c r="AN121" s="199">
        <f>AM126</f>
        <v>207.00200000000001</v>
      </c>
      <c r="AO121" s="199">
        <f>AN126</f>
        <v>207.10400000000001</v>
      </c>
      <c r="AP121" s="199">
        <f>AO126</f>
        <v>203.65299999999999</v>
      </c>
      <c r="AQ121" s="695">
        <f>AM121</f>
        <v>212.55699999999999</v>
      </c>
      <c r="AR121" s="199"/>
      <c r="AS121" s="175">
        <f>+AQ126</f>
        <v>196.65600000000001</v>
      </c>
      <c r="AT121" s="199">
        <f>AS126</f>
        <v>191.81</v>
      </c>
      <c r="AU121" s="199">
        <f>AT126</f>
        <v>238.77600000000001</v>
      </c>
      <c r="AV121" s="199">
        <f>AU126</f>
        <v>228.155</v>
      </c>
      <c r="AW121" s="695">
        <f>AS121</f>
        <v>196.65600000000001</v>
      </c>
      <c r="AX121" s="199"/>
      <c r="AY121" s="175">
        <f>+AW126</f>
        <v>223.15000000000003</v>
      </c>
      <c r="AZ121" s="199">
        <f>AY126</f>
        <v>219.28700000000001</v>
      </c>
      <c r="BA121" s="199">
        <f>AZ126</f>
        <v>209.52699999999999</v>
      </c>
      <c r="BB121" s="199">
        <f>BA126</f>
        <v>205.42</v>
      </c>
      <c r="BC121" s="695">
        <f>AY121</f>
        <v>223.15000000000003</v>
      </c>
      <c r="BD121" s="199"/>
      <c r="BE121" s="175">
        <f>+BC126</f>
        <v>125.02500000000001</v>
      </c>
      <c r="BF121" s="199">
        <f>BE126</f>
        <v>551.33699999999999</v>
      </c>
      <c r="BG121" s="199">
        <f>BF126</f>
        <v>537.07899999999995</v>
      </c>
      <c r="BH121" s="199">
        <f>BG126</f>
        <v>522.21500000000003</v>
      </c>
      <c r="BI121" s="695">
        <f>BE121</f>
        <v>125.02500000000001</v>
      </c>
      <c r="BJ121" s="199"/>
      <c r="BK121" s="175">
        <f>+BI126</f>
        <v>509.29700000000003</v>
      </c>
      <c r="BL121" s="199">
        <f>BK126</f>
        <v>494.98099999999999</v>
      </c>
      <c r="BM121" s="199">
        <f>BL126</f>
        <v>479.97699999999998</v>
      </c>
      <c r="BN121" s="199">
        <f>BM126</f>
        <v>434.38600000000002</v>
      </c>
      <c r="BO121" s="695">
        <f>BK121</f>
        <v>509.29700000000003</v>
      </c>
      <c r="BP121" s="199"/>
      <c r="BQ121" s="175">
        <f>+BO126</f>
        <v>425.43599999999998</v>
      </c>
      <c r="BR121" s="199">
        <f>BQ126</f>
        <v>416.29599999999999</v>
      </c>
      <c r="BS121" s="199">
        <f>BR126</f>
        <v>406.64100000000002</v>
      </c>
      <c r="BT121" s="199">
        <f>BS126</f>
        <v>406.64100000000002</v>
      </c>
      <c r="BU121" s="695">
        <f>BO126</f>
        <v>425.43599999999998</v>
      </c>
      <c r="BV121" s="199"/>
      <c r="BW121" s="175">
        <f>BU126</f>
        <v>397.86799999999999</v>
      </c>
      <c r="BX121" s="199">
        <f>BW126</f>
        <v>388.36799999999999</v>
      </c>
      <c r="BY121" s="199">
        <f>BX126</f>
        <v>378.86799999999999</v>
      </c>
      <c r="BZ121" s="199">
        <f>BY126</f>
        <v>369.36799999999999</v>
      </c>
      <c r="CA121" s="695">
        <f>BU126</f>
        <v>397.86799999999999</v>
      </c>
      <c r="CB121" s="199"/>
      <c r="CC121" s="175">
        <f>CA126</f>
        <v>359.86799999999999</v>
      </c>
      <c r="CD121" s="199">
        <f>CC126</f>
        <v>351.11799999999999</v>
      </c>
      <c r="CE121" s="199">
        <f>CD126</f>
        <v>342.36799999999999</v>
      </c>
      <c r="CF121" s="199">
        <f>CE126</f>
        <v>333.61799999999999</v>
      </c>
      <c r="CG121" s="695">
        <f>CA126</f>
        <v>359.86799999999999</v>
      </c>
      <c r="CH121" s="199"/>
      <c r="CI121" s="175">
        <f>CG126</f>
        <v>324.86799999999999</v>
      </c>
      <c r="CJ121" s="199">
        <f>CI126</f>
        <v>316.11799999999999</v>
      </c>
      <c r="CK121" s="199">
        <f>CJ126</f>
        <v>307.36799999999999</v>
      </c>
      <c r="CL121" s="199">
        <f>CK126</f>
        <v>298.61799999999999</v>
      </c>
      <c r="CM121" s="695">
        <f>CG126</f>
        <v>324.86799999999999</v>
      </c>
      <c r="CN121" s="199"/>
      <c r="CO121" s="51"/>
      <c r="CP121" s="51"/>
      <c r="CQ121"/>
      <c r="CR121"/>
      <c r="CS121"/>
      <c r="CT121"/>
      <c r="CU121"/>
      <c r="CV121"/>
      <c r="CW121" s="14"/>
    </row>
    <row r="122" spans="2:101" s="123" customFormat="1" ht="11.25" customHeight="1" x14ac:dyDescent="0.2">
      <c r="B122" s="658" t="s">
        <v>267</v>
      </c>
      <c r="C122" s="175">
        <f>-C137*C139</f>
        <v>1.2192000000000001</v>
      </c>
      <c r="D122" s="199">
        <f>-D137*D139</f>
        <v>1.3802999999999996</v>
      </c>
      <c r="E122" s="199">
        <f>-E137*E139</f>
        <v>1.2</v>
      </c>
      <c r="F122" s="199">
        <f>-F137*F139</f>
        <v>0</v>
      </c>
      <c r="G122" s="695">
        <f>+SUM(C122:F122)</f>
        <v>3.7995000000000001</v>
      </c>
      <c r="H122" s="199"/>
      <c r="I122" s="175">
        <f>-I137*I139</f>
        <v>0.84839999999999993</v>
      </c>
      <c r="J122" s="199">
        <f>-J137*J139</f>
        <v>2.6133000000000002</v>
      </c>
      <c r="K122" s="199">
        <f>-K137*K139</f>
        <v>0.42840000000000011</v>
      </c>
      <c r="L122" s="199">
        <f>-L137*L139</f>
        <v>2.9180999999999995</v>
      </c>
      <c r="M122" s="695">
        <f>+SUM(I122:L122)</f>
        <v>6.8081999999999994</v>
      </c>
      <c r="N122" s="199"/>
      <c r="O122" s="175">
        <f>-O137*O139</f>
        <v>0.15390000000000001</v>
      </c>
      <c r="P122" s="199">
        <f>-P137*P139</f>
        <v>20.809199999999997</v>
      </c>
      <c r="Q122" s="199">
        <f>-Q137*Q139</f>
        <v>12.019500000000001</v>
      </c>
      <c r="R122" s="199">
        <f>-R137*R139</f>
        <v>4.4501999999999979</v>
      </c>
      <c r="S122" s="695">
        <f>+SUM(O122:R122)</f>
        <v>37.432799999999993</v>
      </c>
      <c r="T122" s="199"/>
      <c r="U122" s="175">
        <f>-U137*U139</f>
        <v>8.4338999999999995</v>
      </c>
      <c r="V122" s="199">
        <f>-V137*V139</f>
        <v>1.1400000000000077E-2</v>
      </c>
      <c r="W122" s="199">
        <f>-W137*W139</f>
        <v>0</v>
      </c>
      <c r="X122" s="199">
        <f>-X137*X139</f>
        <v>7.6562999999999999</v>
      </c>
      <c r="Y122" s="695">
        <f>+SUM(U122:X122)</f>
        <v>16.101599999999998</v>
      </c>
      <c r="Z122" s="199"/>
      <c r="AA122" s="175">
        <f>-AA137*AA139</f>
        <v>14.0046</v>
      </c>
      <c r="AB122" s="199">
        <f>-AB137*AB139</f>
        <v>0</v>
      </c>
      <c r="AC122" s="199">
        <f>-AC137*AC139</f>
        <v>1.6983000000000004</v>
      </c>
      <c r="AD122" s="199">
        <f>-AD137*AD139</f>
        <v>-4.6800000000001771E-2</v>
      </c>
      <c r="AE122" s="695">
        <f>+SUM(AA122:AD122)</f>
        <v>15.656099999999999</v>
      </c>
      <c r="AF122" s="199"/>
      <c r="AG122" s="175">
        <f>-AG137*AG139</f>
        <v>0</v>
      </c>
      <c r="AH122" s="199">
        <f>-AH137*AH139</f>
        <v>2.6178000000000003</v>
      </c>
      <c r="AI122" s="199">
        <f>-AI137*AI139</f>
        <v>1.6400999999999997</v>
      </c>
      <c r="AJ122" s="199">
        <f>-AJ137*AJ139</f>
        <v>2.5281000000000002</v>
      </c>
      <c r="AK122" s="695">
        <f>+SUM(AG122:AJ122)</f>
        <v>6.7860000000000005</v>
      </c>
      <c r="AL122" s="199"/>
      <c r="AM122" s="175">
        <f>-AM137*AM139</f>
        <v>0</v>
      </c>
      <c r="AN122" s="199">
        <f>-AN137*AN139</f>
        <v>3.1772999999999998</v>
      </c>
      <c r="AO122" s="199">
        <f>-AO137*AO139</f>
        <v>1.2177000000000002</v>
      </c>
      <c r="AP122" s="199">
        <f>-AP137*AP139</f>
        <v>0</v>
      </c>
      <c r="AQ122" s="695">
        <f>+SUM(AM122:AP122)</f>
        <v>4.3949999999999996</v>
      </c>
      <c r="AR122" s="199"/>
      <c r="AS122" s="175">
        <f>-AS137*AS139</f>
        <v>0</v>
      </c>
      <c r="AT122" s="199">
        <f>-AT137*AT139</f>
        <v>42.288899999999998</v>
      </c>
      <c r="AU122" s="199">
        <f>-AU137*AU139</f>
        <v>-5.6699999999997884E-2</v>
      </c>
      <c r="AV122" s="199">
        <f>-AV137*AV139</f>
        <v>1.5122999999999991</v>
      </c>
      <c r="AW122" s="695">
        <f>+SUM(AS122:AV122)</f>
        <v>43.744499999999995</v>
      </c>
      <c r="AX122" s="199"/>
      <c r="AY122" s="175">
        <f>-AY137*AY139</f>
        <v>0</v>
      </c>
      <c r="AZ122" s="199">
        <f>-AZ137*AZ139</f>
        <v>0</v>
      </c>
      <c r="BA122" s="199">
        <f>-BA137*BA139</f>
        <v>2.6190000000000002</v>
      </c>
      <c r="BB122" s="199">
        <f>-BB137*BB139</f>
        <v>0.53549999999999998</v>
      </c>
      <c r="BC122" s="695">
        <f>+SUM(AY122:BB122)</f>
        <v>3.1545000000000001</v>
      </c>
      <c r="BD122" s="199"/>
      <c r="BE122" s="175">
        <f>-BE137*BE139</f>
        <v>331.41899999999998</v>
      </c>
      <c r="BF122" s="199">
        <f>-BF137*BF139</f>
        <v>0.14970000000000708</v>
      </c>
      <c r="BG122" s="199">
        <f>-BG137*BG139</f>
        <v>0.40620000000001255</v>
      </c>
      <c r="BH122" s="199">
        <f>-BH137*BH139</f>
        <v>0</v>
      </c>
      <c r="BI122" s="695">
        <f>+SUM(BE122:BH122)</f>
        <v>331.97489999999999</v>
      </c>
      <c r="BJ122" s="199"/>
      <c r="BK122" s="175">
        <f>-BK137*BK139</f>
        <v>0</v>
      </c>
      <c r="BL122" s="199">
        <f>-BL137*BL139</f>
        <v>0</v>
      </c>
      <c r="BM122" s="199">
        <f>-BM137*BM139</f>
        <v>0</v>
      </c>
      <c r="BN122" s="199">
        <f>-BN137*BN139</f>
        <v>0</v>
      </c>
      <c r="BO122" s="695">
        <f>+SUM(BK122:BN122)</f>
        <v>0</v>
      </c>
      <c r="BP122" s="199"/>
      <c r="BQ122" s="175">
        <f>-BQ137*BQ139</f>
        <v>0</v>
      </c>
      <c r="BR122" s="199">
        <f>-BR137*BR139</f>
        <v>0</v>
      </c>
      <c r="BS122" s="199">
        <f>-BS137*BS139</f>
        <v>0</v>
      </c>
      <c r="BT122" s="199">
        <f>-BT137*BT139</f>
        <v>0</v>
      </c>
      <c r="BU122" s="695">
        <f>SUM(BQ122:BT122)</f>
        <v>0</v>
      </c>
      <c r="BV122" s="199"/>
      <c r="BW122" s="175">
        <f>-BW137*BW139</f>
        <v>0</v>
      </c>
      <c r="BX122" s="199">
        <f>-BX137*BX139</f>
        <v>0</v>
      </c>
      <c r="BY122" s="199">
        <f>-BY137*BY139</f>
        <v>0</v>
      </c>
      <c r="BZ122" s="199">
        <f>-BZ137*BZ139</f>
        <v>0</v>
      </c>
      <c r="CA122" s="695">
        <f>SUM(BW122:BZ122)</f>
        <v>0</v>
      </c>
      <c r="CB122" s="199"/>
      <c r="CC122" s="175">
        <f>-CC137*CC139</f>
        <v>0</v>
      </c>
      <c r="CD122" s="199">
        <f>-CD137*CD139</f>
        <v>0</v>
      </c>
      <c r="CE122" s="199">
        <f>-CE137*CE139</f>
        <v>0</v>
      </c>
      <c r="CF122" s="199">
        <f>-CF137*CF139</f>
        <v>0</v>
      </c>
      <c r="CG122" s="695">
        <f>SUM(CC122:CF122)</f>
        <v>0</v>
      </c>
      <c r="CH122" s="199"/>
      <c r="CI122" s="175">
        <f>-CI137*CI139</f>
        <v>0</v>
      </c>
      <c r="CJ122" s="199">
        <f>-CJ137*CJ139</f>
        <v>0</v>
      </c>
      <c r="CK122" s="199">
        <f>-CK137*CK139</f>
        <v>0</v>
      </c>
      <c r="CL122" s="199">
        <f>-CL137*CL139</f>
        <v>0</v>
      </c>
      <c r="CM122" s="695">
        <f>SUM(CI122:CL122)</f>
        <v>0</v>
      </c>
      <c r="CN122" s="199"/>
      <c r="CO122" s="51"/>
      <c r="CP122" s="51"/>
      <c r="CQ122"/>
      <c r="CR122"/>
      <c r="CS122"/>
      <c r="CT122"/>
      <c r="CU122"/>
      <c r="CV122"/>
      <c r="CW122" s="14"/>
    </row>
    <row r="123" spans="2:101" s="123" customFormat="1" ht="11.25" customHeight="1" x14ac:dyDescent="0.2">
      <c r="B123" s="658" t="s">
        <v>88</v>
      </c>
      <c r="C123" s="175">
        <f>+'Cash Flow'!C12</f>
        <v>1.385</v>
      </c>
      <c r="D123" s="199">
        <f>+'Cash Flow'!D12</f>
        <v>1.4709999999999999</v>
      </c>
      <c r="E123" s="199">
        <f>+'Cash Flow'!E12</f>
        <v>1.4640000000000002</v>
      </c>
      <c r="F123" s="199">
        <f>+'Cash Flow'!F12</f>
        <v>1.3899999999999995</v>
      </c>
      <c r="G123" s="695">
        <f>SUM(C123:F123)</f>
        <v>5.71</v>
      </c>
      <c r="H123" s="199"/>
      <c r="I123" s="175">
        <f>+'Cash Flow'!I12</f>
        <v>1.2470000000000001</v>
      </c>
      <c r="J123" s="199">
        <f>+'Cash Flow'!J12</f>
        <v>1.4019999999999999</v>
      </c>
      <c r="K123" s="199">
        <f>+'Cash Flow'!K12</f>
        <v>2.3209999999999997</v>
      </c>
      <c r="L123" s="199">
        <f>+'Cash Flow'!L12</f>
        <v>1.8180000000000003</v>
      </c>
      <c r="M123" s="695">
        <f>SUM(I123:L123)</f>
        <v>6.7880000000000003</v>
      </c>
      <c r="N123" s="199"/>
      <c r="O123" s="175">
        <f>+'Cash Flow'!O12</f>
        <v>1.4179999999999999</v>
      </c>
      <c r="P123" s="199">
        <f>+'Cash Flow'!P12</f>
        <v>1.478</v>
      </c>
      <c r="Q123" s="199">
        <f>+'Cash Flow'!Q12</f>
        <v>2.2919999999999998</v>
      </c>
      <c r="R123" s="199">
        <f>+'Cash Flow'!R12</f>
        <v>2.2680000000000007</v>
      </c>
      <c r="S123" s="695">
        <f>SUM(O123:R123)</f>
        <v>7.4560000000000004</v>
      </c>
      <c r="T123" s="199"/>
      <c r="U123" s="175">
        <f>+'Cash Flow'!U12</f>
        <v>3.1030000000000002</v>
      </c>
      <c r="V123" s="199">
        <f>+'Cash Flow'!V12</f>
        <v>3.6379999999999995</v>
      </c>
      <c r="W123" s="199">
        <f>+'Cash Flow'!W12</f>
        <v>3.5829999999999997</v>
      </c>
      <c r="X123" s="199">
        <f>+'Cash Flow'!X12</f>
        <v>3.4579999999999997</v>
      </c>
      <c r="Y123" s="695">
        <f>SUM(U123:X123)</f>
        <v>13.782</v>
      </c>
      <c r="Z123" s="199"/>
      <c r="AA123" s="175">
        <f>+'Cash Flow'!AA12</f>
        <v>3.1139999999999999</v>
      </c>
      <c r="AB123" s="199">
        <f>+'Cash Flow'!AB12</f>
        <v>5.0859999999999994</v>
      </c>
      <c r="AC123" s="199">
        <f>+'Cash Flow'!AC12</f>
        <v>3.8670000000000009</v>
      </c>
      <c r="AD123" s="199">
        <f>+'Cash Flow'!AD12</f>
        <v>4.6589999999999989</v>
      </c>
      <c r="AE123" s="695">
        <f>SUM(AA123:AD123)</f>
        <v>16.725999999999999</v>
      </c>
      <c r="AF123" s="199"/>
      <c r="AG123" s="175">
        <f>+'Cash Flow'!AG12</f>
        <v>3.665</v>
      </c>
      <c r="AH123" s="199">
        <f>+'Cash Flow'!AH12</f>
        <v>3.7530000000000001</v>
      </c>
      <c r="AI123" s="199">
        <f>+'Cash Flow'!AI12</f>
        <v>4.5720000000000001</v>
      </c>
      <c r="AJ123" s="199">
        <f>+'Cash Flow'!AJ12</f>
        <v>4.964999999999999</v>
      </c>
      <c r="AK123" s="695">
        <f>SUM(AG123:AJ123)</f>
        <v>16.954999999999998</v>
      </c>
      <c r="AL123" s="199"/>
      <c r="AM123" s="175">
        <f>+'Cash Flow'!AM12</f>
        <v>5.0709999999999997</v>
      </c>
      <c r="AN123" s="199">
        <f>+'Cash Flow'!AN12</f>
        <v>4.1159999999999997</v>
      </c>
      <c r="AO123" s="199">
        <f>+'Cash Flow'!AO12</f>
        <v>4.9830000000000005</v>
      </c>
      <c r="AP123" s="199">
        <f>+'Cash Flow'!AP12</f>
        <v>6.1120000000000001</v>
      </c>
      <c r="AQ123" s="695">
        <f>SUM(AM123:AP123)</f>
        <v>20.282</v>
      </c>
      <c r="AR123" s="199"/>
      <c r="AS123" s="175">
        <f>+'Cash Flow'!AS12</f>
        <v>4.3959999999999999</v>
      </c>
      <c r="AT123" s="199">
        <f>+'Cash Flow'!AT12</f>
        <v>5.3039999999999994</v>
      </c>
      <c r="AU123" s="199">
        <f>+'Cash Flow'!AU12</f>
        <v>6.6630000000000011</v>
      </c>
      <c r="AV123" s="199">
        <f>+'Cash Flow'!AV12</f>
        <v>6.5100000000000025</v>
      </c>
      <c r="AW123" s="695">
        <f>SUM(AS123:AV123)</f>
        <v>22.873000000000001</v>
      </c>
      <c r="AX123" s="199"/>
      <c r="AY123" s="175">
        <f>+'Cash Flow'!AY12</f>
        <v>3.7490000000000001</v>
      </c>
      <c r="AZ123" s="199">
        <f>+'Cash Flow'!AZ12</f>
        <v>5.6020000000000003</v>
      </c>
      <c r="BA123" s="199">
        <f>+'Cash Flow'!BA12</f>
        <v>4.8409999999999993</v>
      </c>
      <c r="BB123" s="199">
        <f>+'Cash Flow'!BB12</f>
        <v>6.5629999999999988</v>
      </c>
      <c r="BC123" s="695">
        <f>SUM(AY123:BB123)</f>
        <v>20.754999999999999</v>
      </c>
      <c r="BD123" s="199"/>
      <c r="BE123" s="175">
        <f>+'Cash Flow'!BE12</f>
        <v>7.9009999999999998</v>
      </c>
      <c r="BF123" s="199">
        <f>+'Cash Flow'!BF12</f>
        <v>13.708000000000002</v>
      </c>
      <c r="BG123" s="199">
        <f>+'Cash Flow'!BG12</f>
        <v>12.268000000000001</v>
      </c>
      <c r="BH123" s="199">
        <f>+'Cash Flow'!BH12</f>
        <v>14.190999999999995</v>
      </c>
      <c r="BI123" s="695">
        <f>SUM(BE123:BH123)</f>
        <v>48.067999999999998</v>
      </c>
      <c r="BJ123" s="199"/>
      <c r="BK123" s="175">
        <f>+'Cash Flow'!BK12</f>
        <v>11.295</v>
      </c>
      <c r="BL123" s="199">
        <f>+'Cash Flow'!BL12</f>
        <v>12.702</v>
      </c>
      <c r="BM123" s="199">
        <f>+'Cash Flow'!BM12</f>
        <v>10.021999999999998</v>
      </c>
      <c r="BN123" s="199">
        <f>+'Cash Flow'!BN12</f>
        <v>9.7950000000000017</v>
      </c>
      <c r="BO123" s="695">
        <f>SUM(BK123:BN123)</f>
        <v>43.814</v>
      </c>
      <c r="BP123" s="199"/>
      <c r="BQ123" s="175">
        <f>+'Cash Flow'!BQ12</f>
        <v>9.6709999999999994</v>
      </c>
      <c r="BR123" s="199">
        <f>+'Cash Flow'!BR12</f>
        <v>9.7040000000000006</v>
      </c>
      <c r="BS123" s="199">
        <f>+'Cash Flow'!BS12</f>
        <v>9.411999999999999</v>
      </c>
      <c r="BT123" s="199">
        <f>BU123-BS123-BR123-BQ123</f>
        <v>8.7730000000000032</v>
      </c>
      <c r="BU123" s="559">
        <v>37.56</v>
      </c>
      <c r="BV123" s="199"/>
      <c r="BW123" s="175">
        <f>CA123/4</f>
        <v>9.5</v>
      </c>
      <c r="BX123" s="199">
        <f>(CA123-BW123)/3</f>
        <v>9.5</v>
      </c>
      <c r="BY123" s="199">
        <f>(CA123-BW123-BX123)/2</f>
        <v>9.5</v>
      </c>
      <c r="BZ123" s="199">
        <f>CA123-BY123-BX123-BW123</f>
        <v>9.5</v>
      </c>
      <c r="CA123" s="559">
        <v>38</v>
      </c>
      <c r="CB123" s="199"/>
      <c r="CC123" s="175">
        <f>CG123/4</f>
        <v>8.75</v>
      </c>
      <c r="CD123" s="199">
        <f>(CG123-CC123)/3</f>
        <v>8.75</v>
      </c>
      <c r="CE123" s="199">
        <f>(CG123-CC123-CD123)/2</f>
        <v>8.75</v>
      </c>
      <c r="CF123" s="199">
        <f>CG123-CE123-CD123-CC123</f>
        <v>8.75</v>
      </c>
      <c r="CG123" s="559">
        <v>35</v>
      </c>
      <c r="CH123" s="199"/>
      <c r="CI123" s="175">
        <f>CM123/4</f>
        <v>8.75</v>
      </c>
      <c r="CJ123" s="199">
        <f>(CM123-CI123)/3</f>
        <v>8.75</v>
      </c>
      <c r="CK123" s="199">
        <f>(CM123-CI123-CJ123)/2</f>
        <v>8.75</v>
      </c>
      <c r="CL123" s="199">
        <f>CM123-CK123-CJ123-CI123</f>
        <v>8.75</v>
      </c>
      <c r="CM123" s="559">
        <v>35</v>
      </c>
      <c r="CN123" s="199"/>
      <c r="CO123" s="51"/>
      <c r="CP123" s="51"/>
      <c r="CQ123"/>
      <c r="CR123"/>
      <c r="CS123"/>
      <c r="CT123"/>
      <c r="CU123"/>
      <c r="CV123"/>
      <c r="CW123" s="14"/>
    </row>
    <row r="124" spans="2:101" s="93" customFormat="1" ht="11.25" customHeight="1" x14ac:dyDescent="0.2">
      <c r="B124" s="769" t="s">
        <v>89</v>
      </c>
      <c r="C124" s="778">
        <f>-(C123*4)/C121</f>
        <v>-5.1292496852085034E-2</v>
      </c>
      <c r="D124" s="167">
        <f>-(D123*4)/D121</f>
        <v>-5.5183021186003545E-2</v>
      </c>
      <c r="E124" s="167">
        <f>-(E123*4)/E121</f>
        <v>-5.5670161895979703E-2</v>
      </c>
      <c r="F124" s="167">
        <f>-(F123*4)/F121</f>
        <v>-5.3623440001543093E-2</v>
      </c>
      <c r="G124" s="797">
        <f>-(G123)/G121</f>
        <v>-5.2866454336715801E-2</v>
      </c>
      <c r="H124" s="188"/>
      <c r="I124" s="778">
        <f>-(I123*4)/I121</f>
        <v>-4.8731400881229438E-2</v>
      </c>
      <c r="J124" s="167">
        <f>-(J123*4)/J121</f>
        <v>-5.5436383586560035E-2</v>
      </c>
      <c r="K124" s="167">
        <f>-(K123*4)/K121</f>
        <v>-9.0913542044085804E-2</v>
      </c>
      <c r="L124" s="167">
        <f>-(L123*4)/L121</f>
        <v>-7.2090648637395546E-2</v>
      </c>
      <c r="M124" s="797">
        <f>-(M123)/M121</f>
        <v>-6.6316910421368364E-2</v>
      </c>
      <c r="N124" s="188"/>
      <c r="O124" s="778">
        <f>-(O123*4)/O121</f>
        <v>-2.8303675685386085E-2</v>
      </c>
      <c r="P124" s="167">
        <f>-(P123*4)/P121</f>
        <v>-2.9717652144627248E-2</v>
      </c>
      <c r="Q124" s="167">
        <f>-(Q123*4)/Q121</f>
        <v>-4.690353771774998E-2</v>
      </c>
      <c r="R124" s="167">
        <f>-(R123*4)/R121</f>
        <v>-4.684063238984295E-2</v>
      </c>
      <c r="S124" s="797">
        <f>-(S123)/S121</f>
        <v>-3.7205960139322758E-2</v>
      </c>
      <c r="T124" s="188"/>
      <c r="U124" s="778">
        <f>-(U123*4)/U121</f>
        <v>-5.6180182137490285E-2</v>
      </c>
      <c r="V124" s="167">
        <f>-(V123*4)/V121</f>
        <v>-6.6178844780775736E-2</v>
      </c>
      <c r="W124" s="167">
        <f>-(W123*4)/W121</f>
        <v>-6.2414263131077785E-2</v>
      </c>
      <c r="X124" s="167">
        <f>-(X123*4)/X121</f>
        <v>-6.1133209581896927E-2</v>
      </c>
      <c r="Y124" s="797">
        <f>-(Y123)/Y121</f>
        <v>-6.2381185161045037E-2</v>
      </c>
      <c r="Z124" s="188"/>
      <c r="AA124" s="778">
        <f>-(AA123*4)/AA121</f>
        <v>-5.5708113813429695E-2</v>
      </c>
      <c r="AB124" s="167">
        <f>-(AB123*4)/AB121</f>
        <v>-9.2469785052293779E-2</v>
      </c>
      <c r="AC124" s="167">
        <f>-(AC123*4)/AC121</f>
        <v>-6.6281012983674004E-2</v>
      </c>
      <c r="AD124" s="167">
        <f>-(AD123*4)/AD121</f>
        <v>-8.1025734670718802E-2</v>
      </c>
      <c r="AE124" s="797">
        <f>-(AE123)/AE121</f>
        <v>-7.4805227331681531E-2</v>
      </c>
      <c r="AF124" s="188"/>
      <c r="AG124" s="778">
        <f>-(AG123*4)/AG121</f>
        <v>-6.4520104218012811E-2</v>
      </c>
      <c r="AH124" s="167">
        <f>-(AH123*4)/AH121</f>
        <v>-6.7287909960062939E-2</v>
      </c>
      <c r="AI124" s="167">
        <f>-(AI123*4)/AI121</f>
        <v>-8.2912829998775903E-2</v>
      </c>
      <c r="AJ124" s="167">
        <f>-(AJ123*4)/AJ121</f>
        <v>-9.2145372548473742E-2</v>
      </c>
      <c r="AK124" s="797">
        <f>-(AK123)/AK121</f>
        <v>-7.4620625308076879E-2</v>
      </c>
      <c r="AL124" s="188"/>
      <c r="AM124" s="778">
        <f>-(AM123*4)/AM121</f>
        <v>-9.542852034983558E-2</v>
      </c>
      <c r="AN124" s="167">
        <f>-(AN123*4)/AN121</f>
        <v>-7.9535463425474143E-2</v>
      </c>
      <c r="AO124" s="167">
        <f>-(AO123*4)/AO121</f>
        <v>-9.6241501854140918E-2</v>
      </c>
      <c r="AP124" s="167">
        <f>-(AP123*4)/AP121</f>
        <v>-0.12004733541857965</v>
      </c>
      <c r="AQ124" s="797">
        <f>-(AQ123)/AQ121</f>
        <v>-9.5419111109020169E-2</v>
      </c>
      <c r="AR124" s="188"/>
      <c r="AS124" s="778">
        <f>-(AS123*4)/AS121</f>
        <v>-8.9415019119681069E-2</v>
      </c>
      <c r="AT124" s="167">
        <f>-(AT123*4)/AT121</f>
        <v>-0.1106094572754288</v>
      </c>
      <c r="AU124" s="167">
        <f>-(AU123*4)/AU121</f>
        <v>-0.11161925821690624</v>
      </c>
      <c r="AV124" s="167">
        <f>-(AV123*4)/AV121</f>
        <v>-0.1141329359426706</v>
      </c>
      <c r="AW124" s="797">
        <f>-(AW123)/AW121</f>
        <v>-0.11630969815312017</v>
      </c>
      <c r="AX124" s="188"/>
      <c r="AY124" s="778">
        <f>-(AY123*4)/AY121</f>
        <v>-6.7201434012995734E-2</v>
      </c>
      <c r="AZ124" s="167">
        <f>-(AZ123*4)/AZ121</f>
        <v>-0.10218572008372589</v>
      </c>
      <c r="BA124" s="167">
        <f>-(BA123*4)/BA121</f>
        <v>-9.2417683639817297E-2</v>
      </c>
      <c r="BB124" s="167">
        <f>-(BB123*4)/BB121</f>
        <v>-0.12779670918118974</v>
      </c>
      <c r="BC124" s="797">
        <f>-(BC123)/BC121</f>
        <v>-9.3009186645753958E-2</v>
      </c>
      <c r="BD124" s="188"/>
      <c r="BE124" s="778">
        <f>-(BE123*4)/BE121</f>
        <v>-0.25278144371125771</v>
      </c>
      <c r="BF124" s="167">
        <f>-(BF123*4)/BF121</f>
        <v>-9.9452784775917472E-2</v>
      </c>
      <c r="BG124" s="167">
        <f>-(BG123*4)/BG121</f>
        <v>-9.136830894523898E-2</v>
      </c>
      <c r="BH124" s="167">
        <f>-(BH123*4)/BH121</f>
        <v>-0.10869852455406294</v>
      </c>
      <c r="BI124" s="797">
        <f>-(BI123)/BI121</f>
        <v>-0.38446710657868421</v>
      </c>
      <c r="BJ124" s="188"/>
      <c r="BK124" s="778">
        <f>-(BK123*4)/BK121</f>
        <v>-8.8710516653347643E-2</v>
      </c>
      <c r="BL124" s="167">
        <f>-(BL123*4)/BL121</f>
        <v>-0.10264636420387853</v>
      </c>
      <c r="BM124" s="167">
        <f>-(BM123*4)/BM121</f>
        <v>-8.3520668698708472E-2</v>
      </c>
      <c r="BN124" s="167">
        <f>-(BN123*4)/BN121</f>
        <v>-9.0196277043919471E-2</v>
      </c>
      <c r="BO124" s="797">
        <f>-(BO123)/BO121</f>
        <v>-8.6028388150725402E-2</v>
      </c>
      <c r="BP124" s="188"/>
      <c r="BQ124" s="778">
        <f>-(BQ123*4)/BQ121</f>
        <v>-9.0927895147566259E-2</v>
      </c>
      <c r="BR124" s="167">
        <f>-(BR123*4)/BR121</f>
        <v>-9.324134750273845E-2</v>
      </c>
      <c r="BS124" s="167">
        <f>-(BS123*4)/BS121</f>
        <v>-9.2582892526823404E-2</v>
      </c>
      <c r="BT124" s="167">
        <f>-(BT123*4)/BT121</f>
        <v>-8.6297249908395879E-2</v>
      </c>
      <c r="BU124" s="797">
        <f>-(BU123)/BU121</f>
        <v>-8.828589964177927E-2</v>
      </c>
      <c r="BV124" s="188"/>
      <c r="BW124" s="778">
        <f>-(BW123*4)/BW121</f>
        <v>-9.5509063307428602E-2</v>
      </c>
      <c r="BX124" s="167">
        <f>-(BX123*4)/BX121</f>
        <v>-9.7845342561694068E-2</v>
      </c>
      <c r="BY124" s="167">
        <f>-(BY123*4)/BY121</f>
        <v>-0.10029878480103889</v>
      </c>
      <c r="BZ124" s="167">
        <f>-(BZ123*4)/BZ121</f>
        <v>-0.10287843018344849</v>
      </c>
      <c r="CA124" s="797">
        <f>-(CA123)/CA121</f>
        <v>-9.5509063307428602E-2</v>
      </c>
      <c r="CB124" s="188"/>
      <c r="CC124" s="778">
        <f>-(CC123*4)/CC121</f>
        <v>-9.7257883446152479E-2</v>
      </c>
      <c r="CD124" s="167">
        <f>-(CD123*4)/CD121</f>
        <v>-9.9681588525794743E-2</v>
      </c>
      <c r="CE124" s="167">
        <f>-(CE123*4)/CE121</f>
        <v>-0.10222918029722404</v>
      </c>
      <c r="CF124" s="167">
        <f>-(CF123*4)/CF121</f>
        <v>-0.10491040651283803</v>
      </c>
      <c r="CG124" s="797">
        <f>-(CG123)/CG121</f>
        <v>-9.7257883446152479E-2</v>
      </c>
      <c r="CH124" s="188"/>
      <c r="CI124" s="778">
        <f>-(CI123*4)/CI121</f>
        <v>-0.10773606510952141</v>
      </c>
      <c r="CJ124" s="167">
        <f>-(CJ123*4)/CJ121</f>
        <v>-0.11071814955174966</v>
      </c>
      <c r="CK124" s="167">
        <f>-(CK123*4)/CK121</f>
        <v>-0.11387001900002602</v>
      </c>
      <c r="CL124" s="167">
        <f>-(CL123*4)/CL121</f>
        <v>-0.11720659839661374</v>
      </c>
      <c r="CM124" s="797">
        <f>-(CM123)/CM121</f>
        <v>-0.10773606510952141</v>
      </c>
      <c r="CN124" s="188"/>
      <c r="CO124" s="232"/>
      <c r="CP124" s="232"/>
      <c r="CQ124"/>
      <c r="CR124"/>
      <c r="CS124"/>
      <c r="CT124"/>
      <c r="CU124"/>
      <c r="CV124"/>
      <c r="CW124" s="439"/>
    </row>
    <row r="125" spans="2:101" s="123" customFormat="1" ht="11.25" customHeight="1" x14ac:dyDescent="0.2">
      <c r="B125" s="1231" t="s">
        <v>37</v>
      </c>
      <c r="C125" s="779">
        <f>C126-C123-C122-C121</f>
        <v>-3.9852000000000061</v>
      </c>
      <c r="D125" s="173">
        <f>D126-D123-D122-D121</f>
        <v>-4.2873000000000019</v>
      </c>
      <c r="E125" s="173">
        <f>E126-E123-E122-E121</f>
        <v>-4.1689999999999969</v>
      </c>
      <c r="F125" s="173">
        <f>F126-F123-F122-F121</f>
        <v>-2.7190000000000083</v>
      </c>
      <c r="G125" s="795">
        <f>SUM(C125:F125)</f>
        <v>-15.160500000000013</v>
      </c>
      <c r="H125" s="199"/>
      <c r="I125" s="779">
        <f>I126-I123-I122-I121</f>
        <v>-3.2913999999999675</v>
      </c>
      <c r="J125" s="173">
        <f>J126-J123-J122-J121</f>
        <v>-3.0572999999999979</v>
      </c>
      <c r="K125" s="173">
        <f>K126-K123-K122-K121</f>
        <v>-3.9953999999999894</v>
      </c>
      <c r="L125" s="173">
        <f>L126-L123-L122-L121</f>
        <v>94.78889999999997</v>
      </c>
      <c r="M125" s="795">
        <f>SUM(I125:L125)</f>
        <v>84.444800000000015</v>
      </c>
      <c r="N125" s="199"/>
      <c r="O125" s="779">
        <f>O126-O123-O122-O121</f>
        <v>-3.0308999999999742</v>
      </c>
      <c r="P125" s="173">
        <f>P126-P123-P122-P121</f>
        <v>-25.761200000000002</v>
      </c>
      <c r="Q125" s="173">
        <f>Q126-Q123-Q122-Q121</f>
        <v>-16.098500000000001</v>
      </c>
      <c r="R125" s="173">
        <f>R126-R123-R122-R121</f>
        <v>20.535799999999995</v>
      </c>
      <c r="S125" s="795">
        <f>SUM(O125:R125)</f>
        <v>-24.354799999999983</v>
      </c>
      <c r="T125" s="199"/>
      <c r="U125" s="779">
        <f>U126-U123-U122-U121</f>
        <v>-12.579899999999952</v>
      </c>
      <c r="V125" s="173">
        <f>V126-V123-V122-V121</f>
        <v>6.0885999999999854</v>
      </c>
      <c r="W125" s="173">
        <f>W126-W123-W122-W121</f>
        <v>-6.9500000000000171</v>
      </c>
      <c r="X125" s="173">
        <f>X126-X123-X122-X121</f>
        <v>-13.780299999999983</v>
      </c>
      <c r="Y125" s="795">
        <f>SUM(U125:X125)</f>
        <v>-27.221599999999967</v>
      </c>
      <c r="Z125" s="199"/>
      <c r="AA125" s="779">
        <f>AA126-AA123-AA122-AA121</f>
        <v>-20.705600000000004</v>
      </c>
      <c r="AB125" s="173">
        <f>AB126-AB123-AB122-AB121</f>
        <v>8.2769999999999868</v>
      </c>
      <c r="AC125" s="173">
        <f>AC126-AC123-AC122-AC121</f>
        <v>-8.934299999999979</v>
      </c>
      <c r="AD125" s="173">
        <f>AD126-AD123-AD122-AD121</f>
        <v>-7.397199999999998</v>
      </c>
      <c r="AE125" s="795">
        <f>SUM(AA125:AD125)</f>
        <v>-28.760099999999994</v>
      </c>
      <c r="AF125" s="199"/>
      <c r="AG125" s="779">
        <f>AG126-AG123-AG122-AG121</f>
        <v>-7.7800000000000011</v>
      </c>
      <c r="AH125" s="173">
        <f>AH126-AH123-AH122-AH121</f>
        <v>-8.9028000000000134</v>
      </c>
      <c r="AI125" s="173">
        <f>AI126-AI123-AI122-AI121</f>
        <v>-11.252099999999984</v>
      </c>
      <c r="AJ125" s="173">
        <f>AJ126-AJ123-AJ122-AJ121</f>
        <v>-10.465100000000007</v>
      </c>
      <c r="AK125" s="795">
        <f>SUM(AG125:AJ125)</f>
        <v>-38.400000000000006</v>
      </c>
      <c r="AL125" s="199"/>
      <c r="AM125" s="779">
        <f>AM126-AM123-AM122-AM121</f>
        <v>-10.625999999999976</v>
      </c>
      <c r="AN125" s="173">
        <f>AN126-AN123-AN122-AN121</f>
        <v>-7.1913000000000125</v>
      </c>
      <c r="AO125" s="173">
        <f>AO126-AO123-AO122-AO121</f>
        <v>-9.6517000000000337</v>
      </c>
      <c r="AP125" s="173">
        <f>AP126-AP123-AP122-AP121</f>
        <v>-13.10899999999998</v>
      </c>
      <c r="AQ125" s="795">
        <f>SUM(AM125:AP125)</f>
        <v>-40.578000000000003</v>
      </c>
      <c r="AR125" s="199"/>
      <c r="AS125" s="779">
        <f>AS126-AS123-AS122-AS121</f>
        <v>-9.2419999999999902</v>
      </c>
      <c r="AT125" s="173">
        <f>AT126-AT123-AT122-AT121</f>
        <v>-0.62689999999997781</v>
      </c>
      <c r="AU125" s="173">
        <f>AU126-AU123-AU122-AU121</f>
        <v>-17.227300000000014</v>
      </c>
      <c r="AV125" s="173">
        <f>AV126-AV123-AV122-AV121</f>
        <v>-13.027299999999997</v>
      </c>
      <c r="AW125" s="795">
        <f>SUM(AS125:AV125)</f>
        <v>-40.123499999999979</v>
      </c>
      <c r="AX125" s="199"/>
      <c r="AY125" s="779">
        <f>AY126+AY123-AY122-AY121</f>
        <v>-0.11400000000003274</v>
      </c>
      <c r="AZ125" s="173">
        <f>AZ126+AZ123-AZ122-AZ121</f>
        <v>-4.1580000000000155</v>
      </c>
      <c r="BA125" s="173">
        <f>BA126+BA123-BA122-BA121</f>
        <v>-1.8849999999999909</v>
      </c>
      <c r="BB125" s="173">
        <f>BB126+BB123-BB122-BB121</f>
        <v>-74.367500000000007</v>
      </c>
      <c r="BC125" s="795">
        <f>SUM(AY125:BB125)</f>
        <v>-80.524500000000046</v>
      </c>
      <c r="BD125" s="199"/>
      <c r="BE125" s="779">
        <f>BE126+BE123-BE122-BE121</f>
        <v>102.79399999999995</v>
      </c>
      <c r="BF125" s="173">
        <f>BF126+BF123-BF122-BF121</f>
        <v>-0.69970000000012078</v>
      </c>
      <c r="BG125" s="173">
        <f>BG126+BG123-BG122-BG121</f>
        <v>-3.0021999999999025</v>
      </c>
      <c r="BH125" s="173">
        <f>BH126+BH123-BH122-BH121</f>
        <v>1.2730000000000246</v>
      </c>
      <c r="BI125" s="795">
        <f>SUM(BE125:BH125)</f>
        <v>100.36509999999996</v>
      </c>
      <c r="BJ125" s="199"/>
      <c r="BK125" s="779">
        <f>BK126+BK123-BK122-BK121</f>
        <v>-3.021000000000015</v>
      </c>
      <c r="BL125" s="173">
        <f>BL126+BL123-BL122-BL121</f>
        <v>-2.3020000000000209</v>
      </c>
      <c r="BM125" s="173">
        <f>BM126+BM123-BM122-BM121</f>
        <v>-35.56899999999996</v>
      </c>
      <c r="BN125" s="173">
        <f>BN126+BN123-BN122-BN121</f>
        <v>0.84499999999997044</v>
      </c>
      <c r="BO125" s="795">
        <f>SUM(BK125:BN125)</f>
        <v>-40.047000000000025</v>
      </c>
      <c r="BP125" s="199"/>
      <c r="BQ125" s="779">
        <f>BQ126+BQ123-BQ122-BQ121</f>
        <v>0.53100000000000591</v>
      </c>
      <c r="BR125" s="173">
        <f>BR126+BR123-BR122-BR121</f>
        <v>4.9000000000035016E-2</v>
      </c>
      <c r="BS125" s="173">
        <f>BS126+BS123-BS122-BS121</f>
        <v>9.4119999999999777</v>
      </c>
      <c r="BT125" s="173">
        <v>0</v>
      </c>
      <c r="BU125" s="795">
        <f>SUM(BQ125:BT125)</f>
        <v>9.9920000000000186</v>
      </c>
      <c r="BV125" s="199"/>
      <c r="BW125" s="779">
        <v>0</v>
      </c>
      <c r="BX125" s="173">
        <v>0</v>
      </c>
      <c r="BY125" s="173">
        <v>0</v>
      </c>
      <c r="BZ125" s="173">
        <v>0</v>
      </c>
      <c r="CA125" s="795">
        <f>SUM(BW125:BZ125)</f>
        <v>0</v>
      </c>
      <c r="CB125" s="199"/>
      <c r="CC125" s="779">
        <v>0</v>
      </c>
      <c r="CD125" s="173">
        <v>0</v>
      </c>
      <c r="CE125" s="173">
        <v>0</v>
      </c>
      <c r="CF125" s="173">
        <v>0</v>
      </c>
      <c r="CG125" s="795">
        <f>SUM(CC125:CF125)</f>
        <v>0</v>
      </c>
      <c r="CH125" s="199"/>
      <c r="CI125" s="779">
        <v>0</v>
      </c>
      <c r="CJ125" s="173">
        <v>0</v>
      </c>
      <c r="CK125" s="173">
        <v>0</v>
      </c>
      <c r="CL125" s="173">
        <v>0</v>
      </c>
      <c r="CM125" s="795">
        <f>SUM(CI125:CL125)</f>
        <v>0</v>
      </c>
      <c r="CN125" s="199"/>
      <c r="CO125" s="42"/>
      <c r="CP125" s="42"/>
      <c r="CQ125"/>
      <c r="CR125"/>
      <c r="CS125"/>
      <c r="CT125"/>
      <c r="CU125"/>
      <c r="CV125"/>
      <c r="CW125" s="14"/>
    </row>
    <row r="126" spans="2:101" s="123" customFormat="1" ht="11.25" customHeight="1" x14ac:dyDescent="0.2">
      <c r="B126" s="566" t="s">
        <v>90</v>
      </c>
      <c r="C126" s="175">
        <f>+C20</f>
        <v>106.627</v>
      </c>
      <c r="D126" s="199">
        <f>+D20</f>
        <v>105.191</v>
      </c>
      <c r="E126" s="199">
        <f>+E20</f>
        <v>103.68600000000001</v>
      </c>
      <c r="F126" s="199">
        <f>+F20</f>
        <v>102.357</v>
      </c>
      <c r="G126" s="695">
        <f>G121+G122+G123+G125</f>
        <v>102.35699999999997</v>
      </c>
      <c r="H126" s="199"/>
      <c r="I126" s="175">
        <f>+I20</f>
        <v>101.161</v>
      </c>
      <c r="J126" s="199">
        <f>+J20</f>
        <v>102.119</v>
      </c>
      <c r="K126" s="199">
        <f>+K20</f>
        <v>100.873</v>
      </c>
      <c r="L126" s="199">
        <f>+L20</f>
        <v>200.398</v>
      </c>
      <c r="M126" s="695">
        <f>M121+M122+M123+M125</f>
        <v>200.39799999999997</v>
      </c>
      <c r="N126" s="199"/>
      <c r="O126" s="175">
        <f>+O20</f>
        <v>198.93899999999999</v>
      </c>
      <c r="P126" s="199">
        <f>+P20</f>
        <v>195.465</v>
      </c>
      <c r="Q126" s="199">
        <f>+Q20</f>
        <v>193.678</v>
      </c>
      <c r="R126" s="199">
        <f>+R20</f>
        <v>220.93199999999999</v>
      </c>
      <c r="S126" s="695">
        <f>S121+S122+S123+S125</f>
        <v>220.93199999999996</v>
      </c>
      <c r="T126" s="199"/>
      <c r="U126" s="175">
        <f>+U20</f>
        <v>219.88900000000001</v>
      </c>
      <c r="V126" s="199">
        <f>+V20</f>
        <v>229.62700000000001</v>
      </c>
      <c r="W126" s="199">
        <f>+W20</f>
        <v>226.26</v>
      </c>
      <c r="X126" s="199">
        <f>+X20</f>
        <v>223.59399999999999</v>
      </c>
      <c r="Y126" s="695">
        <f>Y121+Y122+Y123+Y125</f>
        <v>223.59399999999999</v>
      </c>
      <c r="Z126" s="199"/>
      <c r="AA126" s="175">
        <f>+AA20</f>
        <v>220.00700000000001</v>
      </c>
      <c r="AB126" s="199">
        <f>+AB20</f>
        <v>233.37</v>
      </c>
      <c r="AC126" s="199">
        <f>+AC20</f>
        <v>230.001</v>
      </c>
      <c r="AD126" s="199">
        <f>+AD20</f>
        <v>227.21600000000001</v>
      </c>
      <c r="AE126" s="695">
        <f>AE121+AE122+AE123+AE125</f>
        <v>227.21600000000001</v>
      </c>
      <c r="AF126" s="199"/>
      <c r="AG126" s="175">
        <f>+AG20</f>
        <v>223.101</v>
      </c>
      <c r="AH126" s="199">
        <f>+AH20</f>
        <v>220.56899999999999</v>
      </c>
      <c r="AI126" s="199">
        <f>+AI20</f>
        <v>215.529</v>
      </c>
      <c r="AJ126" s="199">
        <f>+AJ20</f>
        <v>212.55699999999999</v>
      </c>
      <c r="AK126" s="695">
        <f>AK121+AK122+AK123+AK125</f>
        <v>212.55699999999999</v>
      </c>
      <c r="AL126" s="199"/>
      <c r="AM126" s="175">
        <f>+AM20</f>
        <v>207.00200000000001</v>
      </c>
      <c r="AN126" s="199">
        <f>+AN20</f>
        <v>207.10400000000001</v>
      </c>
      <c r="AO126" s="199">
        <f>+AO20</f>
        <v>203.65299999999999</v>
      </c>
      <c r="AP126" s="199">
        <f>+AP20</f>
        <v>196.65600000000001</v>
      </c>
      <c r="AQ126" s="695">
        <f>AQ121+AQ122+AQ123+AQ125</f>
        <v>196.65600000000001</v>
      </c>
      <c r="AR126" s="199"/>
      <c r="AS126" s="175">
        <f>+AS20</f>
        <v>191.81</v>
      </c>
      <c r="AT126" s="199">
        <f>+AT20</f>
        <v>238.77600000000001</v>
      </c>
      <c r="AU126" s="199">
        <f>+AU20</f>
        <v>228.155</v>
      </c>
      <c r="AV126" s="199">
        <f>+AV20</f>
        <v>223.15</v>
      </c>
      <c r="AW126" s="695">
        <f>AW121+AW122+AW123+AW125</f>
        <v>223.15000000000003</v>
      </c>
      <c r="AX126" s="199"/>
      <c r="AY126" s="175">
        <f>+AY20</f>
        <v>219.28700000000001</v>
      </c>
      <c r="AZ126" s="199">
        <f>+AZ20</f>
        <v>209.52699999999999</v>
      </c>
      <c r="BA126" s="199">
        <f>+BA20</f>
        <v>205.42</v>
      </c>
      <c r="BB126" s="199">
        <f>+BB20</f>
        <v>125.02500000000001</v>
      </c>
      <c r="BC126" s="695">
        <f>+BC121+BC122-BC123+BC125</f>
        <v>125.02500000000001</v>
      </c>
      <c r="BD126" s="199"/>
      <c r="BE126" s="175">
        <f>+BE20</f>
        <v>551.33699999999999</v>
      </c>
      <c r="BF126" s="199">
        <f>+BF20</f>
        <v>537.07899999999995</v>
      </c>
      <c r="BG126" s="199">
        <f>+BG20</f>
        <v>522.21500000000003</v>
      </c>
      <c r="BH126" s="199">
        <f>+BH20</f>
        <v>509.29700000000003</v>
      </c>
      <c r="BI126" s="695">
        <f>+BI121+BI122-BI123+BI125</f>
        <v>509.29700000000003</v>
      </c>
      <c r="BJ126" s="199"/>
      <c r="BK126" s="175">
        <f>+BK20</f>
        <v>494.98099999999999</v>
      </c>
      <c r="BL126" s="199">
        <f>+BL20</f>
        <v>479.97699999999998</v>
      </c>
      <c r="BM126" s="199">
        <f>+BM20</f>
        <v>434.38600000000002</v>
      </c>
      <c r="BN126" s="199">
        <f>+BN20</f>
        <v>425.43599999999998</v>
      </c>
      <c r="BO126" s="695">
        <f>+BO121+BO122-BO123+BO125</f>
        <v>425.43599999999998</v>
      </c>
      <c r="BP126" s="199"/>
      <c r="BQ126" s="175">
        <f>+BQ20</f>
        <v>416.29599999999999</v>
      </c>
      <c r="BR126" s="199">
        <f>+BR20</f>
        <v>406.64100000000002</v>
      </c>
      <c r="BS126" s="199">
        <f>+BS20</f>
        <v>406.64100000000002</v>
      </c>
      <c r="BT126" s="199">
        <f>+BT121+BT122-BT123+BT125</f>
        <v>397.86799999999999</v>
      </c>
      <c r="BU126" s="695">
        <f>+BU121+BU122-BU123+BU125</f>
        <v>397.86799999999999</v>
      </c>
      <c r="BV126" s="199"/>
      <c r="BW126" s="175">
        <f>+BW121+BW122-BW123+BW125</f>
        <v>388.36799999999999</v>
      </c>
      <c r="BX126" s="199">
        <f>+BX121+BX122-BX123+BX125</f>
        <v>378.86799999999999</v>
      </c>
      <c r="BY126" s="199">
        <f>+BY121+BY122-BY123+BY125</f>
        <v>369.36799999999999</v>
      </c>
      <c r="BZ126" s="199">
        <f>+BZ121+BZ122-BZ123+BZ125</f>
        <v>359.86799999999999</v>
      </c>
      <c r="CA126" s="695">
        <f>+CA121+CA122-CA123+CA125</f>
        <v>359.86799999999999</v>
      </c>
      <c r="CB126" s="199"/>
      <c r="CC126" s="175">
        <f>+CC121+CC122-CC123+CC125</f>
        <v>351.11799999999999</v>
      </c>
      <c r="CD126" s="199">
        <f>+CD121+CD122-CD123+CD125</f>
        <v>342.36799999999999</v>
      </c>
      <c r="CE126" s="199">
        <f>+CE121+CE122-CE123+CE125</f>
        <v>333.61799999999999</v>
      </c>
      <c r="CF126" s="199">
        <f>+CF121+CF122-CF123+CF125</f>
        <v>324.86799999999999</v>
      </c>
      <c r="CG126" s="695">
        <f>+CG121+CG122-CG123+CG125</f>
        <v>324.86799999999999</v>
      </c>
      <c r="CH126" s="199"/>
      <c r="CI126" s="175">
        <f>+CI121+CI122-CI123+CI125</f>
        <v>316.11799999999999</v>
      </c>
      <c r="CJ126" s="199">
        <f>+CJ121+CJ122-CJ123+CJ125</f>
        <v>307.36799999999999</v>
      </c>
      <c r="CK126" s="199">
        <f>+CK121+CK122-CK123+CK125</f>
        <v>298.61799999999999</v>
      </c>
      <c r="CL126" s="199">
        <f>+CL121+CL122-CL123+CL125</f>
        <v>289.86799999999999</v>
      </c>
      <c r="CM126" s="695">
        <f>+CM121+CM122-CM123+CM125</f>
        <v>289.86799999999999</v>
      </c>
      <c r="CN126" s="199"/>
      <c r="CO126" s="51"/>
      <c r="CP126" s="51"/>
      <c r="CQ126"/>
      <c r="CR126"/>
      <c r="CS126"/>
      <c r="CT126"/>
      <c r="CU126"/>
      <c r="CV126"/>
      <c r="CW126" s="14"/>
    </row>
    <row r="127" spans="2:101" s="123" customFormat="1" ht="11.25" customHeight="1" x14ac:dyDescent="0.2">
      <c r="B127" s="770" t="s">
        <v>44</v>
      </c>
      <c r="C127" s="781">
        <f>+C126-C20</f>
        <v>0</v>
      </c>
      <c r="D127" s="209">
        <f>+D126-D20</f>
        <v>0</v>
      </c>
      <c r="E127" s="209">
        <f>+E126-E20</f>
        <v>0</v>
      </c>
      <c r="F127" s="209">
        <f>+F126-F20</f>
        <v>0</v>
      </c>
      <c r="G127" s="799">
        <f>+G126-G20</f>
        <v>0</v>
      </c>
      <c r="H127" s="209"/>
      <c r="I127" s="781">
        <f>+I126-I20</f>
        <v>0</v>
      </c>
      <c r="J127" s="209">
        <f>+J126-J20</f>
        <v>0</v>
      </c>
      <c r="K127" s="209">
        <f>+K126-K20</f>
        <v>0</v>
      </c>
      <c r="L127" s="209">
        <f>+L126-L20</f>
        <v>0</v>
      </c>
      <c r="M127" s="799">
        <f>+M126-M20</f>
        <v>0</v>
      </c>
      <c r="N127" s="209"/>
      <c r="O127" s="781">
        <f>+O126-O20</f>
        <v>0</v>
      </c>
      <c r="P127" s="209">
        <f>+P126-P20</f>
        <v>0</v>
      </c>
      <c r="Q127" s="209">
        <f>+Q126-Q20</f>
        <v>0</v>
      </c>
      <c r="R127" s="209">
        <f>+R126-R20</f>
        <v>0</v>
      </c>
      <c r="S127" s="799">
        <f>+S126-S20</f>
        <v>0</v>
      </c>
      <c r="T127" s="209"/>
      <c r="U127" s="781">
        <f>+U126-U20</f>
        <v>0</v>
      </c>
      <c r="V127" s="209">
        <f>+V126-V20</f>
        <v>0</v>
      </c>
      <c r="W127" s="209">
        <f>+W126-W20</f>
        <v>0</v>
      </c>
      <c r="X127" s="209">
        <f>+X126-X20</f>
        <v>0</v>
      </c>
      <c r="Y127" s="799">
        <f>+Y126-Y20</f>
        <v>0</v>
      </c>
      <c r="Z127" s="209"/>
      <c r="AA127" s="781">
        <f>+AA126-AA20</f>
        <v>0</v>
      </c>
      <c r="AB127" s="209">
        <f>+AB126-AB20</f>
        <v>0</v>
      </c>
      <c r="AC127" s="209">
        <f>+AC126-AC20</f>
        <v>0</v>
      </c>
      <c r="AD127" s="209">
        <f>+AD126-AD20</f>
        <v>0</v>
      </c>
      <c r="AE127" s="799">
        <f>+AE126-AE20</f>
        <v>0</v>
      </c>
      <c r="AF127" s="209"/>
      <c r="AG127" s="781">
        <f>+AG126-AG20</f>
        <v>0</v>
      </c>
      <c r="AH127" s="209">
        <f>+AH126-AH20</f>
        <v>0</v>
      </c>
      <c r="AI127" s="209">
        <f>+AI126-AI20</f>
        <v>0</v>
      </c>
      <c r="AJ127" s="209">
        <f>+AJ126-AJ20</f>
        <v>0</v>
      </c>
      <c r="AK127" s="799">
        <f>+AK126-AK20</f>
        <v>0</v>
      </c>
      <c r="AL127" s="209"/>
      <c r="AM127" s="781">
        <f>+AM126-AM20</f>
        <v>0</v>
      </c>
      <c r="AN127" s="209">
        <f>+AN126-AN20</f>
        <v>0</v>
      </c>
      <c r="AO127" s="209">
        <f>+AO126-AO20</f>
        <v>0</v>
      </c>
      <c r="AP127" s="209">
        <f>+AP126-AP20</f>
        <v>0</v>
      </c>
      <c r="AQ127" s="799">
        <f>+AQ126-AQ20</f>
        <v>0</v>
      </c>
      <c r="AR127" s="209"/>
      <c r="AS127" s="781">
        <f>+AS126-AS20</f>
        <v>0</v>
      </c>
      <c r="AT127" s="209">
        <f>+AT126-AT20</f>
        <v>0</v>
      </c>
      <c r="AU127" s="209">
        <f>+AU126-AU20</f>
        <v>0</v>
      </c>
      <c r="AV127" s="209">
        <f>+AV126-AV20</f>
        <v>0</v>
      </c>
      <c r="AW127" s="799">
        <f>+AW126-AW20</f>
        <v>0</v>
      </c>
      <c r="AX127" s="209"/>
      <c r="AY127" s="781">
        <f>+AY126-AY20</f>
        <v>0</v>
      </c>
      <c r="AZ127" s="209">
        <f>+AZ126-AZ20</f>
        <v>0</v>
      </c>
      <c r="BA127" s="209">
        <f>+BA126-BA20</f>
        <v>0</v>
      </c>
      <c r="BB127" s="209">
        <f>+BB126-BB20</f>
        <v>0</v>
      </c>
      <c r="BC127" s="799">
        <f>+BC126-BC20</f>
        <v>0</v>
      </c>
      <c r="BD127" s="209"/>
      <c r="BE127" s="781">
        <f>+BE126-BE20</f>
        <v>0</v>
      </c>
      <c r="BF127" s="209">
        <f>+BF126-BF20</f>
        <v>0</v>
      </c>
      <c r="BG127" s="209">
        <f>+BG126-BG20</f>
        <v>0</v>
      </c>
      <c r="BH127" s="209">
        <f>+BH126-BH20</f>
        <v>0</v>
      </c>
      <c r="BI127" s="799">
        <f>+BI126-BI20</f>
        <v>0</v>
      </c>
      <c r="BJ127" s="209"/>
      <c r="BK127" s="781">
        <f>+BK126-BK20</f>
        <v>0</v>
      </c>
      <c r="BL127" s="209">
        <f>+BL126-BL20</f>
        <v>0</v>
      </c>
      <c r="BM127" s="209">
        <f>+BM126-BM20</f>
        <v>0</v>
      </c>
      <c r="BN127" s="209">
        <f>+BN126-BN20</f>
        <v>0</v>
      </c>
      <c r="BO127" s="799">
        <f>+BO126-BO20</f>
        <v>0</v>
      </c>
      <c r="BP127" s="209"/>
      <c r="BQ127" s="781">
        <f>+BQ126-BQ20</f>
        <v>0</v>
      </c>
      <c r="BR127" s="209">
        <f>+BR126-BR20</f>
        <v>0</v>
      </c>
      <c r="BS127" s="209">
        <f>+BS126-BS20</f>
        <v>0</v>
      </c>
      <c r="BT127" s="209">
        <f>+BT126-BT20</f>
        <v>0</v>
      </c>
      <c r="BU127" s="799">
        <f>+BU126-BU20</f>
        <v>0</v>
      </c>
      <c r="BV127" s="209"/>
      <c r="BW127" s="781">
        <f>+BW126-BW20</f>
        <v>0</v>
      </c>
      <c r="BX127" s="209">
        <f>+BX126-BX20</f>
        <v>0</v>
      </c>
      <c r="BY127" s="209">
        <f>+BY126-BY20</f>
        <v>0</v>
      </c>
      <c r="BZ127" s="209">
        <f>+BZ126-BZ20</f>
        <v>0</v>
      </c>
      <c r="CA127" s="799">
        <f>+CA126-CA20</f>
        <v>0</v>
      </c>
      <c r="CB127" s="209"/>
      <c r="CC127" s="781">
        <f>+CC126-CC20</f>
        <v>0</v>
      </c>
      <c r="CD127" s="209">
        <f>+CD126-CD20</f>
        <v>0</v>
      </c>
      <c r="CE127" s="209">
        <f>+CE126-CE20</f>
        <v>0</v>
      </c>
      <c r="CF127" s="209">
        <f>+CF126-CF20</f>
        <v>0</v>
      </c>
      <c r="CG127" s="799">
        <f>+CG126-CG20</f>
        <v>0</v>
      </c>
      <c r="CH127" s="209"/>
      <c r="CI127" s="781">
        <f>+CI126-CI20</f>
        <v>0</v>
      </c>
      <c r="CJ127" s="209">
        <f>+CJ126-CJ20</f>
        <v>0</v>
      </c>
      <c r="CK127" s="209">
        <f>+CK126-CK20</f>
        <v>0</v>
      </c>
      <c r="CL127" s="209">
        <f>+CL126-CL20</f>
        <v>0</v>
      </c>
      <c r="CM127" s="799">
        <f>+CM126-CM20</f>
        <v>0</v>
      </c>
      <c r="CN127" s="209"/>
      <c r="CO127" s="79"/>
      <c r="CP127" s="79"/>
      <c r="CQ127"/>
      <c r="CR127"/>
      <c r="CS127"/>
      <c r="CT127"/>
      <c r="CU127"/>
      <c r="CV127"/>
      <c r="CW127" s="14"/>
    </row>
    <row r="128" spans="2:101" s="123" customFormat="1" ht="11.25" customHeight="1" x14ac:dyDescent="0.2">
      <c r="B128" s="770"/>
      <c r="C128" s="781"/>
      <c r="D128" s="209"/>
      <c r="E128" s="209"/>
      <c r="F128" s="209"/>
      <c r="G128" s="799"/>
      <c r="H128" s="209"/>
      <c r="I128" s="781"/>
      <c r="J128" s="209"/>
      <c r="K128" s="209"/>
      <c r="L128" s="209"/>
      <c r="M128" s="799"/>
      <c r="N128" s="209"/>
      <c r="O128" s="781"/>
      <c r="P128" s="209"/>
      <c r="Q128" s="209"/>
      <c r="R128" s="209"/>
      <c r="S128" s="799"/>
      <c r="T128" s="209"/>
      <c r="U128" s="781"/>
      <c r="V128" s="209"/>
      <c r="W128" s="209"/>
      <c r="X128" s="209"/>
      <c r="Y128" s="799"/>
      <c r="Z128" s="209"/>
      <c r="AA128" s="781"/>
      <c r="AB128" s="209"/>
      <c r="AC128" s="209"/>
      <c r="AD128" s="209"/>
      <c r="AE128" s="800"/>
      <c r="AF128" s="209"/>
      <c r="AG128" s="781"/>
      <c r="AH128" s="209"/>
      <c r="AI128" s="209"/>
      <c r="AJ128" s="209"/>
      <c r="AK128" s="800"/>
      <c r="AL128" s="209"/>
      <c r="AM128" s="784"/>
      <c r="AN128" s="785"/>
      <c r="AO128" s="209"/>
      <c r="AP128" s="785"/>
      <c r="AQ128" s="800"/>
      <c r="AR128" s="209"/>
      <c r="AS128" s="784"/>
      <c r="AT128" s="785"/>
      <c r="AU128" s="785"/>
      <c r="AV128" s="785"/>
      <c r="AW128" s="800"/>
      <c r="AX128" s="209"/>
      <c r="AY128" s="787"/>
      <c r="AZ128" s="788"/>
      <c r="BA128" s="788"/>
      <c r="BB128" s="788"/>
      <c r="BC128" s="803"/>
      <c r="BD128" s="209"/>
      <c r="BE128" s="787"/>
      <c r="BF128" s="788"/>
      <c r="BG128" s="788"/>
      <c r="BH128" s="788"/>
      <c r="BI128" s="803"/>
      <c r="BJ128" s="209"/>
      <c r="BK128" s="787"/>
      <c r="BL128" s="788"/>
      <c r="BM128" s="788"/>
      <c r="BN128" s="788"/>
      <c r="BO128" s="803"/>
      <c r="BP128" s="209"/>
      <c r="BQ128" s="787"/>
      <c r="BR128" s="785"/>
      <c r="BS128" s="788"/>
      <c r="BT128" s="785"/>
      <c r="BU128" s="800"/>
      <c r="BV128" s="209"/>
      <c r="BW128" s="784"/>
      <c r="BX128" s="785"/>
      <c r="BY128" s="785"/>
      <c r="BZ128" s="785"/>
      <c r="CA128" s="800"/>
      <c r="CB128" s="209"/>
      <c r="CC128" s="784"/>
      <c r="CD128" s="785"/>
      <c r="CE128" s="785"/>
      <c r="CF128" s="785"/>
      <c r="CG128" s="800"/>
      <c r="CH128" s="209"/>
      <c r="CI128" s="784"/>
      <c r="CJ128" s="785"/>
      <c r="CK128" s="785"/>
      <c r="CL128" s="785"/>
      <c r="CM128" s="800"/>
      <c r="CN128" s="209"/>
      <c r="CO128" s="79"/>
      <c r="CP128" s="79"/>
      <c r="CQ128"/>
      <c r="CR128"/>
      <c r="CS128"/>
      <c r="CT128"/>
      <c r="CU128"/>
      <c r="CV128"/>
      <c r="CW128" s="14"/>
    </row>
    <row r="129" spans="2:101" s="123" customFormat="1" ht="11.25" customHeight="1" x14ac:dyDescent="0.2">
      <c r="B129" s="567" t="s">
        <v>36</v>
      </c>
      <c r="C129" s="618"/>
      <c r="D129" s="619"/>
      <c r="E129" s="619"/>
      <c r="F129" s="619"/>
      <c r="G129" s="617"/>
      <c r="H129" s="585"/>
      <c r="I129" s="618"/>
      <c r="J129" s="619"/>
      <c r="K129" s="619"/>
      <c r="L129" s="619"/>
      <c r="M129" s="617"/>
      <c r="N129" s="585"/>
      <c r="O129" s="618"/>
      <c r="P129" s="619"/>
      <c r="Q129" s="619"/>
      <c r="R129" s="619"/>
      <c r="S129" s="617"/>
      <c r="T129" s="585"/>
      <c r="U129" s="618"/>
      <c r="V129" s="619"/>
      <c r="W129" s="619"/>
      <c r="X129" s="619"/>
      <c r="Y129" s="617"/>
      <c r="Z129" s="585"/>
      <c r="AA129" s="618"/>
      <c r="AB129" s="619"/>
      <c r="AC129" s="619"/>
      <c r="AD129" s="619"/>
      <c r="AE129" s="617"/>
      <c r="AF129" s="585"/>
      <c r="AG129" s="618"/>
      <c r="AH129" s="619"/>
      <c r="AI129" s="619"/>
      <c r="AJ129" s="619"/>
      <c r="AK129" s="617"/>
      <c r="AL129" s="585"/>
      <c r="AM129" s="618"/>
      <c r="AN129" s="619"/>
      <c r="AO129" s="619"/>
      <c r="AP129" s="619"/>
      <c r="AQ129" s="617"/>
      <c r="AR129" s="585"/>
      <c r="AS129" s="618"/>
      <c r="AT129" s="619"/>
      <c r="AU129" s="619"/>
      <c r="AV129" s="619"/>
      <c r="AW129" s="617"/>
      <c r="AX129" s="585"/>
      <c r="AY129" s="618"/>
      <c r="AZ129" s="619"/>
      <c r="BA129" s="619"/>
      <c r="BB129" s="619"/>
      <c r="BC129" s="617"/>
      <c r="BD129" s="585"/>
      <c r="BE129" s="618"/>
      <c r="BF129" s="619"/>
      <c r="BG129" s="619"/>
      <c r="BH129" s="619"/>
      <c r="BI129" s="617"/>
      <c r="BJ129" s="585"/>
      <c r="BK129" s="618"/>
      <c r="BL129" s="619"/>
      <c r="BM129" s="619"/>
      <c r="BN129" s="619"/>
      <c r="BO129" s="617"/>
      <c r="BP129" s="585"/>
      <c r="BQ129" s="618"/>
      <c r="BR129" s="619"/>
      <c r="BS129" s="619"/>
      <c r="BT129" s="619"/>
      <c r="BU129" s="617"/>
      <c r="BV129" s="585"/>
      <c r="BW129" s="618"/>
      <c r="BX129" s="619"/>
      <c r="BY129" s="619"/>
      <c r="BZ129" s="619"/>
      <c r="CA129" s="617"/>
      <c r="CB129" s="585"/>
      <c r="CC129" s="618"/>
      <c r="CD129" s="619"/>
      <c r="CE129" s="619"/>
      <c r="CF129" s="619"/>
      <c r="CG129" s="617"/>
      <c r="CH129" s="585"/>
      <c r="CI129" s="618"/>
      <c r="CJ129" s="619"/>
      <c r="CK129" s="619"/>
      <c r="CL129" s="619"/>
      <c r="CM129" s="617"/>
      <c r="CN129" s="26"/>
      <c r="CO129" s="53"/>
      <c r="CP129" s="53"/>
      <c r="CQ129"/>
      <c r="CR129"/>
      <c r="CS129"/>
      <c r="CT129"/>
      <c r="CU129"/>
      <c r="CV129"/>
      <c r="CW129" s="14"/>
    </row>
    <row r="130" spans="2:101" s="123" customFormat="1" ht="11.25" customHeight="1" x14ac:dyDescent="0.2">
      <c r="B130" s="529" t="s">
        <v>91</v>
      </c>
      <c r="C130" s="425">
        <v>656.20600000000002</v>
      </c>
      <c r="D130" s="199">
        <f>C133</f>
        <v>660.20699999999999</v>
      </c>
      <c r="E130" s="199">
        <f>D133</f>
        <v>657.16700000000003</v>
      </c>
      <c r="F130" s="199">
        <f>E133</f>
        <v>660.35799999999995</v>
      </c>
      <c r="G130" s="695">
        <f>C130</f>
        <v>656.20600000000002</v>
      </c>
      <c r="H130" s="19"/>
      <c r="I130" s="175">
        <f>+G133</f>
        <v>660.57299999999998</v>
      </c>
      <c r="J130" s="199">
        <f>I133</f>
        <v>663.28499999999997</v>
      </c>
      <c r="K130" s="199">
        <f>J133</f>
        <v>670.72500000000002</v>
      </c>
      <c r="L130" s="199">
        <f>K133</f>
        <v>672.27300000000002</v>
      </c>
      <c r="M130" s="695">
        <f>I130</f>
        <v>660.57299999999998</v>
      </c>
      <c r="N130" s="19"/>
      <c r="O130" s="175">
        <f>+M133</f>
        <v>681.35199999999998</v>
      </c>
      <c r="P130" s="199">
        <f>O133</f>
        <v>681.88599999999997</v>
      </c>
      <c r="Q130" s="199">
        <f>P133</f>
        <v>729.44100000000003</v>
      </c>
      <c r="R130" s="199">
        <f>Q133</f>
        <v>769.505</v>
      </c>
      <c r="S130" s="695">
        <f>O130</f>
        <v>681.35199999999998</v>
      </c>
      <c r="T130" s="19"/>
      <c r="U130" s="175">
        <f>+S133</f>
        <v>747.10400000000004</v>
      </c>
      <c r="V130" s="199">
        <f>U133</f>
        <v>781.05799999999999</v>
      </c>
      <c r="W130" s="199">
        <f>V133</f>
        <v>767.49400000000003</v>
      </c>
      <c r="X130" s="199">
        <f>W133</f>
        <v>770.08500000000004</v>
      </c>
      <c r="Y130" s="695">
        <f>U130</f>
        <v>747.10400000000004</v>
      </c>
      <c r="Z130" s="19"/>
      <c r="AA130" s="175">
        <f>+Y133</f>
        <v>782.08299999999997</v>
      </c>
      <c r="AB130" s="199">
        <f>AA133</f>
        <v>804.74599999999998</v>
      </c>
      <c r="AC130" s="199">
        <f>AB133</f>
        <v>786.71799999999996</v>
      </c>
      <c r="AD130" s="199">
        <f>AC133</f>
        <v>793.48800000000006</v>
      </c>
      <c r="AE130" s="695">
        <f>AA130</f>
        <v>782.08299999999997</v>
      </c>
      <c r="AF130" s="19"/>
      <c r="AG130" s="175">
        <f>+AE133</f>
        <v>795.61599999999999</v>
      </c>
      <c r="AH130" s="199">
        <f>AG133</f>
        <v>795.88199999999995</v>
      </c>
      <c r="AI130" s="199">
        <f>AH133</f>
        <v>798.55100000000004</v>
      </c>
      <c r="AJ130" s="199">
        <f>AI133</f>
        <v>803.125</v>
      </c>
      <c r="AK130" s="695">
        <f>AG130</f>
        <v>795.61599999999999</v>
      </c>
      <c r="AL130" s="19"/>
      <c r="AM130" s="175">
        <f>+AK133</f>
        <v>810.25199999999995</v>
      </c>
      <c r="AN130" s="199">
        <f>AM133</f>
        <v>812.16300000000001</v>
      </c>
      <c r="AO130" s="199">
        <f>AN133</f>
        <v>816.51499999999999</v>
      </c>
      <c r="AP130" s="199">
        <f>AO133</f>
        <v>818.78399999999999</v>
      </c>
      <c r="AQ130" s="695">
        <f>AM130</f>
        <v>810.25199999999995</v>
      </c>
      <c r="AR130" s="19"/>
      <c r="AS130" s="175">
        <f>+AQ133</f>
        <v>823.74</v>
      </c>
      <c r="AT130" s="199">
        <f>AS133</f>
        <v>822.14099999999996</v>
      </c>
      <c r="AU130" s="199">
        <f>AT133</f>
        <v>839.93200000000002</v>
      </c>
      <c r="AV130" s="199">
        <f>AU133</f>
        <v>844.15800000000002</v>
      </c>
      <c r="AW130" s="695">
        <f>AS130</f>
        <v>823.74</v>
      </c>
      <c r="AX130" s="19"/>
      <c r="AY130" s="175">
        <f>+AW133</f>
        <v>844.43299999999999</v>
      </c>
      <c r="AZ130" s="199">
        <f>AY133</f>
        <v>845.12400000000002</v>
      </c>
      <c r="BA130" s="199">
        <f>AZ133</f>
        <v>839.63599999999997</v>
      </c>
      <c r="BB130" s="199">
        <f>BA133</f>
        <v>835.09699999999998</v>
      </c>
      <c r="BC130" s="695">
        <f>AY130</f>
        <v>844.43299999999999</v>
      </c>
      <c r="BD130" s="19"/>
      <c r="BE130" s="175">
        <f>+BC133</f>
        <v>299.92399999999998</v>
      </c>
      <c r="BF130" s="199">
        <f>BE133</f>
        <v>817.48099999999999</v>
      </c>
      <c r="BG130" s="199">
        <f>BF133</f>
        <v>817.59500000000003</v>
      </c>
      <c r="BH130" s="199">
        <f>BG133</f>
        <v>815.31600000000003</v>
      </c>
      <c r="BI130" s="695">
        <f>BE130</f>
        <v>299.92399999999998</v>
      </c>
      <c r="BJ130" s="19"/>
      <c r="BK130" s="175">
        <f>+BI133</f>
        <v>816.59199999999998</v>
      </c>
      <c r="BL130" s="199">
        <f>BK133</f>
        <v>814.20699999999999</v>
      </c>
      <c r="BM130" s="199">
        <f>BL133</f>
        <v>812.41899999999998</v>
      </c>
      <c r="BN130" s="199">
        <f>BM133</f>
        <v>813.09400000000005</v>
      </c>
      <c r="BO130" s="695">
        <f>BK130</f>
        <v>816.59199999999998</v>
      </c>
      <c r="BP130" s="19"/>
      <c r="BQ130" s="175">
        <f>+BO133</f>
        <v>813.54700000000003</v>
      </c>
      <c r="BR130" s="199">
        <f>BQ133</f>
        <v>814.42200000000003</v>
      </c>
      <c r="BS130" s="199">
        <f>BR133</f>
        <v>814.22400000000005</v>
      </c>
      <c r="BT130" s="199">
        <f>+BS133</f>
        <v>809.73299999999995</v>
      </c>
      <c r="BU130" s="695">
        <f>BO133</f>
        <v>813.54700000000003</v>
      </c>
      <c r="BV130" s="19"/>
      <c r="BW130" s="175">
        <f>BU133</f>
        <v>809.73299999999995</v>
      </c>
      <c r="BX130" s="199">
        <f>+BW133</f>
        <v>809.73299999999995</v>
      </c>
      <c r="BY130" s="199">
        <f>+BX133</f>
        <v>809.73299999999995</v>
      </c>
      <c r="BZ130" s="199">
        <f>+BY133</f>
        <v>809.73299999999995</v>
      </c>
      <c r="CA130" s="695">
        <f>BU133</f>
        <v>809.73299999999995</v>
      </c>
      <c r="CB130" s="19"/>
      <c r="CC130" s="175">
        <f>CA133</f>
        <v>809.73299999999995</v>
      </c>
      <c r="CD130" s="199">
        <f>+CC133</f>
        <v>809.73299999999995</v>
      </c>
      <c r="CE130" s="199">
        <f>+CD133</f>
        <v>809.73299999999995</v>
      </c>
      <c r="CF130" s="199">
        <f>+CE133</f>
        <v>809.73299999999995</v>
      </c>
      <c r="CG130" s="695">
        <f>CA133</f>
        <v>809.73299999999995</v>
      </c>
      <c r="CH130" s="19"/>
      <c r="CI130" s="175">
        <f>CG133</f>
        <v>809.73299999999995</v>
      </c>
      <c r="CJ130" s="199">
        <f>+CI133</f>
        <v>809.73299999999995</v>
      </c>
      <c r="CK130" s="199">
        <f>+CJ133</f>
        <v>809.73299999999995</v>
      </c>
      <c r="CL130" s="199">
        <f>+CK133</f>
        <v>809.73299999999995</v>
      </c>
      <c r="CM130" s="695">
        <f>CG133</f>
        <v>809.73299999999995</v>
      </c>
      <c r="CN130" s="19"/>
      <c r="CO130" s="51"/>
      <c r="CP130" s="51"/>
      <c r="CQ130"/>
      <c r="CR130"/>
      <c r="CS130"/>
      <c r="CT130"/>
      <c r="CU130"/>
      <c r="CV130"/>
      <c r="CW130" s="14"/>
    </row>
    <row r="131" spans="2:101" s="123" customFormat="1" ht="11.25" customHeight="1" x14ac:dyDescent="0.2">
      <c r="B131" s="658" t="s">
        <v>182</v>
      </c>
      <c r="C131" s="175">
        <f>-C137*C138</f>
        <v>1.8288</v>
      </c>
      <c r="D131" s="199">
        <f>-D137*D138</f>
        <v>2.0704499999999997</v>
      </c>
      <c r="E131" s="199">
        <f>-E137*E138</f>
        <v>1.8</v>
      </c>
      <c r="F131" s="199">
        <f>-F137*F138</f>
        <v>0</v>
      </c>
      <c r="G131" s="695">
        <f>SUM(C131:F131)</f>
        <v>5.6992499999999993</v>
      </c>
      <c r="H131" s="199"/>
      <c r="I131" s="175">
        <f>-I137*I138</f>
        <v>1.2726</v>
      </c>
      <c r="J131" s="199">
        <f>-J137*J138</f>
        <v>3.91995</v>
      </c>
      <c r="K131" s="199">
        <f>-K137*K138</f>
        <v>0.64260000000000017</v>
      </c>
      <c r="L131" s="199">
        <f>-L137*L138</f>
        <v>4.3771499999999994</v>
      </c>
      <c r="M131" s="695">
        <f>SUM(I131:L131)</f>
        <v>10.212299999999999</v>
      </c>
      <c r="N131" s="199"/>
      <c r="O131" s="175">
        <f>-O137*O138</f>
        <v>0.23085</v>
      </c>
      <c r="P131" s="199">
        <f>-P137*P138</f>
        <v>31.213799999999996</v>
      </c>
      <c r="Q131" s="199">
        <f>-Q137*Q138</f>
        <v>18.029250000000001</v>
      </c>
      <c r="R131" s="199">
        <f>-R137*R138</f>
        <v>6.6752999999999973</v>
      </c>
      <c r="S131" s="695">
        <f>SUM(O131:R131)</f>
        <v>56.1492</v>
      </c>
      <c r="T131" s="199"/>
      <c r="U131" s="175">
        <f>-U137*U138</f>
        <v>12.65085</v>
      </c>
      <c r="V131" s="199">
        <f>-V137*V138</f>
        <v>1.7100000000000115E-2</v>
      </c>
      <c r="W131" s="199">
        <f>-W137*W138</f>
        <v>0</v>
      </c>
      <c r="X131" s="199">
        <f>-X137*X138</f>
        <v>11.484450000000001</v>
      </c>
      <c r="Y131" s="695">
        <f>SUM(U131:X131)</f>
        <v>24.1524</v>
      </c>
      <c r="Z131" s="199"/>
      <c r="AA131" s="175">
        <f>-AA137*AA138</f>
        <v>21.006900000000002</v>
      </c>
      <c r="AB131" s="199">
        <f>-AB137*AB138</f>
        <v>0</v>
      </c>
      <c r="AC131" s="199">
        <f>-AC137*AC138</f>
        <v>2.5474500000000009</v>
      </c>
      <c r="AD131" s="199">
        <f>-AD137*AD138</f>
        <v>-7.0200000000002663E-2</v>
      </c>
      <c r="AE131" s="695">
        <f>SUM(AA131:AD131)</f>
        <v>23.48415</v>
      </c>
      <c r="AF131" s="199"/>
      <c r="AG131" s="175">
        <f>-AG137*AG138</f>
        <v>0</v>
      </c>
      <c r="AH131" s="199">
        <f>-AH137*AH138</f>
        <v>3.9267000000000003</v>
      </c>
      <c r="AI131" s="199">
        <f>-AI137*AI138</f>
        <v>2.4601499999999996</v>
      </c>
      <c r="AJ131" s="199">
        <f>-AJ137*AJ138</f>
        <v>3.7921500000000008</v>
      </c>
      <c r="AK131" s="695">
        <f>SUM(AG131:AJ131)</f>
        <v>10.179</v>
      </c>
      <c r="AL131" s="199"/>
      <c r="AM131" s="175">
        <f>-AM137*AM138</f>
        <v>0</v>
      </c>
      <c r="AN131" s="199">
        <f>-AN137*AN138</f>
        <v>4.7659500000000001</v>
      </c>
      <c r="AO131" s="199">
        <f>-AO137*AO138</f>
        <v>1.8265500000000006</v>
      </c>
      <c r="AP131" s="199">
        <f>-AP137*AP138</f>
        <v>0</v>
      </c>
      <c r="AQ131" s="695">
        <f>SUM(AM131:AP131)</f>
        <v>6.5925000000000011</v>
      </c>
      <c r="AR131" s="199"/>
      <c r="AS131" s="175">
        <f>-AS137*AS138</f>
        <v>0</v>
      </c>
      <c r="AT131" s="199">
        <f>-AT137*AT138</f>
        <v>63.433349999999997</v>
      </c>
      <c r="AU131" s="199">
        <f>-AU137*AU138</f>
        <v>-8.5049999999996836E-2</v>
      </c>
      <c r="AV131" s="199">
        <f>-AV137*AV138</f>
        <v>2.2684499999999987</v>
      </c>
      <c r="AW131" s="695">
        <f>SUM(AS131:AV131)</f>
        <v>65.616749999999996</v>
      </c>
      <c r="AX131" s="199"/>
      <c r="AY131" s="175">
        <f>-AY137*AY138</f>
        <v>0</v>
      </c>
      <c r="AZ131" s="199">
        <f>-AZ137*AZ138</f>
        <v>0</v>
      </c>
      <c r="BA131" s="199">
        <f>-BA137*BA138</f>
        <v>3.9285000000000001</v>
      </c>
      <c r="BB131" s="199">
        <f>-BB137*BB138</f>
        <v>0.80325000000000013</v>
      </c>
      <c r="BC131" s="695">
        <f>SUM(AY131:BB131)</f>
        <v>4.7317499999999999</v>
      </c>
      <c r="BD131" s="199"/>
      <c r="BE131" s="175">
        <f>-BE137*BE138</f>
        <v>497.12850000000003</v>
      </c>
      <c r="BF131" s="199">
        <f>-BF137*BF138</f>
        <v>0.22455000000001066</v>
      </c>
      <c r="BG131" s="199">
        <f>-BG137*BG138</f>
        <v>0.60930000000001883</v>
      </c>
      <c r="BH131" s="199">
        <f>-BH137*BH138</f>
        <v>0</v>
      </c>
      <c r="BI131" s="695">
        <f>SUM(BE131:BH131)</f>
        <v>497.96235000000007</v>
      </c>
      <c r="BJ131" s="199"/>
      <c r="BK131" s="175">
        <f>-BK137*BK138</f>
        <v>0</v>
      </c>
      <c r="BL131" s="199">
        <f>-BL137*BL138</f>
        <v>0</v>
      </c>
      <c r="BM131" s="199">
        <f>-BM137*BM138</f>
        <v>0</v>
      </c>
      <c r="BN131" s="199">
        <f>-BN137*BN138</f>
        <v>0</v>
      </c>
      <c r="BO131" s="695">
        <f>SUM(BK131:BN131)</f>
        <v>0</v>
      </c>
      <c r="BP131" s="199"/>
      <c r="BQ131" s="175">
        <f>-BQ137*BQ138</f>
        <v>0</v>
      </c>
      <c r="BR131" s="199">
        <f>-BR137*BR138</f>
        <v>0</v>
      </c>
      <c r="BS131" s="199">
        <f>-BS137*BS138</f>
        <v>0</v>
      </c>
      <c r="BT131" s="199">
        <f>-BT137*BT138</f>
        <v>0</v>
      </c>
      <c r="BU131" s="695">
        <f>SUM(BQ131:BT131)</f>
        <v>0</v>
      </c>
      <c r="BV131" s="199"/>
      <c r="BW131" s="175">
        <f>-BW137*BW138</f>
        <v>0</v>
      </c>
      <c r="BX131" s="199">
        <f>-BX137*BX138</f>
        <v>0</v>
      </c>
      <c r="BY131" s="199">
        <f>-BY137*BY138</f>
        <v>0</v>
      </c>
      <c r="BZ131" s="199">
        <f>-BZ137*BZ138</f>
        <v>0</v>
      </c>
      <c r="CA131" s="695">
        <f>SUM(BW131:BZ131)</f>
        <v>0</v>
      </c>
      <c r="CB131" s="199"/>
      <c r="CC131" s="175">
        <f>-CC137*CC138</f>
        <v>0</v>
      </c>
      <c r="CD131" s="199">
        <f>-CD137*CD138</f>
        <v>0</v>
      </c>
      <c r="CE131" s="199">
        <f>-CE137*CE138</f>
        <v>0</v>
      </c>
      <c r="CF131" s="199">
        <f>-CF137*CF138</f>
        <v>0</v>
      </c>
      <c r="CG131" s="695">
        <f>SUM(CC131:CF131)</f>
        <v>0</v>
      </c>
      <c r="CH131" s="199"/>
      <c r="CI131" s="175">
        <f>-CI137*CI138</f>
        <v>0</v>
      </c>
      <c r="CJ131" s="199">
        <f>-CJ137*CJ138</f>
        <v>0</v>
      </c>
      <c r="CK131" s="199">
        <f>-CK137*CK138</f>
        <v>0</v>
      </c>
      <c r="CL131" s="199">
        <f>-CL137*CL138</f>
        <v>0</v>
      </c>
      <c r="CM131" s="695">
        <f>SUM(CI131:CL131)</f>
        <v>0</v>
      </c>
      <c r="CN131" s="199"/>
      <c r="CO131" s="51"/>
      <c r="CP131" s="51"/>
      <c r="CQ131"/>
      <c r="CR131"/>
      <c r="CS131"/>
      <c r="CT131"/>
      <c r="CU131"/>
      <c r="CV131"/>
      <c r="CW131" s="14"/>
    </row>
    <row r="132" spans="2:101" s="123" customFormat="1" ht="11.25" customHeight="1" x14ac:dyDescent="0.2">
      <c r="B132" s="1232" t="s">
        <v>143</v>
      </c>
      <c r="C132" s="779">
        <f>+C133-C130-C131</f>
        <v>2.1721999999999761</v>
      </c>
      <c r="D132" s="173">
        <f>+D133-D130-D131</f>
        <v>-5.1104499999999629</v>
      </c>
      <c r="E132" s="173">
        <f>+E133-E130-E131</f>
        <v>1.3909999999999172</v>
      </c>
      <c r="F132" s="173">
        <f>+F133-F130-F131</f>
        <v>0.21500000000003183</v>
      </c>
      <c r="G132" s="795">
        <f>SUM(C132:F132)</f>
        <v>-1.3322500000000377</v>
      </c>
      <c r="H132" s="19"/>
      <c r="I132" s="779">
        <f>+I133-I130-I131</f>
        <v>1.4393999999999891</v>
      </c>
      <c r="J132" s="173">
        <f>+J133-J130-J131</f>
        <v>3.5200500000000545</v>
      </c>
      <c r="K132" s="173">
        <f>+K133-K130-K131</f>
        <v>0.90540000000000165</v>
      </c>
      <c r="L132" s="173">
        <f>+L133-L130-L131</f>
        <v>4.7018499999999515</v>
      </c>
      <c r="M132" s="795">
        <f>SUM(I132:L132)</f>
        <v>10.566699999999997</v>
      </c>
      <c r="N132" s="19"/>
      <c r="O132" s="779">
        <f>+O133-O130-O131</f>
        <v>0.30314999999999181</v>
      </c>
      <c r="P132" s="173">
        <f>+P133-P130-P131</f>
        <v>16.341200000000068</v>
      </c>
      <c r="Q132" s="173">
        <f>+Q133-Q130-Q131</f>
        <v>22.034749999999963</v>
      </c>
      <c r="R132" s="173">
        <f>+R133-R130-R131</f>
        <v>-29.07629999999995</v>
      </c>
      <c r="S132" s="795">
        <f>SUM(O132:R132)</f>
        <v>9.6028000000000695</v>
      </c>
      <c r="T132" s="19"/>
      <c r="U132" s="779">
        <f>+U133-U130-U131</f>
        <v>21.303149999999953</v>
      </c>
      <c r="V132" s="173">
        <f>+V133-V130-V131</f>
        <v>-13.581099999999964</v>
      </c>
      <c r="W132" s="173">
        <f>+W133-W130-W131</f>
        <v>2.5910000000000082</v>
      </c>
      <c r="X132" s="173">
        <f>+X133-X130-X131</f>
        <v>0.51354999999993289</v>
      </c>
      <c r="Y132" s="795">
        <f>SUM(U132:X132)</f>
        <v>10.82659999999993</v>
      </c>
      <c r="Z132" s="19"/>
      <c r="AA132" s="779">
        <f>+AA133-AA130-AA131</f>
        <v>1.6561000000000092</v>
      </c>
      <c r="AB132" s="173">
        <f>+AB133-AB130-AB131</f>
        <v>-18.02800000000002</v>
      </c>
      <c r="AC132" s="173">
        <f>+AC133-AC130-AC131</f>
        <v>4.2225500000000942</v>
      </c>
      <c r="AD132" s="173">
        <f>+AD133-AD130-AD131</f>
        <v>2.1981999999999315</v>
      </c>
      <c r="AE132" s="795">
        <f>SUM(AA132:AD132)</f>
        <v>-9.9511499999999842</v>
      </c>
      <c r="AF132" s="19"/>
      <c r="AG132" s="779">
        <f>+AG133-AG130-AG131</f>
        <v>0.26599999999996271</v>
      </c>
      <c r="AH132" s="173">
        <f>+AH133-AH130-AH131</f>
        <v>-1.2576999999999039</v>
      </c>
      <c r="AI132" s="173">
        <f>+AI133-AI130-AI131</f>
        <v>2.1138499999999558</v>
      </c>
      <c r="AJ132" s="173">
        <f>+AJ133-AJ130-AJ131</f>
        <v>3.3348499999999519</v>
      </c>
      <c r="AK132" s="795">
        <f>SUM(AG132:AJ132)</f>
        <v>4.456999999999967</v>
      </c>
      <c r="AL132" s="19"/>
      <c r="AM132" s="779">
        <f>+AM133-AM130-AM131</f>
        <v>1.9110000000000582</v>
      </c>
      <c r="AN132" s="173">
        <f>+AN133-AN130-AN131</f>
        <v>-0.41395000000002469</v>
      </c>
      <c r="AO132" s="173">
        <f>+AO133-AO130-AO131</f>
        <v>0.44245000000000489</v>
      </c>
      <c r="AP132" s="173">
        <f>+AP133-AP130-AP131</f>
        <v>4.9560000000000173</v>
      </c>
      <c r="AQ132" s="795">
        <f>SUM(AM132:AP132)</f>
        <v>6.8955000000000553</v>
      </c>
      <c r="AR132" s="19"/>
      <c r="AS132" s="779">
        <f>+AS133-AS130-AS131</f>
        <v>-1.5990000000000464</v>
      </c>
      <c r="AT132" s="173">
        <f>+AT133-AT130-AT131</f>
        <v>-45.642349999999944</v>
      </c>
      <c r="AU132" s="173">
        <f>+AU133-AU130-AU131</f>
        <v>4.3110499999999963</v>
      </c>
      <c r="AV132" s="173">
        <f>+AV133-AV130-AV131</f>
        <v>-1.9934500000000215</v>
      </c>
      <c r="AW132" s="795">
        <f>SUM(AS132:AV132)</f>
        <v>-44.92375000000002</v>
      </c>
      <c r="AX132" s="19"/>
      <c r="AY132" s="779">
        <f>+AY133-AY130-AY131</f>
        <v>0.69100000000003092</v>
      </c>
      <c r="AZ132" s="173">
        <f>+AZ133-AZ130-AZ131</f>
        <v>-5.4880000000000564</v>
      </c>
      <c r="BA132" s="173">
        <f>+BA133-BA130-BA131</f>
        <v>-8.4674999999999869</v>
      </c>
      <c r="BB132" s="173">
        <f>+BB133-BB130-BB131</f>
        <v>-535.97625000000005</v>
      </c>
      <c r="BC132" s="795">
        <f>SUM(AY132:BB132)</f>
        <v>-549.24075000000005</v>
      </c>
      <c r="BD132" s="19"/>
      <c r="BE132" s="779">
        <f>+BE133-BE130-BE131</f>
        <v>20.428499999999985</v>
      </c>
      <c r="BF132" s="173">
        <f>+BF133-BF130-BF131</f>
        <v>-0.11054999999997792</v>
      </c>
      <c r="BG132" s="173">
        <f>+BG133-BG130-BG131</f>
        <v>-2.8883000000000152</v>
      </c>
      <c r="BH132" s="173">
        <f>+BH133-BH130-BH131</f>
        <v>1.2759999999999536</v>
      </c>
      <c r="BI132" s="795">
        <f>SUM(BE132:BH132)</f>
        <v>18.705649999999945</v>
      </c>
      <c r="BJ132" s="19"/>
      <c r="BK132" s="779">
        <f>+BK133-BK130-BK131</f>
        <v>-2.3849999999999909</v>
      </c>
      <c r="BL132" s="173">
        <f>+BL133-BL130-BL131</f>
        <v>-1.7880000000000109</v>
      </c>
      <c r="BM132" s="173">
        <f>+BM133-BM130-BM131</f>
        <v>0.67500000000006821</v>
      </c>
      <c r="BN132" s="173">
        <f>+BN133-BN130-BN131</f>
        <v>0.45299999999997453</v>
      </c>
      <c r="BO132" s="795">
        <f>SUM(BK132:BN132)</f>
        <v>-3.0449999999999591</v>
      </c>
      <c r="BP132" s="19"/>
      <c r="BQ132" s="779">
        <f>+BQ133-BQ130-BQ131</f>
        <v>0.875</v>
      </c>
      <c r="BR132" s="173">
        <f>+BR133-BR130-BR131</f>
        <v>-0.19799999999997908</v>
      </c>
      <c r="BS132" s="173">
        <f>+BS133-BS130-BS131</f>
        <v>-4.4910000000000991</v>
      </c>
      <c r="BT132" s="174">
        <v>0</v>
      </c>
      <c r="BU132" s="795">
        <f>SUM(BQ132:BT132)</f>
        <v>-3.8140000000000782</v>
      </c>
      <c r="BV132" s="19"/>
      <c r="BW132" s="793">
        <v>0</v>
      </c>
      <c r="BX132" s="174">
        <v>0</v>
      </c>
      <c r="BY132" s="174">
        <v>0</v>
      </c>
      <c r="BZ132" s="174">
        <v>0</v>
      </c>
      <c r="CA132" s="795">
        <f>SUM(BW132:BZ132)</f>
        <v>0</v>
      </c>
      <c r="CB132" s="19"/>
      <c r="CC132" s="793">
        <v>0</v>
      </c>
      <c r="CD132" s="174">
        <v>0</v>
      </c>
      <c r="CE132" s="174">
        <v>0</v>
      </c>
      <c r="CF132" s="174">
        <v>0</v>
      </c>
      <c r="CG132" s="795">
        <f>SUM(CC132:CF132)</f>
        <v>0</v>
      </c>
      <c r="CH132" s="19"/>
      <c r="CI132" s="793">
        <v>0</v>
      </c>
      <c r="CJ132" s="174">
        <v>0</v>
      </c>
      <c r="CK132" s="174">
        <v>0</v>
      </c>
      <c r="CL132" s="174">
        <v>0</v>
      </c>
      <c r="CM132" s="795">
        <f>SUM(CI132:CL132)</f>
        <v>0</v>
      </c>
      <c r="CN132" s="19"/>
      <c r="CO132" s="42"/>
      <c r="CP132" s="42"/>
      <c r="CQ132"/>
      <c r="CR132"/>
      <c r="CS132"/>
      <c r="CT132"/>
      <c r="CU132"/>
      <c r="CV132"/>
      <c r="CW132" s="14"/>
    </row>
    <row r="133" spans="2:101" s="123" customFormat="1" ht="11.25" customHeight="1" x14ac:dyDescent="0.2">
      <c r="B133" s="529" t="s">
        <v>92</v>
      </c>
      <c r="C133" s="175">
        <f>+C19</f>
        <v>660.20699999999999</v>
      </c>
      <c r="D133" s="199">
        <f>+D19</f>
        <v>657.16700000000003</v>
      </c>
      <c r="E133" s="199">
        <f>+E19</f>
        <v>660.35799999999995</v>
      </c>
      <c r="F133" s="199">
        <f>+F19</f>
        <v>660.57299999999998</v>
      </c>
      <c r="G133" s="695">
        <f>G130+G131+G132</f>
        <v>660.57299999999998</v>
      </c>
      <c r="H133" s="19"/>
      <c r="I133" s="175">
        <f>+I19</f>
        <v>663.28499999999997</v>
      </c>
      <c r="J133" s="199">
        <f>+J19</f>
        <v>670.72500000000002</v>
      </c>
      <c r="K133" s="199">
        <f>+K19</f>
        <v>672.27300000000002</v>
      </c>
      <c r="L133" s="199">
        <f>+L19</f>
        <v>681.35199999999998</v>
      </c>
      <c r="M133" s="695">
        <f>M130+M131+M132</f>
        <v>681.35199999999998</v>
      </c>
      <c r="N133" s="19"/>
      <c r="O133" s="175">
        <f>+O19</f>
        <v>681.88599999999997</v>
      </c>
      <c r="P133" s="199">
        <f>+P19</f>
        <v>729.44100000000003</v>
      </c>
      <c r="Q133" s="199">
        <f>+Q19</f>
        <v>769.505</v>
      </c>
      <c r="R133" s="199">
        <f>+R19</f>
        <v>747.10400000000004</v>
      </c>
      <c r="S133" s="695">
        <f>S130+S131+S132</f>
        <v>747.10400000000004</v>
      </c>
      <c r="T133" s="19"/>
      <c r="U133" s="175">
        <f>+U19</f>
        <v>781.05799999999999</v>
      </c>
      <c r="V133" s="199">
        <f>+V19</f>
        <v>767.49400000000003</v>
      </c>
      <c r="W133" s="199">
        <f>+W19</f>
        <v>770.08500000000004</v>
      </c>
      <c r="X133" s="199">
        <f>+X19</f>
        <v>782.08299999999997</v>
      </c>
      <c r="Y133" s="695">
        <f>Y130+Y131+Y132</f>
        <v>782.08299999999997</v>
      </c>
      <c r="Z133" s="19"/>
      <c r="AA133" s="175">
        <f>+AA19</f>
        <v>804.74599999999998</v>
      </c>
      <c r="AB133" s="199">
        <f>+AB19</f>
        <v>786.71799999999996</v>
      </c>
      <c r="AC133" s="199">
        <f>+AC19</f>
        <v>793.48800000000006</v>
      </c>
      <c r="AD133" s="199">
        <f>+AD19</f>
        <v>795.61599999999999</v>
      </c>
      <c r="AE133" s="695">
        <f>AE130+AE131+AE132</f>
        <v>795.61599999999999</v>
      </c>
      <c r="AF133" s="19"/>
      <c r="AG133" s="175">
        <f>+AG19</f>
        <v>795.88199999999995</v>
      </c>
      <c r="AH133" s="199">
        <f>+AH19</f>
        <v>798.55100000000004</v>
      </c>
      <c r="AI133" s="199">
        <f>+AI19</f>
        <v>803.125</v>
      </c>
      <c r="AJ133" s="199">
        <f>+AJ19</f>
        <v>810.25199999999995</v>
      </c>
      <c r="AK133" s="695">
        <f>AK130+AK131+AK132</f>
        <v>810.25199999999995</v>
      </c>
      <c r="AL133" s="19"/>
      <c r="AM133" s="175">
        <f>+AM19</f>
        <v>812.16300000000001</v>
      </c>
      <c r="AN133" s="199">
        <f>+AN19</f>
        <v>816.51499999999999</v>
      </c>
      <c r="AO133" s="199">
        <f>+AO19</f>
        <v>818.78399999999999</v>
      </c>
      <c r="AP133" s="199">
        <f>+AP19</f>
        <v>823.74</v>
      </c>
      <c r="AQ133" s="695">
        <f>AQ130+AQ131+AQ132</f>
        <v>823.74</v>
      </c>
      <c r="AR133" s="19"/>
      <c r="AS133" s="175">
        <f>+AS19</f>
        <v>822.14099999999996</v>
      </c>
      <c r="AT133" s="199">
        <f>+AT19</f>
        <v>839.93200000000002</v>
      </c>
      <c r="AU133" s="199">
        <f>+AU19</f>
        <v>844.15800000000002</v>
      </c>
      <c r="AV133" s="199">
        <f>+AV19</f>
        <v>844.43299999999999</v>
      </c>
      <c r="AW133" s="695">
        <f>AW130+AW131+AW132</f>
        <v>844.43299999999999</v>
      </c>
      <c r="AX133" s="19"/>
      <c r="AY133" s="175">
        <f>+AY19</f>
        <v>845.12400000000002</v>
      </c>
      <c r="AZ133" s="199">
        <f>+AZ19</f>
        <v>839.63599999999997</v>
      </c>
      <c r="BA133" s="199">
        <f>+BA19</f>
        <v>835.09699999999998</v>
      </c>
      <c r="BB133" s="199">
        <f>+BB19</f>
        <v>299.92399999999998</v>
      </c>
      <c r="BC133" s="695">
        <f>BC130+BC131+BC132</f>
        <v>299.92399999999998</v>
      </c>
      <c r="BD133" s="19"/>
      <c r="BE133" s="175">
        <f>+BE19</f>
        <v>817.48099999999999</v>
      </c>
      <c r="BF133" s="199">
        <f>+BF19</f>
        <v>817.59500000000003</v>
      </c>
      <c r="BG133" s="199">
        <f>+BG19</f>
        <v>815.31600000000003</v>
      </c>
      <c r="BH133" s="199">
        <f>+BH19</f>
        <v>816.59199999999998</v>
      </c>
      <c r="BI133" s="695">
        <f>BI130+BI131+BI132</f>
        <v>816.59199999999998</v>
      </c>
      <c r="BJ133" s="19"/>
      <c r="BK133" s="175">
        <f>+BK19</f>
        <v>814.20699999999999</v>
      </c>
      <c r="BL133" s="199">
        <f>+BL19</f>
        <v>812.41899999999998</v>
      </c>
      <c r="BM133" s="199">
        <f>+BM19</f>
        <v>813.09400000000005</v>
      </c>
      <c r="BN133" s="199">
        <f>+BN19</f>
        <v>813.54700000000003</v>
      </c>
      <c r="BO133" s="695">
        <f>BO130+BO131+BO132</f>
        <v>813.54700000000003</v>
      </c>
      <c r="BP133" s="19"/>
      <c r="BQ133" s="175">
        <f>+BQ19</f>
        <v>814.42200000000003</v>
      </c>
      <c r="BR133" s="199">
        <f>+BR19</f>
        <v>814.22400000000005</v>
      </c>
      <c r="BS133" s="199">
        <f>+BS19</f>
        <v>809.73299999999995</v>
      </c>
      <c r="BT133" s="199">
        <f>SUM(BT130:BT132)</f>
        <v>809.73299999999995</v>
      </c>
      <c r="BU133" s="695">
        <f>SUM(BU130:BU132)</f>
        <v>809.73299999999995</v>
      </c>
      <c r="BV133" s="19"/>
      <c r="BW133" s="175">
        <f>SUM(BW130:BW132)</f>
        <v>809.73299999999995</v>
      </c>
      <c r="BX133" s="199">
        <f>SUM(BX130:BX132)</f>
        <v>809.73299999999995</v>
      </c>
      <c r="BY133" s="199">
        <f>SUM(BY130:BY132)</f>
        <v>809.73299999999995</v>
      </c>
      <c r="BZ133" s="199">
        <f>SUM(BZ130:BZ132)</f>
        <v>809.73299999999995</v>
      </c>
      <c r="CA133" s="695">
        <f>SUM(CA130:CA132)</f>
        <v>809.73299999999995</v>
      </c>
      <c r="CB133" s="19"/>
      <c r="CC133" s="175">
        <f>SUM(CC130:CC132)</f>
        <v>809.73299999999995</v>
      </c>
      <c r="CD133" s="199">
        <f>SUM(CD130:CD132)</f>
        <v>809.73299999999995</v>
      </c>
      <c r="CE133" s="199">
        <f>SUM(CE130:CE132)</f>
        <v>809.73299999999995</v>
      </c>
      <c r="CF133" s="199">
        <f>SUM(CF130:CF132)</f>
        <v>809.73299999999995</v>
      </c>
      <c r="CG133" s="695">
        <f>SUM(CG130:CG132)</f>
        <v>809.73299999999995</v>
      </c>
      <c r="CH133" s="19"/>
      <c r="CI133" s="175">
        <f>SUM(CI130:CI132)</f>
        <v>809.73299999999995</v>
      </c>
      <c r="CJ133" s="199">
        <f>SUM(CJ130:CJ132)</f>
        <v>809.73299999999995</v>
      </c>
      <c r="CK133" s="199">
        <f>SUM(CK130:CK132)</f>
        <v>809.73299999999995</v>
      </c>
      <c r="CL133" s="199">
        <f>SUM(CL130:CL132)</f>
        <v>809.73299999999995</v>
      </c>
      <c r="CM133" s="695">
        <f>SUM(CM130:CM132)</f>
        <v>809.73299999999995</v>
      </c>
      <c r="CN133" s="19"/>
      <c r="CO133" s="51"/>
      <c r="CP133" s="51"/>
      <c r="CQ133"/>
      <c r="CR133"/>
      <c r="CS133"/>
      <c r="CT133"/>
      <c r="CU133"/>
      <c r="CV133"/>
      <c r="CW133" s="14"/>
    </row>
    <row r="134" spans="2:101" s="123" customFormat="1" ht="11.25" customHeight="1" x14ac:dyDescent="0.2">
      <c r="B134" s="771" t="s">
        <v>44</v>
      </c>
      <c r="C134" s="782">
        <f>+C133-C19</f>
        <v>0</v>
      </c>
      <c r="D134" s="783">
        <f>+D133-D19</f>
        <v>0</v>
      </c>
      <c r="E134" s="783">
        <f>+E133-E19</f>
        <v>0</v>
      </c>
      <c r="F134" s="783">
        <f>+F133-F19</f>
        <v>0</v>
      </c>
      <c r="G134" s="801">
        <f>+G133-G19</f>
        <v>0</v>
      </c>
      <c r="H134" s="210"/>
      <c r="I134" s="782">
        <f>+I133-I19</f>
        <v>0</v>
      </c>
      <c r="J134" s="783">
        <f>+J133-J19</f>
        <v>0</v>
      </c>
      <c r="K134" s="783">
        <f>+K133-K19</f>
        <v>0</v>
      </c>
      <c r="L134" s="783">
        <f>+L133-L19</f>
        <v>0</v>
      </c>
      <c r="M134" s="801">
        <f>+M133-M19</f>
        <v>0</v>
      </c>
      <c r="N134" s="210"/>
      <c r="O134" s="782">
        <f>+O133-O19</f>
        <v>0</v>
      </c>
      <c r="P134" s="783">
        <f>+P133-P19</f>
        <v>0</v>
      </c>
      <c r="Q134" s="783">
        <f>+Q133-Q19</f>
        <v>0</v>
      </c>
      <c r="R134" s="783">
        <f>+R133-R19</f>
        <v>0</v>
      </c>
      <c r="S134" s="801">
        <f>+S133-S19</f>
        <v>0</v>
      </c>
      <c r="T134" s="210"/>
      <c r="U134" s="782">
        <f>+U133-U19</f>
        <v>0</v>
      </c>
      <c r="V134" s="783">
        <f>+V133-V19</f>
        <v>0</v>
      </c>
      <c r="W134" s="783">
        <f>+W133-W19</f>
        <v>0</v>
      </c>
      <c r="X134" s="783">
        <f>+X133-X19</f>
        <v>0</v>
      </c>
      <c r="Y134" s="801">
        <f>+Y133-Y19</f>
        <v>0</v>
      </c>
      <c r="Z134" s="210"/>
      <c r="AA134" s="782">
        <f>+AA133-AA19</f>
        <v>0</v>
      </c>
      <c r="AB134" s="783">
        <f>+AB133-AB19</f>
        <v>0</v>
      </c>
      <c r="AC134" s="783">
        <f>+AC133-AC19</f>
        <v>0</v>
      </c>
      <c r="AD134" s="783">
        <f>+AD133-AD19</f>
        <v>0</v>
      </c>
      <c r="AE134" s="801">
        <f>+AE133-AE19</f>
        <v>0</v>
      </c>
      <c r="AF134" s="210"/>
      <c r="AG134" s="782">
        <f>+AG133-AG19</f>
        <v>0</v>
      </c>
      <c r="AH134" s="783">
        <f>+AH133-AH19</f>
        <v>0</v>
      </c>
      <c r="AI134" s="783">
        <f>+AI133-AI19</f>
        <v>0</v>
      </c>
      <c r="AJ134" s="783">
        <f>+AJ133-AJ19</f>
        <v>0</v>
      </c>
      <c r="AK134" s="801">
        <f>+AK133-AK19</f>
        <v>0</v>
      </c>
      <c r="AL134" s="210"/>
      <c r="AM134" s="782">
        <f>+AM133-AM19</f>
        <v>0</v>
      </c>
      <c r="AN134" s="783">
        <f>+AN133-AN19</f>
        <v>0</v>
      </c>
      <c r="AO134" s="783">
        <f>+AO133-AO19</f>
        <v>0</v>
      </c>
      <c r="AP134" s="783">
        <f>+AP133-AP19</f>
        <v>0</v>
      </c>
      <c r="AQ134" s="801">
        <f>+AQ133-AQ19</f>
        <v>0</v>
      </c>
      <c r="AR134" s="210"/>
      <c r="AS134" s="782">
        <f>+AS133-AS19</f>
        <v>0</v>
      </c>
      <c r="AT134" s="783">
        <f>+AT133-AT19</f>
        <v>0</v>
      </c>
      <c r="AU134" s="783">
        <f>+AU133-AU19</f>
        <v>0</v>
      </c>
      <c r="AV134" s="783">
        <f>+AV133-AV19</f>
        <v>0</v>
      </c>
      <c r="AW134" s="801">
        <f>+AW133-AW19</f>
        <v>0</v>
      </c>
      <c r="AX134" s="210"/>
      <c r="AY134" s="782">
        <f>+AY133-AY19</f>
        <v>0</v>
      </c>
      <c r="AZ134" s="783">
        <f>+AZ133-AZ19</f>
        <v>0</v>
      </c>
      <c r="BA134" s="783">
        <f>+BA133-BA19</f>
        <v>0</v>
      </c>
      <c r="BB134" s="783">
        <f>+BB133-BB19</f>
        <v>0</v>
      </c>
      <c r="BC134" s="801">
        <f>+BC133-BC19</f>
        <v>0</v>
      </c>
      <c r="BD134" s="210"/>
      <c r="BE134" s="782">
        <f>+BE133-BE19</f>
        <v>0</v>
      </c>
      <c r="BF134" s="783">
        <f>+BF133-BF19</f>
        <v>0</v>
      </c>
      <c r="BG134" s="783">
        <f>+BG133-BG19</f>
        <v>0</v>
      </c>
      <c r="BH134" s="783">
        <f>+BH133-BH19</f>
        <v>0</v>
      </c>
      <c r="BI134" s="801">
        <f>+BI133-BI19</f>
        <v>0</v>
      </c>
      <c r="BJ134" s="210"/>
      <c r="BK134" s="782">
        <f>+BK133-BK19</f>
        <v>0</v>
      </c>
      <c r="BL134" s="783">
        <f>+BL133-BL19</f>
        <v>0</v>
      </c>
      <c r="BM134" s="783">
        <f>+BM133-BM19</f>
        <v>0</v>
      </c>
      <c r="BN134" s="783">
        <f>+BN133-BN19</f>
        <v>0</v>
      </c>
      <c r="BO134" s="801">
        <f>+BO133-BO19</f>
        <v>0</v>
      </c>
      <c r="BP134" s="210"/>
      <c r="BQ134" s="782">
        <f>+BQ133-BQ19</f>
        <v>0</v>
      </c>
      <c r="BR134" s="783">
        <f>+BR133-BR19</f>
        <v>0</v>
      </c>
      <c r="BS134" s="783">
        <f>+BS133-BS19</f>
        <v>0</v>
      </c>
      <c r="BT134" s="783">
        <f>+BT133-BT19</f>
        <v>0</v>
      </c>
      <c r="BU134" s="801">
        <f>+BU133-BU19</f>
        <v>0</v>
      </c>
      <c r="BV134" s="210"/>
      <c r="BW134" s="782">
        <f>+BW133-BW19</f>
        <v>0</v>
      </c>
      <c r="BX134" s="783">
        <f>+BX133-BX19</f>
        <v>0</v>
      </c>
      <c r="BY134" s="783">
        <f>+BY133-BY19</f>
        <v>0</v>
      </c>
      <c r="BZ134" s="783">
        <f>+BZ133-BZ19</f>
        <v>0</v>
      </c>
      <c r="CA134" s="801">
        <f>+CA133-CA19</f>
        <v>0</v>
      </c>
      <c r="CB134" s="210"/>
      <c r="CC134" s="782">
        <f>+CC133-CC19</f>
        <v>0</v>
      </c>
      <c r="CD134" s="783">
        <f>+CD133-CD19</f>
        <v>0</v>
      </c>
      <c r="CE134" s="783">
        <f>+CE133-CE19</f>
        <v>0</v>
      </c>
      <c r="CF134" s="783">
        <f>+CF133-CF19</f>
        <v>0</v>
      </c>
      <c r="CG134" s="801">
        <f>+CG133-CG19</f>
        <v>0</v>
      </c>
      <c r="CH134" s="210"/>
      <c r="CI134" s="782">
        <f>+CI133-CI19</f>
        <v>0</v>
      </c>
      <c r="CJ134" s="783">
        <f>+CJ133-CJ19</f>
        <v>0</v>
      </c>
      <c r="CK134" s="783">
        <f>+CK133-CK19</f>
        <v>0</v>
      </c>
      <c r="CL134" s="783">
        <f>+CL133-CL19</f>
        <v>0</v>
      </c>
      <c r="CM134" s="801">
        <f>+CM133-CM19</f>
        <v>0</v>
      </c>
      <c r="CN134" s="210"/>
      <c r="CO134" s="470"/>
      <c r="CP134" s="470"/>
      <c r="CQ134"/>
      <c r="CR134"/>
      <c r="CS134"/>
      <c r="CT134"/>
      <c r="CU134"/>
      <c r="CV134"/>
      <c r="CW134" s="14"/>
    </row>
    <row r="135" spans="2:101" s="123" customFormat="1" ht="11.25" customHeight="1" x14ac:dyDescent="0.2">
      <c r="B135" s="47"/>
      <c r="C135" s="210"/>
      <c r="D135" s="210"/>
      <c r="E135" s="210"/>
      <c r="F135" s="210"/>
      <c r="G135" s="210"/>
      <c r="H135" s="210"/>
      <c r="I135" s="210"/>
      <c r="J135" s="210"/>
      <c r="K135" s="210"/>
      <c r="L135" s="210"/>
      <c r="M135" s="210"/>
      <c r="N135" s="210"/>
      <c r="O135" s="210"/>
      <c r="P135" s="210"/>
      <c r="Q135" s="210"/>
      <c r="R135" s="210"/>
      <c r="S135" s="210"/>
      <c r="T135" s="210"/>
      <c r="U135" s="210"/>
      <c r="V135" s="210"/>
      <c r="W135" s="210"/>
      <c r="X135" s="210"/>
      <c r="Y135" s="210"/>
      <c r="Z135" s="210"/>
      <c r="AA135" s="210"/>
      <c r="AB135" s="210"/>
      <c r="AC135" s="210"/>
      <c r="AD135" s="210"/>
      <c r="AE135" s="470"/>
      <c r="AF135" s="210"/>
      <c r="AG135" s="210"/>
      <c r="AH135" s="210"/>
      <c r="AI135" s="210"/>
      <c r="AJ135" s="210"/>
      <c r="AK135" s="470"/>
      <c r="AL135" s="210"/>
      <c r="AM135" s="470"/>
      <c r="AN135" s="470"/>
      <c r="AO135" s="210"/>
      <c r="AP135" s="210"/>
      <c r="AQ135" s="470"/>
      <c r="AR135" s="210"/>
      <c r="AS135" s="470"/>
      <c r="AT135" s="470"/>
      <c r="AU135" s="470"/>
      <c r="AV135" s="470"/>
      <c r="AW135" s="470"/>
      <c r="AX135" s="210"/>
      <c r="AY135" s="470"/>
      <c r="AZ135" s="470"/>
      <c r="BA135" s="470"/>
      <c r="BB135" s="470"/>
      <c r="BC135" s="470"/>
      <c r="BD135" s="210"/>
      <c r="BE135" s="470"/>
      <c r="BF135" s="470"/>
      <c r="BG135" s="470"/>
      <c r="BH135" s="470"/>
      <c r="BI135" s="470"/>
      <c r="BJ135" s="210"/>
      <c r="BK135" s="470"/>
      <c r="BL135" s="470"/>
      <c r="BM135" s="470"/>
      <c r="BN135" s="470"/>
      <c r="BO135" s="470"/>
      <c r="BP135" s="210"/>
      <c r="BQ135" s="470"/>
      <c r="BR135" s="470"/>
      <c r="BS135" s="470"/>
      <c r="BT135" s="470"/>
      <c r="BU135" s="470"/>
      <c r="BV135" s="210"/>
      <c r="BW135" s="470"/>
      <c r="BX135" s="470"/>
      <c r="BY135" s="470"/>
      <c r="BZ135" s="470"/>
      <c r="CA135" s="470"/>
      <c r="CB135" s="210"/>
      <c r="CC135" s="470"/>
      <c r="CD135" s="470"/>
      <c r="CE135" s="470"/>
      <c r="CF135" s="470"/>
      <c r="CG135" s="470"/>
      <c r="CH135" s="210"/>
      <c r="CI135" s="470"/>
      <c r="CJ135" s="470"/>
      <c r="CK135" s="470"/>
      <c r="CL135" s="470"/>
      <c r="CM135" s="470"/>
      <c r="CN135" s="210"/>
      <c r="CO135" s="470"/>
      <c r="CP135" s="470"/>
      <c r="CQ135"/>
      <c r="CR135"/>
      <c r="CS135"/>
      <c r="CT135"/>
      <c r="CU135"/>
      <c r="CV135"/>
      <c r="CW135" s="14"/>
    </row>
    <row r="136" spans="2:101" s="123" customFormat="1" ht="11.25" customHeight="1" x14ac:dyDescent="0.2">
      <c r="B136" s="1033" t="s">
        <v>105</v>
      </c>
      <c r="C136" s="1034"/>
      <c r="D136" s="1034"/>
      <c r="E136" s="1034"/>
      <c r="F136" s="1034"/>
      <c r="G136" s="1034"/>
      <c r="H136" s="1033"/>
      <c r="I136" s="1034"/>
      <c r="J136" s="1034"/>
      <c r="K136" s="1034"/>
      <c r="L136" s="1034"/>
      <c r="M136" s="1034"/>
      <c r="N136" s="1033"/>
      <c r="O136" s="1034"/>
      <c r="P136" s="1034"/>
      <c r="Q136" s="1034"/>
      <c r="R136" s="1034"/>
      <c r="S136" s="1034"/>
      <c r="T136" s="1033"/>
      <c r="U136" s="1034"/>
      <c r="V136" s="1034"/>
      <c r="W136" s="1034"/>
      <c r="X136" s="1034"/>
      <c r="Y136" s="1034"/>
      <c r="Z136" s="1033"/>
      <c r="AA136" s="1034"/>
      <c r="AB136" s="1034"/>
      <c r="AC136" s="1034"/>
      <c r="AD136" s="1034"/>
      <c r="AE136" s="1034"/>
      <c r="AF136" s="1033"/>
      <c r="AG136" s="1034"/>
      <c r="AH136" s="1034"/>
      <c r="AI136" s="1034"/>
      <c r="AJ136" s="1034"/>
      <c r="AK136" s="1034"/>
      <c r="AL136" s="1033"/>
      <c r="AM136" s="1034"/>
      <c r="AN136" s="1034"/>
      <c r="AO136" s="1034"/>
      <c r="AP136" s="1034"/>
      <c r="AQ136" s="1034"/>
      <c r="AR136" s="1033"/>
      <c r="AS136" s="1034"/>
      <c r="AT136" s="1034"/>
      <c r="AU136" s="1034"/>
      <c r="AV136" s="1034"/>
      <c r="AW136" s="1034"/>
      <c r="AX136" s="1033"/>
      <c r="AY136" s="1034"/>
      <c r="AZ136" s="1034"/>
      <c r="BA136" s="1034"/>
      <c r="BB136" s="1034"/>
      <c r="BC136" s="1034"/>
      <c r="BD136" s="1033"/>
      <c r="BE136" s="1034"/>
      <c r="BF136" s="1034"/>
      <c r="BG136" s="1034"/>
      <c r="BH136" s="1034"/>
      <c r="BI136" s="1034"/>
      <c r="BJ136" s="1033"/>
      <c r="BK136" s="1034"/>
      <c r="BL136" s="1034"/>
      <c r="BM136" s="1034"/>
      <c r="BN136" s="1034"/>
      <c r="BO136" s="1034"/>
      <c r="BP136" s="1033"/>
      <c r="BQ136" s="1034"/>
      <c r="BR136" s="1034"/>
      <c r="BS136" s="1034"/>
      <c r="BT136" s="1034"/>
      <c r="BU136" s="1034"/>
      <c r="BV136" s="1033"/>
      <c r="BW136" s="1034"/>
      <c r="BX136" s="1034"/>
      <c r="BY136" s="1034"/>
      <c r="BZ136" s="1034"/>
      <c r="CA136" s="1034"/>
      <c r="CB136" s="1033"/>
      <c r="CC136" s="1034"/>
      <c r="CD136" s="1034"/>
      <c r="CE136" s="1034"/>
      <c r="CF136" s="1034"/>
      <c r="CG136" s="1034"/>
      <c r="CH136" s="1033"/>
      <c r="CI136" s="1034"/>
      <c r="CJ136" s="1034"/>
      <c r="CK136" s="1034"/>
      <c r="CL136" s="1034"/>
      <c r="CM136" s="1034"/>
      <c r="CN136" s="44"/>
      <c r="CO136" s="44"/>
      <c r="CP136" s="44"/>
      <c r="CQ136"/>
      <c r="CR136"/>
      <c r="CS136"/>
      <c r="CT136"/>
      <c r="CU136"/>
      <c r="CV136"/>
      <c r="CW136" s="14"/>
    </row>
    <row r="137" spans="2:101" s="123" customFormat="1" ht="11.25" customHeight="1" x14ac:dyDescent="0.2">
      <c r="B137" s="535" t="s">
        <v>106</v>
      </c>
      <c r="C137" s="722">
        <f>+'Cash Flow'!C29</f>
        <v>-4.0640000000000001</v>
      </c>
      <c r="D137" s="723">
        <f>+'Cash Flow'!D29</f>
        <v>-4.6009999999999991</v>
      </c>
      <c r="E137" s="723">
        <f>+'Cash Flow'!E29</f>
        <v>-4</v>
      </c>
      <c r="F137" s="723">
        <f>+'Cash Flow'!F29</f>
        <v>0</v>
      </c>
      <c r="G137" s="730">
        <f>+'Cash Flow'!G29</f>
        <v>-12.664999999999999</v>
      </c>
      <c r="H137" s="199"/>
      <c r="I137" s="722">
        <f>+'Cash Flow'!I29</f>
        <v>-2.8279999999999998</v>
      </c>
      <c r="J137" s="723">
        <f>+'Cash Flow'!J29</f>
        <v>-8.7110000000000003</v>
      </c>
      <c r="K137" s="723">
        <f>+'Cash Flow'!K29</f>
        <v>-1.4280000000000004</v>
      </c>
      <c r="L137" s="723">
        <f>+'Cash Flow'!L29</f>
        <v>-9.7269999999999985</v>
      </c>
      <c r="M137" s="730">
        <f>+'Cash Flow'!M29</f>
        <v>-22.693999999999999</v>
      </c>
      <c r="N137" s="199"/>
      <c r="O137" s="722">
        <f>+'Cash Flow'!O29</f>
        <v>-0.51300000000000001</v>
      </c>
      <c r="P137" s="723">
        <f>+'Cash Flow'!P29</f>
        <v>-69.36399999999999</v>
      </c>
      <c r="Q137" s="723">
        <f>+'Cash Flow'!Q29</f>
        <v>-40.065000000000005</v>
      </c>
      <c r="R137" s="723">
        <f>+'Cash Flow'!R29</f>
        <v>-14.833999999999994</v>
      </c>
      <c r="S137" s="730">
        <f>+'Cash Flow'!S29</f>
        <v>-124.776</v>
      </c>
      <c r="T137" s="199"/>
      <c r="U137" s="722">
        <f>+'Cash Flow'!U29</f>
        <v>-28.113</v>
      </c>
      <c r="V137" s="723">
        <f>+'Cash Flow'!V29</f>
        <v>-3.8000000000000256E-2</v>
      </c>
      <c r="W137" s="723">
        <f>+'Cash Flow'!W29</f>
        <v>0</v>
      </c>
      <c r="X137" s="723">
        <f>+'Cash Flow'!X29</f>
        <v>-25.521000000000001</v>
      </c>
      <c r="Y137" s="730">
        <f>+'Cash Flow'!Y29</f>
        <v>-53.671999999999997</v>
      </c>
      <c r="Z137" s="199"/>
      <c r="AA137" s="722">
        <f>+'Cash Flow'!AA29</f>
        <v>-46.682000000000002</v>
      </c>
      <c r="AB137" s="723">
        <f>+'Cash Flow'!AB29</f>
        <v>0</v>
      </c>
      <c r="AC137" s="723">
        <f>+'Cash Flow'!AC29</f>
        <v>-5.6610000000000014</v>
      </c>
      <c r="AD137" s="723">
        <f>+'Cash Flow'!AD29</f>
        <v>0.15600000000000591</v>
      </c>
      <c r="AE137" s="730">
        <f>+'Cash Flow'!AE29</f>
        <v>-52.186999999999998</v>
      </c>
      <c r="AF137" s="199"/>
      <c r="AG137" s="722">
        <f>+'Cash Flow'!AG29</f>
        <v>0</v>
      </c>
      <c r="AH137" s="723">
        <f>+'Cash Flow'!AH29</f>
        <v>-8.7260000000000009</v>
      </c>
      <c r="AI137" s="723">
        <f>+'Cash Flow'!AI29</f>
        <v>-5.4669999999999987</v>
      </c>
      <c r="AJ137" s="723">
        <f>+'Cash Flow'!AJ29</f>
        <v>-8.4270000000000014</v>
      </c>
      <c r="AK137" s="730">
        <f>+'Cash Flow'!AK29</f>
        <v>-22.62</v>
      </c>
      <c r="AL137" s="199"/>
      <c r="AM137" s="722">
        <f>+'Cash Flow'!AM29</f>
        <v>0</v>
      </c>
      <c r="AN137" s="723">
        <f>+'Cash Flow'!AN29</f>
        <v>-10.590999999999999</v>
      </c>
      <c r="AO137" s="723">
        <f>+'Cash Flow'!AO29</f>
        <v>-4.0590000000000011</v>
      </c>
      <c r="AP137" s="723">
        <f>+'Cash Flow'!AP29</f>
        <v>0</v>
      </c>
      <c r="AQ137" s="730">
        <f>+'Cash Flow'!AQ29</f>
        <v>-14.65</v>
      </c>
      <c r="AR137" s="199"/>
      <c r="AS137" s="722">
        <f>+'Cash Flow'!AS29</f>
        <v>0</v>
      </c>
      <c r="AT137" s="723">
        <f>+'Cash Flow'!AT29</f>
        <v>-140.96299999999999</v>
      </c>
      <c r="AU137" s="723">
        <f>+'Cash Flow'!AU29</f>
        <v>0.18899999999999295</v>
      </c>
      <c r="AV137" s="723">
        <f>+'Cash Flow'!AV29</f>
        <v>-5.0409999999999968</v>
      </c>
      <c r="AW137" s="730">
        <f>+'Cash Flow'!AW29</f>
        <v>-145.815</v>
      </c>
      <c r="AX137" s="199"/>
      <c r="AY137" s="722">
        <f>+'Cash Flow'!AY29</f>
        <v>0</v>
      </c>
      <c r="AZ137" s="723">
        <f>+'Cash Flow'!AZ29</f>
        <v>0</v>
      </c>
      <c r="BA137" s="723">
        <f>+'Cash Flow'!BA29</f>
        <v>-8.73</v>
      </c>
      <c r="BB137" s="723">
        <f>+'Cash Flow'!BB29</f>
        <v>-1.7850000000000001</v>
      </c>
      <c r="BC137" s="730">
        <f>+'Cash Flow'!BC29</f>
        <v>-10.515000000000001</v>
      </c>
      <c r="BD137" s="199"/>
      <c r="BE137" s="722">
        <f>+'Cash Flow'!BE29</f>
        <v>-1104.73</v>
      </c>
      <c r="BF137" s="723">
        <f>+'Cash Flow'!BF29</f>
        <v>-0.49900000000002365</v>
      </c>
      <c r="BG137" s="723">
        <f>+'Cash Flow'!BG29</f>
        <v>-1.3540000000000418</v>
      </c>
      <c r="BH137" s="723">
        <f>+'Cash Flow'!BH29</f>
        <v>0</v>
      </c>
      <c r="BI137" s="730">
        <f>+'Cash Flow'!BI29</f>
        <v>-1106.5830000000001</v>
      </c>
      <c r="BJ137" s="199"/>
      <c r="BK137" s="722">
        <f>+'Cash Flow'!BK29</f>
        <v>0</v>
      </c>
      <c r="BL137" s="723">
        <f>+'Cash Flow'!BL29</f>
        <v>0</v>
      </c>
      <c r="BM137" s="723">
        <f>+'Cash Flow'!BM29</f>
        <v>0</v>
      </c>
      <c r="BN137" s="723">
        <f>+'Cash Flow'!BN29</f>
        <v>0</v>
      </c>
      <c r="BO137" s="730">
        <f>+'Cash Flow'!BO29</f>
        <v>0</v>
      </c>
      <c r="BP137" s="199"/>
      <c r="BQ137" s="722">
        <f>+'Cash Flow'!BQ29</f>
        <v>0</v>
      </c>
      <c r="BR137" s="723">
        <f>+'Cash Flow'!BR29</f>
        <v>0</v>
      </c>
      <c r="BS137" s="723">
        <f>+'Cash Flow'!BS29</f>
        <v>0</v>
      </c>
      <c r="BT137" s="723">
        <f>+'Cash Flow'!BT29</f>
        <v>0</v>
      </c>
      <c r="BU137" s="730">
        <f>+'Cash Flow'!BU29</f>
        <v>0</v>
      </c>
      <c r="BV137" s="199"/>
      <c r="BW137" s="722">
        <f>+'Cash Flow'!BW29</f>
        <v>0</v>
      </c>
      <c r="BX137" s="723">
        <f>+'Cash Flow'!BX29</f>
        <v>0</v>
      </c>
      <c r="BY137" s="723">
        <f>+'Cash Flow'!BY29</f>
        <v>0</v>
      </c>
      <c r="BZ137" s="723">
        <f>+'Cash Flow'!BZ29</f>
        <v>0</v>
      </c>
      <c r="CA137" s="730">
        <f>+'Cash Flow'!CA29</f>
        <v>0</v>
      </c>
      <c r="CB137" s="199"/>
      <c r="CC137" s="722">
        <f>+'Cash Flow'!CC29</f>
        <v>0</v>
      </c>
      <c r="CD137" s="723">
        <f>+'Cash Flow'!CD29</f>
        <v>0</v>
      </c>
      <c r="CE137" s="723">
        <f>+'Cash Flow'!CE29</f>
        <v>0</v>
      </c>
      <c r="CF137" s="723">
        <f>+'Cash Flow'!CF29</f>
        <v>0</v>
      </c>
      <c r="CG137" s="730">
        <f>+'Cash Flow'!CG29</f>
        <v>0</v>
      </c>
      <c r="CH137" s="199"/>
      <c r="CI137" s="722">
        <f>+'Cash Flow'!CI29</f>
        <v>0</v>
      </c>
      <c r="CJ137" s="723">
        <f>+'Cash Flow'!CJ29</f>
        <v>0</v>
      </c>
      <c r="CK137" s="723">
        <f>+'Cash Flow'!CK29</f>
        <v>0</v>
      </c>
      <c r="CL137" s="723">
        <f>+'Cash Flow'!CL29</f>
        <v>0</v>
      </c>
      <c r="CM137" s="730">
        <f>+'Cash Flow'!CM29</f>
        <v>0</v>
      </c>
      <c r="CN137" s="199"/>
      <c r="CO137" s="51"/>
      <c r="CP137" s="51"/>
      <c r="CQ137"/>
      <c r="CR137"/>
      <c r="CS137"/>
      <c r="CT137"/>
      <c r="CU137"/>
      <c r="CV137"/>
      <c r="CW137" s="14"/>
    </row>
    <row r="138" spans="2:101" s="123" customFormat="1" ht="11.25" customHeight="1" x14ac:dyDescent="0.2">
      <c r="B138" s="655" t="s">
        <v>36</v>
      </c>
      <c r="C138" s="806">
        <v>0.45</v>
      </c>
      <c r="D138" s="664">
        <v>0.45</v>
      </c>
      <c r="E138" s="664">
        <v>0.45</v>
      </c>
      <c r="F138" s="664">
        <v>0.45</v>
      </c>
      <c r="G138" s="807">
        <v>0.45</v>
      </c>
      <c r="H138" s="664"/>
      <c r="I138" s="806">
        <v>0.45</v>
      </c>
      <c r="J138" s="664">
        <v>0.45</v>
      </c>
      <c r="K138" s="664">
        <v>0.45</v>
      </c>
      <c r="L138" s="664">
        <v>0.45</v>
      </c>
      <c r="M138" s="807">
        <v>0.45</v>
      </c>
      <c r="N138" s="664"/>
      <c r="O138" s="806">
        <v>0.45</v>
      </c>
      <c r="P138" s="664">
        <v>0.45</v>
      </c>
      <c r="Q138" s="664">
        <v>0.45</v>
      </c>
      <c r="R138" s="664">
        <v>0.45</v>
      </c>
      <c r="S138" s="807">
        <v>0.45</v>
      </c>
      <c r="T138" s="664"/>
      <c r="U138" s="806">
        <v>0.45</v>
      </c>
      <c r="V138" s="664">
        <v>0.45</v>
      </c>
      <c r="W138" s="664">
        <v>0.45</v>
      </c>
      <c r="X138" s="664">
        <v>0.45</v>
      </c>
      <c r="Y138" s="807">
        <v>0.45</v>
      </c>
      <c r="Z138" s="664"/>
      <c r="AA138" s="806">
        <v>0.45</v>
      </c>
      <c r="AB138" s="664">
        <v>0.45</v>
      </c>
      <c r="AC138" s="664">
        <v>0.45</v>
      </c>
      <c r="AD138" s="664">
        <v>0.45</v>
      </c>
      <c r="AE138" s="807">
        <v>0.45</v>
      </c>
      <c r="AF138" s="664"/>
      <c r="AG138" s="806">
        <v>0.45</v>
      </c>
      <c r="AH138" s="664">
        <v>0.45</v>
      </c>
      <c r="AI138" s="664">
        <v>0.45</v>
      </c>
      <c r="AJ138" s="664">
        <v>0.45</v>
      </c>
      <c r="AK138" s="807">
        <v>0.45</v>
      </c>
      <c r="AL138" s="664"/>
      <c r="AM138" s="806">
        <v>0.45</v>
      </c>
      <c r="AN138" s="664">
        <v>0.45</v>
      </c>
      <c r="AO138" s="664">
        <v>0.45</v>
      </c>
      <c r="AP138" s="664">
        <v>0.45</v>
      </c>
      <c r="AQ138" s="807">
        <v>0.45</v>
      </c>
      <c r="AR138" s="664"/>
      <c r="AS138" s="806">
        <v>0.45</v>
      </c>
      <c r="AT138" s="664">
        <v>0.45</v>
      </c>
      <c r="AU138" s="664">
        <v>0.45</v>
      </c>
      <c r="AV138" s="664">
        <v>0.45</v>
      </c>
      <c r="AW138" s="807">
        <v>0.45</v>
      </c>
      <c r="AX138" s="664"/>
      <c r="AY138" s="806">
        <v>0.45</v>
      </c>
      <c r="AZ138" s="664">
        <v>0.45</v>
      </c>
      <c r="BA138" s="664">
        <v>0.45</v>
      </c>
      <c r="BB138" s="664">
        <v>0.45</v>
      </c>
      <c r="BC138" s="807">
        <v>0.45</v>
      </c>
      <c r="BD138" s="664"/>
      <c r="BE138" s="806">
        <v>0.45</v>
      </c>
      <c r="BF138" s="664">
        <v>0.45</v>
      </c>
      <c r="BG138" s="664">
        <v>0.45</v>
      </c>
      <c r="BH138" s="664">
        <v>0.45</v>
      </c>
      <c r="BI138" s="807">
        <v>0.45</v>
      </c>
      <c r="BJ138" s="664"/>
      <c r="BK138" s="806">
        <v>0.45</v>
      </c>
      <c r="BL138" s="664">
        <v>0.45</v>
      </c>
      <c r="BM138" s="664">
        <v>0.45</v>
      </c>
      <c r="BN138" s="664">
        <v>0.45</v>
      </c>
      <c r="BO138" s="807">
        <v>0.45</v>
      </c>
      <c r="BP138" s="664"/>
      <c r="BQ138" s="806">
        <v>0.45</v>
      </c>
      <c r="BR138" s="664">
        <v>0.45</v>
      </c>
      <c r="BS138" s="664">
        <v>0.45</v>
      </c>
      <c r="BT138" s="644">
        <v>0.45</v>
      </c>
      <c r="BU138" s="815">
        <v>0.45</v>
      </c>
      <c r="BV138" s="664"/>
      <c r="BW138" s="650">
        <v>0.45</v>
      </c>
      <c r="BX138" s="644">
        <v>0.45</v>
      </c>
      <c r="BY138" s="644">
        <v>0.45</v>
      </c>
      <c r="BZ138" s="644">
        <v>0.45</v>
      </c>
      <c r="CA138" s="815">
        <v>0.45</v>
      </c>
      <c r="CB138" s="664"/>
      <c r="CC138" s="650">
        <v>0.45</v>
      </c>
      <c r="CD138" s="644">
        <v>0.45</v>
      </c>
      <c r="CE138" s="644">
        <v>0.45</v>
      </c>
      <c r="CF138" s="644">
        <v>0.45</v>
      </c>
      <c r="CG138" s="815">
        <v>0.45</v>
      </c>
      <c r="CH138" s="664"/>
      <c r="CI138" s="650">
        <v>0.45</v>
      </c>
      <c r="CJ138" s="644">
        <v>0.45</v>
      </c>
      <c r="CK138" s="644">
        <v>0.45</v>
      </c>
      <c r="CL138" s="644">
        <v>0.45</v>
      </c>
      <c r="CM138" s="815">
        <v>0.45</v>
      </c>
      <c r="CN138" s="664"/>
      <c r="CO138" s="127"/>
      <c r="CP138" s="127"/>
      <c r="CQ138"/>
      <c r="CR138"/>
      <c r="CS138"/>
      <c r="CT138"/>
      <c r="CU138"/>
      <c r="CV138"/>
      <c r="CW138" s="14"/>
    </row>
    <row r="139" spans="2:101" s="123" customFormat="1" ht="11.25" customHeight="1" x14ac:dyDescent="0.2">
      <c r="B139" s="655" t="s">
        <v>86</v>
      </c>
      <c r="C139" s="806">
        <v>0.3</v>
      </c>
      <c r="D139" s="664">
        <v>0.3</v>
      </c>
      <c r="E139" s="664">
        <v>0.3</v>
      </c>
      <c r="F139" s="664">
        <v>0.3</v>
      </c>
      <c r="G139" s="807">
        <v>0.3</v>
      </c>
      <c r="H139" s="664"/>
      <c r="I139" s="806">
        <v>0.3</v>
      </c>
      <c r="J139" s="664">
        <v>0.3</v>
      </c>
      <c r="K139" s="664">
        <v>0.3</v>
      </c>
      <c r="L139" s="664">
        <v>0.3</v>
      </c>
      <c r="M139" s="807">
        <v>0.3</v>
      </c>
      <c r="N139" s="664"/>
      <c r="O139" s="806">
        <v>0.3</v>
      </c>
      <c r="P139" s="664">
        <v>0.3</v>
      </c>
      <c r="Q139" s="664">
        <v>0.3</v>
      </c>
      <c r="R139" s="664">
        <v>0.3</v>
      </c>
      <c r="S139" s="807">
        <v>0.3</v>
      </c>
      <c r="T139" s="664"/>
      <c r="U139" s="806">
        <v>0.3</v>
      </c>
      <c r="V139" s="664">
        <v>0.3</v>
      </c>
      <c r="W139" s="664">
        <v>0.3</v>
      </c>
      <c r="X139" s="664">
        <v>0.3</v>
      </c>
      <c r="Y139" s="807">
        <v>0.3</v>
      </c>
      <c r="Z139" s="664"/>
      <c r="AA139" s="806">
        <v>0.3</v>
      </c>
      <c r="AB139" s="664">
        <v>0.3</v>
      </c>
      <c r="AC139" s="664">
        <v>0.3</v>
      </c>
      <c r="AD139" s="664">
        <v>0.3</v>
      </c>
      <c r="AE139" s="807">
        <v>0.3</v>
      </c>
      <c r="AF139" s="664"/>
      <c r="AG139" s="806">
        <v>0.3</v>
      </c>
      <c r="AH139" s="664">
        <v>0.3</v>
      </c>
      <c r="AI139" s="664">
        <v>0.3</v>
      </c>
      <c r="AJ139" s="664">
        <v>0.3</v>
      </c>
      <c r="AK139" s="807">
        <v>0.3</v>
      </c>
      <c r="AL139" s="664"/>
      <c r="AM139" s="806">
        <v>0.3</v>
      </c>
      <c r="AN139" s="664">
        <v>0.3</v>
      </c>
      <c r="AO139" s="664">
        <v>0.3</v>
      </c>
      <c r="AP139" s="664">
        <v>0.3</v>
      </c>
      <c r="AQ139" s="807">
        <v>0.3</v>
      </c>
      <c r="AR139" s="664"/>
      <c r="AS139" s="806">
        <v>0.3</v>
      </c>
      <c r="AT139" s="664">
        <v>0.3</v>
      </c>
      <c r="AU139" s="664">
        <v>0.3</v>
      </c>
      <c r="AV139" s="664">
        <v>0.3</v>
      </c>
      <c r="AW139" s="807">
        <v>0.3</v>
      </c>
      <c r="AX139" s="664"/>
      <c r="AY139" s="806">
        <v>0.3</v>
      </c>
      <c r="AZ139" s="664">
        <v>0.3</v>
      </c>
      <c r="BA139" s="664">
        <v>0.3</v>
      </c>
      <c r="BB139" s="664">
        <v>0.3</v>
      </c>
      <c r="BC139" s="807">
        <v>0.3</v>
      </c>
      <c r="BD139" s="664"/>
      <c r="BE139" s="806">
        <v>0.3</v>
      </c>
      <c r="BF139" s="664">
        <v>0.3</v>
      </c>
      <c r="BG139" s="664">
        <v>0.3</v>
      </c>
      <c r="BH139" s="664">
        <v>0.3</v>
      </c>
      <c r="BI139" s="807">
        <v>0.3</v>
      </c>
      <c r="BJ139" s="664"/>
      <c r="BK139" s="806">
        <v>0.3</v>
      </c>
      <c r="BL139" s="664">
        <v>0.3</v>
      </c>
      <c r="BM139" s="664">
        <v>0.3</v>
      </c>
      <c r="BN139" s="664">
        <v>0.3</v>
      </c>
      <c r="BO139" s="807">
        <v>0.3</v>
      </c>
      <c r="BP139" s="664"/>
      <c r="BQ139" s="806">
        <v>0.3</v>
      </c>
      <c r="BR139" s="664">
        <v>0.3</v>
      </c>
      <c r="BS139" s="664">
        <v>0.3</v>
      </c>
      <c r="BT139" s="644">
        <v>0.3</v>
      </c>
      <c r="BU139" s="815">
        <v>0.3</v>
      </c>
      <c r="BV139" s="664"/>
      <c r="BW139" s="650">
        <v>0.3</v>
      </c>
      <c r="BX139" s="644">
        <v>0.3</v>
      </c>
      <c r="BY139" s="644">
        <v>0.3</v>
      </c>
      <c r="BZ139" s="644">
        <v>0.3</v>
      </c>
      <c r="CA139" s="815">
        <v>0.3</v>
      </c>
      <c r="CB139" s="664"/>
      <c r="CC139" s="650">
        <v>0.3</v>
      </c>
      <c r="CD139" s="644">
        <v>0.3</v>
      </c>
      <c r="CE139" s="644">
        <v>0.3</v>
      </c>
      <c r="CF139" s="644">
        <v>0.3</v>
      </c>
      <c r="CG139" s="815">
        <v>0.3</v>
      </c>
      <c r="CH139" s="664"/>
      <c r="CI139" s="650">
        <v>0.3</v>
      </c>
      <c r="CJ139" s="644">
        <v>0.3</v>
      </c>
      <c r="CK139" s="644">
        <v>0.3</v>
      </c>
      <c r="CL139" s="644">
        <v>0.3</v>
      </c>
      <c r="CM139" s="815">
        <v>0.3</v>
      </c>
      <c r="CN139" s="664"/>
      <c r="CO139" s="127"/>
      <c r="CP139" s="127"/>
      <c r="CQ139"/>
      <c r="CR139"/>
      <c r="CS139"/>
      <c r="CT139"/>
      <c r="CU139"/>
      <c r="CV139"/>
      <c r="CW139" s="14"/>
    </row>
    <row r="140" spans="2:101" s="123" customFormat="1" ht="11.25" customHeight="1" x14ac:dyDescent="0.2">
      <c r="B140" s="655" t="s">
        <v>76</v>
      </c>
      <c r="C140" s="806">
        <v>0.25</v>
      </c>
      <c r="D140" s="664">
        <v>0.25</v>
      </c>
      <c r="E140" s="664">
        <v>0.25</v>
      </c>
      <c r="F140" s="664">
        <v>0.25</v>
      </c>
      <c r="G140" s="807">
        <v>0.25</v>
      </c>
      <c r="H140" s="664"/>
      <c r="I140" s="806">
        <v>0.25</v>
      </c>
      <c r="J140" s="664">
        <v>0.25</v>
      </c>
      <c r="K140" s="664">
        <v>0.25</v>
      </c>
      <c r="L140" s="664">
        <v>0.25</v>
      </c>
      <c r="M140" s="807">
        <v>0.25</v>
      </c>
      <c r="N140" s="664"/>
      <c r="O140" s="806">
        <v>0.25</v>
      </c>
      <c r="P140" s="664">
        <v>0.25</v>
      </c>
      <c r="Q140" s="664">
        <v>0.25</v>
      </c>
      <c r="R140" s="664">
        <v>0.25</v>
      </c>
      <c r="S140" s="807">
        <v>0.25</v>
      </c>
      <c r="T140" s="664"/>
      <c r="U140" s="806">
        <v>0.25</v>
      </c>
      <c r="V140" s="664">
        <v>0.25</v>
      </c>
      <c r="W140" s="664">
        <v>0.25</v>
      </c>
      <c r="X140" s="664">
        <v>0.25</v>
      </c>
      <c r="Y140" s="807">
        <v>0.25</v>
      </c>
      <c r="Z140" s="664"/>
      <c r="AA140" s="806">
        <v>0.25</v>
      </c>
      <c r="AB140" s="664">
        <v>0.25</v>
      </c>
      <c r="AC140" s="664">
        <v>0.25</v>
      </c>
      <c r="AD140" s="664">
        <v>0.25</v>
      </c>
      <c r="AE140" s="807">
        <v>0.25</v>
      </c>
      <c r="AF140" s="664"/>
      <c r="AG140" s="806">
        <v>0.25</v>
      </c>
      <c r="AH140" s="664">
        <v>0.25</v>
      </c>
      <c r="AI140" s="664">
        <v>0.25</v>
      </c>
      <c r="AJ140" s="664">
        <v>0.25</v>
      </c>
      <c r="AK140" s="807">
        <v>0.25</v>
      </c>
      <c r="AL140" s="664"/>
      <c r="AM140" s="806">
        <v>0.25</v>
      </c>
      <c r="AN140" s="664">
        <v>0.25</v>
      </c>
      <c r="AO140" s="664">
        <v>0.25</v>
      </c>
      <c r="AP140" s="664">
        <v>0.25</v>
      </c>
      <c r="AQ140" s="807">
        <v>0.25</v>
      </c>
      <c r="AR140" s="664"/>
      <c r="AS140" s="806">
        <v>0.25</v>
      </c>
      <c r="AT140" s="664">
        <v>0.25</v>
      </c>
      <c r="AU140" s="664">
        <v>0.25</v>
      </c>
      <c r="AV140" s="664">
        <v>0.25</v>
      </c>
      <c r="AW140" s="807">
        <v>0.25</v>
      </c>
      <c r="AX140" s="664"/>
      <c r="AY140" s="806">
        <v>0.25</v>
      </c>
      <c r="AZ140" s="664">
        <v>0.25</v>
      </c>
      <c r="BA140" s="664">
        <v>0.25</v>
      </c>
      <c r="BB140" s="664">
        <v>0.25</v>
      </c>
      <c r="BC140" s="807">
        <v>0.25</v>
      </c>
      <c r="BD140" s="664"/>
      <c r="BE140" s="806">
        <v>0.25</v>
      </c>
      <c r="BF140" s="664">
        <v>0.25</v>
      </c>
      <c r="BG140" s="664">
        <v>0.25</v>
      </c>
      <c r="BH140" s="664">
        <v>0.25</v>
      </c>
      <c r="BI140" s="807">
        <v>0.25</v>
      </c>
      <c r="BJ140" s="664"/>
      <c r="BK140" s="806">
        <v>0.25</v>
      </c>
      <c r="BL140" s="664">
        <v>0.25</v>
      </c>
      <c r="BM140" s="664">
        <v>0.25</v>
      </c>
      <c r="BN140" s="664">
        <v>0.25</v>
      </c>
      <c r="BO140" s="807">
        <v>0.25</v>
      </c>
      <c r="BP140" s="664"/>
      <c r="BQ140" s="806">
        <v>0.25</v>
      </c>
      <c r="BR140" s="664">
        <v>0.25</v>
      </c>
      <c r="BS140" s="664">
        <v>0.25</v>
      </c>
      <c r="BT140" s="644">
        <v>0.25</v>
      </c>
      <c r="BU140" s="815">
        <v>0.25</v>
      </c>
      <c r="BV140" s="664"/>
      <c r="BW140" s="650">
        <v>0.25</v>
      </c>
      <c r="BX140" s="644">
        <v>0.25</v>
      </c>
      <c r="BY140" s="644">
        <v>0.25</v>
      </c>
      <c r="BZ140" s="644">
        <v>0.25</v>
      </c>
      <c r="CA140" s="815">
        <v>0.25</v>
      </c>
      <c r="CB140" s="664"/>
      <c r="CC140" s="650">
        <v>0.25</v>
      </c>
      <c r="CD140" s="644">
        <v>0.25</v>
      </c>
      <c r="CE140" s="644">
        <v>0.25</v>
      </c>
      <c r="CF140" s="644">
        <v>0.25</v>
      </c>
      <c r="CG140" s="815">
        <v>0.25</v>
      </c>
      <c r="CH140" s="664"/>
      <c r="CI140" s="650">
        <v>0.25</v>
      </c>
      <c r="CJ140" s="644">
        <v>0.25</v>
      </c>
      <c r="CK140" s="644">
        <v>0.25</v>
      </c>
      <c r="CL140" s="644">
        <v>0.25</v>
      </c>
      <c r="CM140" s="815">
        <v>0.25</v>
      </c>
      <c r="CN140" s="664"/>
      <c r="CO140" s="127"/>
      <c r="CP140" s="127"/>
      <c r="CQ140"/>
      <c r="CR140"/>
      <c r="CS140"/>
      <c r="CT140"/>
      <c r="CU140"/>
      <c r="CV140"/>
      <c r="CW140" s="14"/>
    </row>
    <row r="141" spans="2:101" s="123" customFormat="1" ht="11.25" customHeight="1" x14ac:dyDescent="0.2">
      <c r="B141" s="811" t="s">
        <v>107</v>
      </c>
      <c r="C141" s="436">
        <f>+SUM(C138:C140)</f>
        <v>1</v>
      </c>
      <c r="D141" s="437">
        <f>+SUM(D138:D140)</f>
        <v>1</v>
      </c>
      <c r="E141" s="437">
        <f>+SUM(E138:E140)</f>
        <v>1</v>
      </c>
      <c r="F141" s="437">
        <f>+SUM(F138:F140)</f>
        <v>1</v>
      </c>
      <c r="G141" s="527">
        <f>+SUM(G138:G140)</f>
        <v>1</v>
      </c>
      <c r="H141" s="103"/>
      <c r="I141" s="436">
        <f>+SUM(I138:I140)</f>
        <v>1</v>
      </c>
      <c r="J141" s="437">
        <f>+SUM(J138:J140)</f>
        <v>1</v>
      </c>
      <c r="K141" s="437">
        <f>+SUM(K138:K140)</f>
        <v>1</v>
      </c>
      <c r="L141" s="437">
        <f>+SUM(L138:L140)</f>
        <v>1</v>
      </c>
      <c r="M141" s="527">
        <f>+SUM(M138:M140)</f>
        <v>1</v>
      </c>
      <c r="N141" s="103"/>
      <c r="O141" s="436">
        <f>+SUM(O138:O140)</f>
        <v>1</v>
      </c>
      <c r="P141" s="437">
        <f>+SUM(P138:P140)</f>
        <v>1</v>
      </c>
      <c r="Q141" s="437">
        <f>+SUM(Q138:Q140)</f>
        <v>1</v>
      </c>
      <c r="R141" s="437">
        <f>+SUM(R138:R140)</f>
        <v>1</v>
      </c>
      <c r="S141" s="527">
        <f>+SUM(S138:S140)</f>
        <v>1</v>
      </c>
      <c r="T141" s="103"/>
      <c r="U141" s="436">
        <f>+SUM(U138:U140)</f>
        <v>1</v>
      </c>
      <c r="V141" s="437">
        <f>+SUM(V138:V140)</f>
        <v>1</v>
      </c>
      <c r="W141" s="437">
        <f>+SUM(W138:W140)</f>
        <v>1</v>
      </c>
      <c r="X141" s="437">
        <f>+SUM(X138:X140)</f>
        <v>1</v>
      </c>
      <c r="Y141" s="527">
        <f>+SUM(Y138:Y140)</f>
        <v>1</v>
      </c>
      <c r="Z141" s="103"/>
      <c r="AA141" s="436">
        <f>+SUM(AA138:AA140)</f>
        <v>1</v>
      </c>
      <c r="AB141" s="437">
        <f>+SUM(AB138:AB140)</f>
        <v>1</v>
      </c>
      <c r="AC141" s="437">
        <f>+SUM(AC138:AC140)</f>
        <v>1</v>
      </c>
      <c r="AD141" s="437">
        <f>+SUM(AD138:AD140)</f>
        <v>1</v>
      </c>
      <c r="AE141" s="527">
        <f>+SUM(AE138:AE140)</f>
        <v>1</v>
      </c>
      <c r="AF141" s="103"/>
      <c r="AG141" s="436">
        <f>+SUM(AG138:AG140)</f>
        <v>1</v>
      </c>
      <c r="AH141" s="437">
        <f>+SUM(AH138:AH140)</f>
        <v>1</v>
      </c>
      <c r="AI141" s="437">
        <f>+SUM(AI138:AI140)</f>
        <v>1</v>
      </c>
      <c r="AJ141" s="437">
        <f>+SUM(AJ138:AJ140)</f>
        <v>1</v>
      </c>
      <c r="AK141" s="527">
        <f>+SUM(AK138:AK140)</f>
        <v>1</v>
      </c>
      <c r="AL141" s="103"/>
      <c r="AM141" s="436">
        <f>+SUM(AM138:AM140)</f>
        <v>1</v>
      </c>
      <c r="AN141" s="437">
        <f>+SUM(AN138:AN140)</f>
        <v>1</v>
      </c>
      <c r="AO141" s="437">
        <f>+SUM(AO138:AO140)</f>
        <v>1</v>
      </c>
      <c r="AP141" s="437">
        <f>+SUM(AP138:AP140)</f>
        <v>1</v>
      </c>
      <c r="AQ141" s="527">
        <f>+SUM(AQ138:AQ140)</f>
        <v>1</v>
      </c>
      <c r="AR141" s="103"/>
      <c r="AS141" s="436">
        <f>+SUM(AS138:AS140)</f>
        <v>1</v>
      </c>
      <c r="AT141" s="437">
        <f>+SUM(AT138:AT140)</f>
        <v>1</v>
      </c>
      <c r="AU141" s="437">
        <f>+SUM(AU138:AU140)</f>
        <v>1</v>
      </c>
      <c r="AV141" s="437">
        <f>+SUM(AV138:AV140)</f>
        <v>1</v>
      </c>
      <c r="AW141" s="527">
        <f>+SUM(AW138:AW140)</f>
        <v>1</v>
      </c>
      <c r="AX141" s="103"/>
      <c r="AY141" s="436">
        <f>+SUM(AY138:AY140)</f>
        <v>1</v>
      </c>
      <c r="AZ141" s="437">
        <f>+SUM(AZ138:AZ140)</f>
        <v>1</v>
      </c>
      <c r="BA141" s="437">
        <f>+SUM(BA138:BA140)</f>
        <v>1</v>
      </c>
      <c r="BB141" s="437">
        <f>+SUM(BB138:BB140)</f>
        <v>1</v>
      </c>
      <c r="BC141" s="527">
        <f>+SUM(BC138:BC140)</f>
        <v>1</v>
      </c>
      <c r="BD141" s="103"/>
      <c r="BE141" s="436">
        <f>+SUM(BE138:BE140)</f>
        <v>1</v>
      </c>
      <c r="BF141" s="437">
        <f>+SUM(BF138:BF140)</f>
        <v>1</v>
      </c>
      <c r="BG141" s="437">
        <f>+SUM(BG138:BG140)</f>
        <v>1</v>
      </c>
      <c r="BH141" s="437">
        <f>+SUM(BH138:BH140)</f>
        <v>1</v>
      </c>
      <c r="BI141" s="527">
        <f>+SUM(BI138:BI140)</f>
        <v>1</v>
      </c>
      <c r="BJ141" s="103"/>
      <c r="BK141" s="436">
        <f>+SUM(BK138:BK140)</f>
        <v>1</v>
      </c>
      <c r="BL141" s="437">
        <f>+SUM(BL138:BL140)</f>
        <v>1</v>
      </c>
      <c r="BM141" s="437">
        <f>+SUM(BM138:BM140)</f>
        <v>1</v>
      </c>
      <c r="BN141" s="437">
        <f>+SUM(BN138:BN140)</f>
        <v>1</v>
      </c>
      <c r="BO141" s="527">
        <f>+SUM(BO138:BO140)</f>
        <v>1</v>
      </c>
      <c r="BP141" s="103"/>
      <c r="BQ141" s="436">
        <f>+SUM(BQ138:BQ140)</f>
        <v>1</v>
      </c>
      <c r="BR141" s="437">
        <f>+SUM(BR138:BR140)</f>
        <v>1</v>
      </c>
      <c r="BS141" s="437">
        <f>+SUM(BS138:BS140)</f>
        <v>1</v>
      </c>
      <c r="BT141" s="437">
        <f>+SUM(BT138:BT140)</f>
        <v>1</v>
      </c>
      <c r="BU141" s="534">
        <f>+SUM(BU138:BU140)</f>
        <v>1</v>
      </c>
      <c r="BV141" s="103"/>
      <c r="BW141" s="436">
        <f>+SUM(BW138:BW140)</f>
        <v>1</v>
      </c>
      <c r="BX141" s="437">
        <f>+SUM(BX138:BX140)</f>
        <v>1</v>
      </c>
      <c r="BY141" s="437">
        <f>+SUM(BY138:BY140)</f>
        <v>1</v>
      </c>
      <c r="BZ141" s="437">
        <f>+SUM(BZ138:BZ140)</f>
        <v>1</v>
      </c>
      <c r="CA141" s="534">
        <f>+SUM(CA138:CA140)</f>
        <v>1</v>
      </c>
      <c r="CB141" s="103"/>
      <c r="CC141" s="436">
        <f>+SUM(CC138:CC140)</f>
        <v>1</v>
      </c>
      <c r="CD141" s="437">
        <f>+SUM(CD138:CD140)</f>
        <v>1</v>
      </c>
      <c r="CE141" s="437">
        <f>+SUM(CE138:CE140)</f>
        <v>1</v>
      </c>
      <c r="CF141" s="437">
        <f>+SUM(CF138:CF140)</f>
        <v>1</v>
      </c>
      <c r="CG141" s="534">
        <f>+SUM(CG138:CG140)</f>
        <v>1</v>
      </c>
      <c r="CH141" s="103"/>
      <c r="CI141" s="436">
        <f>+SUM(CI138:CI140)</f>
        <v>1</v>
      </c>
      <c r="CJ141" s="437">
        <f>+SUM(CJ138:CJ140)</f>
        <v>1</v>
      </c>
      <c r="CK141" s="437">
        <f>+SUM(CK138:CK140)</f>
        <v>1</v>
      </c>
      <c r="CL141" s="437">
        <f>+SUM(CL138:CL140)</f>
        <v>1</v>
      </c>
      <c r="CM141" s="534">
        <f>+SUM(CM138:CM140)</f>
        <v>1</v>
      </c>
      <c r="CN141" s="141"/>
      <c r="CO141" s="61"/>
      <c r="CP141" s="61"/>
      <c r="CQ141"/>
      <c r="CR141"/>
      <c r="CS141"/>
      <c r="CT141"/>
      <c r="CU141"/>
      <c r="CV141"/>
      <c r="CW141" s="14"/>
    </row>
    <row r="142" spans="2:101" s="112" customFormat="1" ht="11.25" customHeight="1" x14ac:dyDescent="0.2">
      <c r="B142" s="1"/>
      <c r="C142" s="14"/>
      <c r="D142" s="14"/>
      <c r="E142" s="14"/>
      <c r="F142" s="14"/>
      <c r="G142" s="14"/>
      <c r="H142" s="24"/>
      <c r="I142" s="14"/>
      <c r="J142" s="14"/>
      <c r="K142" s="14"/>
      <c r="L142" s="14"/>
      <c r="M142" s="14"/>
      <c r="N142" s="24"/>
      <c r="O142" s="14"/>
      <c r="P142" s="14"/>
      <c r="Q142" s="14"/>
      <c r="R142" s="14"/>
      <c r="S142" s="14"/>
      <c r="T142" s="24"/>
      <c r="U142" s="14"/>
      <c r="V142" s="14"/>
      <c r="W142" s="14"/>
      <c r="X142" s="14"/>
      <c r="Y142" s="14"/>
      <c r="Z142" s="24"/>
      <c r="AA142" s="14"/>
      <c r="AB142" s="14"/>
      <c r="AC142" s="14"/>
      <c r="AD142" s="14"/>
      <c r="AE142" s="14"/>
      <c r="AF142" s="24"/>
      <c r="AG142" s="14"/>
      <c r="AH142" s="14"/>
      <c r="AI142" s="14"/>
      <c r="AJ142" s="14"/>
      <c r="AK142" s="14"/>
      <c r="AL142" s="24"/>
      <c r="AM142" s="14"/>
      <c r="AN142" s="14"/>
      <c r="AO142" s="14"/>
      <c r="AP142" s="14"/>
      <c r="AQ142" s="14"/>
      <c r="AR142" s="24"/>
      <c r="AS142" s="14"/>
      <c r="AT142" s="14"/>
      <c r="AU142" s="14"/>
      <c r="AV142" s="14"/>
      <c r="AW142" s="14"/>
      <c r="AX142" s="24"/>
      <c r="AY142" s="14"/>
      <c r="AZ142" s="14"/>
      <c r="BA142" s="14"/>
      <c r="BB142" s="14"/>
      <c r="BC142" s="14"/>
      <c r="BD142" s="24"/>
      <c r="BE142" s="14"/>
      <c r="BF142" s="14"/>
      <c r="BG142" s="14"/>
      <c r="BH142" s="14"/>
      <c r="BI142" s="14"/>
      <c r="BJ142" s="24"/>
      <c r="BK142" s="14"/>
      <c r="BL142" s="14"/>
      <c r="BM142" s="14"/>
      <c r="BN142" s="14"/>
      <c r="BO142" s="14"/>
      <c r="BP142" s="24"/>
      <c r="BQ142" s="14"/>
      <c r="BR142" s="244"/>
      <c r="BS142" s="244"/>
      <c r="BT142" s="14"/>
      <c r="BU142" s="14"/>
      <c r="BV142" s="24"/>
      <c r="BW142" s="14"/>
      <c r="BX142" s="14"/>
      <c r="BY142" s="14"/>
      <c r="BZ142" s="14"/>
      <c r="CA142" s="14"/>
      <c r="CB142" s="24"/>
      <c r="CC142" s="14"/>
      <c r="CD142" s="14"/>
      <c r="CE142" s="14"/>
      <c r="CF142" s="14"/>
      <c r="CG142" s="14"/>
      <c r="CH142" s="24"/>
      <c r="CI142" s="14"/>
      <c r="CJ142" s="14"/>
      <c r="CK142" s="14"/>
      <c r="CL142" s="14"/>
      <c r="CM142" s="14"/>
      <c r="CN142" s="17"/>
      <c r="CO142" s="14"/>
      <c r="CP142" s="14"/>
      <c r="CQ142"/>
      <c r="CR142"/>
      <c r="CS142"/>
      <c r="CT142"/>
      <c r="CU142"/>
      <c r="CV142"/>
      <c r="CW142" s="14"/>
    </row>
    <row r="143" spans="2:101" s="128" customFormat="1" ht="11.25" customHeight="1" x14ac:dyDescent="0.2">
      <c r="B143" s="1033" t="s">
        <v>372</v>
      </c>
      <c r="C143" s="1034"/>
      <c r="D143" s="1034"/>
      <c r="E143" s="1034"/>
      <c r="F143" s="1034"/>
      <c r="G143" s="1034"/>
      <c r="H143" s="1033"/>
      <c r="I143" s="1034"/>
      <c r="J143" s="1034"/>
      <c r="K143" s="1034"/>
      <c r="L143" s="1034"/>
      <c r="M143" s="1034"/>
      <c r="N143" s="1033"/>
      <c r="O143" s="1034"/>
      <c r="P143" s="1034"/>
      <c r="Q143" s="1034"/>
      <c r="R143" s="1034"/>
      <c r="S143" s="1034"/>
      <c r="T143" s="1033"/>
      <c r="U143" s="1034"/>
      <c r="V143" s="1034"/>
      <c r="W143" s="1034"/>
      <c r="X143" s="1034"/>
      <c r="Y143" s="1034"/>
      <c r="Z143" s="1033"/>
      <c r="AA143" s="1034"/>
      <c r="AB143" s="1034"/>
      <c r="AC143" s="1034"/>
      <c r="AD143" s="1034"/>
      <c r="AE143" s="1034"/>
      <c r="AF143" s="1033"/>
      <c r="AG143" s="1034"/>
      <c r="AH143" s="1034"/>
      <c r="AI143" s="1034"/>
      <c r="AJ143" s="1034"/>
      <c r="AK143" s="1034"/>
      <c r="AL143" s="1033"/>
      <c r="AM143" s="1034"/>
      <c r="AN143" s="1034"/>
      <c r="AO143" s="1034"/>
      <c r="AP143" s="1034"/>
      <c r="AQ143" s="1034"/>
      <c r="AR143" s="1033"/>
      <c r="AS143" s="1034"/>
      <c r="AT143" s="1034"/>
      <c r="AU143" s="1034"/>
      <c r="AV143" s="1034"/>
      <c r="AW143" s="1034"/>
      <c r="AX143" s="1033"/>
      <c r="AY143" s="1034"/>
      <c r="AZ143" s="1034"/>
      <c r="BA143" s="1034"/>
      <c r="BB143" s="1034"/>
      <c r="BC143" s="1034"/>
      <c r="BD143" s="1033"/>
      <c r="BE143" s="1034"/>
      <c r="BF143" s="1034"/>
      <c r="BG143" s="1034"/>
      <c r="BH143" s="1034"/>
      <c r="BI143" s="1034"/>
      <c r="BJ143" s="1033"/>
      <c r="BK143" s="1034"/>
      <c r="BL143" s="1034"/>
      <c r="BM143" s="1034"/>
      <c r="BN143" s="1034"/>
      <c r="BO143" s="1034"/>
      <c r="BP143" s="1033"/>
      <c r="BQ143" s="1034"/>
      <c r="BR143" s="1034"/>
      <c r="BS143" s="1034"/>
      <c r="BT143" s="1034"/>
      <c r="BU143" s="1034"/>
      <c r="BV143" s="1033"/>
      <c r="BW143" s="1034"/>
      <c r="BX143" s="1034"/>
      <c r="BY143" s="1034"/>
      <c r="BZ143" s="1034"/>
      <c r="CA143" s="1034"/>
      <c r="CB143" s="1033"/>
      <c r="CC143" s="1034"/>
      <c r="CD143" s="1034"/>
      <c r="CE143" s="1034"/>
      <c r="CF143" s="1034"/>
      <c r="CG143" s="1034"/>
      <c r="CH143" s="1033"/>
      <c r="CI143" s="1034"/>
      <c r="CJ143" s="1034"/>
      <c r="CK143" s="1034"/>
      <c r="CL143" s="1034"/>
      <c r="CM143" s="1034"/>
      <c r="CN143" s="17"/>
      <c r="CO143" s="14"/>
      <c r="CP143" s="14"/>
      <c r="CQ143"/>
      <c r="CR143"/>
      <c r="CS143"/>
      <c r="CT143"/>
      <c r="CU143"/>
      <c r="CV143"/>
      <c r="CW143" s="14"/>
    </row>
    <row r="144" spans="2:101" s="128" customFormat="1" ht="11.25" customHeight="1" x14ac:dyDescent="0.2">
      <c r="B144" s="535" t="s">
        <v>92</v>
      </c>
      <c r="C144" s="722">
        <f>C9</f>
        <v>265.22399999999999</v>
      </c>
      <c r="D144" s="723">
        <f>D9</f>
        <v>181.55799999999999</v>
      </c>
      <c r="E144" s="723">
        <f>E9</f>
        <v>152.464</v>
      </c>
      <c r="F144" s="723">
        <f>F9</f>
        <v>241.791</v>
      </c>
      <c r="G144" s="730">
        <f>G9</f>
        <v>241.791</v>
      </c>
      <c r="H144" s="19"/>
      <c r="I144" s="722">
        <f>I9</f>
        <v>294.23200000000003</v>
      </c>
      <c r="J144" s="723">
        <f>J9</f>
        <v>345.142</v>
      </c>
      <c r="K144" s="723">
        <f>K9</f>
        <v>171.22800000000001</v>
      </c>
      <c r="L144" s="723">
        <f>L9</f>
        <v>308.16399999999999</v>
      </c>
      <c r="M144" s="730">
        <f>M9</f>
        <v>308.16399999999999</v>
      </c>
      <c r="N144" s="19"/>
      <c r="O144" s="722">
        <f>O9</f>
        <v>331.15</v>
      </c>
      <c r="P144" s="723">
        <f>P9</f>
        <v>256.64299999999997</v>
      </c>
      <c r="Q144" s="723">
        <f>Q9</f>
        <v>161.88399999999999</v>
      </c>
      <c r="R144" s="723">
        <f>R9</f>
        <v>158.065</v>
      </c>
      <c r="S144" s="730">
        <f>S9</f>
        <v>158.065</v>
      </c>
      <c r="T144" s="19"/>
      <c r="U144" s="722">
        <f>U9</f>
        <v>175.37700000000001</v>
      </c>
      <c r="V144" s="723">
        <f>V9</f>
        <v>170.15100000000001</v>
      </c>
      <c r="W144" s="723">
        <f>W9</f>
        <v>267.78199999999998</v>
      </c>
      <c r="X144" s="723">
        <f>X9</f>
        <v>340.59100000000001</v>
      </c>
      <c r="Y144" s="730">
        <f>Y9</f>
        <v>340.59100000000001</v>
      </c>
      <c r="Z144" s="19"/>
      <c r="AA144" s="722">
        <f>AA9</f>
        <v>298.42700000000002</v>
      </c>
      <c r="AB144" s="723">
        <f>AB9</f>
        <v>328.74400000000003</v>
      </c>
      <c r="AC144" s="723">
        <f>AC9</f>
        <v>388.03899999999999</v>
      </c>
      <c r="AD144" s="723">
        <f>AD9</f>
        <v>388.66500000000002</v>
      </c>
      <c r="AE144" s="730">
        <f>AE9</f>
        <v>388.66500000000002</v>
      </c>
      <c r="AF144" s="19"/>
      <c r="AG144" s="722">
        <f>AG9</f>
        <v>373.77600000000001</v>
      </c>
      <c r="AH144" s="723">
        <f>AH9</f>
        <v>250.06800000000001</v>
      </c>
      <c r="AI144" s="723">
        <f>AI9</f>
        <v>538.09199999999998</v>
      </c>
      <c r="AJ144" s="723">
        <f>AJ9</f>
        <v>573.78099999999995</v>
      </c>
      <c r="AK144" s="730">
        <f>AK9</f>
        <v>573.78099999999995</v>
      </c>
      <c r="AL144" s="19"/>
      <c r="AM144" s="722">
        <f>AM9</f>
        <v>580.75300000000004</v>
      </c>
      <c r="AN144" s="723">
        <f>AN9</f>
        <v>500.37400000000002</v>
      </c>
      <c r="AO144" s="723">
        <f>AO9</f>
        <v>472.44900000000001</v>
      </c>
      <c r="AP144" s="723">
        <f>AP9</f>
        <v>505.22800000000001</v>
      </c>
      <c r="AQ144" s="730">
        <f>AQ9</f>
        <v>505.22800000000001</v>
      </c>
      <c r="AR144" s="19"/>
      <c r="AS144" s="722">
        <f>AS9</f>
        <v>603.36900000000003</v>
      </c>
      <c r="AT144" s="723">
        <f>AT9</f>
        <v>516.05799999999999</v>
      </c>
      <c r="AU144" s="723">
        <f>AU9</f>
        <v>423.97500000000002</v>
      </c>
      <c r="AV144" s="723">
        <f>AV9</f>
        <v>264.90800000000002</v>
      </c>
      <c r="AW144" s="730">
        <f>AW9</f>
        <v>264.90800000000002</v>
      </c>
      <c r="AX144" s="19"/>
      <c r="AY144" s="722">
        <f>AY9</f>
        <v>260.74</v>
      </c>
      <c r="AZ144" s="723">
        <f>AZ9</f>
        <v>284.87200000000001</v>
      </c>
      <c r="BA144" s="723">
        <f>BA9</f>
        <v>289.72199999999998</v>
      </c>
      <c r="BB144" s="723">
        <f>BB9</f>
        <v>347.26</v>
      </c>
      <c r="BC144" s="730">
        <f>BC9</f>
        <v>347.26</v>
      </c>
      <c r="BD144" s="19"/>
      <c r="BE144" s="722">
        <f>BE9</f>
        <v>186.44</v>
      </c>
      <c r="BF144" s="723">
        <f>BF9</f>
        <v>95.450999999999993</v>
      </c>
      <c r="BG144" s="723">
        <f>BG9</f>
        <v>97.700999999999993</v>
      </c>
      <c r="BH144" s="723">
        <f>BH9</f>
        <v>137.453</v>
      </c>
      <c r="BI144" s="730">
        <f>BI9</f>
        <v>137.453</v>
      </c>
      <c r="BJ144" s="19"/>
      <c r="BK144" s="722">
        <f>BK9</f>
        <v>89.977999999999994</v>
      </c>
      <c r="BL144" s="723">
        <f t="shared" ref="BL144:BT144" si="75">BL9</f>
        <v>110.387</v>
      </c>
      <c r="BM144" s="723">
        <f>BM9</f>
        <v>121.739</v>
      </c>
      <c r="BN144" s="723">
        <f>BN9</f>
        <v>94.959000000000003</v>
      </c>
      <c r="BO144" s="730">
        <f>BO9</f>
        <v>94.959000000000003</v>
      </c>
      <c r="BP144" s="19"/>
      <c r="BQ144" s="722">
        <f>BQ9</f>
        <v>99.778999999999996</v>
      </c>
      <c r="BR144" s="723">
        <f t="shared" ref="BR144" si="76">BR9</f>
        <v>101.456</v>
      </c>
      <c r="BS144" s="723">
        <f>BS9</f>
        <v>118.005</v>
      </c>
      <c r="BT144" s="723">
        <f t="shared" si="75"/>
        <v>161.79112934788165</v>
      </c>
      <c r="BU144" s="730">
        <f>BU9</f>
        <v>161.79112934788165</v>
      </c>
      <c r="BV144" s="19"/>
      <c r="BW144" s="722">
        <f>BW9</f>
        <v>197.54840425689537</v>
      </c>
      <c r="BX144" s="723">
        <f>BX9</f>
        <v>139.9417640822752</v>
      </c>
      <c r="BY144" s="723">
        <f>BY9</f>
        <v>155.52530250062895</v>
      </c>
      <c r="BZ144" s="723">
        <f>BZ9</f>
        <v>176.14640810852535</v>
      </c>
      <c r="CA144" s="730">
        <f>CA9</f>
        <v>176.14640810852535</v>
      </c>
      <c r="CB144" s="19"/>
      <c r="CC144" s="722">
        <f>CC9</f>
        <v>185.26816488287108</v>
      </c>
      <c r="CD144" s="723">
        <f>CD9</f>
        <v>124.71173619600502</v>
      </c>
      <c r="CE144" s="723">
        <f>CE9</f>
        <v>138.91200191091076</v>
      </c>
      <c r="CF144" s="723">
        <f>CF9</f>
        <v>160.90370888520951</v>
      </c>
      <c r="CG144" s="730">
        <f>CG9</f>
        <v>160.90370888520951</v>
      </c>
      <c r="CH144" s="19"/>
      <c r="CI144" s="722">
        <f>CI9</f>
        <v>166.06921497088581</v>
      </c>
      <c r="CJ144" s="723">
        <f>CJ9</f>
        <v>99.110129426956959</v>
      </c>
      <c r="CK144" s="723">
        <f>CK9</f>
        <v>110.51423026619581</v>
      </c>
      <c r="CL144" s="723">
        <f>CL9</f>
        <v>129.08337542778327</v>
      </c>
      <c r="CM144" s="730">
        <f>CM9</f>
        <v>129.08337542778327</v>
      </c>
      <c r="CN144" s="19"/>
      <c r="CO144" s="51"/>
      <c r="CP144" s="51"/>
      <c r="CQ144"/>
      <c r="CR144"/>
      <c r="CS144"/>
      <c r="CT144"/>
      <c r="CU144"/>
      <c r="CV144"/>
      <c r="CW144" s="14"/>
    </row>
    <row r="145" spans="2:101" s="128" customFormat="1" ht="11.25" customHeight="1" x14ac:dyDescent="0.2">
      <c r="B145" s="529" t="s">
        <v>372</v>
      </c>
      <c r="C145" s="175">
        <f>'P&amp;L'!C17</f>
        <v>1.9470000000000001</v>
      </c>
      <c r="D145" s="199">
        <f>'P&amp;L'!D17</f>
        <v>2.12</v>
      </c>
      <c r="E145" s="199">
        <f>'P&amp;L'!E17</f>
        <v>1.8680000000000001</v>
      </c>
      <c r="F145" s="199">
        <f>'P&amp;L'!F17</f>
        <v>2.1349999999999998</v>
      </c>
      <c r="G145" s="695">
        <f>'P&amp;L'!G17</f>
        <v>8.07</v>
      </c>
      <c r="H145" s="19"/>
      <c r="I145" s="175">
        <f>'P&amp;L'!I17</f>
        <v>2.3479999999999999</v>
      </c>
      <c r="J145" s="199">
        <f>'P&amp;L'!J17</f>
        <v>2.71</v>
      </c>
      <c r="K145" s="199">
        <f>'P&amp;L'!K17</f>
        <v>2.8130000000000002</v>
      </c>
      <c r="L145" s="199">
        <f>'P&amp;L'!L17</f>
        <v>1.86</v>
      </c>
      <c r="M145" s="695">
        <f>'P&amp;L'!M17</f>
        <v>9.7309999999999999</v>
      </c>
      <c r="N145" s="19"/>
      <c r="O145" s="175">
        <f>'P&amp;L'!O17</f>
        <v>1.9219999999999999</v>
      </c>
      <c r="P145" s="199">
        <f>'P&amp;L'!P17</f>
        <v>1.87</v>
      </c>
      <c r="Q145" s="199">
        <f>'P&amp;L'!Q17</f>
        <v>1.048</v>
      </c>
      <c r="R145" s="199">
        <f>'P&amp;L'!R17</f>
        <v>0.58299999999999996</v>
      </c>
      <c r="S145" s="695">
        <f>'P&amp;L'!S17</f>
        <v>5.423</v>
      </c>
      <c r="T145" s="19"/>
      <c r="U145" s="175">
        <f>'P&amp;L'!U17</f>
        <v>2.46</v>
      </c>
      <c r="V145" s="199">
        <f>'P&amp;L'!V17</f>
        <v>1.909</v>
      </c>
      <c r="W145" s="199">
        <f>'P&amp;L'!W17</f>
        <v>2.1219999999999999</v>
      </c>
      <c r="X145" s="199">
        <f>'P&amp;L'!X17</f>
        <v>2.0590000000000002</v>
      </c>
      <c r="Y145" s="695">
        <f>'P&amp;L'!Y17</f>
        <v>8.5500000000000007</v>
      </c>
      <c r="Z145" s="19"/>
      <c r="AA145" s="175">
        <f>'P&amp;L'!AA17</f>
        <v>2.6429999999999998</v>
      </c>
      <c r="AB145" s="199">
        <f>'P&amp;L'!AB17</f>
        <v>2.8980000000000001</v>
      </c>
      <c r="AC145" s="199">
        <f>'P&amp;L'!AC17</f>
        <v>1.577</v>
      </c>
      <c r="AD145" s="199">
        <f>'P&amp;L'!AD17</f>
        <v>1.0820000000000001</v>
      </c>
      <c r="AE145" s="695">
        <f>'P&amp;L'!AE17</f>
        <v>8.2000000000000011</v>
      </c>
      <c r="AF145" s="19"/>
      <c r="AG145" s="175">
        <f>'P&amp;L'!AG17</f>
        <v>1.829</v>
      </c>
      <c r="AH145" s="199">
        <f>'P&amp;L'!AH17</f>
        <v>0.89700000000000002</v>
      </c>
      <c r="AI145" s="199">
        <f>'P&amp;L'!AI17</f>
        <v>1.052</v>
      </c>
      <c r="AJ145" s="199">
        <f>'P&amp;L'!AJ17</f>
        <v>1.1759999999999999</v>
      </c>
      <c r="AK145" s="695">
        <f>'P&amp;L'!AK17</f>
        <v>4.9539999999999997</v>
      </c>
      <c r="AL145" s="19"/>
      <c r="AM145" s="175">
        <f>'P&amp;L'!AM17</f>
        <v>1.4990000000000001</v>
      </c>
      <c r="AN145" s="199">
        <f>'P&amp;L'!AN17</f>
        <v>0.84199999999999997</v>
      </c>
      <c r="AO145" s="199">
        <f>'P&amp;L'!AO17</f>
        <v>1.151</v>
      </c>
      <c r="AP145" s="199">
        <f>'P&amp;L'!AP17</f>
        <v>1.0489999999999999</v>
      </c>
      <c r="AQ145" s="695">
        <f>'P&amp;L'!AQ17</f>
        <v>4.5410000000000004</v>
      </c>
      <c r="AR145" s="19"/>
      <c r="AS145" s="175">
        <f>'P&amp;L'!AS17</f>
        <v>1.161</v>
      </c>
      <c r="AT145" s="199">
        <f>'P&amp;L'!AT17</f>
        <v>1.1379999999999999</v>
      </c>
      <c r="AU145" s="199">
        <f>'P&amp;L'!AU17</f>
        <v>1.593</v>
      </c>
      <c r="AV145" s="199">
        <f>'P&amp;L'!AV17</f>
        <v>1.0900000000000001</v>
      </c>
      <c r="AW145" s="695">
        <f>'P&amp;L'!AW17</f>
        <v>4.9820000000000002</v>
      </c>
      <c r="AX145" s="19"/>
      <c r="AY145" s="175">
        <f>'P&amp;L'!AY17</f>
        <v>1.25</v>
      </c>
      <c r="AZ145" s="199">
        <f>'P&amp;L'!AZ17</f>
        <v>0.749</v>
      </c>
      <c r="BA145" s="199">
        <f>'P&amp;L'!BA17</f>
        <v>1.0569999999999999</v>
      </c>
      <c r="BB145" s="199">
        <f>'P&amp;L'!BB17</f>
        <v>0.97</v>
      </c>
      <c r="BC145" s="695">
        <f>'P&amp;L'!BC17</f>
        <v>4.0259999999999998</v>
      </c>
      <c r="BD145" s="19"/>
      <c r="BE145" s="175">
        <f>'P&amp;L'!BE17</f>
        <v>0.78900000000000003</v>
      </c>
      <c r="BF145" s="199">
        <f>'P&amp;L'!BF17</f>
        <v>0.629</v>
      </c>
      <c r="BG145" s="199">
        <f>'P&amp;L'!BG17</f>
        <v>0.496</v>
      </c>
      <c r="BH145" s="199">
        <f>'P&amp;L'!BH17</f>
        <v>0.91600000000000004</v>
      </c>
      <c r="BI145" s="695">
        <f>'P&amp;L'!BI17</f>
        <v>2.83</v>
      </c>
      <c r="BJ145" s="19"/>
      <c r="BK145" s="175">
        <f>'P&amp;L'!BK17</f>
        <v>1.2949999999999999</v>
      </c>
      <c r="BL145" s="199">
        <f>'P&amp;L'!BL17</f>
        <v>0</v>
      </c>
      <c r="BM145" s="199">
        <f>'P&amp;L'!BM17</f>
        <v>0</v>
      </c>
      <c r="BN145" s="199">
        <f>'P&amp;L'!BN17</f>
        <v>0</v>
      </c>
      <c r="BO145" s="695">
        <f>'P&amp;L'!BO17</f>
        <v>1.2949999999999999</v>
      </c>
      <c r="BP145" s="19"/>
      <c r="BQ145" s="175">
        <f>'P&amp;L'!BQ17</f>
        <v>0</v>
      </c>
      <c r="BR145" s="199">
        <f>'P&amp;L'!BR17</f>
        <v>0</v>
      </c>
      <c r="BS145" s="199">
        <f>'P&amp;L'!BS17</f>
        <v>0</v>
      </c>
      <c r="BT145" s="199">
        <f>+BS144*BT146/4</f>
        <v>0</v>
      </c>
      <c r="BU145" s="695">
        <f>SUM(BQ145:BT145)</f>
        <v>0</v>
      </c>
      <c r="BV145" s="19"/>
      <c r="BW145" s="175">
        <f>+BT144*BW146/4</f>
        <v>0.60671673505455614</v>
      </c>
      <c r="BX145" s="199">
        <f>+BW144*BX146/4</f>
        <v>0.74080651596335756</v>
      </c>
      <c r="BY145" s="199">
        <f>+BX144*BY146/4</f>
        <v>0.52478161530853196</v>
      </c>
      <c r="BZ145" s="199">
        <f>+BY144*BZ146/4</f>
        <v>0.5832198843773585</v>
      </c>
      <c r="CA145" s="695">
        <f>SUM(BW145:BZ145)</f>
        <v>2.4555247507038045</v>
      </c>
      <c r="CB145" s="19"/>
      <c r="CC145" s="175">
        <f>+BZ144*CC146/4</f>
        <v>2.5405731938729619</v>
      </c>
      <c r="CD145" s="199">
        <f>+CC144*CD146/4</f>
        <v>2.6721369935029484</v>
      </c>
      <c r="CE145" s="199">
        <f>+CD144*CE146/4</f>
        <v>1.7987269643654571</v>
      </c>
      <c r="CF145" s="199">
        <f>+CE144*CF146/4</f>
        <v>2.0035384890996744</v>
      </c>
      <c r="CG145" s="695">
        <f>SUM(CC145:CF145)</f>
        <v>9.0149756408410404</v>
      </c>
      <c r="CH145" s="19"/>
      <c r="CI145" s="175">
        <f>+CF144*CI146/4</f>
        <v>0.60338890831953562</v>
      </c>
      <c r="CJ145" s="199">
        <f>+CI144*CJ146/4</f>
        <v>0.62275955614082179</v>
      </c>
      <c r="CK145" s="199">
        <f>+CJ144*CK146/4</f>
        <v>0.3716629853510886</v>
      </c>
      <c r="CL145" s="199">
        <f>+CK144*CL146/4</f>
        <v>0.41442836349823425</v>
      </c>
      <c r="CM145" s="695">
        <f>SUM(CI145:CL145)</f>
        <v>2.0122398133096806</v>
      </c>
      <c r="CN145" s="19"/>
      <c r="CO145" s="51"/>
      <c r="CP145" s="51"/>
      <c r="CQ145"/>
      <c r="CR145"/>
      <c r="CS145"/>
      <c r="CT145"/>
      <c r="CU145"/>
      <c r="CV145"/>
      <c r="CW145" s="14"/>
    </row>
    <row r="146" spans="2:101" s="245" customFormat="1" ht="11.25" customHeight="1" x14ac:dyDescent="0.2">
      <c r="B146" s="812" t="s">
        <v>373</v>
      </c>
      <c r="C146" s="808">
        <f>+C145/AVERAGE(224.392,C144)*4</f>
        <v>3.1812685859939217E-2</v>
      </c>
      <c r="D146" s="809">
        <f>+D145/AVERAGE(C144,D144)*4</f>
        <v>3.7960347552049994E-2</v>
      </c>
      <c r="E146" s="809">
        <f>+E145/AVERAGE(D144,E144)*4</f>
        <v>4.4739568052403735E-2</v>
      </c>
      <c r="F146" s="809">
        <f>+F145/AVERAGE(E144,F144)*4</f>
        <v>4.3322215317497553E-2</v>
      </c>
      <c r="G146" s="810">
        <f>+G145/AVERAGE(224.392,G144)</f>
        <v>3.4621597098135282E-2</v>
      </c>
      <c r="H146" s="188"/>
      <c r="I146" s="808">
        <f>+I145/AVERAGE(F144,I144)*4</f>
        <v>3.5043272396893414E-2</v>
      </c>
      <c r="J146" s="809">
        <f>+J145/AVERAGE(I144,J144)*4</f>
        <v>3.3908166425284728E-2</v>
      </c>
      <c r="K146" s="809">
        <f>+K145/AVERAGE(J144,K144)*4</f>
        <v>4.3581153049170172E-2</v>
      </c>
      <c r="L146" s="809">
        <f>+L145/AVERAGE(K144,L144)*4</f>
        <v>3.1039316467525533E-2</v>
      </c>
      <c r="M146" s="810">
        <f>+M145/AVERAGE(G144,M144)</f>
        <v>3.5388349955905486E-2</v>
      </c>
      <c r="N146" s="188"/>
      <c r="O146" s="808">
        <f>+O145/AVERAGE(L144,O144)*4</f>
        <v>2.4050779429200676E-2</v>
      </c>
      <c r="P146" s="809">
        <f>+P145/AVERAGE(O144,P144)*4</f>
        <v>2.5451136709692023E-2</v>
      </c>
      <c r="Q146" s="809">
        <f>+Q145/AVERAGE(P144,Q144)*4</f>
        <v>2.003216041020054E-2</v>
      </c>
      <c r="R146" s="809">
        <f>+R145/AVERAGE(Q144,R144)*4</f>
        <v>1.4577323260894707E-2</v>
      </c>
      <c r="S146" s="810">
        <f>+S145/AVERAGE(M144,S144)</f>
        <v>2.326324617301798E-2</v>
      </c>
      <c r="T146" s="188"/>
      <c r="U146" s="808">
        <f>+U145/AVERAGE(R144,U144)*4</f>
        <v>5.9020759232490207E-2</v>
      </c>
      <c r="V146" s="809">
        <f>+V145/AVERAGE(U144,V144)*4</f>
        <v>4.4199022944594935E-2</v>
      </c>
      <c r="W146" s="809">
        <f>+W145/AVERAGE(V144,W144)*4</f>
        <v>3.8763920508388269E-2</v>
      </c>
      <c r="X146" s="809">
        <f>+X145/AVERAGE(W144,X144)*4</f>
        <v>2.707549480335255E-2</v>
      </c>
      <c r="Y146" s="810">
        <f>+Y145/AVERAGE(S144,Y144)</f>
        <v>3.4292177372778031E-2</v>
      </c>
      <c r="Z146" s="188"/>
      <c r="AA146" s="808">
        <f>+AA145/AVERAGE(X144,AA144)*4</f>
        <v>3.3088269813995846E-2</v>
      </c>
      <c r="AB146" s="809">
        <f>+AB145/AVERAGE(AA144,AB144)*4</f>
        <v>3.6965994920045729E-2</v>
      </c>
      <c r="AC146" s="809">
        <f>+AC145/AVERAGE(AB144,AC144)*4</f>
        <v>1.7600863859773459E-2</v>
      </c>
      <c r="AD146" s="809">
        <f>+AD145/AVERAGE(AC144,AD144)*4</f>
        <v>1.1144528675016481E-2</v>
      </c>
      <c r="AE146" s="810">
        <f>+AE145/AVERAGE(Y144,AE144)</f>
        <v>2.2488673387671819E-2</v>
      </c>
      <c r="AF146" s="188"/>
      <c r="AG146" s="808">
        <f>+AG145/AVERAGE(AD144,AG144)*4</f>
        <v>1.9190993139141257E-2</v>
      </c>
      <c r="AH146" s="809">
        <f>+AH145/AVERAGE(AG144,AH144)*4</f>
        <v>1.1502875718929731E-2</v>
      </c>
      <c r="AI146" s="809">
        <f>+AI145/AVERAGE(AH144,AI144)*4</f>
        <v>1.067803491676817E-2</v>
      </c>
      <c r="AJ146" s="809">
        <f>+AJ145/AVERAGE(AI144,AJ144)*4</f>
        <v>8.4613980193781121E-3</v>
      </c>
      <c r="AK146" s="810">
        <f>+AK145/AVERAGE(AE144,AK144)</f>
        <v>1.0294603541393492E-2</v>
      </c>
      <c r="AL146" s="188"/>
      <c r="AM146" s="808">
        <f>+AM145/AVERAGE(AJ144,AM144)*4</f>
        <v>1.03868747044262E-2</v>
      </c>
      <c r="AN146" s="809">
        <f>+AN145/AVERAGE(AM144,AN144)*4</f>
        <v>6.2305353580106686E-3</v>
      </c>
      <c r="AO146" s="809">
        <f>+AO145/AVERAGE(AN144,AO144)*4</f>
        <v>9.4652367388517733E-3</v>
      </c>
      <c r="AP146" s="809">
        <f>+AP145/AVERAGE(AO144,AP144)*4</f>
        <v>8.5836119700064533E-3</v>
      </c>
      <c r="AQ146" s="810">
        <f>+AQ145/AVERAGE(AK144,AQ144)</f>
        <v>8.4169826201635021E-3</v>
      </c>
      <c r="AR146" s="188"/>
      <c r="AS146" s="808">
        <f>+AS145/AVERAGE(AP144,AS144)*4</f>
        <v>8.3781572564241118E-3</v>
      </c>
      <c r="AT146" s="809">
        <f>+AT145/AVERAGE(AS144,AT144)*4</f>
        <v>8.1327321924520302E-3</v>
      </c>
      <c r="AU146" s="809">
        <f>+AU145/AVERAGE(AT144,AU144)*4</f>
        <v>1.3556970872299163E-2</v>
      </c>
      <c r="AV146" s="809">
        <f>+AV145/AVERAGE(AU144,AV144)*4</f>
        <v>1.2658172723089407E-2</v>
      </c>
      <c r="AW146" s="810">
        <f>+AW145/AVERAGE(AQ144,AW144)</f>
        <v>1.2937974591500723E-2</v>
      </c>
      <c r="AX146" s="188"/>
      <c r="AY146" s="808">
        <f>+AY145/AVERAGE(AV144,AY144)*4</f>
        <v>1.902413782607372E-2</v>
      </c>
      <c r="AZ146" s="809">
        <f>+AZ145/AVERAGE(AY144,AZ144)*4</f>
        <v>1.0982163148904349E-2</v>
      </c>
      <c r="BA146" s="809">
        <f>+BA145/AVERAGE(AZ144,BA144)*4</f>
        <v>1.4716478069732714E-2</v>
      </c>
      <c r="BB146" s="809">
        <f>+BB145/AVERAGE(BA144,BB144)*4</f>
        <v>1.2182447855669392E-2</v>
      </c>
      <c r="BC146" s="810">
        <f>+BC145/AVERAGE(AW144,BC144)</f>
        <v>1.3153252048457286E-2</v>
      </c>
      <c r="BD146" s="188"/>
      <c r="BE146" s="808">
        <f>+BE145/AVERAGE(BB144,BE144)*4</f>
        <v>1.1826869027543563E-2</v>
      </c>
      <c r="BF146" s="809">
        <f>+BF145/AVERAGE(BE144,BF144)*4</f>
        <v>1.7850871436122476E-2</v>
      </c>
      <c r="BG146" s="809">
        <f>+BG145/AVERAGE(BF144,BG144)*4</f>
        <v>2.0543406229290923E-2</v>
      </c>
      <c r="BH146" s="809">
        <f>+BH145/AVERAGE(BG144,BH144)*4</f>
        <v>3.1162557302873862E-2</v>
      </c>
      <c r="BI146" s="810">
        <f>+BI145/AVERAGE(BC144,BI144)</f>
        <v>1.167701299531888E-2</v>
      </c>
      <c r="BJ146" s="188"/>
      <c r="BK146" s="808">
        <f>+BK145/AVERAGE(BH144,BK144)*4</f>
        <v>4.5552277394022803E-2</v>
      </c>
      <c r="BL146" s="809">
        <f>+BL145/AVERAGE(BK144,BL144)*4</f>
        <v>0</v>
      </c>
      <c r="BM146" s="809">
        <f>+BM145/AVERAGE(BL144,BM144)*4</f>
        <v>0</v>
      </c>
      <c r="BN146" s="809">
        <f>+BN145/AVERAGE(BM144,BN144)*4</f>
        <v>0</v>
      </c>
      <c r="BO146" s="810">
        <f>+BO145/AVERAGE(BI144,BO144)</f>
        <v>1.1144002891416966E-2</v>
      </c>
      <c r="BP146" s="188"/>
      <c r="BQ146" s="808">
        <f>+BQ145/AVERAGE(BN144,BQ144)*4</f>
        <v>0</v>
      </c>
      <c r="BR146" s="809">
        <f>+BR145/AVERAGE(BQ144,BR144)*4</f>
        <v>0</v>
      </c>
      <c r="BS146" s="809">
        <f>+BS145/AVERAGE(BR144,BS144)*4</f>
        <v>0</v>
      </c>
      <c r="BT146" s="814">
        <f>BS146</f>
        <v>0</v>
      </c>
      <c r="BU146" s="810">
        <f>+BU145/AVERAGE(BO144,BU144)</f>
        <v>0</v>
      </c>
      <c r="BV146" s="188"/>
      <c r="BW146" s="813">
        <v>1.4999999999999999E-2</v>
      </c>
      <c r="BX146" s="814">
        <f>+BW146</f>
        <v>1.4999999999999999E-2</v>
      </c>
      <c r="BY146" s="814">
        <f>+BX146</f>
        <v>1.4999999999999999E-2</v>
      </c>
      <c r="BZ146" s="814">
        <f>+BY146</f>
        <v>1.4999999999999999E-2</v>
      </c>
      <c r="CA146" s="810">
        <f>+CA145/AVERAGE(BU144,CA144)</f>
        <v>1.4532417849677683E-2</v>
      </c>
      <c r="CB146" s="188"/>
      <c r="CC146" s="813">
        <v>5.7692307692307696E-2</v>
      </c>
      <c r="CD146" s="814">
        <f>+CC146</f>
        <v>5.7692307692307696E-2</v>
      </c>
      <c r="CE146" s="814">
        <f>+CD146</f>
        <v>5.7692307692307696E-2</v>
      </c>
      <c r="CF146" s="814">
        <f>+CE146</f>
        <v>5.7692307692307696E-2</v>
      </c>
      <c r="CG146" s="810">
        <f>+CG145/AVERAGE(CA144,CG144)</f>
        <v>5.3493383840057314E-2</v>
      </c>
      <c r="CH146" s="188"/>
      <c r="CI146" s="813">
        <v>1.4999999999999999E-2</v>
      </c>
      <c r="CJ146" s="814">
        <f>+CI146</f>
        <v>1.4999999999999999E-2</v>
      </c>
      <c r="CK146" s="814">
        <f>+CJ146</f>
        <v>1.4999999999999999E-2</v>
      </c>
      <c r="CL146" s="814">
        <f>+CK146</f>
        <v>1.4999999999999999E-2</v>
      </c>
      <c r="CM146" s="810">
        <f>+CM145/AVERAGE(CG144,CM144)</f>
        <v>1.3878134042258258E-2</v>
      </c>
      <c r="CN146" s="188"/>
      <c r="CO146" s="246"/>
      <c r="CP146" s="246"/>
      <c r="CQ146"/>
      <c r="CR146"/>
      <c r="CS146"/>
      <c r="CT146"/>
      <c r="CU146"/>
      <c r="CV146"/>
      <c r="CW146" s="439"/>
    </row>
    <row r="147" spans="2:101" s="112" customFormat="1" ht="11.25" customHeight="1" x14ac:dyDescent="0.2">
      <c r="B147" s="1"/>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14"/>
      <c r="AX147" s="14"/>
      <c r="AY147" s="14"/>
      <c r="AZ147" s="14"/>
      <c r="BA147" s="14"/>
      <c r="BB147" s="14"/>
      <c r="BC147" s="14"/>
      <c r="BD147" s="14"/>
      <c r="BE147" s="14"/>
      <c r="BF147" s="14"/>
      <c r="BG147" s="14"/>
      <c r="BH147" s="14"/>
      <c r="BI147" s="14"/>
      <c r="BJ147" s="14"/>
      <c r="BK147" s="14"/>
      <c r="BL147" s="14"/>
      <c r="BM147" s="14"/>
      <c r="BN147" s="14"/>
      <c r="BO147" s="14"/>
      <c r="BP147" s="14"/>
      <c r="BQ147" s="14"/>
      <c r="BR147" s="14"/>
      <c r="BS147" s="14"/>
      <c r="BT147" s="14"/>
      <c r="BU147" s="14"/>
      <c r="BV147" s="14"/>
      <c r="BW147" s="14"/>
      <c r="BX147" s="14"/>
      <c r="BY147" s="14"/>
      <c r="BZ147" s="14"/>
      <c r="CA147" s="14"/>
      <c r="CB147" s="14"/>
      <c r="CC147" s="14"/>
      <c r="CD147" s="14"/>
      <c r="CE147" s="14"/>
      <c r="CF147" s="14"/>
      <c r="CG147" s="14"/>
      <c r="CH147" s="14"/>
      <c r="CI147" s="14"/>
      <c r="CJ147" s="14"/>
      <c r="CK147" s="14"/>
      <c r="CL147" s="14"/>
      <c r="CM147" s="14"/>
      <c r="CN147" s="11"/>
      <c r="CO147" s="14"/>
      <c r="CP147" s="14"/>
      <c r="CQ147"/>
      <c r="CR147"/>
      <c r="CS147"/>
      <c r="CT147"/>
      <c r="CU147"/>
      <c r="CV147"/>
      <c r="CW147" s="14"/>
    </row>
    <row r="148" spans="2:101" s="128" customFormat="1" ht="11.25" customHeight="1" x14ac:dyDescent="0.2">
      <c r="B148" s="1084" t="s">
        <v>576</v>
      </c>
      <c r="C148" s="1314"/>
      <c r="D148" s="1314"/>
      <c r="E148" s="1314"/>
      <c r="F148" s="1314"/>
      <c r="G148" s="1315"/>
      <c r="H148" s="1315"/>
      <c r="I148" s="1314"/>
      <c r="J148" s="1314"/>
      <c r="K148" s="1314"/>
      <c r="L148" s="1314"/>
      <c r="M148" s="1315"/>
      <c r="N148" s="1315"/>
      <c r="O148" s="1314"/>
      <c r="P148" s="1314"/>
      <c r="Q148" s="1314"/>
      <c r="R148" s="1314"/>
      <c r="S148" s="1315"/>
      <c r="T148" s="1315"/>
      <c r="U148" s="1314"/>
      <c r="V148" s="1314"/>
      <c r="W148" s="1314"/>
      <c r="X148" s="1314"/>
      <c r="Y148" s="1315"/>
      <c r="Z148" s="1315"/>
      <c r="AA148" s="1314"/>
      <c r="AB148" s="1314"/>
      <c r="AC148" s="1314"/>
      <c r="AD148" s="1314"/>
      <c r="AE148" s="1315"/>
      <c r="AF148" s="1315"/>
      <c r="AG148" s="1314"/>
      <c r="AH148" s="1314"/>
      <c r="AI148" s="1314"/>
      <c r="AJ148" s="1314"/>
      <c r="AK148" s="1315"/>
      <c r="AL148" s="1315"/>
      <c r="AM148" s="1314"/>
      <c r="AN148" s="1314"/>
      <c r="AO148" s="1314"/>
      <c r="AP148" s="1314"/>
      <c r="AQ148" s="1315"/>
      <c r="AR148" s="1315"/>
      <c r="AS148" s="1314"/>
      <c r="AT148" s="1314"/>
      <c r="AU148" s="1314"/>
      <c r="AV148" s="1314"/>
      <c r="AW148" s="1315"/>
      <c r="AX148" s="1315"/>
      <c r="AY148" s="1314"/>
      <c r="AZ148" s="1314"/>
      <c r="BA148" s="1314"/>
      <c r="BB148" s="1314"/>
      <c r="BC148" s="1315"/>
      <c r="BD148" s="1315"/>
      <c r="BE148" s="1314"/>
      <c r="BF148" s="1314"/>
      <c r="BG148" s="1314"/>
      <c r="BH148" s="1314"/>
      <c r="BI148" s="1315"/>
      <c r="BJ148" s="1315"/>
      <c r="BK148" s="1314"/>
      <c r="BL148" s="1314"/>
      <c r="BM148" s="1314"/>
      <c r="BN148" s="1314"/>
      <c r="BO148" s="1315"/>
      <c r="BP148" s="1315"/>
      <c r="BQ148" s="1314"/>
      <c r="BR148" s="1314"/>
      <c r="BS148" s="1314"/>
      <c r="BT148" s="1314"/>
      <c r="BU148" s="1315"/>
      <c r="BV148" s="1315"/>
      <c r="BW148" s="1314"/>
      <c r="BX148" s="1314"/>
      <c r="BY148" s="1314"/>
      <c r="BZ148" s="1314"/>
      <c r="CA148" s="1315"/>
      <c r="CB148" s="1315"/>
      <c r="CC148" s="1314"/>
      <c r="CD148" s="1314"/>
      <c r="CE148" s="1314"/>
      <c r="CF148" s="1314"/>
      <c r="CG148" s="1315"/>
      <c r="CH148" s="1315"/>
      <c r="CI148" s="1314"/>
      <c r="CJ148" s="1314"/>
      <c r="CK148" s="1314"/>
      <c r="CL148" s="1314"/>
      <c r="CM148" s="1315"/>
      <c r="CN148" s="11"/>
      <c r="CO148" s="244"/>
      <c r="CP148" s="244"/>
      <c r="CQ148"/>
      <c r="CR148"/>
      <c r="CS148"/>
      <c r="CT148"/>
      <c r="CU148"/>
      <c r="CV148"/>
      <c r="CW148" s="244"/>
    </row>
    <row r="149" spans="2:101" s="128" customFormat="1" ht="11.25" customHeight="1" x14ac:dyDescent="0.2">
      <c r="B149" s="1316" t="s">
        <v>136</v>
      </c>
      <c r="C149" s="1317">
        <f>+'P&amp;L'!C8</f>
        <v>655.48800000000006</v>
      </c>
      <c r="D149" s="1318">
        <f>+'P&amp;L'!D8</f>
        <v>694.27300000000002</v>
      </c>
      <c r="E149" s="1318">
        <f>+'P&amp;L'!E8</f>
        <v>709.49400000000003</v>
      </c>
      <c r="F149" s="1318">
        <f>+'P&amp;L'!F8</f>
        <v>739.14300000000003</v>
      </c>
      <c r="G149" s="1319">
        <f>+'P&amp;L'!G8</f>
        <v>2798.3980000000001</v>
      </c>
      <c r="H149" s="1320"/>
      <c r="I149" s="1317">
        <f>+'P&amp;L'!I8</f>
        <v>701.40300000000002</v>
      </c>
      <c r="J149" s="1318">
        <f>+'P&amp;L'!J8</f>
        <v>741.99199999999996</v>
      </c>
      <c r="K149" s="1318">
        <f>+'P&amp;L'!K8</f>
        <v>776.94600000000003</v>
      </c>
      <c r="L149" s="1318">
        <f>+'P&amp;L'!L8</f>
        <v>778.38800000000003</v>
      </c>
      <c r="M149" s="1319">
        <f>+'P&amp;L'!M8</f>
        <v>2998.7289999999998</v>
      </c>
      <c r="N149" s="1320"/>
      <c r="O149" s="1317">
        <f>+'P&amp;L'!O8</f>
        <v>743.85900000000004</v>
      </c>
      <c r="P149" s="1318">
        <f>+'P&amp;L'!P8</f>
        <v>759.46100000000001</v>
      </c>
      <c r="Q149" s="1318">
        <f>+'P&amp;L'!Q8</f>
        <v>811.02300000000002</v>
      </c>
      <c r="R149" s="1318">
        <f>+'P&amp;L'!R8</f>
        <v>779.88400000000001</v>
      </c>
      <c r="S149" s="1319">
        <f>+'P&amp;L'!S8</f>
        <v>3094.2270000000003</v>
      </c>
      <c r="T149" s="1320"/>
      <c r="U149" s="1317">
        <f>+'P&amp;L'!U8</f>
        <v>789.57899999999995</v>
      </c>
      <c r="V149" s="1318">
        <f>+'P&amp;L'!V8</f>
        <v>814.95100000000002</v>
      </c>
      <c r="W149" s="1318">
        <f>+'P&amp;L'!W8</f>
        <v>820.08399999999995</v>
      </c>
      <c r="X149" s="1318">
        <f>+'P&amp;L'!X8</f>
        <v>812.76199999999994</v>
      </c>
      <c r="Y149" s="1319">
        <f>+'P&amp;L'!Y8</f>
        <v>3237.3760000000002</v>
      </c>
      <c r="Z149" s="1320"/>
      <c r="AA149" s="1317">
        <f>+'P&amp;L'!AA8</f>
        <v>849.78700000000003</v>
      </c>
      <c r="AB149" s="1318">
        <f>+'P&amp;L'!AB8</f>
        <v>857.41399999999999</v>
      </c>
      <c r="AC149" s="1318">
        <f>+'P&amp;L'!AC8</f>
        <v>824.65</v>
      </c>
      <c r="AD149" s="1318">
        <f>+'P&amp;L'!AD8</f>
        <v>883.81899999999996</v>
      </c>
      <c r="AE149" s="1319">
        <f>+'P&amp;L'!AE8</f>
        <v>3415.67</v>
      </c>
      <c r="AF149" s="1320"/>
      <c r="AG149" s="1317">
        <f>+'P&amp;L'!AG8</f>
        <v>847.42200000000003</v>
      </c>
      <c r="AH149" s="1318">
        <f>+'P&amp;L'!AH8</f>
        <v>856.875</v>
      </c>
      <c r="AI149" s="1318">
        <f>+'P&amp;L'!AI8</f>
        <v>895.03</v>
      </c>
      <c r="AJ149" s="1318">
        <f>+'P&amp;L'!AJ8</f>
        <v>936.33399999999995</v>
      </c>
      <c r="AK149" s="1319">
        <f>+'P&amp;L'!AK8</f>
        <v>3535.6610000000001</v>
      </c>
      <c r="AL149" s="1320"/>
      <c r="AM149" s="1317">
        <f>+'P&amp;L'!AM8</f>
        <v>889.22500000000002</v>
      </c>
      <c r="AN149" s="1318">
        <f>+'P&amp;L'!AN8</f>
        <v>867.19299999999998</v>
      </c>
      <c r="AO149" s="1318">
        <f>+'P&amp;L'!AO8</f>
        <v>915.86099999999999</v>
      </c>
      <c r="AP149" s="1318">
        <f>+'P&amp;L'!AP8</f>
        <v>964.93299999999999</v>
      </c>
      <c r="AQ149" s="1319">
        <f>+'P&amp;L'!AQ8</f>
        <v>3637.212</v>
      </c>
      <c r="AR149" s="1320"/>
      <c r="AS149" s="1317">
        <f>+'P&amp;L'!AS8</f>
        <v>880.125</v>
      </c>
      <c r="AT149" s="1318">
        <f>+'P&amp;L'!AT8</f>
        <v>998.83399999999995</v>
      </c>
      <c r="AU149" s="1318">
        <f>+'P&amp;L'!AU8</f>
        <v>1082.6790000000001</v>
      </c>
      <c r="AV149" s="1318">
        <f>+'P&amp;L'!AV8</f>
        <v>1102.077</v>
      </c>
      <c r="AW149" s="1319">
        <f>+'P&amp;L'!AW8</f>
        <v>4063.7150000000001</v>
      </c>
      <c r="AX149" s="1320"/>
      <c r="AY149" s="1317">
        <f>+'P&amp;L'!AY8</f>
        <v>938.95600000000002</v>
      </c>
      <c r="AZ149" s="1318">
        <f>+'P&amp;L'!AZ8</f>
        <v>978.22</v>
      </c>
      <c r="BA149" s="1318">
        <f>+'P&amp;L'!BA8</f>
        <v>958.62800000000004</v>
      </c>
      <c r="BB149" s="1318">
        <f>+'P&amp;L'!BB8</f>
        <v>1035.0609999999999</v>
      </c>
      <c r="BC149" s="1319">
        <f>+'P&amp;L'!BC8</f>
        <v>3910.8649999999998</v>
      </c>
      <c r="BD149" s="1320"/>
      <c r="BE149" s="1317">
        <f>+'P&amp;L'!BE8</f>
        <v>1142.8699999999999</v>
      </c>
      <c r="BF149" s="1318">
        <f>+'P&amp;L'!BF8</f>
        <v>1389.21</v>
      </c>
      <c r="BG149" s="1318">
        <f>+'P&amp;L'!BG8</f>
        <v>1400.8530000000001</v>
      </c>
      <c r="BH149" s="1318">
        <f>+'P&amp;L'!BH8</f>
        <v>1453.77</v>
      </c>
      <c r="BI149" s="1319">
        <f>+'P&amp;L'!BI8</f>
        <v>5386.7029999999995</v>
      </c>
      <c r="BJ149" s="1320"/>
      <c r="BK149" s="1317">
        <f>+'P&amp;L'!BK8</f>
        <v>1332.4359999999999</v>
      </c>
      <c r="BL149" s="1318">
        <f>+'P&amp;L'!BL8</f>
        <v>1418.241</v>
      </c>
      <c r="BM149" s="1318">
        <f>+'P&amp;L'!BM8</f>
        <v>1397.4179999999999</v>
      </c>
      <c r="BN149" s="1318">
        <f>+'P&amp;L'!BN8</f>
        <v>1445.0319999999999</v>
      </c>
      <c r="BO149" s="1319">
        <f>+'P&amp;L'!BO8</f>
        <v>5593.1269999999995</v>
      </c>
      <c r="BP149" s="1320"/>
      <c r="BQ149" s="1317">
        <f>+'P&amp;L'!BQ8</f>
        <v>1304.115</v>
      </c>
      <c r="BR149" s="1318">
        <f>+'P&amp;L'!BR8</f>
        <v>1385.7370000000001</v>
      </c>
      <c r="BS149" s="1318">
        <f>+'P&amp;L'!BS8</f>
        <v>1375.222</v>
      </c>
      <c r="BT149" s="1318">
        <f>+'P&amp;L'!BT8</f>
        <v>1441.5627744061578</v>
      </c>
      <c r="BU149" s="1319">
        <f>+'P&amp;L'!BU8</f>
        <v>5506.6367744061572</v>
      </c>
      <c r="BV149" s="1320"/>
      <c r="BW149" s="1317">
        <f>+'P&amp;L'!BW8</f>
        <v>1310.7676700000002</v>
      </c>
      <c r="BX149" s="1318">
        <f>+'P&amp;L'!BX8</f>
        <v>1432.3703800000001</v>
      </c>
      <c r="BY149" s="1318">
        <f>+'P&amp;L'!BY8</f>
        <v>1412.47874</v>
      </c>
      <c r="BZ149" s="1318">
        <f>+'P&amp;L'!BZ8</f>
        <v>1496.1673184175957</v>
      </c>
      <c r="CA149" s="1319">
        <f>+'P&amp;L'!CA8</f>
        <v>5651.7841084175961</v>
      </c>
      <c r="CB149" s="1320"/>
      <c r="CC149" s="1317">
        <f>+'P&amp;L'!CC8</f>
        <v>1343.3388220000002</v>
      </c>
      <c r="CD149" s="1318">
        <f>+'P&amp;L'!CD8</f>
        <v>1467.3439948999999</v>
      </c>
      <c r="CE149" s="1318">
        <f>+'P&amp;L'!CE8</f>
        <v>1450.1437599999999</v>
      </c>
      <c r="CF149" s="1318">
        <f>+'P&amp;L'!CF8</f>
        <v>1536.2855792628322</v>
      </c>
      <c r="CG149" s="1319">
        <f>+'P&amp;L'!CG8</f>
        <v>5797.1121561628324</v>
      </c>
      <c r="CH149" s="1320"/>
      <c r="CI149" s="1317">
        <f>+'P&amp;L'!CI8</f>
        <v>1379.6368443260001</v>
      </c>
      <c r="CJ149" s="1318">
        <f>+'P&amp;L'!CJ8</f>
        <v>1507.0687469280001</v>
      </c>
      <c r="CK149" s="1318">
        <f>+'P&amp;L'!CK8</f>
        <v>1488.9679645819999</v>
      </c>
      <c r="CL149" s="1318">
        <f>+'P&amp;L'!CL8</f>
        <v>1577.6436752456161</v>
      </c>
      <c r="CM149" s="1319">
        <f>+'P&amp;L'!CM8</f>
        <v>5953.3172310816153</v>
      </c>
      <c r="CN149" s="11"/>
      <c r="CO149" s="244"/>
      <c r="CP149" s="244"/>
      <c r="CQ149"/>
      <c r="CR149"/>
      <c r="CS149"/>
      <c r="CT149"/>
      <c r="CU149"/>
      <c r="CV149"/>
      <c r="CW149" s="244"/>
    </row>
    <row r="150" spans="2:101" s="128" customFormat="1" ht="11.25" customHeight="1" x14ac:dyDescent="0.2">
      <c r="B150" s="1316" t="s">
        <v>577</v>
      </c>
      <c r="C150" s="1317">
        <f>+'P&amp;L'!C13</f>
        <v>68.537000000000035</v>
      </c>
      <c r="D150" s="1321">
        <f>+'P&amp;L'!D13</f>
        <v>78.021000000000015</v>
      </c>
      <c r="E150" s="1321">
        <f>+'P&amp;L'!E13</f>
        <v>92.686000000000007</v>
      </c>
      <c r="F150" s="1321">
        <f>+'P&amp;L'!F13</f>
        <v>96.445999999999998</v>
      </c>
      <c r="G150" s="1322">
        <f>+'P&amp;L'!G13</f>
        <v>335.68999999999983</v>
      </c>
      <c r="H150" s="1320"/>
      <c r="I150" s="1317">
        <f>+'P&amp;L'!I13</f>
        <v>75.207000000000022</v>
      </c>
      <c r="J150" s="1321">
        <f>+'P&amp;L'!J13</f>
        <v>85.612999999999971</v>
      </c>
      <c r="K150" s="1321">
        <f>+'P&amp;L'!K13</f>
        <v>97.114000000000033</v>
      </c>
      <c r="L150" s="1321">
        <f>+'P&amp;L'!L13</f>
        <v>101.26900000000001</v>
      </c>
      <c r="M150" s="1322">
        <f>+'P&amp;L'!M13</f>
        <v>359.20299999999997</v>
      </c>
      <c r="N150" s="1320"/>
      <c r="O150" s="1317">
        <f>+'P&amp;L'!O13</f>
        <v>79.594000000000023</v>
      </c>
      <c r="P150" s="1321">
        <f>+'P&amp;L'!P13</f>
        <v>82.601999999999975</v>
      </c>
      <c r="Q150" s="1321">
        <f>+'P&amp;L'!Q13</f>
        <v>91.54200000000003</v>
      </c>
      <c r="R150" s="1321">
        <f>+'P&amp;L'!R13</f>
        <v>92.488</v>
      </c>
      <c r="S150" s="1322">
        <f>+'P&amp;L'!S13</f>
        <v>346.22600000000034</v>
      </c>
      <c r="T150" s="1320"/>
      <c r="U150" s="1317">
        <f>+'P&amp;L'!U13</f>
        <v>76.789999999999964</v>
      </c>
      <c r="V150" s="1321">
        <f>+'P&amp;L'!V13</f>
        <v>84.486000000000047</v>
      </c>
      <c r="W150" s="1321">
        <f>+'P&amp;L'!W13</f>
        <v>93.766999999999967</v>
      </c>
      <c r="X150" s="1321">
        <f>+'P&amp;L'!X13</f>
        <v>100.24799999999999</v>
      </c>
      <c r="Y150" s="1322">
        <f>+'P&amp;L'!Y13</f>
        <v>355.29100000000039</v>
      </c>
      <c r="Z150" s="1320"/>
      <c r="AA150" s="1317">
        <f>+'P&amp;L'!AA13</f>
        <v>89.024000000000058</v>
      </c>
      <c r="AB150" s="1321">
        <f>+'P&amp;L'!AB13</f>
        <v>90.152000000000015</v>
      </c>
      <c r="AC150" s="1321">
        <f>+'P&amp;L'!AC13</f>
        <v>92.706999999999994</v>
      </c>
      <c r="AD150" s="1321">
        <f>+'P&amp;L'!AD13</f>
        <v>104.12500000000006</v>
      </c>
      <c r="AE150" s="1322">
        <f>+'P&amp;L'!AE13</f>
        <v>376.00800000000027</v>
      </c>
      <c r="AF150" s="1320"/>
      <c r="AG150" s="1317">
        <f>+'P&amp;L'!AG13</f>
        <v>81.99300000000008</v>
      </c>
      <c r="AH150" s="1321">
        <f>+'P&amp;L'!AH13</f>
        <v>83.258999999999958</v>
      </c>
      <c r="AI150" s="1321">
        <f>+'P&amp;L'!AI13</f>
        <v>89.906000000000006</v>
      </c>
      <c r="AJ150" s="1321">
        <f>+'P&amp;L'!AJ13</f>
        <v>102.851</v>
      </c>
      <c r="AK150" s="1322">
        <f>+'P&amp;L'!AK13</f>
        <v>358.00900000000013</v>
      </c>
      <c r="AL150" s="1320"/>
      <c r="AM150" s="1317">
        <f>+'P&amp;L'!AM13</f>
        <v>82.591999999999928</v>
      </c>
      <c r="AN150" s="1321">
        <f>+'P&amp;L'!AN13</f>
        <v>77.868999999999943</v>
      </c>
      <c r="AO150" s="1321">
        <f>+'P&amp;L'!AO13</f>
        <v>89.538000000000011</v>
      </c>
      <c r="AP150" s="1321">
        <f>+'P&amp;L'!AP13</f>
        <v>104.45600000000002</v>
      </c>
      <c r="AQ150" s="1322">
        <f>+'P&amp;L'!AQ13</f>
        <v>354.45499999999981</v>
      </c>
      <c r="AR150" s="1320"/>
      <c r="AS150" s="1317">
        <f>+'P&amp;L'!AS13</f>
        <v>81.281000000000034</v>
      </c>
      <c r="AT150" s="1321">
        <f>+'P&amp;L'!AT13</f>
        <v>89.206675999999902</v>
      </c>
      <c r="AU150" s="1321">
        <f>+'P&amp;L'!AU13</f>
        <v>97.733678999999995</v>
      </c>
      <c r="AV150" s="1321">
        <f>+'P&amp;L'!AV13</f>
        <v>99.213461999999936</v>
      </c>
      <c r="AW150" s="1322">
        <f>+'P&amp;L'!AW13</f>
        <v>367.43481699999984</v>
      </c>
      <c r="AX150" s="1320"/>
      <c r="AY150" s="1317">
        <f>+'P&amp;L'!AY13</f>
        <v>68.728999999999957</v>
      </c>
      <c r="AZ150" s="1321">
        <f>+'P&amp;L'!AZ13</f>
        <v>74.876000000000033</v>
      </c>
      <c r="BA150" s="1321">
        <f>+'P&amp;L'!BA13</f>
        <v>80.147999999999996</v>
      </c>
      <c r="BB150" s="1321">
        <f>+'P&amp;L'!BB13</f>
        <v>93.385999999999967</v>
      </c>
      <c r="BC150" s="1322">
        <f>+'P&amp;L'!BC13</f>
        <v>317.13900000000001</v>
      </c>
      <c r="BD150" s="1320"/>
      <c r="BE150" s="1317">
        <f>+'P&amp;L'!BE13</f>
        <v>82.975999999999914</v>
      </c>
      <c r="BF150" s="1321">
        <f>+'P&amp;L'!BF13</f>
        <v>97.231000000000108</v>
      </c>
      <c r="BG150" s="1321">
        <f>+'P&amp;L'!BG13</f>
        <v>108.33667700000004</v>
      </c>
      <c r="BH150" s="1321">
        <f>+'P&amp;L'!BH13</f>
        <v>119.64193</v>
      </c>
      <c r="BI150" s="1322">
        <f>+'P&amp;L'!BI13</f>
        <v>408.18560699999955</v>
      </c>
      <c r="BJ150" s="1320"/>
      <c r="BK150" s="1317">
        <f>+'P&amp;L'!BK13</f>
        <v>80.651999999999902</v>
      </c>
      <c r="BL150" s="1321">
        <f>+'P&amp;L'!BL13</f>
        <v>91.750000000000028</v>
      </c>
      <c r="BM150" s="1321">
        <f>+'P&amp;L'!BM13</f>
        <v>93.677999999999997</v>
      </c>
      <c r="BN150" s="1321">
        <f>+'P&amp;L'!BN13</f>
        <v>106.33500000000001</v>
      </c>
      <c r="BO150" s="1322">
        <f>+'P&amp;L'!BO13</f>
        <v>372.41499999999996</v>
      </c>
      <c r="BP150" s="1320"/>
      <c r="BQ150" s="1317">
        <f>+'P&amp;L'!BQ13</f>
        <v>73.369</v>
      </c>
      <c r="BR150" s="1321">
        <f>+'P&amp;L'!BR13</f>
        <v>83.106999999999971</v>
      </c>
      <c r="BS150" s="1321">
        <f>+'P&amp;L'!BS13</f>
        <v>59.738</v>
      </c>
      <c r="BT150" s="1321">
        <f>+'P&amp;L'!BT13</f>
        <v>56.079805997129569</v>
      </c>
      <c r="BU150" s="1322">
        <f>+'P&amp;L'!BU13</f>
        <v>272.29380599712931</v>
      </c>
      <c r="BV150" s="1320"/>
      <c r="BW150" s="1317">
        <f>+'P&amp;L'!BW13</f>
        <v>52.945381917179219</v>
      </c>
      <c r="BX150" s="1321">
        <f>+'P&amp;L'!BX13</f>
        <v>57.661175592930249</v>
      </c>
      <c r="BY150" s="1321">
        <f>+'P&amp;L'!BY13</f>
        <v>60.813466606869468</v>
      </c>
      <c r="BZ150" s="1321">
        <f>+'P&amp;L'!BZ13</f>
        <v>64.062513073575076</v>
      </c>
      <c r="CA150" s="1322">
        <f>+'P&amp;L'!CA13</f>
        <v>235.4825371905539</v>
      </c>
      <c r="CB150" s="1320"/>
      <c r="CC150" s="1317">
        <f>+'P&amp;L'!CC13</f>
        <v>54.492351462922585</v>
      </c>
      <c r="CD150" s="1321">
        <f>+'P&amp;L'!CD13</f>
        <v>59.286790217043404</v>
      </c>
      <c r="CE150" s="1321">
        <f>+'P&amp;L'!CE13</f>
        <v>62.581576391573975</v>
      </c>
      <c r="CF150" s="1321">
        <f>+'P&amp;L'!CF13</f>
        <v>66.010138661695066</v>
      </c>
      <c r="CG150" s="1322">
        <f>+'P&amp;L'!CG13</f>
        <v>242.37085673323531</v>
      </c>
      <c r="CH150" s="1320"/>
      <c r="CI150" s="1317">
        <f>+'P&amp;L'!CI13</f>
        <v>52.219607887938736</v>
      </c>
      <c r="CJ150" s="1321">
        <f>+'P&amp;L'!CJ13</f>
        <v>56.781176343165555</v>
      </c>
      <c r="CK150" s="1321">
        <f>+'P&amp;L'!CK13</f>
        <v>59.998918796129203</v>
      </c>
      <c r="CL150" s="1321">
        <f>+'P&amp;L'!CL13</f>
        <v>63.352036588374744</v>
      </c>
      <c r="CM150" s="1322">
        <f>+'P&amp;L'!CM13</f>
        <v>232.35173961560804</v>
      </c>
      <c r="CN150" s="11"/>
      <c r="CO150" s="244"/>
      <c r="CP150" s="244"/>
      <c r="CQ150"/>
      <c r="CR150"/>
      <c r="CS150"/>
      <c r="CT150"/>
      <c r="CU150"/>
      <c r="CV150"/>
      <c r="CW150" s="244"/>
    </row>
    <row r="151" spans="2:101" s="128" customFormat="1" ht="11.25" customHeight="1" x14ac:dyDescent="0.2">
      <c r="B151" s="1316" t="s">
        <v>367</v>
      </c>
      <c r="C151" s="1323">
        <f>+'P&amp;L'!C21</f>
        <v>0.37651433369317477</v>
      </c>
      <c r="D151" s="1324">
        <f>+'P&amp;L'!D21</f>
        <v>0.36960754845201838</v>
      </c>
      <c r="E151" s="1324">
        <f>+'P&amp;L'!E21</f>
        <v>0.3560367093476946</v>
      </c>
      <c r="F151" s="1324">
        <f>+'P&amp;L'!F21</f>
        <v>0.37191849740063726</v>
      </c>
      <c r="G151" s="1325">
        <f>+'P&amp;L'!G21</f>
        <v>0.3679279629135217</v>
      </c>
      <c r="H151" s="1326"/>
      <c r="I151" s="1323">
        <f>+'P&amp;L'!I21</f>
        <v>0.37286973038569082</v>
      </c>
      <c r="J151" s="1324">
        <f>+'P&amp;L'!J21</f>
        <v>0.37776722860318657</v>
      </c>
      <c r="K151" s="1324">
        <f>+'P&amp;L'!K21</f>
        <v>0.38098363345502262</v>
      </c>
      <c r="L151" s="1324">
        <f>+'P&amp;L'!L21</f>
        <v>0.35324151761961287</v>
      </c>
      <c r="M151" s="1325">
        <f>+'P&amp;L'!M21</f>
        <v>0.37089987354096488</v>
      </c>
      <c r="N151" s="1326"/>
      <c r="O151" s="1323">
        <f>+'P&amp;L'!O21</f>
        <v>0.37618414266713707</v>
      </c>
      <c r="P151" s="1324">
        <f>+'P&amp;L'!P21</f>
        <v>0.37535957809503523</v>
      </c>
      <c r="Q151" s="1324">
        <f>+'P&amp;L'!Q21</f>
        <v>0.37725391228463256</v>
      </c>
      <c r="R151" s="1324">
        <f>+'P&amp;L'!R21</f>
        <v>0.37315877514985357</v>
      </c>
      <c r="S151" s="1325">
        <f>+'P&amp;L'!S21</f>
        <v>0.37545948550137448</v>
      </c>
      <c r="T151" s="1326"/>
      <c r="U151" s="1323">
        <f>+'P&amp;L'!U21</f>
        <v>0.37794068919814466</v>
      </c>
      <c r="V151" s="1324">
        <f>+'P&amp;L'!V21</f>
        <v>0.38875950746971216</v>
      </c>
      <c r="W151" s="1324">
        <f>+'P&amp;L'!W21</f>
        <v>0.37356520961630896</v>
      </c>
      <c r="X151" s="1324">
        <f>+'P&amp;L'!X21</f>
        <v>0.35893579504200807</v>
      </c>
      <c r="Y151" s="1325">
        <f>+'P&amp;L'!Y21</f>
        <v>0.37395772192743598</v>
      </c>
      <c r="Z151" s="1326"/>
      <c r="AA151" s="1323">
        <f>+'P&amp;L'!AA21</f>
        <v>0.37126167407044641</v>
      </c>
      <c r="AB151" s="1324">
        <f>+'P&amp;L'!AB21</f>
        <v>0.37487405394006135</v>
      </c>
      <c r="AC151" s="1324">
        <f>+'P&amp;L'!AC21</f>
        <v>0.35798062213156556</v>
      </c>
      <c r="AD151" s="1324">
        <f>+'P&amp;L'!AD21</f>
        <v>0.36326435287666758</v>
      </c>
      <c r="AE151" s="1325">
        <f>+'P&amp;L'!AE21</f>
        <v>0.36669504646137652</v>
      </c>
      <c r="AF151" s="1326"/>
      <c r="AG151" s="1323">
        <f>+'P&amp;L'!AG21</f>
        <v>0.36753493455463287</v>
      </c>
      <c r="AH151" s="1324">
        <f>+'P&amp;L'!AH21</f>
        <v>0.36459685374591166</v>
      </c>
      <c r="AI151" s="1324">
        <f>+'P&amp;L'!AI21</f>
        <v>0.3512575888985256</v>
      </c>
      <c r="AJ151" s="1324">
        <f>+'P&amp;L'!AJ21</f>
        <v>0.33923463800014886</v>
      </c>
      <c r="AK151" s="1325">
        <f>+'P&amp;L'!AK21</f>
        <v>0.35473845706038576</v>
      </c>
      <c r="AL151" s="1326"/>
      <c r="AM151" s="1323">
        <f>+'P&amp;L'!AM21</f>
        <v>0.35498839907192609</v>
      </c>
      <c r="AN151" s="1324">
        <f>+'P&amp;L'!AN21</f>
        <v>0.34393592347695839</v>
      </c>
      <c r="AO151" s="1324">
        <f>+'P&amp;L'!AO21</f>
        <v>0.34437652811735936</v>
      </c>
      <c r="AP151" s="1324">
        <f>+'P&amp;L'!AP21</f>
        <v>0.33926548093015518</v>
      </c>
      <c r="AQ151" s="1325">
        <f>+'P&amp;L'!AQ21</f>
        <v>0.34518571112709717</v>
      </c>
      <c r="AR151" s="1326"/>
      <c r="AS151" s="1323">
        <f>+'P&amp;L'!AS21</f>
        <v>0.36399794891694481</v>
      </c>
      <c r="AT151" s="1324">
        <f>+'P&amp;L'!AT21</f>
        <v>0.40400130880225393</v>
      </c>
      <c r="AU151" s="1324">
        <f>+'P&amp;L'!AU21</f>
        <v>0.34919562243658797</v>
      </c>
      <c r="AV151" s="1324">
        <f>+'P&amp;L'!AV21</f>
        <v>0.33099296968679037</v>
      </c>
      <c r="AW151" s="1325">
        <f>+'P&amp;L'!AW21</f>
        <v>0.3607755253352497</v>
      </c>
      <c r="AX151" s="1326"/>
      <c r="AY151" s="1323">
        <f>+'P&amp;L'!AY21</f>
        <v>0.34380655785817965</v>
      </c>
      <c r="AZ151" s="1324">
        <f>+'P&amp;L'!AZ21</f>
        <v>0.34759868274001976</v>
      </c>
      <c r="BA151" s="1324">
        <f>+'P&amp;L'!BA21</f>
        <v>0.32992504537456535</v>
      </c>
      <c r="BB151" s="1324">
        <f>+'P&amp;L'!BB21</f>
        <v>0.34680130776543711</v>
      </c>
      <c r="BC151" s="1325">
        <f>+'P&amp;L'!BC21</f>
        <v>0.34210150206887413</v>
      </c>
      <c r="BD151" s="1326"/>
      <c r="BE151" s="1323">
        <f>+'P&amp;L'!BE21</f>
        <v>0.34413940673817928</v>
      </c>
      <c r="BF151" s="1324">
        <f>+'P&amp;L'!BF21</f>
        <v>0.3586164485287287</v>
      </c>
      <c r="BG151" s="1324">
        <f>+'P&amp;L'!BG21</f>
        <v>0.33888937169544259</v>
      </c>
      <c r="BH151" s="1324">
        <f>+'P&amp;L'!BH21</f>
        <v>0.33114567350018581</v>
      </c>
      <c r="BI151" s="1325">
        <f>+'P&amp;L'!BI21</f>
        <v>0.34219776674694879</v>
      </c>
      <c r="BJ151" s="1326"/>
      <c r="BK151" s="1323">
        <f>+'P&amp;L'!BK21</f>
        <v>0.33029071842314811</v>
      </c>
      <c r="BL151" s="1324">
        <f>+'P&amp;L'!BL21</f>
        <v>0.3572620834584207</v>
      </c>
      <c r="BM151" s="1324">
        <f>+'P&amp;L'!BM21</f>
        <v>0.33448217888365844</v>
      </c>
      <c r="BN151" s="1324">
        <f>+'P&amp;L'!BN21</f>
        <v>0.31628580657934496</v>
      </c>
      <c r="BO151" s="1325">
        <f>+'P&amp;L'!BO21</f>
        <v>0.33402113499200886</v>
      </c>
      <c r="BP151" s="1326"/>
      <c r="BQ151" s="1323">
        <f>+'P&amp;L'!BQ21</f>
        <v>0.34942994440780178</v>
      </c>
      <c r="BR151" s="1324">
        <f>+'P&amp;L'!BR21</f>
        <v>0.34603497300787112</v>
      </c>
      <c r="BS151" s="1324">
        <f>+'P&amp;L'!BS21</f>
        <v>0.20976603864058649</v>
      </c>
      <c r="BT151" s="1324">
        <f>+'P&amp;L'!BT21</f>
        <v>0.25</v>
      </c>
      <c r="BU151" s="1325">
        <f>+'P&amp;L'!BU21</f>
        <v>0.29832093140750382</v>
      </c>
      <c r="BV151" s="1326"/>
      <c r="BW151" s="1323">
        <f>+'P&amp;L'!BW21</f>
        <v>0.25</v>
      </c>
      <c r="BX151" s="1324">
        <f>+'P&amp;L'!BX21</f>
        <v>0.25</v>
      </c>
      <c r="BY151" s="1324">
        <f>+'P&amp;L'!BY21</f>
        <v>0.25</v>
      </c>
      <c r="BZ151" s="1324">
        <f>+'P&amp;L'!BZ21</f>
        <v>0.25</v>
      </c>
      <c r="CA151" s="1325">
        <f>+'P&amp;L'!CA21</f>
        <v>0.25000000000000017</v>
      </c>
      <c r="CB151" s="1326"/>
      <c r="CC151" s="1323">
        <f>+'P&amp;L'!CC21</f>
        <v>0.25</v>
      </c>
      <c r="CD151" s="1324">
        <f>+'P&amp;L'!CD21</f>
        <v>0.25</v>
      </c>
      <c r="CE151" s="1324">
        <f>+'P&amp;L'!CE21</f>
        <v>0.25</v>
      </c>
      <c r="CF151" s="1324">
        <f>+'P&amp;L'!CF21</f>
        <v>0.25</v>
      </c>
      <c r="CG151" s="1325">
        <f>+'P&amp;L'!CG21</f>
        <v>0.24999999999999969</v>
      </c>
      <c r="CH151" s="1326"/>
      <c r="CI151" s="1323">
        <f>+'P&amp;L'!CI21</f>
        <v>0.25</v>
      </c>
      <c r="CJ151" s="1324">
        <f>+'P&amp;L'!CJ21</f>
        <v>0.25</v>
      </c>
      <c r="CK151" s="1324">
        <f>+'P&amp;L'!CK21</f>
        <v>0.25</v>
      </c>
      <c r="CL151" s="1324">
        <f>+'P&amp;L'!CL21</f>
        <v>0.25</v>
      </c>
      <c r="CM151" s="1325">
        <f>+'P&amp;L'!CM21</f>
        <v>0.25000000000000028</v>
      </c>
      <c r="CN151" s="11"/>
      <c r="CO151" s="244"/>
      <c r="CP151" s="244"/>
      <c r="CQ151"/>
      <c r="CR151"/>
      <c r="CS151"/>
      <c r="CT151"/>
      <c r="CU151"/>
      <c r="CV151"/>
      <c r="CW151" s="244"/>
    </row>
    <row r="152" spans="2:101" s="128" customFormat="1" ht="11.25" customHeight="1" x14ac:dyDescent="0.2">
      <c r="B152" s="1316" t="s">
        <v>578</v>
      </c>
      <c r="C152" s="1002">
        <f t="shared" ref="C152:G152" si="77">C150*C151</f>
        <v>25.805162888329132</v>
      </c>
      <c r="D152" s="1327">
        <f t="shared" si="77"/>
        <v>28.837150537774932</v>
      </c>
      <c r="E152" s="1327">
        <f t="shared" si="77"/>
        <v>32.999618442600422</v>
      </c>
      <c r="F152" s="1327">
        <f t="shared" si="77"/>
        <v>35.870051400301861</v>
      </c>
      <c r="G152" s="1328">
        <f t="shared" si="77"/>
        <v>123.50973787044003</v>
      </c>
      <c r="H152" s="1326"/>
      <c r="I152" s="1002">
        <f t="shared" ref="I152:M152" si="78">I150*I151</f>
        <v>28.042413813116656</v>
      </c>
      <c r="J152" s="1327">
        <f t="shared" si="78"/>
        <v>32.341785742404603</v>
      </c>
      <c r="K152" s="1327">
        <f t="shared" si="78"/>
        <v>36.998844579351079</v>
      </c>
      <c r="L152" s="1327">
        <f t="shared" si="78"/>
        <v>35.772415247820575</v>
      </c>
      <c r="M152" s="1328">
        <f t="shared" si="78"/>
        <v>133.22834727553519</v>
      </c>
      <c r="N152" s="1326"/>
      <c r="O152" s="1002">
        <f t="shared" ref="O152:S152" si="79">O150*O151</f>
        <v>29.942000651448115</v>
      </c>
      <c r="P152" s="1327">
        <f t="shared" si="79"/>
        <v>31.005451869806091</v>
      </c>
      <c r="Q152" s="1327">
        <f t="shared" si="79"/>
        <v>34.534577638359849</v>
      </c>
      <c r="R152" s="1327">
        <f t="shared" si="79"/>
        <v>34.512708796059655</v>
      </c>
      <c r="S152" s="1328">
        <f t="shared" si="79"/>
        <v>129.99383582719901</v>
      </c>
      <c r="T152" s="1326"/>
      <c r="U152" s="1002">
        <f t="shared" ref="U152:Y152" si="80">U150*U151</f>
        <v>29.022065523525516</v>
      </c>
      <c r="V152" s="1327">
        <f t="shared" si="80"/>
        <v>32.844735748086123</v>
      </c>
      <c r="W152" s="1327">
        <f t="shared" si="80"/>
        <v>35.02808901009243</v>
      </c>
      <c r="X152" s="1327">
        <f t="shared" si="80"/>
        <v>35.982595581371221</v>
      </c>
      <c r="Y152" s="1328">
        <f t="shared" si="80"/>
        <v>132.86381298132079</v>
      </c>
      <c r="Z152" s="1326"/>
      <c r="AA152" s="1002">
        <f t="shared" ref="AA152:AE152" si="81">AA150*AA151</f>
        <v>33.051199272447441</v>
      </c>
      <c r="AB152" s="1327">
        <f t="shared" si="81"/>
        <v>33.795645710804415</v>
      </c>
      <c r="AC152" s="1327">
        <f t="shared" si="81"/>
        <v>33.187309535951044</v>
      </c>
      <c r="AD152" s="1327">
        <f t="shared" si="81"/>
        <v>37.824900743283031</v>
      </c>
      <c r="AE152" s="1328">
        <f t="shared" si="81"/>
        <v>137.88027102984935</v>
      </c>
      <c r="AF152" s="1326"/>
      <c r="AG152" s="1002">
        <f t="shared" ref="AG152:AK152" si="82">AG150*AG151</f>
        <v>30.135291888938042</v>
      </c>
      <c r="AH152" s="1327">
        <f t="shared" si="82"/>
        <v>30.355969446030844</v>
      </c>
      <c r="AI152" s="1327">
        <f t="shared" si="82"/>
        <v>31.580164787510846</v>
      </c>
      <c r="AJ152" s="1327">
        <f t="shared" si="82"/>
        <v>34.890621752953308</v>
      </c>
      <c r="AK152" s="1328">
        <f t="shared" si="82"/>
        <v>126.99956027373169</v>
      </c>
      <c r="AL152" s="1326"/>
      <c r="AM152" s="1002">
        <f t="shared" ref="AM152:AQ152" si="83">AM150*AM151</f>
        <v>29.319201856148492</v>
      </c>
      <c r="AN152" s="1327">
        <f t="shared" si="83"/>
        <v>26.781946425227254</v>
      </c>
      <c r="AO152" s="1327">
        <f t="shared" si="83"/>
        <v>30.834785574572127</v>
      </c>
      <c r="AP152" s="1327">
        <f t="shared" si="83"/>
        <v>35.438315076040297</v>
      </c>
      <c r="AQ152" s="1328">
        <f t="shared" si="83"/>
        <v>122.35280123755517</v>
      </c>
      <c r="AR152" s="1326"/>
      <c r="AS152" s="1002">
        <f t="shared" ref="AS152:AW152" si="84">AS150*AS151</f>
        <v>29.586117285918203</v>
      </c>
      <c r="AT152" s="1327">
        <f t="shared" si="84"/>
        <v>36.039613857898573</v>
      </c>
      <c r="AU152" s="1327">
        <f t="shared" si="84"/>
        <v>34.128172871422684</v>
      </c>
      <c r="AV152" s="1327">
        <f t="shared" si="84"/>
        <v>32.838958420287504</v>
      </c>
      <c r="AW152" s="1328">
        <f t="shared" si="84"/>
        <v>132.56148912963627</v>
      </c>
      <c r="AX152" s="1326"/>
      <c r="AY152" s="1002">
        <f t="shared" ref="AY152:BC152" si="85">AY150*AY151</f>
        <v>23.629480915034815</v>
      </c>
      <c r="AZ152" s="1327">
        <f t="shared" si="85"/>
        <v>26.026798968841732</v>
      </c>
      <c r="BA152" s="1327">
        <f t="shared" si="85"/>
        <v>26.442832536680662</v>
      </c>
      <c r="BB152" s="1327">
        <f t="shared" si="85"/>
        <v>32.3863869269831</v>
      </c>
      <c r="BC152" s="1328">
        <f t="shared" si="85"/>
        <v>108.49372826462067</v>
      </c>
      <c r="BD152" s="1326"/>
      <c r="BE152" s="1002">
        <f t="shared" ref="BE152:BI152" si="86">BE150*BE151</f>
        <v>28.555311413507134</v>
      </c>
      <c r="BF152" s="1327">
        <f t="shared" si="86"/>
        <v>34.868635906896863</v>
      </c>
      <c r="BG152" s="1327">
        <f t="shared" si="86"/>
        <v>36.714148400102118</v>
      </c>
      <c r="BH152" s="1327">
        <f t="shared" si="86"/>
        <v>39.61890748871209</v>
      </c>
      <c r="BI152" s="1328">
        <f t="shared" si="86"/>
        <v>139.68020313364755</v>
      </c>
      <c r="BJ152" s="1326"/>
      <c r="BK152" s="1002">
        <f t="shared" ref="BK152:BO152" si="87">BK150*BK151</f>
        <v>26.638607022263709</v>
      </c>
      <c r="BL152" s="1327">
        <f t="shared" si="87"/>
        <v>32.778796157310111</v>
      </c>
      <c r="BM152" s="1327">
        <f t="shared" si="87"/>
        <v>31.333621553463356</v>
      </c>
      <c r="BN152" s="1327">
        <f t="shared" si="87"/>
        <v>33.63225124261465</v>
      </c>
      <c r="BO152" s="1328">
        <f t="shared" si="87"/>
        <v>124.39448098804897</v>
      </c>
      <c r="BP152" s="1326"/>
      <c r="BQ152" s="1002">
        <f t="shared" ref="BQ152:BU152" si="88">BQ150*BQ151</f>
        <v>25.637325591256008</v>
      </c>
      <c r="BR152" s="1327">
        <f t="shared" si="88"/>
        <v>28.757928501765136</v>
      </c>
      <c r="BS152" s="1327">
        <f t="shared" si="88"/>
        <v>12.531003616311356</v>
      </c>
      <c r="BT152" s="1327">
        <f t="shared" si="88"/>
        <v>14.019951499282392</v>
      </c>
      <c r="BU152" s="1328">
        <f t="shared" si="88"/>
        <v>81.230941821557764</v>
      </c>
      <c r="BV152" s="1326"/>
      <c r="BW152" s="1002">
        <f t="shared" ref="BW152:CA152" si="89">BW150*BW151</f>
        <v>13.236345479294805</v>
      </c>
      <c r="BX152" s="1327">
        <f t="shared" si="89"/>
        <v>14.415293898232562</v>
      </c>
      <c r="BY152" s="1327">
        <f t="shared" si="89"/>
        <v>15.203366651717367</v>
      </c>
      <c r="BZ152" s="1327">
        <f t="shared" si="89"/>
        <v>16.015628268393769</v>
      </c>
      <c r="CA152" s="1328">
        <f t="shared" si="89"/>
        <v>58.870634297638517</v>
      </c>
      <c r="CB152" s="1326"/>
      <c r="CC152" s="1002">
        <f t="shared" ref="CC152:CG152" si="90">CC150*CC151</f>
        <v>13.623087865730646</v>
      </c>
      <c r="CD152" s="1327">
        <f t="shared" si="90"/>
        <v>14.821697554260851</v>
      </c>
      <c r="CE152" s="1327">
        <f t="shared" si="90"/>
        <v>15.645394097893494</v>
      </c>
      <c r="CF152" s="1327">
        <f t="shared" si="90"/>
        <v>16.502534665423767</v>
      </c>
      <c r="CG152" s="1328">
        <f t="shared" si="90"/>
        <v>60.592714183308757</v>
      </c>
      <c r="CH152" s="1326"/>
      <c r="CI152" s="1002">
        <f t="shared" ref="CI152:CM152" si="91">CI150*CI151</f>
        <v>13.054901971984684</v>
      </c>
      <c r="CJ152" s="1327">
        <f t="shared" si="91"/>
        <v>14.195294085791389</v>
      </c>
      <c r="CK152" s="1327">
        <f t="shared" si="91"/>
        <v>14.999729699032301</v>
      </c>
      <c r="CL152" s="1327">
        <f t="shared" si="91"/>
        <v>15.838009147093686</v>
      </c>
      <c r="CM152" s="1328">
        <f t="shared" si="91"/>
        <v>58.087934903902074</v>
      </c>
      <c r="CN152" s="11"/>
      <c r="CO152" s="244"/>
      <c r="CP152" s="244"/>
      <c r="CQ152"/>
      <c r="CR152"/>
      <c r="CS152"/>
      <c r="CT152"/>
      <c r="CU152"/>
      <c r="CV152"/>
      <c r="CW152" s="244"/>
    </row>
    <row r="153" spans="2:101" s="128" customFormat="1" ht="11.25" customHeight="1" x14ac:dyDescent="0.2">
      <c r="B153" s="1090" t="s">
        <v>579</v>
      </c>
      <c r="C153" s="1001">
        <f t="shared" ref="C153:G153" si="92">C150-C152</f>
        <v>42.731837111670899</v>
      </c>
      <c r="D153" s="1329">
        <f t="shared" si="92"/>
        <v>49.183849462225083</v>
      </c>
      <c r="E153" s="1329">
        <f t="shared" si="92"/>
        <v>59.686381557399585</v>
      </c>
      <c r="F153" s="1329">
        <f t="shared" si="92"/>
        <v>60.575948599698137</v>
      </c>
      <c r="G153" s="1330">
        <f t="shared" si="92"/>
        <v>212.18026212955979</v>
      </c>
      <c r="H153" s="1331"/>
      <c r="I153" s="1001">
        <f t="shared" ref="I153:M153" si="93">I150-I152</f>
        <v>47.164586186883369</v>
      </c>
      <c r="J153" s="1329">
        <f t="shared" si="93"/>
        <v>53.271214257595368</v>
      </c>
      <c r="K153" s="1329">
        <f t="shared" si="93"/>
        <v>60.115155420648954</v>
      </c>
      <c r="L153" s="1329">
        <f t="shared" si="93"/>
        <v>65.49658475217943</v>
      </c>
      <c r="M153" s="1330">
        <f t="shared" si="93"/>
        <v>225.97465272446479</v>
      </c>
      <c r="N153" s="1331"/>
      <c r="O153" s="1001">
        <f t="shared" ref="O153:S153" si="94">O150-O152</f>
        <v>49.651999348551911</v>
      </c>
      <c r="P153" s="1329">
        <f t="shared" si="94"/>
        <v>51.596548130193881</v>
      </c>
      <c r="Q153" s="1329">
        <f t="shared" si="94"/>
        <v>57.007422361640181</v>
      </c>
      <c r="R153" s="1329">
        <f t="shared" si="94"/>
        <v>57.975291203940344</v>
      </c>
      <c r="S153" s="1330">
        <f t="shared" si="94"/>
        <v>216.23216417280133</v>
      </c>
      <c r="T153" s="1331"/>
      <c r="U153" s="1001">
        <f t="shared" ref="U153:Y153" si="95">U150-U152</f>
        <v>47.767934476474451</v>
      </c>
      <c r="V153" s="1329">
        <f t="shared" si="95"/>
        <v>51.641264251913924</v>
      </c>
      <c r="W153" s="1329">
        <f t="shared" si="95"/>
        <v>58.738910989907538</v>
      </c>
      <c r="X153" s="1329">
        <f t="shared" si="95"/>
        <v>64.265404418628776</v>
      </c>
      <c r="Y153" s="1330">
        <f t="shared" si="95"/>
        <v>222.4271870186796</v>
      </c>
      <c r="Z153" s="1331"/>
      <c r="AA153" s="1001">
        <f t="shared" ref="AA153:AE153" si="96">AA150-AA152</f>
        <v>55.972800727552617</v>
      </c>
      <c r="AB153" s="1329">
        <f t="shared" si="96"/>
        <v>56.3563542891956</v>
      </c>
      <c r="AC153" s="1329">
        <f t="shared" si="96"/>
        <v>59.519690464048949</v>
      </c>
      <c r="AD153" s="1329">
        <f t="shared" si="96"/>
        <v>66.300099256717033</v>
      </c>
      <c r="AE153" s="1330">
        <f t="shared" si="96"/>
        <v>238.12772897015091</v>
      </c>
      <c r="AF153" s="1331"/>
      <c r="AG153" s="1001">
        <f t="shared" ref="AG153:AK153" si="97">AG150-AG152</f>
        <v>51.857708111062038</v>
      </c>
      <c r="AH153" s="1329">
        <f t="shared" si="97"/>
        <v>52.903030553969117</v>
      </c>
      <c r="AI153" s="1329">
        <f t="shared" si="97"/>
        <v>58.32583521248916</v>
      </c>
      <c r="AJ153" s="1329">
        <f t="shared" si="97"/>
        <v>67.960378247046691</v>
      </c>
      <c r="AK153" s="1330">
        <f t="shared" si="97"/>
        <v>231.00943972626845</v>
      </c>
      <c r="AL153" s="1331"/>
      <c r="AM153" s="1001">
        <f t="shared" ref="AM153:AQ153" si="98">AM150-AM152</f>
        <v>53.272798143851432</v>
      </c>
      <c r="AN153" s="1329">
        <f t="shared" si="98"/>
        <v>51.087053574772689</v>
      </c>
      <c r="AO153" s="1329">
        <f t="shared" si="98"/>
        <v>58.703214425427888</v>
      </c>
      <c r="AP153" s="1329">
        <f t="shared" si="98"/>
        <v>69.01768492395972</v>
      </c>
      <c r="AQ153" s="1330">
        <f t="shared" si="98"/>
        <v>232.10219876244463</v>
      </c>
      <c r="AR153" s="1331"/>
      <c r="AS153" s="1001">
        <f t="shared" ref="AS153:AW153" si="99">AS150-AS152</f>
        <v>51.694882714081828</v>
      </c>
      <c r="AT153" s="1329">
        <f t="shared" si="99"/>
        <v>53.167062142101329</v>
      </c>
      <c r="AU153" s="1329">
        <f t="shared" si="99"/>
        <v>63.605506128577311</v>
      </c>
      <c r="AV153" s="1329">
        <f t="shared" si="99"/>
        <v>66.374503579712439</v>
      </c>
      <c r="AW153" s="1330">
        <f t="shared" si="99"/>
        <v>234.87332787036357</v>
      </c>
      <c r="AX153" s="1331"/>
      <c r="AY153" s="1001">
        <f t="shared" ref="AY153:BC153" si="100">AY150-AY152</f>
        <v>45.099519084965138</v>
      </c>
      <c r="AZ153" s="1329">
        <f t="shared" si="100"/>
        <v>48.849201031158302</v>
      </c>
      <c r="BA153" s="1329">
        <f t="shared" si="100"/>
        <v>53.705167463319334</v>
      </c>
      <c r="BB153" s="1329">
        <f t="shared" si="100"/>
        <v>60.999613073016867</v>
      </c>
      <c r="BC153" s="1330">
        <f t="shared" si="100"/>
        <v>208.64527173537934</v>
      </c>
      <c r="BD153" s="1331"/>
      <c r="BE153" s="1001">
        <f t="shared" ref="BE153:BI153" si="101">BE150-BE152</f>
        <v>54.42068858649278</v>
      </c>
      <c r="BF153" s="1329">
        <f t="shared" si="101"/>
        <v>62.362364093103245</v>
      </c>
      <c r="BG153" s="1329">
        <f t="shared" si="101"/>
        <v>71.622528599897919</v>
      </c>
      <c r="BH153" s="1329">
        <f t="shared" si="101"/>
        <v>80.023022511287905</v>
      </c>
      <c r="BI153" s="1330">
        <f t="shared" si="101"/>
        <v>268.50540386635203</v>
      </c>
      <c r="BJ153" s="1331"/>
      <c r="BK153" s="1001">
        <f t="shared" ref="BK153:BO153" si="102">BK150-BK152</f>
        <v>54.013392977736189</v>
      </c>
      <c r="BL153" s="1329">
        <f t="shared" si="102"/>
        <v>58.971203842689917</v>
      </c>
      <c r="BM153" s="1329">
        <f t="shared" si="102"/>
        <v>62.344378446536638</v>
      </c>
      <c r="BN153" s="1329">
        <f t="shared" si="102"/>
        <v>72.702748757385365</v>
      </c>
      <c r="BO153" s="1330">
        <f t="shared" si="102"/>
        <v>248.020519011951</v>
      </c>
      <c r="BP153" s="1331"/>
      <c r="BQ153" s="1001">
        <f t="shared" ref="BQ153:BU153" si="103">BQ150-BQ152</f>
        <v>47.731674408743991</v>
      </c>
      <c r="BR153" s="1329">
        <f t="shared" si="103"/>
        <v>54.349071498234835</v>
      </c>
      <c r="BS153" s="1329">
        <f t="shared" si="103"/>
        <v>47.206996383688647</v>
      </c>
      <c r="BT153" s="1329">
        <f t="shared" si="103"/>
        <v>42.059854497847176</v>
      </c>
      <c r="BU153" s="1330">
        <f t="shared" si="103"/>
        <v>191.06286417557155</v>
      </c>
      <c r="BV153" s="1331"/>
      <c r="BW153" s="1001">
        <f t="shared" ref="BW153:CA153" si="104">BW150-BW152</f>
        <v>39.709036437884414</v>
      </c>
      <c r="BX153" s="1329">
        <f t="shared" si="104"/>
        <v>43.245881694697687</v>
      </c>
      <c r="BY153" s="1329">
        <f t="shared" si="104"/>
        <v>45.610099955152101</v>
      </c>
      <c r="BZ153" s="1329">
        <f t="shared" si="104"/>
        <v>48.046884805181307</v>
      </c>
      <c r="CA153" s="1330">
        <f t="shared" si="104"/>
        <v>176.6119028929154</v>
      </c>
      <c r="CB153" s="1331"/>
      <c r="CC153" s="1001">
        <f t="shared" ref="CC153:CG153" si="105">CC150-CC152</f>
        <v>40.869263597191939</v>
      </c>
      <c r="CD153" s="1329">
        <f t="shared" si="105"/>
        <v>44.465092662782553</v>
      </c>
      <c r="CE153" s="1329">
        <f t="shared" si="105"/>
        <v>46.936182293680481</v>
      </c>
      <c r="CF153" s="1329">
        <f t="shared" si="105"/>
        <v>49.5076039962713</v>
      </c>
      <c r="CG153" s="1330">
        <f t="shared" si="105"/>
        <v>181.77814254992654</v>
      </c>
      <c r="CH153" s="1331"/>
      <c r="CI153" s="1001">
        <f t="shared" ref="CI153:CM153" si="106">CI150-CI152</f>
        <v>39.164705915954052</v>
      </c>
      <c r="CJ153" s="1329">
        <f t="shared" si="106"/>
        <v>42.585882257374166</v>
      </c>
      <c r="CK153" s="1329">
        <f t="shared" si="106"/>
        <v>44.999189097096902</v>
      </c>
      <c r="CL153" s="1329">
        <f t="shared" si="106"/>
        <v>47.514027441281058</v>
      </c>
      <c r="CM153" s="1330">
        <f t="shared" si="106"/>
        <v>174.26380471170597</v>
      </c>
      <c r="CN153" s="11"/>
      <c r="CO153" s="244"/>
      <c r="CP153" s="244"/>
      <c r="CQ153"/>
      <c r="CR153"/>
      <c r="CS153"/>
      <c r="CT153"/>
      <c r="CU153"/>
      <c r="CV153"/>
      <c r="CW153" s="244"/>
    </row>
    <row r="154" spans="2:101" s="128" customFormat="1" ht="11.25" customHeight="1" x14ac:dyDescent="0.2">
      <c r="B154" s="1090" t="s">
        <v>580</v>
      </c>
      <c r="C154" s="1003">
        <f t="shared" ref="C154:G154" si="107">C153/C149</f>
        <v>6.519087628098591E-2</v>
      </c>
      <c r="D154" s="1332">
        <f t="shared" si="107"/>
        <v>7.0842232756026927E-2</v>
      </c>
      <c r="E154" s="1332">
        <f t="shared" si="107"/>
        <v>8.4125280210120987E-2</v>
      </c>
      <c r="F154" s="1332">
        <f t="shared" si="107"/>
        <v>8.1954301941164473E-2</v>
      </c>
      <c r="G154" s="1333">
        <f t="shared" si="107"/>
        <v>7.5822046088354758E-2</v>
      </c>
      <c r="H154" s="1334"/>
      <c r="I154" s="1003">
        <f t="shared" ref="I154:M154" si="108">I153/I149</f>
        <v>6.724320567046814E-2</v>
      </c>
      <c r="J154" s="1332">
        <f t="shared" si="108"/>
        <v>7.1794863364558342E-2</v>
      </c>
      <c r="K154" s="1332">
        <f t="shared" si="108"/>
        <v>7.7373659714637763E-2</v>
      </c>
      <c r="L154" s="1332">
        <f t="shared" si="108"/>
        <v>8.4143877798963276E-2</v>
      </c>
      <c r="M154" s="1333">
        <f t="shared" si="108"/>
        <v>7.535681041016537E-2</v>
      </c>
      <c r="N154" s="1334"/>
      <c r="O154" s="1003">
        <f t="shared" ref="O154:S154" si="109">O153/O149</f>
        <v>6.6749208315758646E-2</v>
      </c>
      <c r="P154" s="1332">
        <f t="shared" si="109"/>
        <v>6.7938377520628285E-2</v>
      </c>
      <c r="Q154" s="1332">
        <f t="shared" si="109"/>
        <v>7.0290759154352192E-2</v>
      </c>
      <c r="R154" s="1332">
        <f t="shared" si="109"/>
        <v>7.4338351862508201E-2</v>
      </c>
      <c r="S154" s="1333">
        <f t="shared" si="109"/>
        <v>6.9882450179899955E-2</v>
      </c>
      <c r="T154" s="1334"/>
      <c r="U154" s="1003">
        <f t="shared" ref="U154:Y154" si="110">U153/U149</f>
        <v>6.0497979906348136E-2</v>
      </c>
      <c r="V154" s="1332">
        <f t="shared" si="110"/>
        <v>6.3367324234112135E-2</v>
      </c>
      <c r="W154" s="1332">
        <f t="shared" si="110"/>
        <v>7.1625481035976241E-2</v>
      </c>
      <c r="X154" s="1332">
        <f t="shared" si="110"/>
        <v>7.907038520332986E-2</v>
      </c>
      <c r="Y154" s="1333">
        <f t="shared" si="110"/>
        <v>6.8706009749463642E-2</v>
      </c>
      <c r="Z154" s="1334"/>
      <c r="AA154" s="1003">
        <f t="shared" ref="AA154:AE154" si="111">AA153/AA149</f>
        <v>6.5866859257146332E-2</v>
      </c>
      <c r="AB154" s="1332">
        <f t="shared" si="111"/>
        <v>6.5728287955638232E-2</v>
      </c>
      <c r="AC154" s="1332">
        <f t="shared" si="111"/>
        <v>7.2175699344023472E-2</v>
      </c>
      <c r="AD154" s="1332">
        <f t="shared" si="111"/>
        <v>7.5015471784061025E-2</v>
      </c>
      <c r="AE154" s="1333">
        <f t="shared" si="111"/>
        <v>6.9716257416597885E-2</v>
      </c>
      <c r="AF154" s="1334"/>
      <c r="AG154" s="1003">
        <f t="shared" ref="AG154:AK154" si="112">AG153/AG149</f>
        <v>6.1194668194904114E-2</v>
      </c>
      <c r="AH154" s="1332">
        <f t="shared" si="112"/>
        <v>6.173949590543442E-2</v>
      </c>
      <c r="AI154" s="1332">
        <f t="shared" si="112"/>
        <v>6.5166346616861062E-2</v>
      </c>
      <c r="AJ154" s="1332">
        <f t="shared" si="112"/>
        <v>7.2581341964562535E-2</v>
      </c>
      <c r="AK154" s="1333">
        <f t="shared" si="112"/>
        <v>6.5336987829508669E-2</v>
      </c>
      <c r="AL154" s="1334"/>
      <c r="AM154" s="1003">
        <f t="shared" ref="AM154:AQ154" si="113">AM153/AM149</f>
        <v>5.9909244728669833E-2</v>
      </c>
      <c r="AN154" s="1332">
        <f t="shared" si="113"/>
        <v>5.8910823282444263E-2</v>
      </c>
      <c r="AO154" s="1332">
        <f t="shared" si="113"/>
        <v>6.4096205019569447E-2</v>
      </c>
      <c r="AP154" s="1332">
        <f t="shared" si="113"/>
        <v>7.1525883065414617E-2</v>
      </c>
      <c r="AQ154" s="1333">
        <f t="shared" si="113"/>
        <v>6.3813217036137737E-2</v>
      </c>
      <c r="AR154" s="1334"/>
      <c r="AS154" s="1003">
        <f t="shared" ref="AS154:AW154" si="114">AS153/AS149</f>
        <v>5.8735841743027213E-2</v>
      </c>
      <c r="AT154" s="1332">
        <f t="shared" si="114"/>
        <v>5.3229127304538423E-2</v>
      </c>
      <c r="AU154" s="1332">
        <f t="shared" si="114"/>
        <v>5.8748258836254612E-2</v>
      </c>
      <c r="AV154" s="1332">
        <f t="shared" si="114"/>
        <v>6.0226738766631045E-2</v>
      </c>
      <c r="AW154" s="1333">
        <f t="shared" si="114"/>
        <v>5.7797687059836518E-2</v>
      </c>
      <c r="AX154" s="1334"/>
      <c r="AY154" s="1003">
        <f t="shared" ref="AY154:BC154" si="115">AY153/AY149</f>
        <v>4.8031557479759582E-2</v>
      </c>
      <c r="AZ154" s="1332">
        <f t="shared" si="115"/>
        <v>4.9936825081431886E-2</v>
      </c>
      <c r="BA154" s="1332">
        <f t="shared" si="115"/>
        <v>5.6022948905434987E-2</v>
      </c>
      <c r="BB154" s="1332">
        <f t="shared" si="115"/>
        <v>5.8933350858564736E-2</v>
      </c>
      <c r="BC154" s="1333">
        <f t="shared" si="115"/>
        <v>5.3350159551756288E-2</v>
      </c>
      <c r="BD154" s="1334"/>
      <c r="BE154" s="1003">
        <f t="shared" ref="BE154:BI154" si="116">BE153/BE149</f>
        <v>4.7617566815554513E-2</v>
      </c>
      <c r="BF154" s="1332">
        <f t="shared" si="116"/>
        <v>4.4890523458010846E-2</v>
      </c>
      <c r="BG154" s="1332">
        <f t="shared" si="116"/>
        <v>5.1127797563268892E-2</v>
      </c>
      <c r="BH154" s="1332">
        <f t="shared" si="116"/>
        <v>5.5045173934864459E-2</v>
      </c>
      <c r="BI154" s="1333">
        <f t="shared" si="116"/>
        <v>4.9845964009219007E-2</v>
      </c>
      <c r="BJ154" s="1334"/>
      <c r="BK154" s="1003">
        <f t="shared" ref="BK154:BO154" si="117">BK153/BK149</f>
        <v>4.0537326353938342E-2</v>
      </c>
      <c r="BL154" s="1332">
        <f t="shared" si="117"/>
        <v>4.158052393259673E-2</v>
      </c>
      <c r="BM154" s="1332">
        <f t="shared" si="117"/>
        <v>4.4613979816015427E-2</v>
      </c>
      <c r="BN154" s="1332">
        <f t="shared" si="117"/>
        <v>5.0312206759009742E-2</v>
      </c>
      <c r="BO154" s="1333">
        <f t="shared" si="117"/>
        <v>4.4343802494016496E-2</v>
      </c>
      <c r="BP154" s="1334"/>
      <c r="BQ154" s="1003">
        <f t="shared" ref="BQ154:BU154" si="118">BQ153/BQ149</f>
        <v>3.6600816959197612E-2</v>
      </c>
      <c r="BR154" s="1332">
        <f t="shared" si="118"/>
        <v>3.9220336541663271E-2</v>
      </c>
      <c r="BS154" s="1332">
        <f t="shared" si="118"/>
        <v>3.4326818785395119E-2</v>
      </c>
      <c r="BT154" s="1332">
        <f t="shared" si="118"/>
        <v>2.9176568127720594E-2</v>
      </c>
      <c r="BU154" s="1333">
        <f t="shared" si="118"/>
        <v>3.4696834384210139E-2</v>
      </c>
      <c r="BV154" s="1334"/>
      <c r="BW154" s="1003">
        <f t="shared" ref="BW154:CA154" si="119">BW153/BW149</f>
        <v>3.0294488753971487E-2</v>
      </c>
      <c r="BX154" s="1332">
        <f t="shared" si="119"/>
        <v>3.0191829081733516E-2</v>
      </c>
      <c r="BY154" s="1332">
        <f t="shared" si="119"/>
        <v>3.2290822271174219E-2</v>
      </c>
      <c r="BZ154" s="1332">
        <f t="shared" si="119"/>
        <v>3.2113309931136279E-2</v>
      </c>
      <c r="CA154" s="1333">
        <f t="shared" si="119"/>
        <v>3.1248876373369424E-2</v>
      </c>
      <c r="CB154" s="1334"/>
      <c r="CC154" s="1003">
        <f t="shared" ref="CC154:CG154" si="120">CC153/CC149</f>
        <v>3.0423645120554652E-2</v>
      </c>
      <c r="CD154" s="1332">
        <f t="shared" si="120"/>
        <v>3.0303114209979689E-2</v>
      </c>
      <c r="CE154" s="1332">
        <f t="shared" si="120"/>
        <v>3.2366571914001468E-2</v>
      </c>
      <c r="CF154" s="1332">
        <f t="shared" si="120"/>
        <v>3.2225521520567103E-2</v>
      </c>
      <c r="CG154" s="1333">
        <f t="shared" si="120"/>
        <v>3.1356671676031081E-2</v>
      </c>
      <c r="CH154" s="1334"/>
      <c r="CI154" s="1003">
        <f t="shared" ref="CI154:CM154" si="121">CI153/CI149</f>
        <v>2.8387692077828899E-2</v>
      </c>
      <c r="CJ154" s="1332">
        <f t="shared" si="121"/>
        <v>2.8257425113606113E-2</v>
      </c>
      <c r="CK154" s="1332">
        <f t="shared" si="121"/>
        <v>3.0221730868286067E-2</v>
      </c>
      <c r="CL154" s="1332">
        <f t="shared" si="121"/>
        <v>3.0117084223016212E-2</v>
      </c>
      <c r="CM154" s="1333">
        <f t="shared" si="121"/>
        <v>2.9271714902389844E-2</v>
      </c>
      <c r="CN154" s="11"/>
      <c r="CO154" s="244"/>
      <c r="CP154" s="244"/>
      <c r="CQ154"/>
      <c r="CR154"/>
      <c r="CS154"/>
      <c r="CT154"/>
      <c r="CU154"/>
      <c r="CV154"/>
      <c r="CW154" s="244"/>
    </row>
    <row r="155" spans="2:101" s="128" customFormat="1" ht="11.25" customHeight="1" x14ac:dyDescent="0.2">
      <c r="B155" s="1090"/>
      <c r="C155" s="1003"/>
      <c r="D155" s="1332"/>
      <c r="E155" s="1332"/>
      <c r="F155" s="1332"/>
      <c r="G155" s="1333"/>
      <c r="H155" s="1334"/>
      <c r="I155" s="1003"/>
      <c r="J155" s="1332"/>
      <c r="K155" s="1332"/>
      <c r="L155" s="1332"/>
      <c r="M155" s="1333"/>
      <c r="N155" s="1334"/>
      <c r="O155" s="1003"/>
      <c r="P155" s="1332"/>
      <c r="Q155" s="1332"/>
      <c r="R155" s="1332"/>
      <c r="S155" s="1333"/>
      <c r="T155" s="1334"/>
      <c r="U155" s="1003"/>
      <c r="V155" s="1332"/>
      <c r="W155" s="1332"/>
      <c r="X155" s="1332"/>
      <c r="Y155" s="1333"/>
      <c r="Z155" s="1334"/>
      <c r="AA155" s="1003"/>
      <c r="AB155" s="1332"/>
      <c r="AC155" s="1332"/>
      <c r="AD155" s="1332"/>
      <c r="AE155" s="1333"/>
      <c r="AF155" s="1334"/>
      <c r="AG155" s="1003"/>
      <c r="AH155" s="1332"/>
      <c r="AI155" s="1332"/>
      <c r="AJ155" s="1332"/>
      <c r="AK155" s="1333"/>
      <c r="AL155" s="1334"/>
      <c r="AM155" s="1003"/>
      <c r="AN155" s="1332"/>
      <c r="AO155" s="1332"/>
      <c r="AP155" s="1332"/>
      <c r="AQ155" s="1333"/>
      <c r="AR155" s="1334"/>
      <c r="AS155" s="1003"/>
      <c r="AT155" s="1332"/>
      <c r="AU155" s="1332"/>
      <c r="AV155" s="1332"/>
      <c r="AW155" s="1333"/>
      <c r="AX155" s="1334"/>
      <c r="AY155" s="1003"/>
      <c r="AZ155" s="1332"/>
      <c r="BA155" s="1332"/>
      <c r="BB155" s="1332"/>
      <c r="BC155" s="1333"/>
      <c r="BD155" s="1334"/>
      <c r="BE155" s="1003"/>
      <c r="BF155" s="1332"/>
      <c r="BG155" s="1332"/>
      <c r="BH155" s="1332"/>
      <c r="BI155" s="1333"/>
      <c r="BJ155" s="1334"/>
      <c r="BK155" s="1003"/>
      <c r="BL155" s="1332"/>
      <c r="BM155" s="1332"/>
      <c r="BN155" s="1332"/>
      <c r="BO155" s="1333"/>
      <c r="BP155" s="1334"/>
      <c r="BQ155" s="1003"/>
      <c r="BR155" s="1332"/>
      <c r="BS155" s="1332"/>
      <c r="BT155" s="1332"/>
      <c r="BU155" s="1333"/>
      <c r="BV155" s="1334"/>
      <c r="BW155" s="1003"/>
      <c r="BX155" s="1332"/>
      <c r="BY155" s="1332"/>
      <c r="BZ155" s="1332"/>
      <c r="CA155" s="1333"/>
      <c r="CB155" s="1334"/>
      <c r="CC155" s="1003"/>
      <c r="CD155" s="1332"/>
      <c r="CE155" s="1332"/>
      <c r="CF155" s="1332"/>
      <c r="CG155" s="1333"/>
      <c r="CH155" s="1334"/>
      <c r="CI155" s="1003"/>
      <c r="CJ155" s="1332"/>
      <c r="CK155" s="1332"/>
      <c r="CL155" s="1332"/>
      <c r="CM155" s="1333"/>
      <c r="CN155" s="11"/>
      <c r="CO155" s="244"/>
      <c r="CP155" s="244"/>
      <c r="CQ155"/>
      <c r="CR155"/>
      <c r="CS155"/>
      <c r="CT155"/>
      <c r="CU155"/>
      <c r="CV155"/>
      <c r="CW155" s="244"/>
    </row>
    <row r="156" spans="2:101" s="128" customFormat="1" ht="11.25" customHeight="1" x14ac:dyDescent="0.2">
      <c r="B156" s="1090" t="s">
        <v>581</v>
      </c>
      <c r="C156" s="1335"/>
      <c r="D156" s="1336"/>
      <c r="E156" s="1336"/>
      <c r="F156" s="1336"/>
      <c r="G156" s="1337"/>
      <c r="H156" s="1338"/>
      <c r="I156" s="1335"/>
      <c r="J156" s="1336"/>
      <c r="K156" s="1336"/>
      <c r="L156" s="1336"/>
      <c r="M156" s="1337"/>
      <c r="N156" s="1338"/>
      <c r="O156" s="1335"/>
      <c r="P156" s="1336"/>
      <c r="Q156" s="1336"/>
      <c r="R156" s="1336"/>
      <c r="S156" s="1337"/>
      <c r="T156" s="1338"/>
      <c r="U156" s="1335"/>
      <c r="V156" s="1336"/>
      <c r="W156" s="1336"/>
      <c r="X156" s="1336"/>
      <c r="Y156" s="1337"/>
      <c r="Z156" s="1338"/>
      <c r="AA156" s="1335"/>
      <c r="AB156" s="1336"/>
      <c r="AC156" s="1336"/>
      <c r="AD156" s="1336"/>
      <c r="AE156" s="1337"/>
      <c r="AF156" s="1338"/>
      <c r="AG156" s="1335"/>
      <c r="AH156" s="1336"/>
      <c r="AI156" s="1336"/>
      <c r="AJ156" s="1336"/>
      <c r="AK156" s="1337"/>
      <c r="AL156" s="1338"/>
      <c r="AM156" s="1335"/>
      <c r="AN156" s="1336"/>
      <c r="AO156" s="1336"/>
      <c r="AP156" s="1336"/>
      <c r="AQ156" s="1337"/>
      <c r="AR156" s="1338"/>
      <c r="AS156" s="1335"/>
      <c r="AT156" s="1336"/>
      <c r="AU156" s="1336"/>
      <c r="AV156" s="1336"/>
      <c r="AW156" s="1337"/>
      <c r="AX156" s="1338"/>
      <c r="AY156" s="1339"/>
      <c r="AZ156" s="1340"/>
      <c r="BA156" s="1340"/>
      <c r="BB156" s="1340"/>
      <c r="BC156" s="1337"/>
      <c r="BD156" s="1338"/>
      <c r="BE156" s="1335"/>
      <c r="BF156" s="1336"/>
      <c r="BG156" s="1336"/>
      <c r="BH156" s="1336"/>
      <c r="BI156" s="1337"/>
      <c r="BJ156" s="1338"/>
      <c r="BK156" s="1335"/>
      <c r="BL156" s="1336"/>
      <c r="BM156" s="1336"/>
      <c r="BN156" s="1336"/>
      <c r="BO156" s="1337"/>
      <c r="BP156" s="1338"/>
      <c r="BQ156" s="1335"/>
      <c r="BR156" s="1336"/>
      <c r="BS156" s="1336"/>
      <c r="BT156" s="1336"/>
      <c r="BU156" s="1337"/>
      <c r="BV156" s="1338"/>
      <c r="BW156" s="1335"/>
      <c r="BX156" s="1336"/>
      <c r="BY156" s="1336"/>
      <c r="BZ156" s="1336"/>
      <c r="CA156" s="1337"/>
      <c r="CB156" s="1338"/>
      <c r="CC156" s="1335"/>
      <c r="CD156" s="1336"/>
      <c r="CE156" s="1336"/>
      <c r="CF156" s="1336"/>
      <c r="CG156" s="1337"/>
      <c r="CH156" s="1338"/>
      <c r="CI156" s="1335"/>
      <c r="CJ156" s="1336"/>
      <c r="CK156" s="1336"/>
      <c r="CL156" s="1336"/>
      <c r="CM156" s="1337"/>
      <c r="CN156" s="11"/>
      <c r="CO156" s="244"/>
      <c r="CP156" s="244"/>
      <c r="CQ156"/>
      <c r="CR156"/>
      <c r="CS156"/>
      <c r="CT156"/>
      <c r="CU156"/>
      <c r="CV156"/>
      <c r="CW156" s="244"/>
    </row>
    <row r="157" spans="2:101" s="128" customFormat="1" ht="11.25" customHeight="1" x14ac:dyDescent="0.2">
      <c r="B157" s="1316" t="s">
        <v>46</v>
      </c>
      <c r="C157" s="1341">
        <f>+C33+C29+C28</f>
        <v>295.03899999999999</v>
      </c>
      <c r="D157" s="1342">
        <f t="shared" ref="D157:G157" si="122">+D33+D29+D28</f>
        <v>290.02800000000002</v>
      </c>
      <c r="E157" s="1342">
        <f t="shared" si="122"/>
        <v>215.02800000000002</v>
      </c>
      <c r="F157" s="1342">
        <f t="shared" si="122"/>
        <v>180.024</v>
      </c>
      <c r="G157" s="1343">
        <f t="shared" si="122"/>
        <v>180.024</v>
      </c>
      <c r="H157" s="1338"/>
      <c r="I157" s="1341">
        <f>+I33+I29+I28</f>
        <v>180.08500000000001</v>
      </c>
      <c r="J157" s="1342">
        <f t="shared" ref="J157:M157" si="123">+J33+J29+J28</f>
        <v>180.077</v>
      </c>
      <c r="K157" s="1342">
        <f t="shared" si="123"/>
        <v>190.10899999999998</v>
      </c>
      <c r="L157" s="1342">
        <f t="shared" si="123"/>
        <v>655.03399999999999</v>
      </c>
      <c r="M157" s="1343">
        <f t="shared" si="123"/>
        <v>655.03399999999999</v>
      </c>
      <c r="N157" s="1338"/>
      <c r="O157" s="1341">
        <f t="shared" ref="O157:S157" si="124">+O33+O29+O28</f>
        <v>655.03200000000004</v>
      </c>
      <c r="P157" s="1342">
        <f t="shared" si="124"/>
        <v>655.33899999999994</v>
      </c>
      <c r="Q157" s="1342">
        <f t="shared" si="124"/>
        <v>588.04599999999994</v>
      </c>
      <c r="R157" s="1342">
        <f t="shared" si="124"/>
        <v>547</v>
      </c>
      <c r="S157" s="1343">
        <f t="shared" si="124"/>
        <v>547</v>
      </c>
      <c r="T157" s="1338"/>
      <c r="U157" s="1341">
        <f t="shared" ref="U157:Y157" si="125">+U33+U29+U28</f>
        <v>539</v>
      </c>
      <c r="V157" s="1342">
        <f t="shared" si="125"/>
        <v>525</v>
      </c>
      <c r="W157" s="1342">
        <f t="shared" si="125"/>
        <v>525</v>
      </c>
      <c r="X157" s="1342">
        <f t="shared" si="125"/>
        <v>525</v>
      </c>
      <c r="Y157" s="1343">
        <f t="shared" si="125"/>
        <v>525</v>
      </c>
      <c r="Z157" s="1338"/>
      <c r="AA157" s="1341">
        <f t="shared" ref="AA157:AE157" si="126">+AA33+AA29+AA28</f>
        <v>525</v>
      </c>
      <c r="AB157" s="1342">
        <f t="shared" si="126"/>
        <v>525</v>
      </c>
      <c r="AC157" s="1342">
        <f t="shared" si="126"/>
        <v>525</v>
      </c>
      <c r="AD157" s="1342">
        <f t="shared" si="126"/>
        <v>525</v>
      </c>
      <c r="AE157" s="1343">
        <f t="shared" si="126"/>
        <v>525</v>
      </c>
      <c r="AF157" s="1338"/>
      <c r="AG157" s="1341">
        <f t="shared" ref="AG157:AK157" si="127">+AG33+AG29+AG28</f>
        <v>525</v>
      </c>
      <c r="AH157" s="1342">
        <f t="shared" si="127"/>
        <v>545</v>
      </c>
      <c r="AI157" s="1342">
        <f t="shared" si="127"/>
        <v>850</v>
      </c>
      <c r="AJ157" s="1342">
        <f t="shared" si="127"/>
        <v>850</v>
      </c>
      <c r="AK157" s="1343">
        <f t="shared" si="127"/>
        <v>850</v>
      </c>
      <c r="AL157" s="1338"/>
      <c r="AM157" s="1341">
        <f t="shared" ref="AM157:AQ157" si="128">+AM33+AM29+AM28</f>
        <v>850</v>
      </c>
      <c r="AN157" s="1342">
        <f t="shared" si="128"/>
        <v>775</v>
      </c>
      <c r="AO157" s="1342">
        <f t="shared" si="128"/>
        <v>775</v>
      </c>
      <c r="AP157" s="1342">
        <f t="shared" si="128"/>
        <v>725</v>
      </c>
      <c r="AQ157" s="1343">
        <f t="shared" si="128"/>
        <v>725</v>
      </c>
      <c r="AR157" s="1338"/>
      <c r="AS157" s="1341">
        <f t="shared" ref="AS157:AW157" si="129">+AS33+AS29+AS28</f>
        <v>860</v>
      </c>
      <c r="AT157" s="1342">
        <f t="shared" si="129"/>
        <v>860</v>
      </c>
      <c r="AU157" s="1342">
        <f t="shared" si="129"/>
        <v>860</v>
      </c>
      <c r="AV157" s="1342">
        <f t="shared" si="129"/>
        <v>725</v>
      </c>
      <c r="AW157" s="1343">
        <f t="shared" si="129"/>
        <v>725</v>
      </c>
      <c r="AX157" s="1338"/>
      <c r="AY157" s="1341">
        <f t="shared" ref="AY157:BC157" si="130">+AY33+AY29+AY28</f>
        <v>725</v>
      </c>
      <c r="AZ157" s="1342">
        <f t="shared" si="130"/>
        <v>725</v>
      </c>
      <c r="BA157" s="1342">
        <f t="shared" si="130"/>
        <v>725</v>
      </c>
      <c r="BB157" s="1342">
        <f t="shared" si="130"/>
        <v>722.54200000000003</v>
      </c>
      <c r="BC157" s="1343">
        <f t="shared" si="130"/>
        <v>722.54200000000003</v>
      </c>
      <c r="BD157" s="1338"/>
      <c r="BE157" s="1341">
        <f t="shared" ref="BE157:BI157" si="131">+BE33+BE29+BE28</f>
        <v>1764.5229999999999</v>
      </c>
      <c r="BF157" s="1342">
        <f t="shared" si="131"/>
        <v>1130.875</v>
      </c>
      <c r="BG157" s="1342">
        <f t="shared" si="131"/>
        <v>1244.75</v>
      </c>
      <c r="BH157" s="1342">
        <f t="shared" si="131"/>
        <v>1058.655</v>
      </c>
      <c r="BI157" s="1343">
        <f t="shared" si="131"/>
        <v>1058.655</v>
      </c>
      <c r="BJ157" s="1338"/>
      <c r="BK157" s="1341">
        <f t="shared" ref="BK157:BO157" si="132">+BK33+BK29+BK28</f>
        <v>1142.7470000000001</v>
      </c>
      <c r="BL157" s="1342">
        <f t="shared" si="132"/>
        <v>1193.836</v>
      </c>
      <c r="BM157" s="1342">
        <f t="shared" si="132"/>
        <v>1214.529</v>
      </c>
      <c r="BN157" s="1342">
        <f t="shared" si="132"/>
        <v>1072.0259999999998</v>
      </c>
      <c r="BO157" s="1343">
        <f t="shared" si="132"/>
        <v>1072.0259999999998</v>
      </c>
      <c r="BP157" s="1338"/>
      <c r="BQ157" s="1341">
        <f t="shared" ref="BQ157:BU157" si="133">+BQ33+BQ29+BQ28</f>
        <v>1176.2109999999998</v>
      </c>
      <c r="BR157" s="1342">
        <f t="shared" si="133"/>
        <v>1097.9859999999999</v>
      </c>
      <c r="BS157" s="1342">
        <f t="shared" si="133"/>
        <v>1185.1729999999998</v>
      </c>
      <c r="BT157" s="1342">
        <f t="shared" si="133"/>
        <v>1185.1729999999998</v>
      </c>
      <c r="BU157" s="1343">
        <f t="shared" si="133"/>
        <v>1185.1729999999998</v>
      </c>
      <c r="BV157" s="1338"/>
      <c r="BW157" s="1341">
        <f t="shared" ref="BW157:CA157" si="134">+BW33+BW29+BW28</f>
        <v>1185.1729999999998</v>
      </c>
      <c r="BX157" s="1342">
        <f t="shared" si="134"/>
        <v>1185.1729999999998</v>
      </c>
      <c r="BY157" s="1342">
        <f t="shared" si="134"/>
        <v>1185.1729999999998</v>
      </c>
      <c r="BZ157" s="1342">
        <f t="shared" si="134"/>
        <v>1185.1729999999998</v>
      </c>
      <c r="CA157" s="1343">
        <f t="shared" si="134"/>
        <v>1185.1729999999998</v>
      </c>
      <c r="CB157" s="1338"/>
      <c r="CC157" s="1341">
        <f t="shared" ref="CC157:CG157" si="135">+CC33+CC29+CC28</f>
        <v>1185.1729999999998</v>
      </c>
      <c r="CD157" s="1342">
        <f t="shared" si="135"/>
        <v>1185.1729999999998</v>
      </c>
      <c r="CE157" s="1342">
        <f t="shared" si="135"/>
        <v>1185.1729999999998</v>
      </c>
      <c r="CF157" s="1342">
        <f t="shared" si="135"/>
        <v>1185.1729999999998</v>
      </c>
      <c r="CG157" s="1343">
        <f t="shared" si="135"/>
        <v>1185.1729999999998</v>
      </c>
      <c r="CH157" s="1338"/>
      <c r="CI157" s="1341">
        <f t="shared" ref="CI157:CM157" si="136">+CI33+CI29+CI28</f>
        <v>1185.1729999999998</v>
      </c>
      <c r="CJ157" s="1342">
        <f t="shared" si="136"/>
        <v>1185.1729999999998</v>
      </c>
      <c r="CK157" s="1342">
        <f t="shared" si="136"/>
        <v>1185.1729999999998</v>
      </c>
      <c r="CL157" s="1342">
        <f t="shared" si="136"/>
        <v>1185.1729999999998</v>
      </c>
      <c r="CM157" s="1343">
        <f t="shared" si="136"/>
        <v>1185.1729999999998</v>
      </c>
      <c r="CN157" s="11"/>
      <c r="CO157" s="244"/>
      <c r="CP157" s="244"/>
      <c r="CQ157"/>
      <c r="CR157"/>
      <c r="CS157"/>
      <c r="CT157"/>
      <c r="CU157"/>
      <c r="CV157"/>
      <c r="CW157" s="244"/>
    </row>
    <row r="158" spans="2:101" s="128" customFormat="1" ht="11.25" customHeight="1" x14ac:dyDescent="0.2">
      <c r="B158" s="1316" t="s">
        <v>582</v>
      </c>
      <c r="C158" s="1341">
        <f>+C34</f>
        <v>48.201999999999998</v>
      </c>
      <c r="D158" s="1342">
        <f t="shared" ref="D158:G158" si="137">+D34</f>
        <v>48.094000000000001</v>
      </c>
      <c r="E158" s="1342">
        <f t="shared" si="137"/>
        <v>49.213999999999999</v>
      </c>
      <c r="F158" s="1342">
        <f t="shared" si="137"/>
        <v>53.627000000000002</v>
      </c>
      <c r="G158" s="1343">
        <f t="shared" si="137"/>
        <v>53.627000000000002</v>
      </c>
      <c r="H158" s="1338"/>
      <c r="I158" s="1341">
        <f>+I34</f>
        <v>68.02</v>
      </c>
      <c r="J158" s="1342">
        <f t="shared" ref="J158:M158" si="138">+J34</f>
        <v>67.531999999999996</v>
      </c>
      <c r="K158" s="1342">
        <f t="shared" si="138"/>
        <v>70.415000000000006</v>
      </c>
      <c r="L158" s="1342">
        <f t="shared" si="138"/>
        <v>57.805999999999997</v>
      </c>
      <c r="M158" s="1343">
        <f t="shared" si="138"/>
        <v>57.805999999999997</v>
      </c>
      <c r="N158" s="1338"/>
      <c r="O158" s="1341">
        <f t="shared" ref="O158:S158" si="139">+O34</f>
        <v>0</v>
      </c>
      <c r="P158" s="1342">
        <f t="shared" si="139"/>
        <v>0</v>
      </c>
      <c r="Q158" s="1342">
        <f t="shared" si="139"/>
        <v>0</v>
      </c>
      <c r="R158" s="1342">
        <f t="shared" si="139"/>
        <v>64.141000000000005</v>
      </c>
      <c r="S158" s="1343">
        <f t="shared" si="139"/>
        <v>64.141000000000005</v>
      </c>
      <c r="T158" s="1338"/>
      <c r="U158" s="1341">
        <f t="shared" ref="U158:Y158" si="140">+U34</f>
        <v>0</v>
      </c>
      <c r="V158" s="1342">
        <f t="shared" si="140"/>
        <v>0</v>
      </c>
      <c r="W158" s="1342">
        <f t="shared" si="140"/>
        <v>0</v>
      </c>
      <c r="X158" s="1342">
        <f t="shared" si="140"/>
        <v>72.164000000000001</v>
      </c>
      <c r="Y158" s="1343">
        <f t="shared" si="140"/>
        <v>72.164000000000001</v>
      </c>
      <c r="Z158" s="1338"/>
      <c r="AA158" s="1341">
        <f t="shared" ref="AA158:AE158" si="141">+AA34</f>
        <v>0</v>
      </c>
      <c r="AB158" s="1342">
        <f t="shared" si="141"/>
        <v>0</v>
      </c>
      <c r="AC158" s="1342">
        <f t="shared" si="141"/>
        <v>0</v>
      </c>
      <c r="AD158" s="1342">
        <f t="shared" si="141"/>
        <v>78.239000000000004</v>
      </c>
      <c r="AE158" s="1343">
        <f t="shared" si="141"/>
        <v>78.239000000000004</v>
      </c>
      <c r="AF158" s="1338"/>
      <c r="AG158" s="1341">
        <f t="shared" ref="AG158:AK158" si="142">+AG34</f>
        <v>0</v>
      </c>
      <c r="AH158" s="1342">
        <f t="shared" si="142"/>
        <v>0</v>
      </c>
      <c r="AI158" s="1342">
        <f t="shared" si="142"/>
        <v>0</v>
      </c>
      <c r="AJ158" s="1342">
        <f t="shared" si="142"/>
        <v>81.855999999999995</v>
      </c>
      <c r="AK158" s="1343">
        <f t="shared" si="142"/>
        <v>81.855999999999995</v>
      </c>
      <c r="AL158" s="1338"/>
      <c r="AM158" s="1341">
        <f t="shared" ref="AM158:AQ158" si="143">+AM34</f>
        <v>0</v>
      </c>
      <c r="AN158" s="1342">
        <f t="shared" si="143"/>
        <v>0</v>
      </c>
      <c r="AO158" s="1342">
        <f t="shared" si="143"/>
        <v>0</v>
      </c>
      <c r="AP158" s="1342">
        <f t="shared" si="143"/>
        <v>93.328999999999994</v>
      </c>
      <c r="AQ158" s="1343">
        <f t="shared" si="143"/>
        <v>93.328999999999994</v>
      </c>
      <c r="AR158" s="1338"/>
      <c r="AS158" s="1341">
        <f t="shared" ref="AS158:AW158" si="144">+AS34</f>
        <v>0</v>
      </c>
      <c r="AT158" s="1342">
        <f t="shared" si="144"/>
        <v>0</v>
      </c>
      <c r="AU158" s="1342">
        <f t="shared" si="144"/>
        <v>0</v>
      </c>
      <c r="AV158" s="1342">
        <f t="shared" si="144"/>
        <v>94.004000000000005</v>
      </c>
      <c r="AW158" s="1343">
        <f t="shared" si="144"/>
        <v>94.004000000000005</v>
      </c>
      <c r="AX158" s="1338"/>
      <c r="AY158" s="1341">
        <f t="shared" ref="AY158:BC158" si="145">+AY34</f>
        <v>0</v>
      </c>
      <c r="AZ158" s="1342">
        <f t="shared" si="145"/>
        <v>0</v>
      </c>
      <c r="BA158" s="1342">
        <f t="shared" si="145"/>
        <v>0</v>
      </c>
      <c r="BB158" s="1342">
        <f t="shared" si="145"/>
        <v>88.263999999999996</v>
      </c>
      <c r="BC158" s="1343">
        <f t="shared" si="145"/>
        <v>88.263999999999996</v>
      </c>
      <c r="BD158" s="1338"/>
      <c r="BE158" s="1341">
        <f t="shared" ref="BE158:BI158" si="146">+BE34</f>
        <v>0</v>
      </c>
      <c r="BF158" s="1342">
        <f t="shared" si="146"/>
        <v>0</v>
      </c>
      <c r="BG158" s="1342">
        <f t="shared" si="146"/>
        <v>0</v>
      </c>
      <c r="BH158" s="1342">
        <f t="shared" si="146"/>
        <v>206.89599999999999</v>
      </c>
      <c r="BI158" s="1343">
        <f t="shared" si="146"/>
        <v>206.89599999999999</v>
      </c>
      <c r="BJ158" s="1338"/>
      <c r="BK158" s="1341">
        <f t="shared" ref="BK158:BO158" si="147">+BK34</f>
        <v>0</v>
      </c>
      <c r="BL158" s="1342">
        <f t="shared" si="147"/>
        <v>0</v>
      </c>
      <c r="BM158" s="1342">
        <f t="shared" si="147"/>
        <v>0</v>
      </c>
      <c r="BN158" s="1342">
        <f t="shared" si="147"/>
        <v>191.68600000000001</v>
      </c>
      <c r="BO158" s="1343">
        <f t="shared" si="147"/>
        <v>191.68600000000001</v>
      </c>
      <c r="BP158" s="1338"/>
      <c r="BQ158" s="1341">
        <f t="shared" ref="BQ158:BU158" si="148">+BQ34</f>
        <v>0</v>
      </c>
      <c r="BR158" s="1342">
        <f t="shared" si="148"/>
        <v>0</v>
      </c>
      <c r="BS158" s="1342">
        <f t="shared" si="148"/>
        <v>0</v>
      </c>
      <c r="BT158" s="1342">
        <f t="shared" si="148"/>
        <v>0</v>
      </c>
      <c r="BU158" s="1343">
        <f t="shared" si="148"/>
        <v>0</v>
      </c>
      <c r="BV158" s="1338"/>
      <c r="BW158" s="1341">
        <f t="shared" ref="BW158:CA158" si="149">+BW34</f>
        <v>0</v>
      </c>
      <c r="BX158" s="1342">
        <f t="shared" si="149"/>
        <v>0</v>
      </c>
      <c r="BY158" s="1342">
        <f t="shared" si="149"/>
        <v>0</v>
      </c>
      <c r="BZ158" s="1342">
        <f t="shared" si="149"/>
        <v>0</v>
      </c>
      <c r="CA158" s="1343">
        <f t="shared" si="149"/>
        <v>0</v>
      </c>
      <c r="CB158" s="1338"/>
      <c r="CC158" s="1341">
        <f t="shared" ref="CC158:CG158" si="150">+CC34</f>
        <v>0</v>
      </c>
      <c r="CD158" s="1342">
        <f t="shared" si="150"/>
        <v>0</v>
      </c>
      <c r="CE158" s="1342">
        <f t="shared" si="150"/>
        <v>0</v>
      </c>
      <c r="CF158" s="1342">
        <f t="shared" si="150"/>
        <v>0</v>
      </c>
      <c r="CG158" s="1343">
        <f t="shared" si="150"/>
        <v>0</v>
      </c>
      <c r="CH158" s="1338"/>
      <c r="CI158" s="1341">
        <f t="shared" ref="CI158:CM158" si="151">+CI34</f>
        <v>0</v>
      </c>
      <c r="CJ158" s="1342">
        <f t="shared" si="151"/>
        <v>0</v>
      </c>
      <c r="CK158" s="1342">
        <f t="shared" si="151"/>
        <v>0</v>
      </c>
      <c r="CL158" s="1342">
        <f t="shared" si="151"/>
        <v>0</v>
      </c>
      <c r="CM158" s="1343">
        <f t="shared" si="151"/>
        <v>0</v>
      </c>
      <c r="CN158" s="11"/>
      <c r="CO158" s="244"/>
      <c r="CP158" s="244"/>
      <c r="CQ158"/>
      <c r="CR158"/>
      <c r="CS158"/>
      <c r="CT158"/>
      <c r="CU158"/>
      <c r="CV158"/>
      <c r="CW158" s="244"/>
    </row>
    <row r="159" spans="2:101" s="128" customFormat="1" ht="11.25" customHeight="1" x14ac:dyDescent="0.2">
      <c r="B159" s="1316" t="s">
        <v>583</v>
      </c>
      <c r="C159" s="1341">
        <f>+C35</f>
        <v>0</v>
      </c>
      <c r="D159" s="1342">
        <f t="shared" ref="D159:G159" si="152">+D35</f>
        <v>0</v>
      </c>
      <c r="E159" s="1342">
        <f t="shared" si="152"/>
        <v>0</v>
      </c>
      <c r="F159" s="1342">
        <f t="shared" si="152"/>
        <v>0</v>
      </c>
      <c r="G159" s="1343">
        <f t="shared" si="152"/>
        <v>0</v>
      </c>
      <c r="H159" s="1338"/>
      <c r="I159" s="1341">
        <f>+I35</f>
        <v>0</v>
      </c>
      <c r="J159" s="1342">
        <f t="shared" ref="J159:M159" si="153">+J35</f>
        <v>0</v>
      </c>
      <c r="K159" s="1342">
        <f t="shared" si="153"/>
        <v>0</v>
      </c>
      <c r="L159" s="1342">
        <f t="shared" si="153"/>
        <v>22.689</v>
      </c>
      <c r="M159" s="1343">
        <f t="shared" si="153"/>
        <v>22.689</v>
      </c>
      <c r="N159" s="1338"/>
      <c r="O159" s="1341">
        <f t="shared" ref="O159:S159" si="154">+O35</f>
        <v>80.891000000000005</v>
      </c>
      <c r="P159" s="1342">
        <f t="shared" si="154"/>
        <v>80.861999999999995</v>
      </c>
      <c r="Q159" s="1342">
        <f t="shared" si="154"/>
        <v>82.429000000000002</v>
      </c>
      <c r="R159" s="1342">
        <f t="shared" si="154"/>
        <v>23.859000000000002</v>
      </c>
      <c r="S159" s="1343">
        <f t="shared" si="154"/>
        <v>23.859000000000002</v>
      </c>
      <c r="T159" s="1338"/>
      <c r="U159" s="1341">
        <f t="shared" ref="U159:Y159" si="155">+U35</f>
        <v>100.352</v>
      </c>
      <c r="V159" s="1342">
        <f t="shared" si="155"/>
        <v>96.391000000000005</v>
      </c>
      <c r="W159" s="1342">
        <f t="shared" si="155"/>
        <v>88.311000000000007</v>
      </c>
      <c r="X159" s="1342">
        <f t="shared" si="155"/>
        <v>35.942999999999998</v>
      </c>
      <c r="Y159" s="1343">
        <f t="shared" si="155"/>
        <v>35.942999999999998</v>
      </c>
      <c r="Z159" s="1338"/>
      <c r="AA159" s="1341">
        <f t="shared" ref="AA159:AE159" si="156">+AA35</f>
        <v>107.761</v>
      </c>
      <c r="AB159" s="1342">
        <f t="shared" si="156"/>
        <v>103.21899999999999</v>
      </c>
      <c r="AC159" s="1342">
        <f t="shared" si="156"/>
        <v>100.319</v>
      </c>
      <c r="AD159" s="1342">
        <f t="shared" si="156"/>
        <v>33.758000000000003</v>
      </c>
      <c r="AE159" s="1343">
        <f t="shared" si="156"/>
        <v>33.758000000000003</v>
      </c>
      <c r="AF159" s="1338"/>
      <c r="AG159" s="1341">
        <f t="shared" ref="AG159:AK159" si="157">+AG35</f>
        <v>108.652</v>
      </c>
      <c r="AH159" s="1342">
        <f t="shared" si="157"/>
        <v>105.39</v>
      </c>
      <c r="AI159" s="1342">
        <f t="shared" si="157"/>
        <v>103.79300000000001</v>
      </c>
      <c r="AJ159" s="1342">
        <f t="shared" si="157"/>
        <v>27.661999999999999</v>
      </c>
      <c r="AK159" s="1343">
        <f t="shared" si="157"/>
        <v>27.661999999999999</v>
      </c>
      <c r="AL159" s="1338"/>
      <c r="AM159" s="1341">
        <f t="shared" ref="AM159:AQ159" si="158">+AM35</f>
        <v>108.376</v>
      </c>
      <c r="AN159" s="1342">
        <f t="shared" si="158"/>
        <v>105.78</v>
      </c>
      <c r="AO159" s="1342">
        <f t="shared" si="158"/>
        <v>104.73</v>
      </c>
      <c r="AP159" s="1342">
        <f t="shared" si="158"/>
        <v>20.475000000000001</v>
      </c>
      <c r="AQ159" s="1343">
        <f t="shared" si="158"/>
        <v>20.475000000000001</v>
      </c>
      <c r="AR159" s="1338"/>
      <c r="AS159" s="1341">
        <f t="shared" ref="AS159:AW159" si="159">+AS35</f>
        <v>113.221</v>
      </c>
      <c r="AT159" s="1342">
        <f t="shared" si="159"/>
        <v>116.05200000000001</v>
      </c>
      <c r="AU159" s="1342">
        <f t="shared" si="159"/>
        <v>116.616</v>
      </c>
      <c r="AV159" s="1342">
        <f t="shared" si="159"/>
        <v>30.545999999999999</v>
      </c>
      <c r="AW159" s="1343">
        <f t="shared" si="159"/>
        <v>30.545999999999999</v>
      </c>
      <c r="AX159" s="1338"/>
      <c r="AY159" s="1341">
        <f t="shared" ref="AY159:BC159" si="160">+AY35</f>
        <v>123.105</v>
      </c>
      <c r="AZ159" s="1342">
        <f t="shared" si="160"/>
        <v>121.66200000000001</v>
      </c>
      <c r="BA159" s="1342">
        <f t="shared" si="160"/>
        <v>122.782</v>
      </c>
      <c r="BB159" s="1342">
        <f t="shared" si="160"/>
        <v>42.634</v>
      </c>
      <c r="BC159" s="1343">
        <f t="shared" si="160"/>
        <v>42.634</v>
      </c>
      <c r="BD159" s="1338"/>
      <c r="BE159" s="1341">
        <f t="shared" ref="BE159:BI159" si="161">+BE35</f>
        <v>306.46600000000001</v>
      </c>
      <c r="BF159" s="1342">
        <f t="shared" si="161"/>
        <v>255.34100000000001</v>
      </c>
      <c r="BG159" s="1342">
        <f t="shared" si="161"/>
        <v>247.27500000000001</v>
      </c>
      <c r="BH159" s="1342">
        <f t="shared" si="161"/>
        <v>20.672000000000001</v>
      </c>
      <c r="BI159" s="1343">
        <f t="shared" si="161"/>
        <v>20.672000000000001</v>
      </c>
      <c r="BJ159" s="1338"/>
      <c r="BK159" s="1341">
        <f t="shared" ref="BK159:BO159" si="162">+BK35</f>
        <v>228.042</v>
      </c>
      <c r="BL159" s="1342">
        <f t="shared" si="162"/>
        <v>227.43600000000001</v>
      </c>
      <c r="BM159" s="1342">
        <f t="shared" si="162"/>
        <v>217.75899999999999</v>
      </c>
      <c r="BN159" s="1342">
        <f t="shared" si="162"/>
        <v>19.591000000000001</v>
      </c>
      <c r="BO159" s="1343">
        <f t="shared" si="162"/>
        <v>19.591000000000001</v>
      </c>
      <c r="BP159" s="1338"/>
      <c r="BQ159" s="1341">
        <f t="shared" ref="BQ159:BU159" si="163">+BQ35</f>
        <v>210.21899999999999</v>
      </c>
      <c r="BR159" s="1342">
        <f t="shared" si="163"/>
        <v>219.67599999999999</v>
      </c>
      <c r="BS159" s="1342">
        <f t="shared" si="163"/>
        <v>179.863</v>
      </c>
      <c r="BT159" s="1342">
        <f t="shared" si="163"/>
        <v>179.863</v>
      </c>
      <c r="BU159" s="1343">
        <f t="shared" si="163"/>
        <v>179.863</v>
      </c>
      <c r="BV159" s="1338"/>
      <c r="BW159" s="1341">
        <f t="shared" ref="BW159:CA159" si="164">+BW35</f>
        <v>179.863</v>
      </c>
      <c r="BX159" s="1342">
        <f t="shared" si="164"/>
        <v>179.863</v>
      </c>
      <c r="BY159" s="1342">
        <f t="shared" si="164"/>
        <v>179.863</v>
      </c>
      <c r="BZ159" s="1342">
        <f t="shared" si="164"/>
        <v>179.863</v>
      </c>
      <c r="CA159" s="1343">
        <f t="shared" si="164"/>
        <v>179.863</v>
      </c>
      <c r="CB159" s="1338"/>
      <c r="CC159" s="1341">
        <f t="shared" ref="CC159:CG159" si="165">+CC35</f>
        <v>179.863</v>
      </c>
      <c r="CD159" s="1342">
        <f t="shared" si="165"/>
        <v>179.863</v>
      </c>
      <c r="CE159" s="1342">
        <f t="shared" si="165"/>
        <v>179.863</v>
      </c>
      <c r="CF159" s="1342">
        <f t="shared" si="165"/>
        <v>179.863</v>
      </c>
      <c r="CG159" s="1343">
        <f t="shared" si="165"/>
        <v>179.863</v>
      </c>
      <c r="CH159" s="1338"/>
      <c r="CI159" s="1341">
        <f t="shared" ref="CI159:CM159" si="166">+CI35</f>
        <v>179.863</v>
      </c>
      <c r="CJ159" s="1342">
        <f t="shared" si="166"/>
        <v>179.863</v>
      </c>
      <c r="CK159" s="1342">
        <f t="shared" si="166"/>
        <v>179.863</v>
      </c>
      <c r="CL159" s="1342">
        <f t="shared" si="166"/>
        <v>179.863</v>
      </c>
      <c r="CM159" s="1343">
        <f t="shared" si="166"/>
        <v>179.863</v>
      </c>
      <c r="CN159" s="11"/>
      <c r="CO159" s="244"/>
      <c r="CP159" s="244"/>
      <c r="CQ159"/>
      <c r="CR159"/>
      <c r="CS159"/>
      <c r="CT159"/>
      <c r="CU159"/>
      <c r="CV159"/>
      <c r="CW159" s="244"/>
    </row>
    <row r="160" spans="2:101" s="128" customFormat="1" ht="11.25" customHeight="1" x14ac:dyDescent="0.2">
      <c r="B160" s="1344" t="s">
        <v>584</v>
      </c>
      <c r="C160" s="1341"/>
      <c r="D160" s="1342"/>
      <c r="E160" s="1342"/>
      <c r="F160" s="1342"/>
      <c r="G160" s="1343"/>
      <c r="H160" s="1338"/>
      <c r="I160" s="1341"/>
      <c r="J160" s="1342"/>
      <c r="K160" s="1342"/>
      <c r="L160" s="1342"/>
      <c r="M160" s="1343"/>
      <c r="N160" s="1338"/>
      <c r="O160" s="1341"/>
      <c r="P160" s="1342"/>
      <c r="Q160" s="1342"/>
      <c r="R160" s="1342"/>
      <c r="S160" s="1343"/>
      <c r="T160" s="1338"/>
      <c r="U160" s="1341"/>
      <c r="V160" s="1342"/>
      <c r="W160" s="1342"/>
      <c r="X160" s="1342"/>
      <c r="Y160" s="1343"/>
      <c r="Z160" s="1338"/>
      <c r="AA160" s="1341"/>
      <c r="AB160" s="1342"/>
      <c r="AC160" s="1342"/>
      <c r="AD160" s="1342"/>
      <c r="AE160" s="1343"/>
      <c r="AF160" s="1338"/>
      <c r="AG160" s="1341"/>
      <c r="AH160" s="1342"/>
      <c r="AI160" s="1342"/>
      <c r="AJ160" s="1342"/>
      <c r="AK160" s="1343"/>
      <c r="AL160" s="1338"/>
      <c r="AM160" s="1341"/>
      <c r="AN160" s="1342"/>
      <c r="AO160" s="1342"/>
      <c r="AP160" s="1342"/>
      <c r="AQ160" s="1343"/>
      <c r="AR160" s="1338"/>
      <c r="AS160" s="1341"/>
      <c r="AT160" s="1342"/>
      <c r="AU160" s="1342"/>
      <c r="AV160" s="1342"/>
      <c r="AW160" s="1343"/>
      <c r="AX160" s="1338"/>
      <c r="AY160" s="1341"/>
      <c r="AZ160" s="1342"/>
      <c r="BA160" s="1342"/>
      <c r="BB160" s="1342"/>
      <c r="BC160" s="1343"/>
      <c r="BD160" s="1338"/>
      <c r="BE160" s="1341"/>
      <c r="BF160" s="1342"/>
      <c r="BG160" s="1342"/>
      <c r="BH160" s="1342"/>
      <c r="BI160" s="1343"/>
      <c r="BJ160" s="1338"/>
      <c r="BK160" s="1341"/>
      <c r="BL160" s="1342"/>
      <c r="BM160" s="1342"/>
      <c r="BN160" s="1342"/>
      <c r="BO160" s="1343"/>
      <c r="BP160" s="1338"/>
      <c r="BQ160" s="1341"/>
      <c r="BR160" s="1342"/>
      <c r="BS160" s="1342"/>
      <c r="BT160" s="1342"/>
      <c r="BU160" s="1343"/>
      <c r="BV160" s="1338"/>
      <c r="BW160" s="1341"/>
      <c r="BX160" s="1342"/>
      <c r="BY160" s="1342"/>
      <c r="BZ160" s="1342"/>
      <c r="CA160" s="1343"/>
      <c r="CB160" s="1338"/>
      <c r="CC160" s="1341"/>
      <c r="CD160" s="1342"/>
      <c r="CE160" s="1342"/>
      <c r="CF160" s="1342"/>
      <c r="CG160" s="1343"/>
      <c r="CH160" s="1338"/>
      <c r="CI160" s="1341"/>
      <c r="CJ160" s="1342"/>
      <c r="CK160" s="1342"/>
      <c r="CL160" s="1342"/>
      <c r="CM160" s="1343"/>
      <c r="CN160" s="11"/>
      <c r="CO160" s="244"/>
      <c r="CP160" s="244"/>
      <c r="CQ160"/>
      <c r="CR160"/>
      <c r="CS160"/>
      <c r="CT160"/>
      <c r="CU160"/>
      <c r="CV160"/>
      <c r="CW160" s="244"/>
    </row>
    <row r="161" spans="2:101" s="128" customFormat="1" ht="11.25" customHeight="1" x14ac:dyDescent="0.2">
      <c r="B161" s="1090" t="s">
        <v>585</v>
      </c>
      <c r="C161" s="1341"/>
      <c r="D161" s="1342"/>
      <c r="E161" s="1342"/>
      <c r="F161" s="1342"/>
      <c r="G161" s="1343"/>
      <c r="H161" s="1338"/>
      <c r="I161" s="1341"/>
      <c r="J161" s="1342"/>
      <c r="K161" s="1342"/>
      <c r="L161" s="1342"/>
      <c r="M161" s="1343"/>
      <c r="N161" s="1338"/>
      <c r="O161" s="1341"/>
      <c r="P161" s="1342"/>
      <c r="Q161" s="1342"/>
      <c r="R161" s="1342"/>
      <c r="S161" s="1343"/>
      <c r="T161" s="1338"/>
      <c r="U161" s="1341"/>
      <c r="V161" s="1342"/>
      <c r="W161" s="1342"/>
      <c r="X161" s="1342"/>
      <c r="Y161" s="1343"/>
      <c r="Z161" s="1338"/>
      <c r="AA161" s="1341"/>
      <c r="AB161" s="1342"/>
      <c r="AC161" s="1342"/>
      <c r="AD161" s="1342"/>
      <c r="AE161" s="1343"/>
      <c r="AF161" s="1338"/>
      <c r="AG161" s="1341"/>
      <c r="AH161" s="1342"/>
      <c r="AI161" s="1342"/>
      <c r="AJ161" s="1342"/>
      <c r="AK161" s="1343"/>
      <c r="AL161" s="1338"/>
      <c r="AM161" s="1341"/>
      <c r="AN161" s="1342"/>
      <c r="AO161" s="1342"/>
      <c r="AP161" s="1342"/>
      <c r="AQ161" s="1343"/>
      <c r="AR161" s="1338"/>
      <c r="AS161" s="1341"/>
      <c r="AT161" s="1342"/>
      <c r="AU161" s="1342"/>
      <c r="AV161" s="1342"/>
      <c r="AW161" s="1343"/>
      <c r="AX161" s="1338"/>
      <c r="AY161" s="1341"/>
      <c r="AZ161" s="1342"/>
      <c r="BA161" s="1342"/>
      <c r="BB161" s="1342"/>
      <c r="BC161" s="1343"/>
      <c r="BD161" s="1338"/>
      <c r="BE161" s="1341"/>
      <c r="BF161" s="1342"/>
      <c r="BG161" s="1342"/>
      <c r="BH161" s="1342"/>
      <c r="BI161" s="1343"/>
      <c r="BJ161" s="1338"/>
      <c r="BK161" s="1341"/>
      <c r="BL161" s="1342"/>
      <c r="BM161" s="1342"/>
      <c r="BN161" s="1342"/>
      <c r="BO161" s="1343"/>
      <c r="BP161" s="1338"/>
      <c r="BQ161" s="1341"/>
      <c r="BR161" s="1342"/>
      <c r="BS161" s="1342"/>
      <c r="BT161" s="1342"/>
      <c r="BU161" s="1343"/>
      <c r="BV161" s="1338"/>
      <c r="BW161" s="1341"/>
      <c r="BX161" s="1342"/>
      <c r="BY161" s="1342"/>
      <c r="BZ161" s="1342"/>
      <c r="CA161" s="1343"/>
      <c r="CB161" s="1338"/>
      <c r="CC161" s="1341"/>
      <c r="CD161" s="1342"/>
      <c r="CE161" s="1342"/>
      <c r="CF161" s="1342"/>
      <c r="CG161" s="1343"/>
      <c r="CH161" s="1338"/>
      <c r="CI161" s="1341"/>
      <c r="CJ161" s="1342"/>
      <c r="CK161" s="1342"/>
      <c r="CL161" s="1342"/>
      <c r="CM161" s="1343"/>
      <c r="CN161" s="11"/>
      <c r="CO161" s="244"/>
      <c r="CP161" s="244"/>
      <c r="CQ161"/>
      <c r="CR161"/>
      <c r="CS161"/>
      <c r="CT161"/>
      <c r="CU161"/>
      <c r="CV161"/>
      <c r="CW161" s="244"/>
    </row>
    <row r="162" spans="2:101" s="128" customFormat="1" ht="11.25" customHeight="1" x14ac:dyDescent="0.2">
      <c r="B162" s="1316" t="s">
        <v>586</v>
      </c>
      <c r="C162" s="1341">
        <v>0</v>
      </c>
      <c r="D162" s="1342">
        <v>0</v>
      </c>
      <c r="E162" s="1342">
        <v>0</v>
      </c>
      <c r="F162" s="1342">
        <v>0</v>
      </c>
      <c r="G162" s="1343">
        <v>0</v>
      </c>
      <c r="H162" s="1338"/>
      <c r="I162" s="1341">
        <v>0</v>
      </c>
      <c r="J162" s="1342">
        <v>0</v>
      </c>
      <c r="K162" s="1342">
        <v>0</v>
      </c>
      <c r="L162" s="1342">
        <v>0</v>
      </c>
      <c r="M162" s="1343">
        <v>0</v>
      </c>
      <c r="N162" s="1338"/>
      <c r="O162" s="1341">
        <v>0</v>
      </c>
      <c r="P162" s="1342">
        <v>0</v>
      </c>
      <c r="Q162" s="1342">
        <v>0</v>
      </c>
      <c r="R162" s="1342">
        <v>0</v>
      </c>
      <c r="S162" s="1343">
        <v>0</v>
      </c>
      <c r="T162" s="1338"/>
      <c r="U162" s="1341">
        <v>0</v>
      </c>
      <c r="V162" s="1342">
        <v>0</v>
      </c>
      <c r="W162" s="1342">
        <v>0</v>
      </c>
      <c r="X162" s="1342">
        <v>0</v>
      </c>
      <c r="Y162" s="1343">
        <v>0</v>
      </c>
      <c r="Z162" s="1338"/>
      <c r="AA162" s="1341">
        <v>0</v>
      </c>
      <c r="AB162" s="1342">
        <v>0</v>
      </c>
      <c r="AC162" s="1342">
        <v>0</v>
      </c>
      <c r="AD162" s="1342">
        <v>0</v>
      </c>
      <c r="AE162" s="1343">
        <v>0</v>
      </c>
      <c r="AF162" s="1338"/>
      <c r="AG162" s="1341">
        <v>0</v>
      </c>
      <c r="AH162" s="1342">
        <v>0</v>
      </c>
      <c r="AI162" s="1342">
        <v>0</v>
      </c>
      <c r="AJ162" s="1342">
        <v>0</v>
      </c>
      <c r="AK162" s="1343">
        <v>0</v>
      </c>
      <c r="AL162" s="1338"/>
      <c r="AM162" s="1341">
        <v>0</v>
      </c>
      <c r="AN162" s="1342">
        <v>0</v>
      </c>
      <c r="AO162" s="1342">
        <v>0</v>
      </c>
      <c r="AP162" s="1342">
        <v>0</v>
      </c>
      <c r="AQ162" s="1343">
        <v>0</v>
      </c>
      <c r="AR162" s="1338"/>
      <c r="AS162" s="1341">
        <v>0</v>
      </c>
      <c r="AT162" s="1342">
        <v>0</v>
      </c>
      <c r="AU162" s="1342">
        <v>0</v>
      </c>
      <c r="AV162" s="1342">
        <v>0</v>
      </c>
      <c r="AW162" s="1343">
        <v>0</v>
      </c>
      <c r="AX162" s="1338"/>
      <c r="AY162" s="1341">
        <v>0</v>
      </c>
      <c r="AZ162" s="1342">
        <v>0</v>
      </c>
      <c r="BA162" s="1342">
        <v>0</v>
      </c>
      <c r="BB162" s="1342">
        <v>0</v>
      </c>
      <c r="BC162" s="1343">
        <v>0</v>
      </c>
      <c r="BD162" s="1338"/>
      <c r="BE162" s="1341">
        <v>0</v>
      </c>
      <c r="BF162" s="1342">
        <v>0</v>
      </c>
      <c r="BG162" s="1342">
        <v>0</v>
      </c>
      <c r="BH162" s="1342">
        <v>0</v>
      </c>
      <c r="BI162" s="1343">
        <v>0</v>
      </c>
      <c r="BJ162" s="1338"/>
      <c r="BK162" s="1341">
        <v>0</v>
      </c>
      <c r="BL162" s="1342">
        <v>0</v>
      </c>
      <c r="BM162" s="1342">
        <v>0</v>
      </c>
      <c r="BN162" s="1342">
        <v>0</v>
      </c>
      <c r="BO162" s="1343">
        <v>0</v>
      </c>
      <c r="BP162" s="1338"/>
      <c r="BQ162" s="1341">
        <v>0</v>
      </c>
      <c r="BR162" s="1342">
        <v>0</v>
      </c>
      <c r="BS162" s="1342">
        <v>0</v>
      </c>
      <c r="BT162" s="1342">
        <v>0</v>
      </c>
      <c r="BU162" s="1343">
        <v>0</v>
      </c>
      <c r="BV162" s="1338"/>
      <c r="BW162" s="1341">
        <v>0</v>
      </c>
      <c r="BX162" s="1342">
        <v>0</v>
      </c>
      <c r="BY162" s="1342">
        <v>0</v>
      </c>
      <c r="BZ162" s="1342">
        <v>0</v>
      </c>
      <c r="CA162" s="1343">
        <v>0</v>
      </c>
      <c r="CB162" s="1338"/>
      <c r="CC162" s="1341">
        <v>0</v>
      </c>
      <c r="CD162" s="1342">
        <v>0</v>
      </c>
      <c r="CE162" s="1342">
        <v>0</v>
      </c>
      <c r="CF162" s="1342">
        <v>0</v>
      </c>
      <c r="CG162" s="1343">
        <v>0</v>
      </c>
      <c r="CH162" s="1338"/>
      <c r="CI162" s="1341">
        <v>0</v>
      </c>
      <c r="CJ162" s="1342">
        <v>0</v>
      </c>
      <c r="CK162" s="1342">
        <v>0</v>
      </c>
      <c r="CL162" s="1342">
        <v>0</v>
      </c>
      <c r="CM162" s="1343">
        <v>0</v>
      </c>
      <c r="CN162" s="11"/>
      <c r="CO162" s="244"/>
      <c r="CP162" s="244"/>
      <c r="CQ162"/>
      <c r="CR162"/>
      <c r="CS162"/>
      <c r="CT162"/>
      <c r="CU162"/>
      <c r="CV162"/>
      <c r="CW162" s="244"/>
    </row>
    <row r="163" spans="2:101" s="128" customFormat="1" ht="11.25" customHeight="1" x14ac:dyDescent="0.2">
      <c r="B163" s="1316" t="s">
        <v>587</v>
      </c>
      <c r="C163" s="1341">
        <v>0</v>
      </c>
      <c r="D163" s="1342">
        <v>0</v>
      </c>
      <c r="E163" s="1342">
        <v>0</v>
      </c>
      <c r="F163" s="1342">
        <v>0</v>
      </c>
      <c r="G163" s="1343">
        <v>0</v>
      </c>
      <c r="H163" s="1338"/>
      <c r="I163" s="1341">
        <v>0</v>
      </c>
      <c r="J163" s="1342">
        <v>0</v>
      </c>
      <c r="K163" s="1342">
        <v>0</v>
      </c>
      <c r="L163" s="1342">
        <v>0</v>
      </c>
      <c r="M163" s="1343">
        <v>0</v>
      </c>
      <c r="N163" s="1338"/>
      <c r="O163" s="1341">
        <v>0</v>
      </c>
      <c r="P163" s="1342">
        <v>0</v>
      </c>
      <c r="Q163" s="1342">
        <v>0</v>
      </c>
      <c r="R163" s="1342">
        <v>0</v>
      </c>
      <c r="S163" s="1343">
        <v>0</v>
      </c>
      <c r="T163" s="1338"/>
      <c r="U163" s="1341">
        <v>0</v>
      </c>
      <c r="V163" s="1342">
        <v>0</v>
      </c>
      <c r="W163" s="1342">
        <v>0</v>
      </c>
      <c r="X163" s="1342">
        <v>0</v>
      </c>
      <c r="Y163" s="1343">
        <v>0</v>
      </c>
      <c r="Z163" s="1338"/>
      <c r="AA163" s="1341">
        <v>0</v>
      </c>
      <c r="AB163" s="1342">
        <v>0</v>
      </c>
      <c r="AC163" s="1342">
        <v>0</v>
      </c>
      <c r="AD163" s="1342">
        <v>0</v>
      </c>
      <c r="AE163" s="1343">
        <v>0</v>
      </c>
      <c r="AF163" s="1338"/>
      <c r="AG163" s="1341">
        <v>0</v>
      </c>
      <c r="AH163" s="1342">
        <v>0</v>
      </c>
      <c r="AI163" s="1342">
        <v>0</v>
      </c>
      <c r="AJ163" s="1342">
        <v>0</v>
      </c>
      <c r="AK163" s="1343">
        <v>0</v>
      </c>
      <c r="AL163" s="1338"/>
      <c r="AM163" s="1341">
        <v>0</v>
      </c>
      <c r="AN163" s="1342">
        <v>0</v>
      </c>
      <c r="AO163" s="1342">
        <v>0</v>
      </c>
      <c r="AP163" s="1342">
        <v>0</v>
      </c>
      <c r="AQ163" s="1343">
        <v>0</v>
      </c>
      <c r="AR163" s="1338"/>
      <c r="AS163" s="1341">
        <v>0</v>
      </c>
      <c r="AT163" s="1342">
        <v>0</v>
      </c>
      <c r="AU163" s="1342">
        <v>0</v>
      </c>
      <c r="AV163" s="1342">
        <v>0</v>
      </c>
      <c r="AW163" s="1343">
        <v>0</v>
      </c>
      <c r="AX163" s="1338"/>
      <c r="AY163" s="1341">
        <v>0</v>
      </c>
      <c r="AZ163" s="1342">
        <v>0</v>
      </c>
      <c r="BA163" s="1342">
        <v>0</v>
      </c>
      <c r="BB163" s="1342">
        <v>0</v>
      </c>
      <c r="BC163" s="1343">
        <v>0</v>
      </c>
      <c r="BD163" s="1338"/>
      <c r="BE163" s="1341">
        <v>0</v>
      </c>
      <c r="BF163" s="1342">
        <v>0</v>
      </c>
      <c r="BG163" s="1342">
        <v>0</v>
      </c>
      <c r="BH163" s="1342">
        <v>0</v>
      </c>
      <c r="BI163" s="1343">
        <v>0</v>
      </c>
      <c r="BJ163" s="1338"/>
      <c r="BK163" s="1341">
        <v>0</v>
      </c>
      <c r="BL163" s="1342">
        <v>0</v>
      </c>
      <c r="BM163" s="1342">
        <v>0</v>
      </c>
      <c r="BN163" s="1342">
        <v>0</v>
      </c>
      <c r="BO163" s="1343">
        <v>0</v>
      </c>
      <c r="BP163" s="1338"/>
      <c r="BQ163" s="1341">
        <v>0</v>
      </c>
      <c r="BR163" s="1342">
        <v>0</v>
      </c>
      <c r="BS163" s="1342">
        <v>0</v>
      </c>
      <c r="BT163" s="1342">
        <v>0</v>
      </c>
      <c r="BU163" s="1343">
        <v>0</v>
      </c>
      <c r="BV163" s="1338"/>
      <c r="BW163" s="1341">
        <v>0</v>
      </c>
      <c r="BX163" s="1342">
        <v>0</v>
      </c>
      <c r="BY163" s="1342">
        <v>0</v>
      </c>
      <c r="BZ163" s="1342">
        <v>0</v>
      </c>
      <c r="CA163" s="1343">
        <v>0</v>
      </c>
      <c r="CB163" s="1338"/>
      <c r="CC163" s="1341">
        <v>0</v>
      </c>
      <c r="CD163" s="1342">
        <v>0</v>
      </c>
      <c r="CE163" s="1342">
        <v>0</v>
      </c>
      <c r="CF163" s="1342">
        <v>0</v>
      </c>
      <c r="CG163" s="1343">
        <v>0</v>
      </c>
      <c r="CH163" s="1338"/>
      <c r="CI163" s="1341">
        <v>0</v>
      </c>
      <c r="CJ163" s="1342">
        <v>0</v>
      </c>
      <c r="CK163" s="1342">
        <v>0</v>
      </c>
      <c r="CL163" s="1342">
        <v>0</v>
      </c>
      <c r="CM163" s="1343">
        <v>0</v>
      </c>
      <c r="CN163" s="11"/>
      <c r="CO163" s="244"/>
      <c r="CP163" s="244"/>
      <c r="CQ163"/>
      <c r="CR163"/>
      <c r="CS163"/>
      <c r="CT163"/>
      <c r="CU163"/>
      <c r="CV163"/>
      <c r="CW163" s="244"/>
    </row>
    <row r="164" spans="2:101" s="128" customFormat="1" ht="11.25" customHeight="1" x14ac:dyDescent="0.2">
      <c r="B164" s="1316" t="s">
        <v>426</v>
      </c>
      <c r="C164" s="1341">
        <f>+C44</f>
        <v>1289.5609999999999</v>
      </c>
      <c r="D164" s="1342">
        <f t="shared" ref="D164:G164" si="167">+D44</f>
        <v>1242.079</v>
      </c>
      <c r="E164" s="1342">
        <f t="shared" si="167"/>
        <v>1303.7939999999999</v>
      </c>
      <c r="F164" s="1342">
        <f t="shared" si="167"/>
        <v>1379.2139999999999</v>
      </c>
      <c r="G164" s="1343">
        <f t="shared" si="167"/>
        <v>1379.2139999999999</v>
      </c>
      <c r="H164" s="1338"/>
      <c r="I164" s="1341">
        <f>+I44</f>
        <v>1438.8909999999998</v>
      </c>
      <c r="J164" s="1342">
        <f t="shared" ref="J164:M164" si="168">+J44</f>
        <v>1511.5669999999998</v>
      </c>
      <c r="K164" s="1342">
        <f t="shared" si="168"/>
        <v>1306.4839999999999</v>
      </c>
      <c r="L164" s="1342">
        <f t="shared" si="168"/>
        <v>1004.7869999999999</v>
      </c>
      <c r="M164" s="1343">
        <f t="shared" si="168"/>
        <v>1004.7869999999999</v>
      </c>
      <c r="N164" s="1338"/>
      <c r="O164" s="1341">
        <f t="shared" ref="O164:S164" si="169">+O44</f>
        <v>1054.7460000000001</v>
      </c>
      <c r="P164" s="1342">
        <f t="shared" si="169"/>
        <v>1062.6979999999999</v>
      </c>
      <c r="Q164" s="1342">
        <f t="shared" si="169"/>
        <v>1121.239</v>
      </c>
      <c r="R164" s="1342">
        <f t="shared" si="169"/>
        <v>1186.32</v>
      </c>
      <c r="S164" s="1343">
        <f t="shared" si="169"/>
        <v>1186.32</v>
      </c>
      <c r="T164" s="1338"/>
      <c r="U164" s="1341">
        <f t="shared" ref="U164:Y164" si="170">+U44</f>
        <v>1259.759</v>
      </c>
      <c r="V164" s="1342">
        <f t="shared" si="170"/>
        <v>1319.1030000000001</v>
      </c>
      <c r="W164" s="1342">
        <f t="shared" si="170"/>
        <v>1378.3520000000001</v>
      </c>
      <c r="X164" s="1342">
        <f t="shared" si="170"/>
        <v>1441.511</v>
      </c>
      <c r="Y164" s="1343">
        <f t="shared" si="170"/>
        <v>1441.511</v>
      </c>
      <c r="Z164" s="1338"/>
      <c r="AA164" s="1341">
        <f t="shared" ref="AA164:AE164" si="171">+AA44</f>
        <v>1485.8809999999999</v>
      </c>
      <c r="AB164" s="1342">
        <f t="shared" si="171"/>
        <v>1501.402</v>
      </c>
      <c r="AC164" s="1342">
        <f t="shared" si="171"/>
        <v>1551.5559999999998</v>
      </c>
      <c r="AD164" s="1342">
        <f t="shared" si="171"/>
        <v>1560.5400000000002</v>
      </c>
      <c r="AE164" s="1343">
        <f t="shared" si="171"/>
        <v>1560.5400000000002</v>
      </c>
      <c r="AF164" s="1338"/>
      <c r="AG164" s="1341">
        <f t="shared" ref="AG164:AK164" si="172">+AG44</f>
        <v>1534.1510000000001</v>
      </c>
      <c r="AH164" s="1342">
        <f t="shared" si="172"/>
        <v>1404.145</v>
      </c>
      <c r="AI164" s="1342">
        <f t="shared" si="172"/>
        <v>1351.0870000000002</v>
      </c>
      <c r="AJ164" s="1342">
        <f t="shared" si="172"/>
        <v>1375.202</v>
      </c>
      <c r="AK164" s="1343">
        <f t="shared" si="172"/>
        <v>1375.202</v>
      </c>
      <c r="AL164" s="1338"/>
      <c r="AM164" s="1341">
        <f t="shared" ref="AM164:AQ164" si="173">+AM44</f>
        <v>1365.742</v>
      </c>
      <c r="AN164" s="1342">
        <f t="shared" si="173"/>
        <v>1356.7460000000001</v>
      </c>
      <c r="AO164" s="1342">
        <f t="shared" si="173"/>
        <v>1350.7329999999999</v>
      </c>
      <c r="AP164" s="1342">
        <f t="shared" si="173"/>
        <v>1394.4549999999999</v>
      </c>
      <c r="AQ164" s="1343">
        <f t="shared" si="173"/>
        <v>1394.4549999999999</v>
      </c>
      <c r="AR164" s="1338"/>
      <c r="AS164" s="1341">
        <f t="shared" ref="AS164:AW164" si="174">+AS44</f>
        <v>1395.914</v>
      </c>
      <c r="AT164" s="1342">
        <f t="shared" si="174"/>
        <v>1441.614</v>
      </c>
      <c r="AU164" s="1342">
        <f t="shared" si="174"/>
        <v>1456.35</v>
      </c>
      <c r="AV164" s="1342">
        <f t="shared" si="174"/>
        <v>1471.6640000000002</v>
      </c>
      <c r="AW164" s="1343">
        <f t="shared" si="174"/>
        <v>1471.6640000000002</v>
      </c>
      <c r="AX164" s="1338"/>
      <c r="AY164" s="1341">
        <f t="shared" ref="AY164:BC164" si="175">+AY44</f>
        <v>1468.1010000000001</v>
      </c>
      <c r="AZ164" s="1342">
        <f t="shared" si="175"/>
        <v>1463.7010000000002</v>
      </c>
      <c r="BA164" s="1342">
        <f t="shared" si="175"/>
        <v>1454.6879999999999</v>
      </c>
      <c r="BB164" s="1342">
        <f t="shared" si="175"/>
        <v>1514.1229999999998</v>
      </c>
      <c r="BC164" s="1343">
        <f t="shared" si="175"/>
        <v>1514.1229999999998</v>
      </c>
      <c r="BD164" s="1338"/>
      <c r="BE164" s="1341">
        <f t="shared" ref="BE164:BI164" si="176">+BE44</f>
        <v>1514.0529999999999</v>
      </c>
      <c r="BF164" s="1342">
        <f t="shared" si="176"/>
        <v>1363.2569999999998</v>
      </c>
      <c r="BG164" s="1342">
        <f t="shared" si="176"/>
        <v>1362.547</v>
      </c>
      <c r="BH164" s="1342">
        <f t="shared" si="176"/>
        <v>1441.7459999999999</v>
      </c>
      <c r="BI164" s="1343">
        <f t="shared" si="176"/>
        <v>1441.7459999999999</v>
      </c>
      <c r="BJ164" s="1338"/>
      <c r="BK164" s="1341">
        <f t="shared" ref="BK164:BO164" si="177">+BK44</f>
        <v>1418.037</v>
      </c>
      <c r="BL164" s="1342">
        <f t="shared" si="177"/>
        <v>1406.0520000000001</v>
      </c>
      <c r="BM164" s="1342">
        <f t="shared" si="177"/>
        <v>1386.075</v>
      </c>
      <c r="BN164" s="1342">
        <f t="shared" si="177"/>
        <v>1394.433</v>
      </c>
      <c r="BO164" s="1343">
        <f t="shared" si="177"/>
        <v>1394.433</v>
      </c>
      <c r="BP164" s="1338"/>
      <c r="BQ164" s="1341">
        <f t="shared" ref="BQ164:BU164" si="178">+BQ44</f>
        <v>1384.5020000000002</v>
      </c>
      <c r="BR164" s="1342">
        <f t="shared" si="178"/>
        <v>1366.94</v>
      </c>
      <c r="BS164" s="1342">
        <f t="shared" si="178"/>
        <v>1462.9900000000002</v>
      </c>
      <c r="BT164" s="1342">
        <f t="shared" si="178"/>
        <v>1436.2597114662688</v>
      </c>
      <c r="BU164" s="1343">
        <f t="shared" si="178"/>
        <v>1436.2597114662688</v>
      </c>
      <c r="BV164" s="1338"/>
      <c r="BW164" s="1341">
        <f t="shared" ref="BW164:CA164" si="179">+BW44</f>
        <v>1425.2591303784479</v>
      </c>
      <c r="BX164" s="1342">
        <f t="shared" si="179"/>
        <v>1418.78674917739</v>
      </c>
      <c r="BY164" s="1342">
        <f t="shared" si="179"/>
        <v>1414.5677672449638</v>
      </c>
      <c r="BZ164" s="1342">
        <f t="shared" si="179"/>
        <v>1411.4055661015198</v>
      </c>
      <c r="CA164" s="1343">
        <f t="shared" si="179"/>
        <v>1411.4055661015198</v>
      </c>
      <c r="CB164" s="1338"/>
      <c r="CC164" s="1341">
        <f t="shared" ref="CC164:CG164" si="180">+CC44</f>
        <v>1401.8792113998863</v>
      </c>
      <c r="CD164" s="1342">
        <f t="shared" si="180"/>
        <v>1396.9678531309676</v>
      </c>
      <c r="CE164" s="1342">
        <f t="shared" si="180"/>
        <v>1393.9547852059318</v>
      </c>
      <c r="CF164" s="1342">
        <f t="shared" si="180"/>
        <v>1392.166042892361</v>
      </c>
      <c r="CG164" s="1343">
        <f t="shared" si="180"/>
        <v>1392.166042892361</v>
      </c>
      <c r="CH164" s="1338"/>
      <c r="CI164" s="1341">
        <f t="shared" ref="CI164:CM164" si="181">+CI44</f>
        <v>1378.3492626095228</v>
      </c>
      <c r="CJ164" s="1342">
        <f t="shared" si="181"/>
        <v>1368.9277245484029</v>
      </c>
      <c r="CK164" s="1342">
        <f t="shared" si="181"/>
        <v>1361.8255743014474</v>
      </c>
      <c r="CL164" s="1342">
        <f t="shared" si="181"/>
        <v>1355.6929358558921</v>
      </c>
      <c r="CM164" s="1343">
        <f t="shared" si="181"/>
        <v>1355.6929358558921</v>
      </c>
      <c r="CN164" s="11"/>
      <c r="CO164" s="244"/>
      <c r="CP164" s="244"/>
      <c r="CQ164"/>
      <c r="CR164"/>
      <c r="CS164"/>
      <c r="CT164"/>
      <c r="CU164"/>
      <c r="CV164"/>
      <c r="CW164" s="244"/>
    </row>
    <row r="165" spans="2:101" s="128" customFormat="1" ht="11.25" customHeight="1" x14ac:dyDescent="0.2">
      <c r="B165" s="1344" t="s">
        <v>588</v>
      </c>
      <c r="C165" s="1341"/>
      <c r="D165" s="1342"/>
      <c r="E165" s="1342"/>
      <c r="F165" s="1342"/>
      <c r="G165" s="1343"/>
      <c r="H165" s="1338"/>
      <c r="I165" s="1341"/>
      <c r="J165" s="1342"/>
      <c r="K165" s="1342"/>
      <c r="L165" s="1342"/>
      <c r="M165" s="1343"/>
      <c r="N165" s="1338"/>
      <c r="O165" s="1341"/>
      <c r="P165" s="1342"/>
      <c r="Q165" s="1342"/>
      <c r="R165" s="1342"/>
      <c r="S165" s="1343"/>
      <c r="T165" s="1338"/>
      <c r="U165" s="1341"/>
      <c r="V165" s="1342"/>
      <c r="W165" s="1342"/>
      <c r="X165" s="1342"/>
      <c r="Y165" s="1343"/>
      <c r="Z165" s="1338"/>
      <c r="AA165" s="1341"/>
      <c r="AB165" s="1342"/>
      <c r="AC165" s="1342"/>
      <c r="AD165" s="1342"/>
      <c r="AE165" s="1343"/>
      <c r="AF165" s="1338"/>
      <c r="AG165" s="1341"/>
      <c r="AH165" s="1342"/>
      <c r="AI165" s="1342"/>
      <c r="AJ165" s="1342"/>
      <c r="AK165" s="1343"/>
      <c r="AL165" s="1338"/>
      <c r="AM165" s="1341"/>
      <c r="AN165" s="1342"/>
      <c r="AO165" s="1342"/>
      <c r="AP165" s="1342"/>
      <c r="AQ165" s="1343"/>
      <c r="AR165" s="1338"/>
      <c r="AS165" s="1341"/>
      <c r="AT165" s="1342"/>
      <c r="AU165" s="1342"/>
      <c r="AV165" s="1342"/>
      <c r="AW165" s="1343"/>
      <c r="AX165" s="1338"/>
      <c r="AY165" s="1341"/>
      <c r="AZ165" s="1342"/>
      <c r="BA165" s="1342"/>
      <c r="BB165" s="1342"/>
      <c r="BC165" s="1343"/>
      <c r="BD165" s="1338"/>
      <c r="BE165" s="1341"/>
      <c r="BF165" s="1342"/>
      <c r="BG165" s="1342"/>
      <c r="BH165" s="1342"/>
      <c r="BI165" s="1343"/>
      <c r="BJ165" s="1338"/>
      <c r="BK165" s="1341"/>
      <c r="BL165" s="1342"/>
      <c r="BM165" s="1342"/>
      <c r="BN165" s="1342"/>
      <c r="BO165" s="1343"/>
      <c r="BP165" s="1338"/>
      <c r="BQ165" s="1341"/>
      <c r="BR165" s="1342"/>
      <c r="BS165" s="1342"/>
      <c r="BT165" s="1342"/>
      <c r="BU165" s="1343"/>
      <c r="BV165" s="1338"/>
      <c r="BW165" s="1341"/>
      <c r="BX165" s="1342"/>
      <c r="BY165" s="1342"/>
      <c r="BZ165" s="1342"/>
      <c r="CA165" s="1343"/>
      <c r="CB165" s="1338"/>
      <c r="CC165" s="1341"/>
      <c r="CD165" s="1342"/>
      <c r="CE165" s="1342"/>
      <c r="CF165" s="1342"/>
      <c r="CG165" s="1343"/>
      <c r="CH165" s="1338"/>
      <c r="CI165" s="1341"/>
      <c r="CJ165" s="1342"/>
      <c r="CK165" s="1342"/>
      <c r="CL165" s="1342"/>
      <c r="CM165" s="1343"/>
      <c r="CN165" s="11"/>
      <c r="CO165" s="244"/>
      <c r="CP165" s="244"/>
      <c r="CQ165"/>
      <c r="CR165"/>
      <c r="CS165"/>
      <c r="CT165"/>
      <c r="CU165"/>
      <c r="CV165"/>
      <c r="CW165" s="244"/>
    </row>
    <row r="166" spans="2:101" s="128" customFormat="1" ht="11.25" customHeight="1" x14ac:dyDescent="0.2">
      <c r="B166" s="1090" t="s">
        <v>589</v>
      </c>
      <c r="C166" s="1341"/>
      <c r="D166" s="1342"/>
      <c r="E166" s="1342"/>
      <c r="F166" s="1342"/>
      <c r="G166" s="1343"/>
      <c r="H166" s="1338"/>
      <c r="I166" s="1341"/>
      <c r="J166" s="1342"/>
      <c r="K166" s="1342"/>
      <c r="L166" s="1342"/>
      <c r="M166" s="1343"/>
      <c r="N166" s="1338"/>
      <c r="O166" s="1341"/>
      <c r="P166" s="1342"/>
      <c r="Q166" s="1342"/>
      <c r="R166" s="1342"/>
      <c r="S166" s="1343"/>
      <c r="T166" s="1338"/>
      <c r="U166" s="1341"/>
      <c r="V166" s="1342"/>
      <c r="W166" s="1342"/>
      <c r="X166" s="1342"/>
      <c r="Y166" s="1343"/>
      <c r="Z166" s="1338"/>
      <c r="AA166" s="1341"/>
      <c r="AB166" s="1342"/>
      <c r="AC166" s="1342"/>
      <c r="AD166" s="1342"/>
      <c r="AE166" s="1343"/>
      <c r="AF166" s="1338"/>
      <c r="AG166" s="1341"/>
      <c r="AH166" s="1342"/>
      <c r="AI166" s="1342"/>
      <c r="AJ166" s="1342"/>
      <c r="AK166" s="1343"/>
      <c r="AL166" s="1338"/>
      <c r="AM166" s="1341"/>
      <c r="AN166" s="1342"/>
      <c r="AO166" s="1342"/>
      <c r="AP166" s="1342"/>
      <c r="AQ166" s="1343"/>
      <c r="AR166" s="1338"/>
      <c r="AS166" s="1341"/>
      <c r="AT166" s="1342"/>
      <c r="AU166" s="1342"/>
      <c r="AV166" s="1342"/>
      <c r="AW166" s="1343"/>
      <c r="AX166" s="1338"/>
      <c r="AY166" s="1341"/>
      <c r="AZ166" s="1342"/>
      <c r="BA166" s="1342"/>
      <c r="BB166" s="1342"/>
      <c r="BC166" s="1343"/>
      <c r="BD166" s="1338"/>
      <c r="BE166" s="1341"/>
      <c r="BF166" s="1342"/>
      <c r="BG166" s="1342"/>
      <c r="BH166" s="1342"/>
      <c r="BI166" s="1343"/>
      <c r="BJ166" s="1338"/>
      <c r="BK166" s="1341"/>
      <c r="BL166" s="1342"/>
      <c r="BM166" s="1342"/>
      <c r="BN166" s="1342"/>
      <c r="BO166" s="1343"/>
      <c r="BP166" s="1338"/>
      <c r="BQ166" s="1341"/>
      <c r="BR166" s="1342"/>
      <c r="BS166" s="1342"/>
      <c r="BT166" s="1342"/>
      <c r="BU166" s="1343"/>
      <c r="BV166" s="1338"/>
      <c r="BW166" s="1341"/>
      <c r="BX166" s="1342"/>
      <c r="BY166" s="1342"/>
      <c r="BZ166" s="1342"/>
      <c r="CA166" s="1343"/>
      <c r="CB166" s="1338"/>
      <c r="CC166" s="1341"/>
      <c r="CD166" s="1342"/>
      <c r="CE166" s="1342"/>
      <c r="CF166" s="1342"/>
      <c r="CG166" s="1343"/>
      <c r="CH166" s="1338"/>
      <c r="CI166" s="1341"/>
      <c r="CJ166" s="1342"/>
      <c r="CK166" s="1342"/>
      <c r="CL166" s="1342"/>
      <c r="CM166" s="1343"/>
      <c r="CN166" s="11"/>
      <c r="CO166" s="244"/>
      <c r="CP166" s="244"/>
      <c r="CQ166"/>
      <c r="CR166"/>
      <c r="CS166"/>
      <c r="CT166"/>
      <c r="CU166"/>
      <c r="CV166"/>
      <c r="CW166" s="244"/>
    </row>
    <row r="167" spans="2:101" s="128" customFormat="1" ht="11.25" customHeight="1" x14ac:dyDescent="0.2">
      <c r="B167" s="1316" t="s">
        <v>590</v>
      </c>
      <c r="C167" s="1341">
        <f>-C9</f>
        <v>-265.22399999999999</v>
      </c>
      <c r="D167" s="1342">
        <f t="shared" ref="D167:G167" si="182">-D9</f>
        <v>-181.55799999999999</v>
      </c>
      <c r="E167" s="1342">
        <f t="shared" si="182"/>
        <v>-152.464</v>
      </c>
      <c r="F167" s="1342">
        <f t="shared" si="182"/>
        <v>-241.791</v>
      </c>
      <c r="G167" s="1343">
        <f t="shared" si="182"/>
        <v>-241.791</v>
      </c>
      <c r="H167" s="1338"/>
      <c r="I167" s="1341">
        <f>-I9</f>
        <v>-294.23200000000003</v>
      </c>
      <c r="J167" s="1342">
        <f t="shared" ref="J167:M167" si="183">-J9</f>
        <v>-345.142</v>
      </c>
      <c r="K167" s="1342">
        <f t="shared" si="183"/>
        <v>-171.22800000000001</v>
      </c>
      <c r="L167" s="1342">
        <f t="shared" si="183"/>
        <v>-308.16399999999999</v>
      </c>
      <c r="M167" s="1343">
        <f t="shared" si="183"/>
        <v>-308.16399999999999</v>
      </c>
      <c r="N167" s="1338"/>
      <c r="O167" s="1341">
        <f t="shared" ref="O167:S167" si="184">-O9</f>
        <v>-331.15</v>
      </c>
      <c r="P167" s="1342">
        <f t="shared" si="184"/>
        <v>-256.64299999999997</v>
      </c>
      <c r="Q167" s="1342">
        <f t="shared" si="184"/>
        <v>-161.88399999999999</v>
      </c>
      <c r="R167" s="1342">
        <f t="shared" si="184"/>
        <v>-158.065</v>
      </c>
      <c r="S167" s="1343">
        <f t="shared" si="184"/>
        <v>-158.065</v>
      </c>
      <c r="T167" s="1338"/>
      <c r="U167" s="1341">
        <f t="shared" ref="U167:Y167" si="185">-U9</f>
        <v>-175.37700000000001</v>
      </c>
      <c r="V167" s="1342">
        <f t="shared" si="185"/>
        <v>-170.15100000000001</v>
      </c>
      <c r="W167" s="1342">
        <f t="shared" si="185"/>
        <v>-267.78199999999998</v>
      </c>
      <c r="X167" s="1342">
        <f t="shared" si="185"/>
        <v>-340.59100000000001</v>
      </c>
      <c r="Y167" s="1343">
        <f t="shared" si="185"/>
        <v>-340.59100000000001</v>
      </c>
      <c r="Z167" s="1338"/>
      <c r="AA167" s="1341">
        <f t="shared" ref="AA167:AE167" si="186">-AA9</f>
        <v>-298.42700000000002</v>
      </c>
      <c r="AB167" s="1342">
        <f t="shared" si="186"/>
        <v>-328.74400000000003</v>
      </c>
      <c r="AC167" s="1342">
        <f t="shared" si="186"/>
        <v>-388.03899999999999</v>
      </c>
      <c r="AD167" s="1342">
        <f t="shared" si="186"/>
        <v>-388.66500000000002</v>
      </c>
      <c r="AE167" s="1343">
        <f t="shared" si="186"/>
        <v>-388.66500000000002</v>
      </c>
      <c r="AF167" s="1338"/>
      <c r="AG167" s="1341">
        <f t="shared" ref="AG167:AK167" si="187">-AG9</f>
        <v>-373.77600000000001</v>
      </c>
      <c r="AH167" s="1342">
        <f t="shared" si="187"/>
        <v>-250.06800000000001</v>
      </c>
      <c r="AI167" s="1342">
        <f t="shared" si="187"/>
        <v>-538.09199999999998</v>
      </c>
      <c r="AJ167" s="1342">
        <f t="shared" si="187"/>
        <v>-573.78099999999995</v>
      </c>
      <c r="AK167" s="1343">
        <f t="shared" si="187"/>
        <v>-573.78099999999995</v>
      </c>
      <c r="AL167" s="1338"/>
      <c r="AM167" s="1341">
        <f t="shared" ref="AM167:AQ167" si="188">-AM9</f>
        <v>-580.75300000000004</v>
      </c>
      <c r="AN167" s="1342">
        <f t="shared" si="188"/>
        <v>-500.37400000000002</v>
      </c>
      <c r="AO167" s="1342">
        <f t="shared" si="188"/>
        <v>-472.44900000000001</v>
      </c>
      <c r="AP167" s="1342">
        <f t="shared" si="188"/>
        <v>-505.22800000000001</v>
      </c>
      <c r="AQ167" s="1343">
        <f t="shared" si="188"/>
        <v>-505.22800000000001</v>
      </c>
      <c r="AR167" s="1338"/>
      <c r="AS167" s="1341">
        <f t="shared" ref="AS167:AW167" si="189">-AS9</f>
        <v>-603.36900000000003</v>
      </c>
      <c r="AT167" s="1342">
        <f t="shared" si="189"/>
        <v>-516.05799999999999</v>
      </c>
      <c r="AU167" s="1342">
        <f t="shared" si="189"/>
        <v>-423.97500000000002</v>
      </c>
      <c r="AV167" s="1342">
        <f t="shared" si="189"/>
        <v>-264.90800000000002</v>
      </c>
      <c r="AW167" s="1343">
        <f t="shared" si="189"/>
        <v>-264.90800000000002</v>
      </c>
      <c r="AX167" s="1338"/>
      <c r="AY167" s="1341">
        <f t="shared" ref="AY167:BC167" si="190">-AY9</f>
        <v>-260.74</v>
      </c>
      <c r="AZ167" s="1342">
        <f t="shared" si="190"/>
        <v>-284.87200000000001</v>
      </c>
      <c r="BA167" s="1342">
        <f t="shared" si="190"/>
        <v>-289.72199999999998</v>
      </c>
      <c r="BB167" s="1342">
        <f t="shared" si="190"/>
        <v>-347.26</v>
      </c>
      <c r="BC167" s="1343">
        <f t="shared" si="190"/>
        <v>-347.26</v>
      </c>
      <c r="BD167" s="1338"/>
      <c r="BE167" s="1341">
        <f t="shared" ref="BE167:BI167" si="191">-BE9</f>
        <v>-186.44</v>
      </c>
      <c r="BF167" s="1342">
        <f t="shared" si="191"/>
        <v>-95.450999999999993</v>
      </c>
      <c r="BG167" s="1342">
        <f t="shared" si="191"/>
        <v>-97.700999999999993</v>
      </c>
      <c r="BH167" s="1342">
        <f t="shared" si="191"/>
        <v>-137.453</v>
      </c>
      <c r="BI167" s="1343">
        <f t="shared" si="191"/>
        <v>-137.453</v>
      </c>
      <c r="BJ167" s="1338"/>
      <c r="BK167" s="1341">
        <f t="shared" ref="BK167:BO167" si="192">-BK9</f>
        <v>-89.977999999999994</v>
      </c>
      <c r="BL167" s="1342">
        <f t="shared" si="192"/>
        <v>-110.387</v>
      </c>
      <c r="BM167" s="1342">
        <f t="shared" si="192"/>
        <v>-121.739</v>
      </c>
      <c r="BN167" s="1342">
        <f t="shared" si="192"/>
        <v>-94.959000000000003</v>
      </c>
      <c r="BO167" s="1343">
        <f t="shared" si="192"/>
        <v>-94.959000000000003</v>
      </c>
      <c r="BP167" s="1338"/>
      <c r="BQ167" s="1341">
        <f t="shared" ref="BQ167:BU167" si="193">-BQ9</f>
        <v>-99.778999999999996</v>
      </c>
      <c r="BR167" s="1342">
        <f t="shared" si="193"/>
        <v>-101.456</v>
      </c>
      <c r="BS167" s="1342">
        <f t="shared" si="193"/>
        <v>-118.005</v>
      </c>
      <c r="BT167" s="1342">
        <f t="shared" si="193"/>
        <v>-161.79112934788165</v>
      </c>
      <c r="BU167" s="1343">
        <f t="shared" si="193"/>
        <v>-161.79112934788165</v>
      </c>
      <c r="BV167" s="1338"/>
      <c r="BW167" s="1341">
        <f t="shared" ref="BW167:CA167" si="194">-BW9</f>
        <v>-197.54840425689537</v>
      </c>
      <c r="BX167" s="1342">
        <f t="shared" si="194"/>
        <v>-139.9417640822752</v>
      </c>
      <c r="BY167" s="1342">
        <f t="shared" si="194"/>
        <v>-155.52530250062895</v>
      </c>
      <c r="BZ167" s="1342">
        <f t="shared" si="194"/>
        <v>-176.14640810852535</v>
      </c>
      <c r="CA167" s="1343">
        <f t="shared" si="194"/>
        <v>-176.14640810852535</v>
      </c>
      <c r="CB167" s="1338"/>
      <c r="CC167" s="1341">
        <f t="shared" ref="CC167:CG167" si="195">-CC9</f>
        <v>-185.26816488287108</v>
      </c>
      <c r="CD167" s="1342">
        <f t="shared" si="195"/>
        <v>-124.71173619600502</v>
      </c>
      <c r="CE167" s="1342">
        <f t="shared" si="195"/>
        <v>-138.91200191091076</v>
      </c>
      <c r="CF167" s="1342">
        <f t="shared" si="195"/>
        <v>-160.90370888520951</v>
      </c>
      <c r="CG167" s="1343">
        <f t="shared" si="195"/>
        <v>-160.90370888520951</v>
      </c>
      <c r="CH167" s="1338"/>
      <c r="CI167" s="1341">
        <f t="shared" ref="CI167:CM167" si="196">-CI9</f>
        <v>-166.06921497088581</v>
      </c>
      <c r="CJ167" s="1342">
        <f t="shared" si="196"/>
        <v>-99.110129426956959</v>
      </c>
      <c r="CK167" s="1342">
        <f t="shared" si="196"/>
        <v>-110.51423026619581</v>
      </c>
      <c r="CL167" s="1342">
        <f t="shared" si="196"/>
        <v>-129.08337542778327</v>
      </c>
      <c r="CM167" s="1343">
        <f t="shared" si="196"/>
        <v>-129.08337542778327</v>
      </c>
      <c r="CN167" s="11"/>
      <c r="CO167" s="244"/>
      <c r="CP167" s="244"/>
      <c r="CQ167"/>
      <c r="CR167"/>
      <c r="CS167"/>
      <c r="CT167"/>
      <c r="CU167"/>
      <c r="CV167"/>
      <c r="CW167" s="244"/>
    </row>
    <row r="168" spans="2:101" s="128" customFormat="1" ht="11.25" customHeight="1" x14ac:dyDescent="0.2">
      <c r="B168" s="1316" t="s">
        <v>591</v>
      </c>
      <c r="C168" s="1341">
        <f>-C10</f>
        <v>0</v>
      </c>
      <c r="D168" s="1342">
        <f t="shared" ref="D168:G168" si="197">-D10</f>
        <v>0</v>
      </c>
      <c r="E168" s="1342">
        <f t="shared" si="197"/>
        <v>0</v>
      </c>
      <c r="F168" s="1342">
        <f t="shared" si="197"/>
        <v>0</v>
      </c>
      <c r="G168" s="1343">
        <f t="shared" si="197"/>
        <v>0</v>
      </c>
      <c r="H168" s="1338"/>
      <c r="I168" s="1341">
        <f>-I10</f>
        <v>0</v>
      </c>
      <c r="J168" s="1342">
        <f t="shared" ref="J168:M168" si="198">-J10</f>
        <v>0</v>
      </c>
      <c r="K168" s="1342">
        <f t="shared" si="198"/>
        <v>0</v>
      </c>
      <c r="L168" s="1342">
        <f t="shared" si="198"/>
        <v>0</v>
      </c>
      <c r="M168" s="1343">
        <f t="shared" si="198"/>
        <v>0</v>
      </c>
      <c r="N168" s="1338"/>
      <c r="O168" s="1341">
        <f t="shared" ref="O168:S168" si="199">-O10</f>
        <v>0</v>
      </c>
      <c r="P168" s="1342">
        <f t="shared" si="199"/>
        <v>0</v>
      </c>
      <c r="Q168" s="1342">
        <f t="shared" si="199"/>
        <v>0</v>
      </c>
      <c r="R168" s="1342">
        <f t="shared" si="199"/>
        <v>0</v>
      </c>
      <c r="S168" s="1343">
        <f t="shared" si="199"/>
        <v>0</v>
      </c>
      <c r="T168" s="1338"/>
      <c r="U168" s="1341">
        <f t="shared" ref="U168:Y168" si="200">-U10</f>
        <v>0</v>
      </c>
      <c r="V168" s="1342">
        <f t="shared" si="200"/>
        <v>0</v>
      </c>
      <c r="W168" s="1342">
        <f t="shared" si="200"/>
        <v>0</v>
      </c>
      <c r="X168" s="1342">
        <f t="shared" si="200"/>
        <v>0</v>
      </c>
      <c r="Y168" s="1343">
        <f t="shared" si="200"/>
        <v>0</v>
      </c>
      <c r="Z168" s="1338"/>
      <c r="AA168" s="1341">
        <f t="shared" ref="AA168:AE168" si="201">-AA10</f>
        <v>0</v>
      </c>
      <c r="AB168" s="1342">
        <f t="shared" si="201"/>
        <v>0</v>
      </c>
      <c r="AC168" s="1342">
        <f t="shared" si="201"/>
        <v>0</v>
      </c>
      <c r="AD168" s="1342">
        <f t="shared" si="201"/>
        <v>0</v>
      </c>
      <c r="AE168" s="1343">
        <f t="shared" si="201"/>
        <v>0</v>
      </c>
      <c r="AF168" s="1338"/>
      <c r="AG168" s="1341">
        <f t="shared" ref="AG168:AK168" si="202">-AG10</f>
        <v>0</v>
      </c>
      <c r="AH168" s="1342">
        <f t="shared" si="202"/>
        <v>0</v>
      </c>
      <c r="AI168" s="1342">
        <f t="shared" si="202"/>
        <v>0</v>
      </c>
      <c r="AJ168" s="1342">
        <f t="shared" si="202"/>
        <v>0</v>
      </c>
      <c r="AK168" s="1343">
        <f t="shared" si="202"/>
        <v>0</v>
      </c>
      <c r="AL168" s="1338"/>
      <c r="AM168" s="1341">
        <f t="shared" ref="AM168:AQ168" si="203">-AM10</f>
        <v>0</v>
      </c>
      <c r="AN168" s="1342">
        <f t="shared" si="203"/>
        <v>0</v>
      </c>
      <c r="AO168" s="1342">
        <f t="shared" si="203"/>
        <v>0</v>
      </c>
      <c r="AP168" s="1342">
        <f t="shared" si="203"/>
        <v>0</v>
      </c>
      <c r="AQ168" s="1343">
        <f t="shared" si="203"/>
        <v>0</v>
      </c>
      <c r="AR168" s="1338"/>
      <c r="AS168" s="1341">
        <f t="shared" ref="AS168:AW168" si="204">-AS10</f>
        <v>0</v>
      </c>
      <c r="AT168" s="1342">
        <f t="shared" si="204"/>
        <v>0</v>
      </c>
      <c r="AU168" s="1342">
        <f t="shared" si="204"/>
        <v>-40.594999999999999</v>
      </c>
      <c r="AV168" s="1342">
        <f t="shared" si="204"/>
        <v>-40.774999999999999</v>
      </c>
      <c r="AW168" s="1343">
        <f t="shared" si="204"/>
        <v>-40.774999999999999</v>
      </c>
      <c r="AX168" s="1338"/>
      <c r="AY168" s="1341">
        <f t="shared" ref="AY168:BC168" si="205">-AY10</f>
        <v>-41.606999999999999</v>
      </c>
      <c r="AZ168" s="1342">
        <f t="shared" si="205"/>
        <v>-57.85</v>
      </c>
      <c r="BA168" s="1342">
        <f t="shared" si="205"/>
        <v>-52.325000000000003</v>
      </c>
      <c r="BB168" s="1342">
        <f t="shared" si="205"/>
        <v>-53.372</v>
      </c>
      <c r="BC168" s="1343">
        <f t="shared" si="205"/>
        <v>-53.372</v>
      </c>
      <c r="BD168" s="1338"/>
      <c r="BE168" s="1341">
        <f t="shared" ref="BE168:BI168" si="206">-BE10</f>
        <v>-49.651000000000003</v>
      </c>
      <c r="BF168" s="1342">
        <f t="shared" si="206"/>
        <v>0</v>
      </c>
      <c r="BG168" s="1342">
        <f t="shared" si="206"/>
        <v>0</v>
      </c>
      <c r="BH168" s="1342">
        <f t="shared" si="206"/>
        <v>0</v>
      </c>
      <c r="BI168" s="1343">
        <f t="shared" si="206"/>
        <v>0</v>
      </c>
      <c r="BJ168" s="1338"/>
      <c r="BK168" s="1341">
        <f t="shared" ref="BK168:BO168" si="207">-BK10</f>
        <v>0</v>
      </c>
      <c r="BL168" s="1342">
        <f t="shared" si="207"/>
        <v>0</v>
      </c>
      <c r="BM168" s="1342">
        <f t="shared" si="207"/>
        <v>0</v>
      </c>
      <c r="BN168" s="1342">
        <f t="shared" si="207"/>
        <v>0</v>
      </c>
      <c r="BO168" s="1343">
        <f t="shared" si="207"/>
        <v>0</v>
      </c>
      <c r="BP168" s="1338"/>
      <c r="BQ168" s="1341">
        <f t="shared" ref="BQ168:BU168" si="208">-BQ10</f>
        <v>0</v>
      </c>
      <c r="BR168" s="1342">
        <f t="shared" si="208"/>
        <v>0</v>
      </c>
      <c r="BS168" s="1342">
        <f t="shared" si="208"/>
        <v>0</v>
      </c>
      <c r="BT168" s="1342">
        <f t="shared" si="208"/>
        <v>0</v>
      </c>
      <c r="BU168" s="1343">
        <f t="shared" si="208"/>
        <v>0</v>
      </c>
      <c r="BV168" s="1338"/>
      <c r="BW168" s="1341">
        <f t="shared" ref="BW168:CA168" si="209">-BW10</f>
        <v>0</v>
      </c>
      <c r="BX168" s="1342">
        <f t="shared" si="209"/>
        <v>0</v>
      </c>
      <c r="BY168" s="1342">
        <f t="shared" si="209"/>
        <v>0</v>
      </c>
      <c r="BZ168" s="1342">
        <f t="shared" si="209"/>
        <v>0</v>
      </c>
      <c r="CA168" s="1343">
        <f t="shared" si="209"/>
        <v>0</v>
      </c>
      <c r="CB168" s="1338"/>
      <c r="CC168" s="1341">
        <f t="shared" ref="CC168:CG168" si="210">-CC10</f>
        <v>0</v>
      </c>
      <c r="CD168" s="1342">
        <f t="shared" si="210"/>
        <v>0</v>
      </c>
      <c r="CE168" s="1342">
        <f t="shared" si="210"/>
        <v>0</v>
      </c>
      <c r="CF168" s="1342">
        <f t="shared" si="210"/>
        <v>0</v>
      </c>
      <c r="CG168" s="1343">
        <f t="shared" si="210"/>
        <v>0</v>
      </c>
      <c r="CH168" s="1338"/>
      <c r="CI168" s="1341">
        <f t="shared" ref="CI168:CM168" si="211">-CI10</f>
        <v>0</v>
      </c>
      <c r="CJ168" s="1342">
        <f t="shared" si="211"/>
        <v>0</v>
      </c>
      <c r="CK168" s="1342">
        <f t="shared" si="211"/>
        <v>0</v>
      </c>
      <c r="CL168" s="1342">
        <f t="shared" si="211"/>
        <v>0</v>
      </c>
      <c r="CM168" s="1343">
        <f t="shared" si="211"/>
        <v>0</v>
      </c>
      <c r="CN168" s="11"/>
      <c r="CO168" s="244"/>
      <c r="CP168" s="244"/>
      <c r="CQ168"/>
      <c r="CR168"/>
      <c r="CS168"/>
      <c r="CT168"/>
      <c r="CU168"/>
      <c r="CV168"/>
      <c r="CW168" s="244"/>
    </row>
    <row r="169" spans="2:101" s="128" customFormat="1" ht="11.25" customHeight="1" x14ac:dyDescent="0.2">
      <c r="B169" s="1316" t="s">
        <v>592</v>
      </c>
      <c r="C169" s="1341">
        <f>-C19</f>
        <v>-660.20699999999999</v>
      </c>
      <c r="D169" s="1342">
        <f t="shared" ref="D169:G169" si="212">-D19</f>
        <v>-657.16700000000003</v>
      </c>
      <c r="E169" s="1342">
        <f t="shared" si="212"/>
        <v>-660.35799999999995</v>
      </c>
      <c r="F169" s="1342">
        <f t="shared" si="212"/>
        <v>-660.57299999999998</v>
      </c>
      <c r="G169" s="1343">
        <f t="shared" si="212"/>
        <v>-660.57299999999998</v>
      </c>
      <c r="H169" s="1338"/>
      <c r="I169" s="1341">
        <f>-I19</f>
        <v>-663.28499999999997</v>
      </c>
      <c r="J169" s="1342">
        <f t="shared" ref="J169:M169" si="213">-J19</f>
        <v>-670.72500000000002</v>
      </c>
      <c r="K169" s="1342">
        <f t="shared" si="213"/>
        <v>-672.27300000000002</v>
      </c>
      <c r="L169" s="1342">
        <f t="shared" si="213"/>
        <v>-681.35199999999998</v>
      </c>
      <c r="M169" s="1343">
        <f t="shared" si="213"/>
        <v>-681.35199999999998</v>
      </c>
      <c r="N169" s="1338"/>
      <c r="O169" s="1341">
        <f t="shared" ref="O169:S169" si="214">-O19</f>
        <v>-681.88599999999997</v>
      </c>
      <c r="P169" s="1342">
        <f t="shared" si="214"/>
        <v>-729.44100000000003</v>
      </c>
      <c r="Q169" s="1342">
        <f t="shared" si="214"/>
        <v>-769.505</v>
      </c>
      <c r="R169" s="1342">
        <f t="shared" si="214"/>
        <v>-747.10400000000004</v>
      </c>
      <c r="S169" s="1343">
        <f t="shared" si="214"/>
        <v>-747.10400000000004</v>
      </c>
      <c r="T169" s="1338"/>
      <c r="U169" s="1341">
        <f t="shared" ref="U169:Y169" si="215">-U19</f>
        <v>-781.05799999999999</v>
      </c>
      <c r="V169" s="1342">
        <f t="shared" si="215"/>
        <v>-767.49400000000003</v>
      </c>
      <c r="W169" s="1342">
        <f t="shared" si="215"/>
        <v>-770.08500000000004</v>
      </c>
      <c r="X169" s="1342">
        <f t="shared" si="215"/>
        <v>-782.08299999999997</v>
      </c>
      <c r="Y169" s="1343">
        <f t="shared" si="215"/>
        <v>-782.08299999999997</v>
      </c>
      <c r="Z169" s="1338"/>
      <c r="AA169" s="1341">
        <f t="shared" ref="AA169:AE169" si="216">-AA19</f>
        <v>-804.74599999999998</v>
      </c>
      <c r="AB169" s="1342">
        <f t="shared" si="216"/>
        <v>-786.71799999999996</v>
      </c>
      <c r="AC169" s="1342">
        <f t="shared" si="216"/>
        <v>-793.48800000000006</v>
      </c>
      <c r="AD169" s="1342">
        <f t="shared" si="216"/>
        <v>-795.61599999999999</v>
      </c>
      <c r="AE169" s="1343">
        <f t="shared" si="216"/>
        <v>-795.61599999999999</v>
      </c>
      <c r="AF169" s="1338"/>
      <c r="AG169" s="1341">
        <f t="shared" ref="AG169:AK169" si="217">-AG19</f>
        <v>-795.88199999999995</v>
      </c>
      <c r="AH169" s="1342">
        <f t="shared" si="217"/>
        <v>-798.55100000000004</v>
      </c>
      <c r="AI169" s="1342">
        <f t="shared" si="217"/>
        <v>-803.125</v>
      </c>
      <c r="AJ169" s="1342">
        <f t="shared" si="217"/>
        <v>-810.25199999999995</v>
      </c>
      <c r="AK169" s="1343">
        <f t="shared" si="217"/>
        <v>-810.25199999999995</v>
      </c>
      <c r="AL169" s="1338"/>
      <c r="AM169" s="1341">
        <f t="shared" ref="AM169:AQ169" si="218">-AM19</f>
        <v>-812.16300000000001</v>
      </c>
      <c r="AN169" s="1342">
        <f t="shared" si="218"/>
        <v>-816.51499999999999</v>
      </c>
      <c r="AO169" s="1342">
        <f t="shared" si="218"/>
        <v>-818.78399999999999</v>
      </c>
      <c r="AP169" s="1342">
        <f t="shared" si="218"/>
        <v>-823.74</v>
      </c>
      <c r="AQ169" s="1343">
        <f t="shared" si="218"/>
        <v>-823.74</v>
      </c>
      <c r="AR169" s="1338"/>
      <c r="AS169" s="1341">
        <f t="shared" ref="AS169:AW169" si="219">-AS19</f>
        <v>-822.14099999999996</v>
      </c>
      <c r="AT169" s="1342">
        <f t="shared" si="219"/>
        <v>-839.93200000000002</v>
      </c>
      <c r="AU169" s="1342">
        <f t="shared" si="219"/>
        <v>-844.15800000000002</v>
      </c>
      <c r="AV169" s="1342">
        <f t="shared" si="219"/>
        <v>-844.43299999999999</v>
      </c>
      <c r="AW169" s="1343">
        <f t="shared" si="219"/>
        <v>-844.43299999999999</v>
      </c>
      <c r="AX169" s="1338"/>
      <c r="AY169" s="1341">
        <f t="shared" ref="AY169:BC169" si="220">-AY19</f>
        <v>-845.12400000000002</v>
      </c>
      <c r="AZ169" s="1342">
        <f t="shared" si="220"/>
        <v>-839.63599999999997</v>
      </c>
      <c r="BA169" s="1342">
        <f t="shared" si="220"/>
        <v>-835.09699999999998</v>
      </c>
      <c r="BB169" s="1342">
        <f t="shared" si="220"/>
        <v>-299.92399999999998</v>
      </c>
      <c r="BC169" s="1343">
        <f t="shared" si="220"/>
        <v>-299.92399999999998</v>
      </c>
      <c r="BD169" s="1338"/>
      <c r="BE169" s="1341">
        <f t="shared" ref="BE169:BI169" si="221">-BE19</f>
        <v>-817.48099999999999</v>
      </c>
      <c r="BF169" s="1342">
        <f t="shared" si="221"/>
        <v>-817.59500000000003</v>
      </c>
      <c r="BG169" s="1342">
        <f t="shared" si="221"/>
        <v>-815.31600000000003</v>
      </c>
      <c r="BH169" s="1342">
        <f t="shared" si="221"/>
        <v>-816.59199999999998</v>
      </c>
      <c r="BI169" s="1343">
        <f t="shared" si="221"/>
        <v>-816.59199999999998</v>
      </c>
      <c r="BJ169" s="1338"/>
      <c r="BK169" s="1341">
        <f t="shared" ref="BK169:BO169" si="222">-BK19</f>
        <v>-814.20699999999999</v>
      </c>
      <c r="BL169" s="1342">
        <f t="shared" si="222"/>
        <v>-812.41899999999998</v>
      </c>
      <c r="BM169" s="1342">
        <f t="shared" si="222"/>
        <v>-813.09400000000005</v>
      </c>
      <c r="BN169" s="1342">
        <f t="shared" si="222"/>
        <v>-813.54700000000003</v>
      </c>
      <c r="BO169" s="1343">
        <f t="shared" si="222"/>
        <v>-813.54700000000003</v>
      </c>
      <c r="BP169" s="1338"/>
      <c r="BQ169" s="1341">
        <f t="shared" ref="BQ169:BU169" si="223">-BQ19</f>
        <v>-814.42200000000003</v>
      </c>
      <c r="BR169" s="1342">
        <f t="shared" si="223"/>
        <v>-814.22400000000005</v>
      </c>
      <c r="BS169" s="1342">
        <f t="shared" si="223"/>
        <v>-809.73299999999995</v>
      </c>
      <c r="BT169" s="1342">
        <f t="shared" si="223"/>
        <v>-809.73299999999995</v>
      </c>
      <c r="BU169" s="1343">
        <f t="shared" si="223"/>
        <v>-809.73299999999995</v>
      </c>
      <c r="BV169" s="1338"/>
      <c r="BW169" s="1341">
        <f t="shared" ref="BW169:CA169" si="224">-BW19</f>
        <v>-809.73299999999995</v>
      </c>
      <c r="BX169" s="1342">
        <f t="shared" si="224"/>
        <v>-809.73299999999995</v>
      </c>
      <c r="BY169" s="1342">
        <f t="shared" si="224"/>
        <v>-809.73299999999995</v>
      </c>
      <c r="BZ169" s="1342">
        <f t="shared" si="224"/>
        <v>-809.73299999999995</v>
      </c>
      <c r="CA169" s="1343">
        <f t="shared" si="224"/>
        <v>-809.73299999999995</v>
      </c>
      <c r="CB169" s="1338"/>
      <c r="CC169" s="1341">
        <f t="shared" ref="CC169:CG169" si="225">-CC19</f>
        <v>-809.73299999999995</v>
      </c>
      <c r="CD169" s="1342">
        <f t="shared" si="225"/>
        <v>-809.73299999999995</v>
      </c>
      <c r="CE169" s="1342">
        <f t="shared" si="225"/>
        <v>-809.73299999999995</v>
      </c>
      <c r="CF169" s="1342">
        <f t="shared" si="225"/>
        <v>-809.73299999999995</v>
      </c>
      <c r="CG169" s="1343">
        <f t="shared" si="225"/>
        <v>-809.73299999999995</v>
      </c>
      <c r="CH169" s="1338"/>
      <c r="CI169" s="1341">
        <f t="shared" ref="CI169:CM169" si="226">-CI19</f>
        <v>-809.73299999999995</v>
      </c>
      <c r="CJ169" s="1342">
        <f t="shared" si="226"/>
        <v>-809.73299999999995</v>
      </c>
      <c r="CK169" s="1342">
        <f t="shared" si="226"/>
        <v>-809.73299999999995</v>
      </c>
      <c r="CL169" s="1342">
        <f t="shared" si="226"/>
        <v>-809.73299999999995</v>
      </c>
      <c r="CM169" s="1343">
        <f t="shared" si="226"/>
        <v>-809.73299999999995</v>
      </c>
      <c r="CN169" s="11"/>
      <c r="CO169" s="244"/>
      <c r="CP169" s="244"/>
      <c r="CQ169"/>
      <c r="CR169"/>
      <c r="CS169"/>
      <c r="CT169"/>
      <c r="CU169"/>
      <c r="CV169"/>
      <c r="CW169" s="244"/>
    </row>
    <row r="170" spans="2:101" s="128" customFormat="1" ht="11.25" customHeight="1" x14ac:dyDescent="0.2">
      <c r="B170" s="1090" t="s">
        <v>593</v>
      </c>
      <c r="C170" s="1346">
        <f t="shared" ref="C170:F171" si="227">+SUM(C156:C168)</f>
        <v>1367.578</v>
      </c>
      <c r="D170" s="1347">
        <f t="shared" si="227"/>
        <v>1398.643</v>
      </c>
      <c r="E170" s="1347">
        <f t="shared" si="227"/>
        <v>1415.5719999999999</v>
      </c>
      <c r="F170" s="1347">
        <f t="shared" si="227"/>
        <v>1371.0740000000001</v>
      </c>
      <c r="G170" s="1348">
        <f t="shared" ref="G170:S171" si="228">+F170</f>
        <v>1371.0740000000001</v>
      </c>
      <c r="H170" s="1338"/>
      <c r="I170" s="1346">
        <f t="shared" ref="I170:L171" si="229">+SUM(I156:I168)</f>
        <v>1392.7639999999999</v>
      </c>
      <c r="J170" s="1347">
        <f t="shared" si="229"/>
        <v>1414.0339999999997</v>
      </c>
      <c r="K170" s="1347">
        <f t="shared" si="229"/>
        <v>1395.7799999999997</v>
      </c>
      <c r="L170" s="1347">
        <f t="shared" si="229"/>
        <v>1432.1519999999998</v>
      </c>
      <c r="M170" s="1348">
        <f t="shared" si="228"/>
        <v>1432.1519999999998</v>
      </c>
      <c r="N170" s="1338"/>
      <c r="O170" s="1346">
        <f t="shared" ref="O170:R171" si="230">+SUM(O156:O168)</f>
        <v>1459.5190000000002</v>
      </c>
      <c r="P170" s="1347">
        <f t="shared" si="230"/>
        <v>1542.2559999999999</v>
      </c>
      <c r="Q170" s="1347">
        <f t="shared" si="230"/>
        <v>1629.83</v>
      </c>
      <c r="R170" s="1347">
        <f t="shared" si="230"/>
        <v>1663.2549999999999</v>
      </c>
      <c r="S170" s="1348">
        <f t="shared" si="228"/>
        <v>1663.2549999999999</v>
      </c>
      <c r="T170" s="1338"/>
      <c r="U170" s="1349">
        <f t="shared" ref="U170:X171" si="231">+SUM(U156:U168)</f>
        <v>1723.7339999999999</v>
      </c>
      <c r="V170" s="1350">
        <f t="shared" si="231"/>
        <v>1770.3430000000001</v>
      </c>
      <c r="W170" s="1350">
        <f t="shared" si="231"/>
        <v>1723.8810000000001</v>
      </c>
      <c r="X170" s="1350">
        <f t="shared" si="231"/>
        <v>1734.027</v>
      </c>
      <c r="Y170" s="1351">
        <f t="shared" ref="Y170:AK171" si="232">+X170</f>
        <v>1734.027</v>
      </c>
      <c r="Z170" s="1345"/>
      <c r="AA170" s="1349">
        <f t="shared" ref="AA170:AD171" si="233">+SUM(AA156:AA168)</f>
        <v>1820.2149999999997</v>
      </c>
      <c r="AB170" s="1350">
        <f t="shared" si="233"/>
        <v>1800.877</v>
      </c>
      <c r="AC170" s="1350">
        <f t="shared" si="233"/>
        <v>1788.836</v>
      </c>
      <c r="AD170" s="1350">
        <f t="shared" si="233"/>
        <v>1808.8720000000003</v>
      </c>
      <c r="AE170" s="1351">
        <f t="shared" si="232"/>
        <v>1808.8720000000003</v>
      </c>
      <c r="AF170" s="1345"/>
      <c r="AG170" s="1349">
        <f t="shared" ref="AG170:AJ171" si="234">+SUM(AG156:AG168)</f>
        <v>1794.0269999999998</v>
      </c>
      <c r="AH170" s="1350">
        <f t="shared" si="234"/>
        <v>1804.4669999999999</v>
      </c>
      <c r="AI170" s="1350">
        <f t="shared" si="234"/>
        <v>1766.788</v>
      </c>
      <c r="AJ170" s="1350">
        <f t="shared" si="234"/>
        <v>1760.9390000000003</v>
      </c>
      <c r="AK170" s="1351">
        <f t="shared" si="232"/>
        <v>1760.9390000000003</v>
      </c>
      <c r="AL170" s="1345"/>
      <c r="AM170" s="1349">
        <f t="shared" ref="AM170:AP171" si="235">+SUM(AM156:AM168)</f>
        <v>1743.3649999999998</v>
      </c>
      <c r="AN170" s="1350">
        <f t="shared" si="235"/>
        <v>1737.1519999999998</v>
      </c>
      <c r="AO170" s="1350">
        <f t="shared" si="235"/>
        <v>1758.0139999999997</v>
      </c>
      <c r="AP170" s="1350">
        <f t="shared" si="235"/>
        <v>1728.0309999999999</v>
      </c>
      <c r="AQ170" s="1351">
        <f t="shared" ref="AQ170:BC171" si="236">+AP170</f>
        <v>1728.0309999999999</v>
      </c>
      <c r="AR170" s="1345"/>
      <c r="AS170" s="1349">
        <f t="shared" ref="AS170:AV171" si="237">+SUM(AS156:AS168)</f>
        <v>1765.7660000000001</v>
      </c>
      <c r="AT170" s="1350">
        <f t="shared" si="237"/>
        <v>1901.6080000000002</v>
      </c>
      <c r="AU170" s="1350">
        <f t="shared" si="237"/>
        <v>1968.396</v>
      </c>
      <c r="AV170" s="1350">
        <f t="shared" si="237"/>
        <v>2015.5310000000004</v>
      </c>
      <c r="AW170" s="1351">
        <f t="shared" si="236"/>
        <v>2015.5310000000004</v>
      </c>
      <c r="AX170" s="1345"/>
      <c r="AY170" s="1349">
        <f t="shared" ref="AY170:BB171" si="238">+SUM(AY156:AY168)</f>
        <v>2013.8590000000004</v>
      </c>
      <c r="AZ170" s="1350">
        <f t="shared" si="238"/>
        <v>1967.6410000000003</v>
      </c>
      <c r="BA170" s="1350">
        <f t="shared" si="238"/>
        <v>1960.4229999999998</v>
      </c>
      <c r="BB170" s="1350">
        <f t="shared" si="238"/>
        <v>1966.931</v>
      </c>
      <c r="BC170" s="1351">
        <f t="shared" si="236"/>
        <v>1966.931</v>
      </c>
      <c r="BD170" s="1345"/>
      <c r="BE170" s="1349">
        <f t="shared" ref="BE170:BH171" si="239">+SUM(BE156:BE168)</f>
        <v>3348.951</v>
      </c>
      <c r="BF170" s="1350">
        <f t="shared" si="239"/>
        <v>2654.0219999999999</v>
      </c>
      <c r="BG170" s="1350">
        <f t="shared" si="239"/>
        <v>2756.8710000000001</v>
      </c>
      <c r="BH170" s="1350">
        <f t="shared" si="239"/>
        <v>2590.5160000000001</v>
      </c>
      <c r="BI170" s="1351">
        <f t="shared" ref="BI170:BU171" si="240">+BH170</f>
        <v>2590.5160000000001</v>
      </c>
      <c r="BJ170" s="1345"/>
      <c r="BK170" s="1349">
        <f t="shared" ref="BK170:BN171" si="241">+SUM(BK156:BK168)</f>
        <v>2698.848</v>
      </c>
      <c r="BL170" s="1350">
        <f t="shared" si="241"/>
        <v>2716.9369999999999</v>
      </c>
      <c r="BM170" s="1350">
        <f t="shared" si="241"/>
        <v>2696.6240000000003</v>
      </c>
      <c r="BN170" s="1350">
        <f t="shared" si="241"/>
        <v>2582.777</v>
      </c>
      <c r="BO170" s="1351">
        <f t="shared" si="240"/>
        <v>2582.777</v>
      </c>
      <c r="BP170" s="1345"/>
      <c r="BQ170" s="1349">
        <f t="shared" ref="BQ170:BT171" si="242">+SUM(BQ156:BQ168)</f>
        <v>2671.1529999999998</v>
      </c>
      <c r="BR170" s="1350">
        <f t="shared" si="242"/>
        <v>2583.1459999999997</v>
      </c>
      <c r="BS170" s="1350">
        <f t="shared" si="242"/>
        <v>2710.0209999999997</v>
      </c>
      <c r="BT170" s="1350">
        <f t="shared" si="242"/>
        <v>2639.5045821183871</v>
      </c>
      <c r="BU170" s="1351">
        <f t="shared" si="240"/>
        <v>2639.5045821183871</v>
      </c>
      <c r="BV170" s="1345"/>
      <c r="BW170" s="1349">
        <f t="shared" ref="BW170:BZ171" si="243">+SUM(BW156:BW168)</f>
        <v>2592.746726121552</v>
      </c>
      <c r="BX170" s="1350">
        <f t="shared" si="243"/>
        <v>2643.8809850951143</v>
      </c>
      <c r="BY170" s="1350">
        <f t="shared" si="243"/>
        <v>2624.0784647443347</v>
      </c>
      <c r="BZ170" s="1350">
        <f t="shared" si="243"/>
        <v>2600.2951579929941</v>
      </c>
      <c r="CA170" s="1351">
        <f t="shared" ref="CA170:CG171" si="244">+BZ170</f>
        <v>2600.2951579929941</v>
      </c>
      <c r="CB170" s="1345"/>
      <c r="CC170" s="1349">
        <f t="shared" ref="CC170:CF171" si="245">+SUM(CC156:CC168)</f>
        <v>2581.647046517015</v>
      </c>
      <c r="CD170" s="1350">
        <f t="shared" si="245"/>
        <v>2637.2921169349625</v>
      </c>
      <c r="CE170" s="1350">
        <f t="shared" si="245"/>
        <v>2620.0787832950205</v>
      </c>
      <c r="CF170" s="1350">
        <f t="shared" si="245"/>
        <v>2596.298334007151</v>
      </c>
      <c r="CG170" s="1351">
        <f t="shared" si="244"/>
        <v>2596.298334007151</v>
      </c>
      <c r="CH170" s="1345"/>
      <c r="CI170" s="1349">
        <f t="shared" ref="CI170:CL170" si="246">+SUM(CI156:CI168)</f>
        <v>2577.316047638637</v>
      </c>
      <c r="CJ170" s="1350">
        <f t="shared" si="246"/>
        <v>2634.8535951214458</v>
      </c>
      <c r="CK170" s="1350">
        <f t="shared" si="246"/>
        <v>2616.3473440352514</v>
      </c>
      <c r="CL170" s="1350">
        <f t="shared" si="246"/>
        <v>2591.6455604281086</v>
      </c>
      <c r="CM170" s="1351">
        <f t="shared" ref="CM170:CM171" si="247">+CL170</f>
        <v>2591.6455604281086</v>
      </c>
      <c r="CN170" s="11"/>
      <c r="CO170" s="244"/>
      <c r="CP170" s="244"/>
      <c r="CQ170"/>
      <c r="CR170"/>
      <c r="CS170"/>
      <c r="CT170"/>
      <c r="CU170"/>
      <c r="CV170"/>
      <c r="CW170" s="244"/>
    </row>
    <row r="171" spans="2:101" s="128" customFormat="1" ht="11.25" customHeight="1" x14ac:dyDescent="0.2">
      <c r="B171" s="1090" t="s">
        <v>594</v>
      </c>
      <c r="C171" s="1346">
        <f t="shared" si="227"/>
        <v>707.37099999999998</v>
      </c>
      <c r="D171" s="1347">
        <f t="shared" si="227"/>
        <v>741.476</v>
      </c>
      <c r="E171" s="1347">
        <f t="shared" si="227"/>
        <v>755.21399999999994</v>
      </c>
      <c r="F171" s="1347">
        <f t="shared" si="227"/>
        <v>710.50100000000009</v>
      </c>
      <c r="G171" s="1348">
        <f t="shared" si="228"/>
        <v>710.50100000000009</v>
      </c>
      <c r="H171" s="1338"/>
      <c r="I171" s="1346">
        <f t="shared" si="229"/>
        <v>729.47899999999993</v>
      </c>
      <c r="J171" s="1347">
        <f t="shared" si="229"/>
        <v>743.30899999999963</v>
      </c>
      <c r="K171" s="1347">
        <f t="shared" si="229"/>
        <v>723.50699999999972</v>
      </c>
      <c r="L171" s="1347">
        <f t="shared" si="229"/>
        <v>750.79999999999984</v>
      </c>
      <c r="M171" s="1348">
        <f t="shared" si="228"/>
        <v>750.79999999999984</v>
      </c>
      <c r="N171" s="1338"/>
      <c r="O171" s="1346">
        <f t="shared" si="230"/>
        <v>777.63300000000027</v>
      </c>
      <c r="P171" s="1347">
        <f t="shared" si="230"/>
        <v>812.81499999999983</v>
      </c>
      <c r="Q171" s="1347">
        <f t="shared" si="230"/>
        <v>860.32499999999993</v>
      </c>
      <c r="R171" s="1347">
        <f t="shared" si="230"/>
        <v>916.15099999999984</v>
      </c>
      <c r="S171" s="1348">
        <f t="shared" si="228"/>
        <v>916.15099999999984</v>
      </c>
      <c r="T171" s="1338"/>
      <c r="U171" s="1349">
        <f t="shared" si="231"/>
        <v>942.67599999999993</v>
      </c>
      <c r="V171" s="1350">
        <f t="shared" si="231"/>
        <v>1002.849</v>
      </c>
      <c r="W171" s="1350">
        <f t="shared" si="231"/>
        <v>953.79600000000005</v>
      </c>
      <c r="X171" s="1350">
        <f t="shared" si="231"/>
        <v>951.94400000000007</v>
      </c>
      <c r="Y171" s="1351">
        <f t="shared" si="232"/>
        <v>951.94400000000007</v>
      </c>
      <c r="Z171" s="1345"/>
      <c r="AA171" s="1349">
        <f t="shared" si="233"/>
        <v>1015.4689999999997</v>
      </c>
      <c r="AB171" s="1350">
        <f t="shared" si="233"/>
        <v>1014.159</v>
      </c>
      <c r="AC171" s="1350">
        <f t="shared" si="233"/>
        <v>995.34799999999996</v>
      </c>
      <c r="AD171" s="1350">
        <f t="shared" si="233"/>
        <v>1013.2560000000003</v>
      </c>
      <c r="AE171" s="1351">
        <f t="shared" si="232"/>
        <v>1013.2560000000003</v>
      </c>
      <c r="AF171" s="1345"/>
      <c r="AG171" s="1349">
        <f t="shared" si="234"/>
        <v>998.14499999999987</v>
      </c>
      <c r="AH171" s="1350">
        <f t="shared" si="234"/>
        <v>1005.9159999999998</v>
      </c>
      <c r="AI171" s="1350">
        <f t="shared" si="234"/>
        <v>963.66300000000001</v>
      </c>
      <c r="AJ171" s="1350">
        <f t="shared" si="234"/>
        <v>950.68700000000035</v>
      </c>
      <c r="AK171" s="1351">
        <f t="shared" si="232"/>
        <v>950.68700000000035</v>
      </c>
      <c r="AL171" s="1345"/>
      <c r="AM171" s="1349">
        <f t="shared" si="235"/>
        <v>931.20199999999977</v>
      </c>
      <c r="AN171" s="1350">
        <f t="shared" si="235"/>
        <v>920.63699999999983</v>
      </c>
      <c r="AO171" s="1350">
        <f t="shared" si="235"/>
        <v>939.22999999999968</v>
      </c>
      <c r="AP171" s="1350">
        <f t="shared" si="235"/>
        <v>904.29099999999994</v>
      </c>
      <c r="AQ171" s="1351">
        <f t="shared" si="236"/>
        <v>904.29099999999994</v>
      </c>
      <c r="AR171" s="1345"/>
      <c r="AS171" s="1349">
        <f t="shared" si="237"/>
        <v>943.62500000000011</v>
      </c>
      <c r="AT171" s="1350">
        <f t="shared" si="237"/>
        <v>1061.6760000000002</v>
      </c>
      <c r="AU171" s="1350">
        <f t="shared" si="237"/>
        <v>1124.2379999999998</v>
      </c>
      <c r="AV171" s="1350">
        <f t="shared" si="237"/>
        <v>1171.0980000000004</v>
      </c>
      <c r="AW171" s="1351">
        <f t="shared" si="236"/>
        <v>1171.0980000000004</v>
      </c>
      <c r="AX171" s="1345"/>
      <c r="AY171" s="1349">
        <f t="shared" si="238"/>
        <v>1168.7350000000004</v>
      </c>
      <c r="AZ171" s="1350">
        <f t="shared" si="238"/>
        <v>1128.0050000000003</v>
      </c>
      <c r="BA171" s="1350">
        <f t="shared" si="238"/>
        <v>1125.3259999999998</v>
      </c>
      <c r="BB171" s="1350">
        <f t="shared" si="238"/>
        <v>1667.0070000000001</v>
      </c>
      <c r="BC171" s="1351">
        <f t="shared" si="236"/>
        <v>1667.0070000000001</v>
      </c>
      <c r="BD171" s="1345"/>
      <c r="BE171" s="1349">
        <f t="shared" si="239"/>
        <v>2531.4700000000003</v>
      </c>
      <c r="BF171" s="1350">
        <f t="shared" si="239"/>
        <v>1836.4269999999999</v>
      </c>
      <c r="BG171" s="1350">
        <f t="shared" si="239"/>
        <v>1941.5550000000001</v>
      </c>
      <c r="BH171" s="1350">
        <f t="shared" si="239"/>
        <v>1773.924</v>
      </c>
      <c r="BI171" s="1351">
        <f t="shared" si="240"/>
        <v>1773.924</v>
      </c>
      <c r="BJ171" s="1345"/>
      <c r="BK171" s="1349">
        <f t="shared" si="241"/>
        <v>1884.6410000000001</v>
      </c>
      <c r="BL171" s="1350">
        <f t="shared" si="241"/>
        <v>1904.518</v>
      </c>
      <c r="BM171" s="1350">
        <f t="shared" si="241"/>
        <v>1883.5300000000002</v>
      </c>
      <c r="BN171" s="1350">
        <f t="shared" si="241"/>
        <v>1769.23</v>
      </c>
      <c r="BO171" s="1351">
        <f t="shared" si="240"/>
        <v>1769.23</v>
      </c>
      <c r="BP171" s="1345"/>
      <c r="BQ171" s="1349">
        <f t="shared" si="242"/>
        <v>1856.7309999999998</v>
      </c>
      <c r="BR171" s="1350">
        <f t="shared" si="242"/>
        <v>1768.9219999999996</v>
      </c>
      <c r="BS171" s="1350">
        <f t="shared" si="242"/>
        <v>1900.2879999999998</v>
      </c>
      <c r="BT171" s="1350">
        <f t="shared" si="242"/>
        <v>1829.7715821183872</v>
      </c>
      <c r="BU171" s="1351">
        <f t="shared" si="240"/>
        <v>1829.7715821183872</v>
      </c>
      <c r="BV171" s="1345"/>
      <c r="BW171" s="1349">
        <f t="shared" si="243"/>
        <v>1783.0137261215521</v>
      </c>
      <c r="BX171" s="1350">
        <f t="shared" si="243"/>
        <v>1834.1479850951143</v>
      </c>
      <c r="BY171" s="1350">
        <f t="shared" si="243"/>
        <v>1814.3454647443348</v>
      </c>
      <c r="BZ171" s="1350">
        <f t="shared" si="243"/>
        <v>1790.5621579929941</v>
      </c>
      <c r="CA171" s="1351">
        <f t="shared" si="244"/>
        <v>1790.5621579929941</v>
      </c>
      <c r="CB171" s="1345"/>
      <c r="CC171" s="1349">
        <f t="shared" si="245"/>
        <v>1771.9140465170151</v>
      </c>
      <c r="CD171" s="1350">
        <f t="shared" si="245"/>
        <v>1827.5591169349625</v>
      </c>
      <c r="CE171" s="1350">
        <f t="shared" si="245"/>
        <v>1810.3457832950205</v>
      </c>
      <c r="CF171" s="1350">
        <f t="shared" si="245"/>
        <v>1786.565334007151</v>
      </c>
      <c r="CG171" s="1351">
        <f t="shared" si="244"/>
        <v>1786.565334007151</v>
      </c>
      <c r="CH171" s="1345"/>
      <c r="CI171" s="1349">
        <f t="shared" ref="CI171:CL171" si="248">+SUM(CI157:CI169)</f>
        <v>1767.583047638637</v>
      </c>
      <c r="CJ171" s="1350">
        <f t="shared" si="248"/>
        <v>1825.1205951214458</v>
      </c>
      <c r="CK171" s="1350">
        <f t="shared" si="248"/>
        <v>1806.6143440352514</v>
      </c>
      <c r="CL171" s="1350">
        <f t="shared" si="248"/>
        <v>1781.9125604281087</v>
      </c>
      <c r="CM171" s="1351">
        <f t="shared" si="247"/>
        <v>1781.9125604281087</v>
      </c>
      <c r="CN171" s="11"/>
      <c r="CO171" s="244"/>
      <c r="CP171" s="244"/>
      <c r="CQ171"/>
      <c r="CR171"/>
      <c r="CS171"/>
      <c r="CT171"/>
      <c r="CU171"/>
      <c r="CV171"/>
      <c r="CW171" s="244"/>
    </row>
    <row r="172" spans="2:101" s="128" customFormat="1" ht="11.25" customHeight="1" x14ac:dyDescent="0.2">
      <c r="B172" s="1316"/>
      <c r="C172" s="1352"/>
      <c r="D172" s="1353"/>
      <c r="E172" s="1353"/>
      <c r="F172" s="1353"/>
      <c r="G172" s="1354"/>
      <c r="H172" s="1355"/>
      <c r="I172" s="1352"/>
      <c r="J172" s="1353"/>
      <c r="K172" s="1353"/>
      <c r="L172" s="1353"/>
      <c r="M172" s="1354"/>
      <c r="N172" s="1355"/>
      <c r="O172" s="1352"/>
      <c r="P172" s="1353"/>
      <c r="Q172" s="1353"/>
      <c r="R172" s="1353"/>
      <c r="S172" s="1354"/>
      <c r="T172" s="1355"/>
      <c r="U172" s="1352"/>
      <c r="V172" s="1353"/>
      <c r="W172" s="1353"/>
      <c r="X172" s="1353"/>
      <c r="Y172" s="1354"/>
      <c r="Z172" s="1355"/>
      <c r="AA172" s="1352"/>
      <c r="AB172" s="1353"/>
      <c r="AC172" s="1353"/>
      <c r="AD172" s="1353"/>
      <c r="AE172" s="1354"/>
      <c r="AF172" s="1355"/>
      <c r="AG172" s="1352"/>
      <c r="AH172" s="1353"/>
      <c r="AI172" s="1353"/>
      <c r="AJ172" s="1353"/>
      <c r="AK172" s="1354"/>
      <c r="AL172" s="1355"/>
      <c r="AM172" s="1352"/>
      <c r="AN172" s="1353"/>
      <c r="AO172" s="1353"/>
      <c r="AP172" s="1353"/>
      <c r="AQ172" s="1354"/>
      <c r="AR172" s="1355"/>
      <c r="AS172" s="1352"/>
      <c r="AT172" s="1353"/>
      <c r="AU172" s="1353"/>
      <c r="AV172" s="1353"/>
      <c r="AW172" s="1354"/>
      <c r="AX172" s="1355"/>
      <c r="AY172" s="1356"/>
      <c r="AZ172" s="1321"/>
      <c r="BA172" s="1321"/>
      <c r="BB172" s="1321"/>
      <c r="BC172" s="1354"/>
      <c r="BD172" s="1355"/>
      <c r="BE172" s="1356"/>
      <c r="BF172" s="1321"/>
      <c r="BG172" s="1353"/>
      <c r="BH172" s="1353"/>
      <c r="BI172" s="1354"/>
      <c r="BJ172" s="1355"/>
      <c r="BK172" s="1356"/>
      <c r="BL172" s="1321"/>
      <c r="BM172" s="1353"/>
      <c r="BN172" s="1353"/>
      <c r="BO172" s="1354"/>
      <c r="BP172" s="1355"/>
      <c r="BQ172" s="1352"/>
      <c r="BR172" s="1353"/>
      <c r="BS172" s="1353"/>
      <c r="BT172" s="1353"/>
      <c r="BU172" s="1354"/>
      <c r="BV172" s="1355"/>
      <c r="BW172" s="1352"/>
      <c r="BX172" s="1353"/>
      <c r="BY172" s="1353"/>
      <c r="BZ172" s="1353"/>
      <c r="CA172" s="1354"/>
      <c r="CB172" s="1355"/>
      <c r="CC172" s="1352"/>
      <c r="CD172" s="1353"/>
      <c r="CE172" s="1353"/>
      <c r="CF172" s="1353"/>
      <c r="CG172" s="1354"/>
      <c r="CH172" s="1355"/>
      <c r="CI172" s="1352"/>
      <c r="CJ172" s="1353"/>
      <c r="CK172" s="1353"/>
      <c r="CL172" s="1353"/>
      <c r="CM172" s="1354"/>
      <c r="CN172" s="11"/>
      <c r="CO172" s="244"/>
      <c r="CP172" s="244"/>
      <c r="CQ172"/>
      <c r="CR172"/>
      <c r="CS172"/>
      <c r="CT172"/>
      <c r="CU172"/>
      <c r="CV172"/>
      <c r="CW172" s="244"/>
    </row>
    <row r="173" spans="2:101" s="128" customFormat="1" ht="11.25" customHeight="1" x14ac:dyDescent="0.2">
      <c r="B173" s="1090" t="s">
        <v>595</v>
      </c>
      <c r="C173" s="1357">
        <f>+C153*4/C170</f>
        <v>0.12498544759178899</v>
      </c>
      <c r="D173" s="1332">
        <f t="shared" ref="D173:F173" si="249">+D153*4/D170</f>
        <v>0.14066162548191377</v>
      </c>
      <c r="E173" s="1332">
        <f t="shared" si="249"/>
        <v>0.16865657573729798</v>
      </c>
      <c r="F173" s="1332">
        <f t="shared" si="249"/>
        <v>0.17672554099836518</v>
      </c>
      <c r="G173" s="1333">
        <f>+G153/AVERAGE(C170:F170)</f>
        <v>0.1528437559405329</v>
      </c>
      <c r="H173" s="1355"/>
      <c r="I173" s="1357">
        <f>+I153*4/I170</f>
        <v>0.13545607493267595</v>
      </c>
      <c r="J173" s="1332">
        <f t="shared" ref="J173:L173" si="250">+J153*4/J170</f>
        <v>0.15069288081501683</v>
      </c>
      <c r="K173" s="1332">
        <f t="shared" si="250"/>
        <v>0.1722768786503574</v>
      </c>
      <c r="L173" s="1332">
        <f t="shared" si="250"/>
        <v>0.18293193669995766</v>
      </c>
      <c r="M173" s="1333">
        <f>+M153/AVERAGE(I170:L170)</f>
        <v>0.16041560303650029</v>
      </c>
      <c r="N173" s="1355"/>
      <c r="O173" s="1357">
        <f t="shared" ref="O173:R173" si="251">+O153*4/O170</f>
        <v>0.13607770600739533</v>
      </c>
      <c r="P173" s="1332">
        <f t="shared" si="251"/>
        <v>0.13382096910031507</v>
      </c>
      <c r="Q173" s="1332">
        <f t="shared" si="251"/>
        <v>0.13991010684952462</v>
      </c>
      <c r="R173" s="1332">
        <f t="shared" si="251"/>
        <v>0.13942610412459988</v>
      </c>
      <c r="S173" s="1333">
        <f t="shared" ref="S173" si="252">+S153/AVERAGE(O170:R170)</f>
        <v>0.13740236584947169</v>
      </c>
      <c r="T173" s="1355"/>
      <c r="U173" s="1357">
        <f t="shared" ref="U173:X173" si="253">+U153*4/U170</f>
        <v>0.11084757735584366</v>
      </c>
      <c r="V173" s="1332">
        <f t="shared" si="253"/>
        <v>0.11668081101100504</v>
      </c>
      <c r="W173" s="1332">
        <f t="shared" si="253"/>
        <v>0.13629458411551038</v>
      </c>
      <c r="X173" s="1332">
        <f t="shared" si="253"/>
        <v>0.14824545273776885</v>
      </c>
      <c r="Y173" s="1333">
        <f t="shared" ref="Y173" si="254">+Y153/AVERAGE(U170:X170)</f>
        <v>0.12797909490235068</v>
      </c>
      <c r="Z173" s="1355"/>
      <c r="AA173" s="1357">
        <f t="shared" ref="AA173:AD173" si="255">+AA153*4/AA170</f>
        <v>0.12300261392759125</v>
      </c>
      <c r="AB173" s="1332">
        <f t="shared" si="255"/>
        <v>0.12517535465041887</v>
      </c>
      <c r="AC173" s="1332">
        <f t="shared" si="255"/>
        <v>0.13309144150508811</v>
      </c>
      <c r="AD173" s="1332">
        <f t="shared" si="255"/>
        <v>0.14661092494486513</v>
      </c>
      <c r="AE173" s="1333">
        <f t="shared" ref="AE173" si="256">+AE153/AVERAGE(AA170:AD170)</f>
        <v>0.13194865017462787</v>
      </c>
      <c r="AF173" s="1355"/>
      <c r="AG173" s="1357">
        <f t="shared" ref="AG173:AJ173" si="257">+AG153*4/AG170</f>
        <v>0.11562302710285195</v>
      </c>
      <c r="AH173" s="1332">
        <f t="shared" si="257"/>
        <v>0.11727126193822136</v>
      </c>
      <c r="AI173" s="1332">
        <f t="shared" si="257"/>
        <v>0.13204942576582851</v>
      </c>
      <c r="AJ173" s="1332">
        <f t="shared" si="257"/>
        <v>0.15437304357969625</v>
      </c>
      <c r="AK173" s="1333">
        <f t="shared" ref="AK173" si="258">+AK153/AVERAGE(AG170:AJ170)</f>
        <v>0.12966728914316211</v>
      </c>
      <c r="AL173" s="1355"/>
      <c r="AM173" s="1357">
        <f t="shared" ref="AM173:AP173" si="259">+AM153*4/AM170</f>
        <v>0.1222298213944904</v>
      </c>
      <c r="AN173" s="1332">
        <f t="shared" si="259"/>
        <v>0.1176340437101018</v>
      </c>
      <c r="AO173" s="1332">
        <f t="shared" si="259"/>
        <v>0.13356711476797772</v>
      </c>
      <c r="AP173" s="1332">
        <f t="shared" si="259"/>
        <v>0.15976029347612333</v>
      </c>
      <c r="AQ173" s="1333">
        <f t="shared" ref="AQ173" si="260">+AQ153/AVERAGE(AM170:AP170)</f>
        <v>0.13326642252660331</v>
      </c>
      <c r="AR173" s="1355"/>
      <c r="AS173" s="1357">
        <f t="shared" ref="AS173:AV173" si="261">+AS153*4/AS170</f>
        <v>0.11710471877719206</v>
      </c>
      <c r="AT173" s="1332">
        <f t="shared" si="261"/>
        <v>0.11183600856138873</v>
      </c>
      <c r="AU173" s="1332">
        <f t="shared" si="261"/>
        <v>0.12925347567984757</v>
      </c>
      <c r="AV173" s="1332">
        <f t="shared" si="261"/>
        <v>0.13172608822134202</v>
      </c>
      <c r="AW173" s="1333">
        <f t="shared" ref="AW173" si="262">+AW153/AVERAGE(AS170:AV170)</f>
        <v>0.12278870109559853</v>
      </c>
      <c r="AX173" s="1355"/>
      <c r="AY173" s="1357">
        <f t="shared" ref="AY173:BB173" si="263">+AY153*4/AY170</f>
        <v>8.957830530333083E-2</v>
      </c>
      <c r="AZ173" s="1332">
        <f t="shared" si="263"/>
        <v>9.9305109074588893E-2</v>
      </c>
      <c r="BA173" s="1332">
        <f t="shared" si="263"/>
        <v>0.10957873369843006</v>
      </c>
      <c r="BB173" s="1332">
        <f t="shared" si="263"/>
        <v>0.12405033643379837</v>
      </c>
      <c r="BC173" s="1333">
        <f t="shared" ref="BC173" si="264">+BC153/AVERAGE(AY170:BB170)</f>
        <v>0.10552490752029525</v>
      </c>
      <c r="BD173" s="1355"/>
      <c r="BE173" s="1357">
        <f t="shared" ref="BE173:BH173" si="265">+BE153*4/BE170</f>
        <v>6.5000280489613343E-2</v>
      </c>
      <c r="BF173" s="1332">
        <f t="shared" si="265"/>
        <v>9.3989219521320083E-2</v>
      </c>
      <c r="BG173" s="1332">
        <f t="shared" si="265"/>
        <v>0.10391857812701126</v>
      </c>
      <c r="BH173" s="1332">
        <f t="shared" si="265"/>
        <v>0.12356306235713334</v>
      </c>
      <c r="BI173" s="1333">
        <f t="shared" ref="BI173" si="266">+BI153/AVERAGE(BE170:BH170)</f>
        <v>9.4624453802822819E-2</v>
      </c>
      <c r="BJ173" s="1355"/>
      <c r="BK173" s="1357">
        <f t="shared" ref="BK173:BN173" si="267">+BK153*4/BK170</f>
        <v>8.005399782090164E-2</v>
      </c>
      <c r="BL173" s="1332">
        <f t="shared" si="267"/>
        <v>8.6820126992550678E-2</v>
      </c>
      <c r="BM173" s="1332">
        <f t="shared" si="267"/>
        <v>9.2477673485864748E-2</v>
      </c>
      <c r="BN173" s="1332">
        <f t="shared" si="267"/>
        <v>0.11259624622239607</v>
      </c>
      <c r="BO173" s="1333">
        <f t="shared" ref="BO173" si="268">+BO153/AVERAGE(BK170:BN170)</f>
        <v>9.2759684221275257E-2</v>
      </c>
      <c r="BP173" s="1355"/>
      <c r="BQ173" s="1357">
        <f t="shared" ref="BQ173:BT173" si="269">+BQ153*4/BQ170</f>
        <v>7.147726005772638E-2</v>
      </c>
      <c r="BR173" s="1332">
        <f t="shared" si="269"/>
        <v>8.4159503950972714E-2</v>
      </c>
      <c r="BS173" s="1332">
        <f t="shared" si="269"/>
        <v>6.9677683506790031E-2</v>
      </c>
      <c r="BT173" s="1332">
        <f t="shared" si="269"/>
        <v>6.3739013423634527E-2</v>
      </c>
      <c r="BU173" s="1333">
        <f t="shared" ref="BU173" si="270">+BU153/AVERAGE(BQ170:BT170)</f>
        <v>7.2073189327468798E-2</v>
      </c>
      <c r="BV173" s="1355"/>
      <c r="BW173" s="1357">
        <f t="shared" ref="BW173:BZ173" si="271">+BW153*4/BW170</f>
        <v>6.1261728402271703E-2</v>
      </c>
      <c r="BX173" s="1332">
        <f t="shared" si="271"/>
        <v>6.5427879603501757E-2</v>
      </c>
      <c r="BY173" s="1332">
        <f t="shared" si="271"/>
        <v>6.9525512392932073E-2</v>
      </c>
      <c r="BZ173" s="1332">
        <f t="shared" si="271"/>
        <v>7.3909893894146553E-2</v>
      </c>
      <c r="CA173" s="1333">
        <f t="shared" ref="CA173" si="272">+CA153/AVERAGE(BW170:BZ170)</f>
        <v>6.753154779540041E-2</v>
      </c>
      <c r="CB173" s="1355"/>
      <c r="CC173" s="1357">
        <f t="shared" ref="CC173:CF173" si="273">+CC153*4/CC170</f>
        <v>6.3322774741543394E-2</v>
      </c>
      <c r="CD173" s="1332">
        <f t="shared" si="273"/>
        <v>6.7440527163838776E-2</v>
      </c>
      <c r="CE173" s="1332">
        <f t="shared" si="273"/>
        <v>7.1656138880913142E-2</v>
      </c>
      <c r="CF173" s="1332">
        <f t="shared" si="273"/>
        <v>7.6274137448389151E-2</v>
      </c>
      <c r="CG173" s="1333">
        <f t="shared" ref="CG173" si="274">+CG153/AVERAGE(CC170:CF170)</f>
        <v>6.9678057726024034E-2</v>
      </c>
      <c r="CH173" s="1355"/>
      <c r="CI173" s="1357">
        <f t="shared" ref="CI173:CL173" si="275">+CI153*4/CI170</f>
        <v>6.0783707068967581E-2</v>
      </c>
      <c r="CJ173" s="1332">
        <f t="shared" si="275"/>
        <v>6.4650092644576398E-2</v>
      </c>
      <c r="CK173" s="1332">
        <f t="shared" si="275"/>
        <v>6.8796964897930774E-2</v>
      </c>
      <c r="CL173" s="1332">
        <f t="shared" si="275"/>
        <v>7.3334144401184728E-2</v>
      </c>
      <c r="CM173" s="1333">
        <f t="shared" ref="CM173" si="276">+CM153/AVERAGE(CI170:CL170)</f>
        <v>6.6894850794104094E-2</v>
      </c>
      <c r="CN173" s="11"/>
      <c r="CO173" s="244"/>
      <c r="CP173" s="244"/>
      <c r="CQ173"/>
      <c r="CR173"/>
      <c r="CS173"/>
      <c r="CT173"/>
      <c r="CU173"/>
      <c r="CV173"/>
      <c r="CW173" s="244"/>
    </row>
    <row r="174" spans="2:101" s="128" customFormat="1" ht="11.25" customHeight="1" x14ac:dyDescent="0.2">
      <c r="B174" s="1090" t="s">
        <v>596</v>
      </c>
      <c r="C174" s="1357">
        <f>+C153*4/C171</f>
        <v>0.24163748364957513</v>
      </c>
      <c r="D174" s="1332">
        <f>+D153*4/D171</f>
        <v>0.26532942111261909</v>
      </c>
      <c r="E174" s="1332">
        <f>+E153*4/E171</f>
        <v>0.31612963508303388</v>
      </c>
      <c r="F174" s="1332">
        <f>+F153*4/F171</f>
        <v>0.34103230593453426</v>
      </c>
      <c r="G174" s="1333">
        <f>+G153/AVERAGE(C171:F171)</f>
        <v>0.29120020384477641</v>
      </c>
      <c r="H174" s="1355"/>
      <c r="I174" s="1357">
        <f>+I153*4/I171</f>
        <v>0.25862066591023664</v>
      </c>
      <c r="J174" s="1332">
        <f>+J153*4/J171</f>
        <v>0.28667062692686562</v>
      </c>
      <c r="K174" s="1332">
        <f>+K153*4/K171</f>
        <v>0.33235424354235121</v>
      </c>
      <c r="L174" s="1332">
        <f>+L153*4/L171</f>
        <v>0.34894291290452556</v>
      </c>
      <c r="M174" s="1333">
        <f>+M153/AVERAGE(I171:L171)</f>
        <v>0.30670833851567714</v>
      </c>
      <c r="N174" s="1355"/>
      <c r="O174" s="1357">
        <f t="shared" ref="O174:R174" si="277">+O153*4/O171</f>
        <v>0.25540068051922638</v>
      </c>
      <c r="P174" s="1332">
        <f t="shared" si="277"/>
        <v>0.25391533438823788</v>
      </c>
      <c r="Q174" s="1332">
        <f t="shared" si="277"/>
        <v>0.26505063719706012</v>
      </c>
      <c r="R174" s="1332">
        <f t="shared" si="277"/>
        <v>0.2531254834800829</v>
      </c>
      <c r="S174" s="1333">
        <f t="shared" ref="S174" si="278">+S153/AVERAGE(O171:R171)</f>
        <v>0.25688986644521983</v>
      </c>
      <c r="T174" s="1355"/>
      <c r="U174" s="1357">
        <f t="shared" ref="U174:X174" si="279">+U153*4/U171</f>
        <v>0.20269078443271901</v>
      </c>
      <c r="V174" s="1332">
        <f t="shared" si="279"/>
        <v>0.20597822504450389</v>
      </c>
      <c r="W174" s="1332">
        <f t="shared" si="279"/>
        <v>0.24633741802191469</v>
      </c>
      <c r="X174" s="1332">
        <f t="shared" si="279"/>
        <v>0.27003859226437171</v>
      </c>
      <c r="Y174" s="1333">
        <f t="shared" ref="Y174" si="280">+Y153/AVERAGE(U171:X171)</f>
        <v>0.23101727564182636</v>
      </c>
      <c r="Z174" s="1355"/>
      <c r="AA174" s="1357">
        <f t="shared" ref="AA174:AD174" si="281">+AA153*4/AA171</f>
        <v>0.22048058868385989</v>
      </c>
      <c r="AB174" s="1332">
        <f t="shared" si="281"/>
        <v>0.22227818040049183</v>
      </c>
      <c r="AC174" s="1332">
        <f t="shared" si="281"/>
        <v>0.23919148062405893</v>
      </c>
      <c r="AD174" s="1332">
        <f t="shared" si="281"/>
        <v>0.26173089231829672</v>
      </c>
      <c r="AE174" s="1333">
        <f t="shared" ref="AE174" si="282">+AE153/AVERAGE(AA171:AD171)</f>
        <v>0.23587325242348722</v>
      </c>
      <c r="AF174" s="1355"/>
      <c r="AG174" s="1357">
        <f t="shared" ref="AG174:AJ174" si="283">+AG153*4/AG171</f>
        <v>0.20781633173962519</v>
      </c>
      <c r="AH174" s="1332">
        <f t="shared" si="283"/>
        <v>0.21036758756782525</v>
      </c>
      <c r="AI174" s="1332">
        <f t="shared" si="283"/>
        <v>0.2421005484800772</v>
      </c>
      <c r="AJ174" s="1332">
        <f t="shared" si="283"/>
        <v>0.28594217969551144</v>
      </c>
      <c r="AK174" s="1333">
        <f t="shared" ref="AK174" si="284">+AK153/AVERAGE(AG171:AJ171)</f>
        <v>0.23581950921051259</v>
      </c>
      <c r="AL174" s="1355"/>
      <c r="AM174" s="1357">
        <f t="shared" ref="AM174:AP174" si="285">+AM153*4/AM171</f>
        <v>0.22883455209010051</v>
      </c>
      <c r="AN174" s="1332">
        <f t="shared" si="285"/>
        <v>0.22196393833735859</v>
      </c>
      <c r="AO174" s="1332">
        <f t="shared" si="285"/>
        <v>0.2500057043553886</v>
      </c>
      <c r="AP174" s="1332">
        <f t="shared" si="285"/>
        <v>0.30528971282014183</v>
      </c>
      <c r="AQ174" s="1333">
        <f t="shared" ref="AQ174" si="286">+AQ153/AVERAGE(AM171:AP171)</f>
        <v>0.25123635993510207</v>
      </c>
      <c r="AR174" s="1355"/>
      <c r="AS174" s="1357">
        <f t="shared" ref="AS174:AV174" si="287">+AS153*4/AS171</f>
        <v>0.21913316291569987</v>
      </c>
      <c r="AT174" s="1332">
        <f t="shared" si="287"/>
        <v>0.20031370076031227</v>
      </c>
      <c r="AU174" s="1332">
        <f t="shared" si="287"/>
        <v>0.22630619540907645</v>
      </c>
      <c r="AV174" s="1332">
        <f t="shared" si="287"/>
        <v>0.22670862243710574</v>
      </c>
      <c r="AW174" s="1333">
        <f t="shared" ref="AW174" si="288">+AW153/AVERAGE(AS171:AV171)</f>
        <v>0.21845445488225446</v>
      </c>
      <c r="AX174" s="1355"/>
      <c r="AY174" s="1357">
        <f t="shared" ref="AY174:BB174" si="289">+AY153*4/AY171</f>
        <v>0.15435327626866696</v>
      </c>
      <c r="AZ174" s="1332">
        <f t="shared" si="289"/>
        <v>0.17322334929777186</v>
      </c>
      <c r="BA174" s="1332">
        <f t="shared" si="289"/>
        <v>0.19089638900485492</v>
      </c>
      <c r="BB174" s="1332">
        <f t="shared" si="289"/>
        <v>0.14636918278811514</v>
      </c>
      <c r="BC174" s="1333">
        <f t="shared" ref="BC174" si="290">+BC153/AVERAGE(AY171:BB171)</f>
        <v>0.16399471710103536</v>
      </c>
      <c r="BD174" s="1355"/>
      <c r="BE174" s="1357">
        <f t="shared" ref="BE174:BH174" si="291">+BE153*4/BE171</f>
        <v>8.5990651418334452E-2</v>
      </c>
      <c r="BF174" s="1332">
        <f t="shared" si="291"/>
        <v>0.13583412592627586</v>
      </c>
      <c r="BG174" s="1332">
        <f t="shared" si="291"/>
        <v>0.14755704288551788</v>
      </c>
      <c r="BH174" s="1332">
        <f t="shared" si="291"/>
        <v>0.18044295586798059</v>
      </c>
      <c r="BI174" s="1333">
        <f t="shared" ref="BI174" si="292">+BI153/AVERAGE(BE171:BH171)</f>
        <v>0.13286795213601446</v>
      </c>
      <c r="BJ174" s="1355"/>
      <c r="BK174" s="1357">
        <f t="shared" ref="BK174:BN174" si="293">+BK153*4/BK171</f>
        <v>0.11463911265378644</v>
      </c>
      <c r="BL174" s="1332">
        <f t="shared" si="293"/>
        <v>0.12385538775205047</v>
      </c>
      <c r="BM174" s="1332">
        <f t="shared" si="293"/>
        <v>0.13239901344079813</v>
      </c>
      <c r="BN174" s="1332">
        <f t="shared" si="293"/>
        <v>0.16437150343909016</v>
      </c>
      <c r="BO174" s="1333">
        <f t="shared" ref="BO174" si="294">+BO153/AVERAGE(BK171:BN171)</f>
        <v>0.13330998040260905</v>
      </c>
      <c r="BP174" s="1355"/>
      <c r="BQ174" s="1357">
        <f t="shared" ref="BQ174:BT174" si="295">+BQ153*4/BQ171</f>
        <v>0.1028294877583107</v>
      </c>
      <c r="BR174" s="1332">
        <f t="shared" si="295"/>
        <v>0.12289760995280707</v>
      </c>
      <c r="BS174" s="1332">
        <f t="shared" si="295"/>
        <v>9.9368088171242791E-2</v>
      </c>
      <c r="BT174" s="1332">
        <f t="shared" si="295"/>
        <v>9.1945584703317096E-2</v>
      </c>
      <c r="BU174" s="1333">
        <f t="shared" ref="BU174" si="296">+BU153/AVERAGE(BQ171:BT171)</f>
        <v>0.10389903740395848</v>
      </c>
      <c r="BV174" s="1355"/>
      <c r="BW174" s="1357">
        <f t="shared" ref="BW174:BZ174" si="297">+BW153*4/BW171</f>
        <v>8.9082962976982399E-2</v>
      </c>
      <c r="BX174" s="1332">
        <f t="shared" si="297"/>
        <v>9.4312742583756271E-2</v>
      </c>
      <c r="BY174" s="1332">
        <f t="shared" si="297"/>
        <v>0.10055438909828381</v>
      </c>
      <c r="BZ174" s="1332">
        <f t="shared" si="297"/>
        <v>0.10733363171047045</v>
      </c>
      <c r="CA174" s="1333">
        <f t="shared" ref="CA174" si="298">+CA153/AVERAGE(BW171:BZ171)</f>
        <v>9.7817893861853883E-2</v>
      </c>
      <c r="CB174" s="1355"/>
      <c r="CC174" s="1357">
        <f t="shared" ref="CC174:CF174" si="299">+CC153*4/CC171</f>
        <v>9.2260149249399806E-2</v>
      </c>
      <c r="CD174" s="1332">
        <f t="shared" si="299"/>
        <v>9.7321268025202676E-2</v>
      </c>
      <c r="CE174" s="1332">
        <f t="shared" si="299"/>
        <v>0.10370655755775379</v>
      </c>
      <c r="CF174" s="1332">
        <f t="shared" si="299"/>
        <v>0.11084420603914648</v>
      </c>
      <c r="CG174" s="1333">
        <f t="shared" ref="CG174" si="300">+CG153/AVERAGE(CC171:CF171)</f>
        <v>0.10103859686096529</v>
      </c>
      <c r="CH174" s="1355"/>
      <c r="CI174" s="1357">
        <f t="shared" ref="CI174:CL174" si="301">+CI153*4/CI171</f>
        <v>8.8628833521062031E-2</v>
      </c>
      <c r="CJ174" s="1332">
        <f t="shared" si="301"/>
        <v>9.3332752632798929E-2</v>
      </c>
      <c r="CK174" s="1332">
        <f t="shared" si="301"/>
        <v>9.963208638449482E-2</v>
      </c>
      <c r="CL174" s="1332">
        <f t="shared" si="301"/>
        <v>0.10665849379245793</v>
      </c>
      <c r="CM174" s="1333">
        <f t="shared" ref="CM174" si="302">+CM153/AVERAGE(CI171:CL171)</f>
        <v>9.7066263819692286E-2</v>
      </c>
      <c r="CN174" s="11"/>
      <c r="CO174" s="244"/>
      <c r="CP174" s="244"/>
      <c r="CQ174"/>
      <c r="CR174"/>
      <c r="CS174"/>
      <c r="CT174"/>
      <c r="CU174"/>
      <c r="CV174"/>
      <c r="CW174" s="244"/>
    </row>
    <row r="175" spans="2:101" s="128" customFormat="1" ht="11.25" customHeight="1" x14ac:dyDescent="0.2">
      <c r="B175" s="1358"/>
      <c r="C175" s="1359"/>
      <c r="D175" s="1360"/>
      <c r="E175" s="1360"/>
      <c r="F175" s="1360"/>
      <c r="G175" s="1361"/>
      <c r="H175" s="1326"/>
      <c r="I175" s="1359"/>
      <c r="J175" s="1360"/>
      <c r="K175" s="1360"/>
      <c r="L175" s="1360"/>
      <c r="M175" s="1361"/>
      <c r="N175" s="1326"/>
      <c r="O175" s="1359"/>
      <c r="P175" s="1360"/>
      <c r="Q175" s="1360"/>
      <c r="R175" s="1360"/>
      <c r="S175" s="1361"/>
      <c r="T175" s="1326"/>
      <c r="U175" s="1359"/>
      <c r="V175" s="1360"/>
      <c r="W175" s="1360"/>
      <c r="X175" s="1360"/>
      <c r="Y175" s="1361"/>
      <c r="Z175" s="1326"/>
      <c r="AA175" s="1359"/>
      <c r="AB175" s="1360"/>
      <c r="AC175" s="1360"/>
      <c r="AD175" s="1360"/>
      <c r="AE175" s="1361"/>
      <c r="AF175" s="1326"/>
      <c r="AG175" s="1359"/>
      <c r="AH175" s="1360"/>
      <c r="AI175" s="1360"/>
      <c r="AJ175" s="1360"/>
      <c r="AK175" s="1361"/>
      <c r="AL175" s="1326"/>
      <c r="AM175" s="1359"/>
      <c r="AN175" s="1360"/>
      <c r="AO175" s="1360"/>
      <c r="AP175" s="1360"/>
      <c r="AQ175" s="1361"/>
      <c r="AR175" s="1326"/>
      <c r="AS175" s="1359"/>
      <c r="AT175" s="1360"/>
      <c r="AU175" s="1360"/>
      <c r="AV175" s="1360"/>
      <c r="AW175" s="1361"/>
      <c r="AX175" s="1326"/>
      <c r="AY175" s="1362"/>
      <c r="AZ175" s="1363"/>
      <c r="BA175" s="1363"/>
      <c r="BB175" s="1363"/>
      <c r="BC175" s="1361"/>
      <c r="BD175" s="1326"/>
      <c r="BE175" s="1362"/>
      <c r="BF175" s="1363"/>
      <c r="BG175" s="1360"/>
      <c r="BH175" s="1360"/>
      <c r="BI175" s="1361"/>
      <c r="BJ175" s="1326"/>
      <c r="BK175" s="1359"/>
      <c r="BL175" s="1360"/>
      <c r="BM175" s="1360"/>
      <c r="BN175" s="1360"/>
      <c r="BO175" s="1361"/>
      <c r="BP175" s="1326"/>
      <c r="BQ175" s="1359"/>
      <c r="BR175" s="1360"/>
      <c r="BS175" s="1360"/>
      <c r="BT175" s="1360"/>
      <c r="BU175" s="1361"/>
      <c r="BV175" s="1326"/>
      <c r="BW175" s="1359"/>
      <c r="BX175" s="1360"/>
      <c r="BY175" s="1360"/>
      <c r="BZ175" s="1360"/>
      <c r="CA175" s="1361"/>
      <c r="CB175" s="1326"/>
      <c r="CC175" s="1359"/>
      <c r="CD175" s="1360"/>
      <c r="CE175" s="1360"/>
      <c r="CF175" s="1360"/>
      <c r="CG175" s="1361"/>
      <c r="CH175" s="1326"/>
      <c r="CI175" s="1359"/>
      <c r="CJ175" s="1360"/>
      <c r="CK175" s="1360"/>
      <c r="CL175" s="1360"/>
      <c r="CM175" s="1361"/>
      <c r="CN175" s="11"/>
      <c r="CO175" s="244"/>
      <c r="CP175" s="244"/>
      <c r="CQ175"/>
      <c r="CR175"/>
      <c r="CS175"/>
      <c r="CT175"/>
      <c r="CU175"/>
      <c r="CV175"/>
      <c r="CW175" s="244"/>
    </row>
    <row r="176" spans="2:101" s="128" customFormat="1" ht="11.25" customHeight="1" x14ac:dyDescent="0.2">
      <c r="B176" s="1"/>
      <c r="C176" s="244"/>
      <c r="D176" s="244"/>
      <c r="E176" s="244"/>
      <c r="F176" s="244"/>
      <c r="G176" s="244"/>
      <c r="H176" s="244"/>
      <c r="I176" s="244"/>
      <c r="J176" s="244"/>
      <c r="K176" s="244"/>
      <c r="L176" s="244"/>
      <c r="M176" s="244"/>
      <c r="N176" s="244"/>
      <c r="O176" s="244"/>
      <c r="P176" s="244"/>
      <c r="Q176" s="244"/>
      <c r="R176" s="244"/>
      <c r="S176" s="244"/>
      <c r="T176" s="244"/>
      <c r="U176" s="244"/>
      <c r="V176" s="244"/>
      <c r="W176" s="244"/>
      <c r="X176" s="244"/>
      <c r="Y176" s="244"/>
      <c r="Z176" s="244"/>
      <c r="AA176" s="244"/>
      <c r="AB176" s="244"/>
      <c r="AC176" s="244"/>
      <c r="AD176" s="244"/>
      <c r="AE176" s="244"/>
      <c r="AF176" s="244"/>
      <c r="AG176" s="244"/>
      <c r="AH176" s="244"/>
      <c r="AI176" s="244"/>
      <c r="AJ176" s="244"/>
      <c r="AK176" s="244"/>
      <c r="AL176" s="244"/>
      <c r="AM176" s="244"/>
      <c r="AN176" s="244"/>
      <c r="AO176" s="244"/>
      <c r="AP176" s="244"/>
      <c r="AQ176" s="244"/>
      <c r="AR176" s="244"/>
      <c r="AS176" s="244"/>
      <c r="AT176" s="244"/>
      <c r="AU176" s="244"/>
      <c r="AV176" s="244"/>
      <c r="AW176" s="244"/>
      <c r="AX176" s="244"/>
      <c r="AY176" s="244"/>
      <c r="AZ176" s="244"/>
      <c r="BA176" s="244"/>
      <c r="BB176" s="244"/>
      <c r="BC176" s="244"/>
      <c r="BD176" s="244"/>
      <c r="BE176" s="244"/>
      <c r="BF176" s="244"/>
      <c r="BG176" s="244"/>
      <c r="BH176" s="244"/>
      <c r="BI176" s="244"/>
      <c r="BJ176" s="244"/>
      <c r="BK176" s="244"/>
      <c r="BL176" s="244"/>
      <c r="BM176" s="244"/>
      <c r="BN176" s="244"/>
      <c r="BO176" s="244"/>
      <c r="BP176" s="244"/>
      <c r="BQ176" s="244"/>
      <c r="BR176" s="244"/>
      <c r="BS176" s="244"/>
      <c r="BT176" s="244"/>
      <c r="BU176" s="244"/>
      <c r="BV176" s="244"/>
      <c r="BW176" s="244"/>
      <c r="BX176" s="244"/>
      <c r="BY176" s="244"/>
      <c r="BZ176" s="244"/>
      <c r="CA176" s="244"/>
      <c r="CB176" s="244"/>
      <c r="CC176" s="244"/>
      <c r="CD176" s="244"/>
      <c r="CE176" s="244"/>
      <c r="CF176" s="244"/>
      <c r="CG176" s="244"/>
      <c r="CH176" s="244"/>
      <c r="CI176" s="244"/>
      <c r="CJ176" s="244"/>
      <c r="CK176" s="244"/>
      <c r="CL176" s="244"/>
      <c r="CM176" s="244"/>
      <c r="CN176" s="11"/>
      <c r="CO176" s="244"/>
      <c r="CP176" s="244"/>
      <c r="CQ176"/>
      <c r="CR176"/>
      <c r="CS176"/>
      <c r="CT176"/>
      <c r="CU176"/>
      <c r="CV176"/>
      <c r="CW176" s="244"/>
    </row>
    <row r="177" spans="2:101" s="128" customFormat="1" ht="11.25" customHeight="1" x14ac:dyDescent="0.2">
      <c r="B177" s="1"/>
      <c r="C177" s="244"/>
      <c r="D177" s="244"/>
      <c r="E177" s="244"/>
      <c r="F177" s="244"/>
      <c r="G177" s="244"/>
      <c r="H177" s="244"/>
      <c r="I177" s="244"/>
      <c r="J177" s="244"/>
      <c r="K177" s="244"/>
      <c r="L177" s="244"/>
      <c r="M177" s="244"/>
      <c r="N177" s="244"/>
      <c r="O177" s="244"/>
      <c r="P177" s="244"/>
      <c r="Q177" s="244"/>
      <c r="R177" s="244"/>
      <c r="S177" s="244"/>
      <c r="T177" s="244"/>
      <c r="U177" s="244"/>
      <c r="V177" s="244"/>
      <c r="W177" s="244"/>
      <c r="X177" s="244"/>
      <c r="Y177" s="244"/>
      <c r="Z177" s="244"/>
      <c r="AA177" s="244"/>
      <c r="AB177" s="244"/>
      <c r="AC177" s="244"/>
      <c r="AD177" s="244"/>
      <c r="AE177" s="244"/>
      <c r="AF177" s="244"/>
      <c r="AG177" s="244"/>
      <c r="AH177" s="244"/>
      <c r="AI177" s="244"/>
      <c r="AJ177" s="244"/>
      <c r="AK177" s="244"/>
      <c r="AL177" s="244"/>
      <c r="AM177" s="244"/>
      <c r="AN177" s="244"/>
      <c r="AO177" s="244"/>
      <c r="AP177" s="244"/>
      <c r="AQ177" s="244"/>
      <c r="AR177" s="244"/>
      <c r="AS177" s="244"/>
      <c r="AT177" s="244"/>
      <c r="AU177" s="244"/>
      <c r="AV177" s="244"/>
      <c r="AW177" s="244"/>
      <c r="AX177" s="244"/>
      <c r="AY177" s="244"/>
      <c r="AZ177" s="244"/>
      <c r="BA177" s="244"/>
      <c r="BB177" s="244"/>
      <c r="BC177" s="244"/>
      <c r="BD177" s="244"/>
      <c r="BE177" s="244"/>
      <c r="BF177" s="244"/>
      <c r="BG177" s="244"/>
      <c r="BH177" s="244"/>
      <c r="BI177" s="244"/>
      <c r="BJ177" s="244"/>
      <c r="BK177" s="244"/>
      <c r="BL177" s="244"/>
      <c r="BM177" s="244"/>
      <c r="BN177" s="244"/>
      <c r="BO177" s="244"/>
      <c r="BP177" s="244"/>
      <c r="BQ177" s="244"/>
      <c r="BR177" s="244"/>
      <c r="BS177" s="244"/>
      <c r="BT177" s="244"/>
      <c r="BU177" s="244"/>
      <c r="BV177" s="244"/>
      <c r="BW177" s="244"/>
      <c r="BX177" s="244"/>
      <c r="BY177" s="244"/>
      <c r="BZ177" s="244"/>
      <c r="CA177" s="244"/>
      <c r="CB177" s="244"/>
      <c r="CC177" s="244"/>
      <c r="CD177" s="244"/>
      <c r="CE177" s="244"/>
      <c r="CF177" s="244"/>
      <c r="CG177" s="244"/>
      <c r="CH177" s="244"/>
      <c r="CI177" s="244"/>
      <c r="CJ177" s="244"/>
      <c r="CK177" s="244"/>
      <c r="CL177" s="244"/>
      <c r="CM177" s="244"/>
      <c r="CN177" s="11"/>
      <c r="CO177" s="244"/>
      <c r="CP177" s="244"/>
      <c r="CQ177"/>
      <c r="CR177"/>
      <c r="CS177"/>
      <c r="CT177"/>
      <c r="CU177"/>
      <c r="CV177"/>
      <c r="CW177" s="244"/>
    </row>
    <row r="178" spans="2:101" s="128" customFormat="1" ht="11.25" customHeight="1" x14ac:dyDescent="0.2">
      <c r="B178" s="1"/>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14"/>
      <c r="AR178" s="14"/>
      <c r="AS178" s="14"/>
      <c r="AT178" s="14"/>
      <c r="AU178" s="14"/>
      <c r="AV178" s="14"/>
      <c r="AW178" s="14"/>
      <c r="AX178" s="14"/>
      <c r="AY178" s="14"/>
      <c r="AZ178" s="14"/>
      <c r="BA178" s="14"/>
      <c r="BB178" s="14"/>
      <c r="BC178" s="14"/>
      <c r="BD178" s="14"/>
      <c r="BE178" s="14"/>
      <c r="BF178" s="14"/>
      <c r="BG178" s="14"/>
      <c r="BH178" s="14"/>
      <c r="BI178" s="14"/>
      <c r="BJ178" s="14"/>
      <c r="BK178" s="14"/>
      <c r="BL178" s="14"/>
      <c r="BM178" s="14"/>
      <c r="BN178" s="14"/>
      <c r="BO178" s="14"/>
      <c r="BP178" s="14"/>
      <c r="BQ178" s="14"/>
      <c r="BR178" s="14"/>
      <c r="BS178" s="14"/>
      <c r="BT178" s="14"/>
      <c r="BU178" s="14"/>
      <c r="BV178" s="14"/>
      <c r="BW178" s="14"/>
      <c r="BX178" s="14"/>
      <c r="BY178" s="14"/>
      <c r="BZ178" s="14"/>
      <c r="CA178" s="14"/>
      <c r="CB178" s="14"/>
      <c r="CC178" s="14"/>
      <c r="CD178" s="14"/>
      <c r="CE178" s="14"/>
      <c r="CF178" s="14"/>
      <c r="CG178" s="14"/>
      <c r="CH178" s="14"/>
      <c r="CI178" s="14"/>
      <c r="CJ178" s="14"/>
      <c r="CK178" s="14"/>
      <c r="CL178" s="14"/>
      <c r="CM178" s="14"/>
      <c r="CN178" s="11"/>
      <c r="CO178" s="14"/>
      <c r="CP178" s="14"/>
      <c r="CQ178"/>
      <c r="CR178"/>
      <c r="CS178"/>
      <c r="CT178"/>
      <c r="CU178"/>
      <c r="CV178"/>
      <c r="CW178" s="14"/>
    </row>
    <row r="179" spans="2:101" customFormat="1" ht="11.25" customHeight="1" x14ac:dyDescent="0.2"/>
    <row r="180" spans="2:101" ht="11.25" customHeight="1" x14ac:dyDescent="0.2">
      <c r="B180" s="17"/>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11"/>
      <c r="AR180" s="11"/>
      <c r="AS180" s="11"/>
      <c r="AT180" s="11"/>
      <c r="AU180" s="11"/>
      <c r="AV180" s="11"/>
      <c r="AW180" s="11"/>
      <c r="AX180" s="11"/>
      <c r="AY180" s="11"/>
      <c r="AZ180" s="11"/>
      <c r="BA180" s="11"/>
      <c r="BB180" s="11"/>
      <c r="BC180" s="11"/>
      <c r="BD180" s="11"/>
      <c r="BE180" s="11"/>
      <c r="BF180" s="11"/>
      <c r="BG180" s="11"/>
      <c r="BH180" s="11"/>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1"/>
      <c r="CM180" s="11"/>
      <c r="CN180" s="11"/>
      <c r="CO180" s="11"/>
      <c r="CP180" s="11"/>
      <c r="CW180" s="11"/>
    </row>
    <row r="181" spans="2:101" ht="11.25" customHeight="1" x14ac:dyDescent="0.2">
      <c r="B181" s="17"/>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c r="BC181" s="11"/>
      <c r="BD181" s="11"/>
      <c r="BE181" s="11"/>
      <c r="BF181" s="11"/>
      <c r="BG181" s="11"/>
      <c r="BH181" s="11"/>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1"/>
      <c r="CM181" s="11"/>
      <c r="CN181" s="11"/>
      <c r="CO181" s="11"/>
      <c r="CP181" s="11"/>
      <c r="CW181" s="11"/>
    </row>
    <row r="182" spans="2:101" ht="11.25" customHeight="1" x14ac:dyDescent="0.2">
      <c r="B182" s="17"/>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11"/>
      <c r="AR182" s="11"/>
      <c r="AS182" s="11"/>
      <c r="AT182" s="11"/>
      <c r="AU182" s="11"/>
      <c r="AV182" s="11"/>
      <c r="AW182" s="11"/>
      <c r="AX182" s="11"/>
      <c r="AY182" s="11"/>
      <c r="AZ182" s="11"/>
      <c r="BA182" s="11"/>
      <c r="BB182" s="11"/>
      <c r="BC182" s="11"/>
      <c r="BD182" s="11"/>
      <c r="BE182" s="11"/>
      <c r="BF182" s="11"/>
      <c r="BG182" s="11"/>
      <c r="BH182" s="11"/>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1"/>
      <c r="CM182" s="11"/>
      <c r="CN182" s="11"/>
      <c r="CO182" s="11"/>
      <c r="CP182" s="11"/>
      <c r="CW182" s="11"/>
    </row>
    <row r="183" spans="2:101" ht="11.25" customHeight="1" x14ac:dyDescent="0.2">
      <c r="B183" s="17"/>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c r="BC183" s="11"/>
      <c r="BD183" s="11"/>
      <c r="BE183" s="11"/>
      <c r="BF183" s="11"/>
      <c r="BG183" s="11"/>
      <c r="BH183" s="11"/>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1"/>
      <c r="CM183" s="11"/>
      <c r="CN183" s="11"/>
      <c r="CO183" s="11"/>
      <c r="CP183" s="11"/>
      <c r="CW183" s="11"/>
    </row>
    <row r="184" spans="2:101" ht="11.25" customHeight="1" x14ac:dyDescent="0.2">
      <c r="B184" s="17"/>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11"/>
      <c r="AR184" s="11"/>
      <c r="AS184" s="11"/>
      <c r="AT184" s="11"/>
      <c r="AU184" s="11"/>
      <c r="AV184" s="11"/>
      <c r="AW184" s="11"/>
      <c r="AX184" s="11"/>
      <c r="AY184" s="11"/>
      <c r="AZ184" s="11"/>
      <c r="BA184" s="11"/>
      <c r="BB184" s="11"/>
      <c r="BC184" s="11"/>
      <c r="BD184" s="11"/>
      <c r="BE184" s="11"/>
      <c r="BF184" s="11"/>
      <c r="BG184" s="11"/>
      <c r="BH184" s="11"/>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1"/>
      <c r="CM184" s="11"/>
      <c r="CN184" s="11"/>
      <c r="CO184" s="11"/>
      <c r="CP184" s="11"/>
      <c r="CW184" s="11"/>
    </row>
    <row r="185" spans="2:101" ht="11.25" customHeight="1" x14ac:dyDescent="0.2">
      <c r="B185" s="17"/>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c r="BC185" s="11"/>
      <c r="BD185" s="11"/>
      <c r="BE185" s="11"/>
      <c r="BF185" s="11"/>
      <c r="BG185" s="11"/>
      <c r="BH185" s="11"/>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1"/>
      <c r="CM185" s="11"/>
      <c r="CN185" s="11"/>
      <c r="CO185" s="11"/>
      <c r="CP185" s="11"/>
      <c r="CW185" s="11"/>
    </row>
    <row r="186" spans="2:101" ht="11.25" customHeight="1" x14ac:dyDescent="0.2">
      <c r="B186" s="17"/>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11"/>
      <c r="AR186" s="11"/>
      <c r="AS186" s="11"/>
      <c r="AT186" s="11"/>
      <c r="AU186" s="11"/>
      <c r="AV186" s="11"/>
      <c r="AW186" s="11"/>
      <c r="AX186" s="11"/>
      <c r="AY186" s="11"/>
      <c r="AZ186" s="11"/>
      <c r="BA186" s="11"/>
      <c r="BB186" s="11"/>
      <c r="BC186" s="11"/>
      <c r="BD186" s="11"/>
      <c r="BE186" s="11"/>
      <c r="BF186" s="11"/>
      <c r="BG186" s="11"/>
      <c r="BH186" s="11"/>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1"/>
      <c r="CM186" s="11"/>
      <c r="CN186" s="11"/>
      <c r="CO186" s="11"/>
      <c r="CP186" s="11"/>
      <c r="CW186" s="11"/>
    </row>
    <row r="187" spans="2:101" ht="11.25" customHeight="1" x14ac:dyDescent="0.2">
      <c r="B187" s="17"/>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c r="BC187" s="11"/>
      <c r="BD187" s="11"/>
      <c r="BE187" s="11"/>
      <c r="BF187" s="11"/>
      <c r="BG187" s="11"/>
      <c r="BH187" s="11"/>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1"/>
      <c r="CM187" s="11"/>
      <c r="CN187" s="11"/>
      <c r="CO187" s="11"/>
      <c r="CP187" s="11"/>
      <c r="CW187" s="11"/>
    </row>
    <row r="188" spans="2:101" ht="11.25" customHeight="1" x14ac:dyDescent="0.2">
      <c r="B188" s="17"/>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11"/>
      <c r="AR188" s="11"/>
      <c r="AS188" s="11"/>
      <c r="AT188" s="11"/>
      <c r="AU188" s="11"/>
      <c r="AV188" s="11"/>
      <c r="AW188" s="11"/>
      <c r="AX188" s="11"/>
      <c r="AY188" s="11"/>
      <c r="AZ188" s="11"/>
      <c r="BA188" s="11"/>
      <c r="BB188" s="11"/>
      <c r="BC188" s="11"/>
      <c r="BD188" s="11"/>
      <c r="BE188" s="11"/>
      <c r="BF188" s="11"/>
      <c r="BG188" s="11"/>
      <c r="BH188" s="11"/>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1"/>
      <c r="CM188" s="11"/>
      <c r="CN188" s="11"/>
      <c r="CO188" s="11"/>
      <c r="CP188" s="11"/>
      <c r="CW188" s="11"/>
    </row>
    <row r="189" spans="2:101" ht="11.25" customHeight="1" x14ac:dyDescent="0.2">
      <c r="B189" s="17"/>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c r="BC189" s="11"/>
      <c r="BD189" s="11"/>
      <c r="BE189" s="11"/>
      <c r="BF189" s="11"/>
      <c r="BG189" s="11"/>
      <c r="BH189" s="11"/>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1"/>
      <c r="CM189" s="11"/>
      <c r="CN189" s="11"/>
      <c r="CO189" s="11"/>
      <c r="CP189" s="11"/>
      <c r="CW189" s="11"/>
    </row>
    <row r="190" spans="2:101" ht="11.25" customHeight="1" x14ac:dyDescent="0.2">
      <c r="B190" s="17"/>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11"/>
      <c r="AR190" s="11"/>
      <c r="AS190" s="11"/>
      <c r="AT190" s="11"/>
      <c r="AU190" s="11"/>
      <c r="AV190" s="11"/>
      <c r="AW190" s="11"/>
      <c r="AX190" s="11"/>
      <c r="AY190" s="11"/>
      <c r="AZ190" s="11"/>
      <c r="BA190" s="11"/>
      <c r="BB190" s="11"/>
      <c r="BC190" s="11"/>
      <c r="BD190" s="11"/>
      <c r="BE190" s="11"/>
      <c r="BF190" s="11"/>
      <c r="BG190" s="11"/>
      <c r="BH190" s="11"/>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1"/>
      <c r="CM190" s="11"/>
      <c r="CN190" s="11"/>
      <c r="CO190" s="11"/>
      <c r="CP190" s="11"/>
      <c r="CW190" s="11"/>
    </row>
    <row r="191" spans="2:101" ht="11.25" customHeight="1" x14ac:dyDescent="0.2">
      <c r="B191" s="17"/>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c r="BC191" s="11"/>
      <c r="BD191" s="11"/>
      <c r="BE191" s="11"/>
      <c r="BF191" s="11"/>
      <c r="BG191" s="11"/>
      <c r="BH191" s="11"/>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1"/>
      <c r="CM191" s="11"/>
      <c r="CN191" s="11"/>
      <c r="CO191" s="11"/>
      <c r="CP191" s="11"/>
      <c r="CW191" s="11"/>
    </row>
    <row r="192" spans="2:101" ht="11.25" customHeight="1" x14ac:dyDescent="0.2">
      <c r="B192" s="17"/>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11"/>
      <c r="AR192" s="11"/>
      <c r="AS192" s="11"/>
      <c r="AT192" s="11"/>
      <c r="AU192" s="11"/>
      <c r="AV192" s="11"/>
      <c r="AW192" s="11"/>
      <c r="AX192" s="11"/>
      <c r="AY192" s="11"/>
      <c r="AZ192" s="11"/>
      <c r="BA192" s="11"/>
      <c r="BB192" s="11"/>
      <c r="BC192" s="11"/>
      <c r="BD192" s="11"/>
      <c r="BE192" s="11"/>
      <c r="BF192" s="11"/>
      <c r="BG192" s="11"/>
      <c r="BH192" s="11"/>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1"/>
      <c r="CM192" s="11"/>
      <c r="CN192" s="11"/>
      <c r="CO192" s="11"/>
      <c r="CP192" s="11"/>
      <c r="CW192" s="11"/>
    </row>
    <row r="193" spans="2:101" ht="11.25" customHeight="1" x14ac:dyDescent="0.2">
      <c r="B193" s="17"/>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c r="BC193" s="11"/>
      <c r="BD193" s="11"/>
      <c r="BE193" s="11"/>
      <c r="BF193" s="11"/>
      <c r="BG193" s="11"/>
      <c r="BH193" s="11"/>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1"/>
      <c r="CM193" s="11"/>
      <c r="CN193" s="11"/>
      <c r="CO193" s="11"/>
      <c r="CP193" s="11"/>
      <c r="CW193" s="11"/>
    </row>
    <row r="194" spans="2:101" ht="11.25" customHeight="1" x14ac:dyDescent="0.2">
      <c r="B194" s="17"/>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11"/>
      <c r="AR194" s="11"/>
      <c r="AS194" s="11"/>
      <c r="AT194" s="11"/>
      <c r="AU194" s="11"/>
      <c r="AV194" s="11"/>
      <c r="AW194" s="11"/>
      <c r="AX194" s="11"/>
      <c r="AY194" s="11"/>
      <c r="AZ194" s="11"/>
      <c r="BA194" s="11"/>
      <c r="BB194" s="11"/>
      <c r="BC194" s="11"/>
      <c r="BD194" s="11"/>
      <c r="BE194" s="11"/>
      <c r="BF194" s="11"/>
      <c r="BG194" s="11"/>
      <c r="BH194" s="11"/>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1"/>
      <c r="CM194" s="11"/>
      <c r="CN194" s="11"/>
      <c r="CO194" s="11"/>
      <c r="CP194" s="11"/>
      <c r="CW194" s="11"/>
    </row>
    <row r="195" spans="2:101" x14ac:dyDescent="0.2">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c r="BC195" s="11"/>
      <c r="BD195" s="11"/>
      <c r="BE195" s="11"/>
      <c r="BF195" s="11"/>
      <c r="BG195" s="11"/>
      <c r="BH195" s="11"/>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1"/>
      <c r="CM195" s="11"/>
      <c r="CN195" s="11"/>
      <c r="CO195" s="11"/>
      <c r="CP195" s="11"/>
      <c r="CW195" s="11"/>
    </row>
    <row r="196" spans="2:101" ht="11.25" customHeight="1" x14ac:dyDescent="0.2">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11"/>
      <c r="AR196" s="11"/>
      <c r="AS196" s="11"/>
      <c r="AT196" s="11"/>
      <c r="AU196" s="11"/>
      <c r="AV196" s="11"/>
      <c r="AW196" s="11"/>
      <c r="AX196" s="11"/>
      <c r="AY196" s="11"/>
      <c r="AZ196" s="11"/>
      <c r="BA196" s="11"/>
      <c r="BB196" s="11"/>
      <c r="BC196" s="11"/>
      <c r="BD196" s="11"/>
      <c r="BE196" s="11"/>
      <c r="BF196" s="11"/>
      <c r="BG196" s="11"/>
      <c r="BH196" s="11"/>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1"/>
      <c r="CM196" s="11"/>
      <c r="CN196" s="11"/>
      <c r="CO196" s="11"/>
      <c r="CP196" s="11"/>
      <c r="CW196" s="11"/>
    </row>
    <row r="197" spans="2:101" ht="11.25" customHeight="1" x14ac:dyDescent="0.2">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c r="BC197" s="11"/>
      <c r="BD197" s="11"/>
      <c r="BE197" s="11"/>
      <c r="BF197" s="11"/>
      <c r="BG197" s="11"/>
      <c r="BH197" s="11"/>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1"/>
      <c r="CM197" s="11"/>
      <c r="CN197" s="11"/>
      <c r="CO197" s="11"/>
      <c r="CP197" s="11"/>
      <c r="CW197" s="11"/>
    </row>
    <row r="198" spans="2:101" ht="11.25" customHeight="1" x14ac:dyDescent="0.2">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11"/>
      <c r="AR198" s="11"/>
      <c r="AS198" s="11"/>
      <c r="AT198" s="11"/>
      <c r="AU198" s="11"/>
      <c r="AV198" s="11"/>
      <c r="AW198" s="11"/>
      <c r="AX198" s="11"/>
      <c r="AY198" s="11"/>
      <c r="AZ198" s="11"/>
      <c r="BA198" s="11"/>
      <c r="BB198" s="11"/>
      <c r="BC198" s="11"/>
      <c r="BD198" s="11"/>
      <c r="BE198" s="11"/>
      <c r="BF198" s="11"/>
      <c r="BG198" s="11"/>
      <c r="BH198" s="11"/>
      <c r="BI198" s="11"/>
      <c r="BJ198" s="11"/>
      <c r="BK198" s="11"/>
      <c r="BL198" s="11"/>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1"/>
      <c r="CM198" s="11"/>
      <c r="CN198" s="11"/>
      <c r="CO198" s="11"/>
      <c r="CP198" s="11"/>
      <c r="CW198" s="11"/>
    </row>
    <row r="199" spans="2:101" x14ac:dyDescent="0.2">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c r="BC199" s="11"/>
      <c r="BD199" s="11"/>
      <c r="BE199" s="11"/>
      <c r="BF199" s="11"/>
      <c r="BG199" s="11"/>
      <c r="BH199" s="11"/>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1"/>
      <c r="CM199" s="11"/>
      <c r="CN199" s="11"/>
      <c r="CO199" s="11"/>
      <c r="CP199" s="11"/>
      <c r="CW199" s="11"/>
    </row>
  </sheetData>
  <mergeCells count="15">
    <mergeCell ref="CI5:CL5"/>
    <mergeCell ref="BQ5:BT5"/>
    <mergeCell ref="BW5:BZ5"/>
    <mergeCell ref="CC5:CF5"/>
    <mergeCell ref="C5:F5"/>
    <mergeCell ref="I5:L5"/>
    <mergeCell ref="O5:R5"/>
    <mergeCell ref="U5:X5"/>
    <mergeCell ref="AA5:AD5"/>
    <mergeCell ref="AG5:AJ5"/>
    <mergeCell ref="AM5:AP5"/>
    <mergeCell ref="AS5:AV5"/>
    <mergeCell ref="AY5:BB5"/>
    <mergeCell ref="BE5:BH5"/>
    <mergeCell ref="BK5:BN5"/>
  </mergeCells>
  <printOptions horizontalCentered="1" verticalCentered="1"/>
  <pageMargins left="0" right="0" top="0" bottom="0" header="0" footer="0"/>
  <pageSetup paperSize="5" scale="31" orientation="landscape" r:id="rId1"/>
  <headerFooter alignWithMargins="0"/>
  <ignoredErrors>
    <ignoredError sqref="BT28" formula="1"/>
    <ignoredError sqref="C149:CO178 C180:CO18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pageSetUpPr fitToPage="1"/>
  </sheetPr>
  <dimension ref="A1:DQ136"/>
  <sheetViews>
    <sheetView showGridLines="0" zoomScaleNormal="100" workbookViewId="0">
      <pane xSplit="2" ySplit="6" topLeftCell="AK7" activePane="bottomRight" state="frozen"/>
      <selection pane="topRight" activeCell="C1" sqref="C1"/>
      <selection pane="bottomLeft" activeCell="A7" sqref="A7"/>
      <selection pane="bottomRight" sqref="A1:XFD1048576"/>
    </sheetView>
  </sheetViews>
  <sheetFormatPr defaultRowHeight="12.75" outlineLevelRow="1" outlineLevelCol="1" x14ac:dyDescent="0.2"/>
  <cols>
    <col min="1" max="1" width="1.7109375" style="9" customWidth="1"/>
    <col min="2" max="2" width="29.7109375" style="9" customWidth="1"/>
    <col min="3" max="7" width="7.28515625" style="9" hidden="1" customWidth="1" outlineLevel="1"/>
    <col min="8" max="8" width="0.85546875" style="9" hidden="1" customWidth="1" outlineLevel="1"/>
    <col min="9" max="13" width="7.28515625" style="9" hidden="1" customWidth="1" outlineLevel="1"/>
    <col min="14" max="14" width="0.85546875" style="9" hidden="1" customWidth="1" outlineLevel="1"/>
    <col min="15" max="19" width="7.28515625" style="9" hidden="1" customWidth="1" outlineLevel="1"/>
    <col min="20" max="20" width="0.85546875" style="9" hidden="1" customWidth="1" outlineLevel="1"/>
    <col min="21" max="25" width="7.28515625" style="9" hidden="1" customWidth="1" outlineLevel="1"/>
    <col min="26" max="26" width="0.85546875" style="9" hidden="1" customWidth="1" outlineLevel="1"/>
    <col min="27" max="31" width="7.28515625" style="9" hidden="1" customWidth="1" outlineLevel="1"/>
    <col min="32" max="32" width="0.85546875" style="9" hidden="1" customWidth="1" outlineLevel="1"/>
    <col min="33" max="36" width="7.28515625" style="9" hidden="1" customWidth="1" outlineLevel="1"/>
    <col min="37" max="37" width="7.28515625" style="9" customWidth="1" collapsed="1"/>
    <col min="38" max="38" width="0.85546875" style="9" customWidth="1"/>
    <col min="39" max="42" width="7.28515625" style="9" hidden="1" customWidth="1" outlineLevel="1"/>
    <col min="43" max="43" width="7.28515625" style="9" customWidth="1" collapsed="1"/>
    <col min="44" max="44" width="0.85546875" style="9" customWidth="1"/>
    <col min="45" max="48" width="7.28515625" style="9" hidden="1" customWidth="1" outlineLevel="1"/>
    <col min="49" max="49" width="7.28515625" style="9" customWidth="1" collapsed="1"/>
    <col min="50" max="50" width="0.85546875" style="9" customWidth="1"/>
    <col min="51" max="54" width="7.28515625" style="9" hidden="1" customWidth="1" outlineLevel="1"/>
    <col min="55" max="55" width="7.28515625" style="9" customWidth="1" collapsed="1"/>
    <col min="56" max="56" width="0.85546875" style="9" customWidth="1"/>
    <col min="57" max="60" width="7.28515625" style="9" customWidth="1" outlineLevel="1"/>
    <col min="61" max="61" width="7.28515625" style="9" customWidth="1"/>
    <col min="62" max="62" width="0.85546875" style="9" customWidth="1"/>
    <col min="63" max="66" width="7.28515625" style="9" customWidth="1" outlineLevel="1"/>
    <col min="67" max="67" width="7.28515625" style="9" customWidth="1"/>
    <col min="68" max="68" width="0.85546875" style="9" customWidth="1"/>
    <col min="69" max="72" width="7.28515625" style="9" customWidth="1" outlineLevel="1"/>
    <col min="73" max="73" width="7.28515625" style="9" customWidth="1"/>
    <col min="74" max="74" width="0.85546875" style="9" customWidth="1"/>
    <col min="75" max="78" width="7.28515625" style="9" customWidth="1" outlineLevel="1"/>
    <col min="79" max="79" width="7.28515625" style="9" customWidth="1"/>
    <col min="80" max="80" width="0.85546875" style="9" customWidth="1"/>
    <col min="81" max="84" width="7.28515625" style="9" hidden="1" customWidth="1" outlineLevel="1"/>
    <col min="85" max="85" width="7.28515625" style="9" customWidth="1" collapsed="1"/>
    <col min="86" max="86" width="0.85546875" style="9" customWidth="1"/>
    <col min="87" max="90" width="7.28515625" style="9" hidden="1" customWidth="1" outlineLevel="1"/>
    <col min="91" max="91" width="7.28515625" style="9" customWidth="1" collapsed="1"/>
    <col min="92" max="94" width="7.28515625" style="9" customWidth="1"/>
    <col min="95" max="95" width="30.140625" hidden="1" customWidth="1" outlineLevel="1"/>
    <col min="96" max="100" width="7.28515625" hidden="1" customWidth="1" outlineLevel="1"/>
    <col min="101" max="101" width="7.28515625" style="11" customWidth="1" collapsed="1"/>
    <col min="102" max="102" width="7.28515625" style="9" customWidth="1"/>
    <col min="103" max="16384" width="9.140625" style="9"/>
  </cols>
  <sheetData>
    <row r="1" spans="1:121" ht="11.25" customHeight="1" x14ac:dyDescent="0.2">
      <c r="A1" s="112"/>
      <c r="B1" s="411" t="s">
        <v>359</v>
      </c>
      <c r="C1" s="14"/>
      <c r="D1" s="11"/>
      <c r="E1" s="14"/>
      <c r="F1" s="14"/>
      <c r="G1" s="14"/>
      <c r="H1" s="1"/>
      <c r="I1" s="14"/>
      <c r="J1" s="11"/>
      <c r="K1" s="14"/>
      <c r="L1" s="14"/>
      <c r="M1" s="14"/>
      <c r="N1" s="1"/>
      <c r="O1" s="14"/>
      <c r="P1" s="11"/>
      <c r="Q1" s="14"/>
      <c r="R1" s="14"/>
      <c r="S1" s="14"/>
      <c r="T1" s="1"/>
      <c r="U1" s="14"/>
      <c r="V1" s="11"/>
      <c r="W1" s="14"/>
      <c r="X1" s="14"/>
      <c r="Y1" s="14"/>
      <c r="Z1" s="1"/>
      <c r="AA1" s="14"/>
      <c r="AB1" s="11"/>
      <c r="AC1" s="14"/>
      <c r="AD1" s="14"/>
      <c r="AE1" s="14"/>
      <c r="AF1" s="1"/>
      <c r="AG1" s="14"/>
      <c r="AH1" s="11"/>
      <c r="AI1" s="14"/>
      <c r="AJ1" s="14"/>
      <c r="AK1" s="14"/>
      <c r="AL1" s="1"/>
      <c r="AM1" s="14"/>
      <c r="AN1" s="11"/>
      <c r="AO1" s="14"/>
      <c r="AP1" s="14"/>
      <c r="AQ1" s="14"/>
      <c r="AR1" s="1"/>
      <c r="AS1" s="14"/>
      <c r="AT1" s="14"/>
      <c r="AU1" s="14"/>
      <c r="AV1" s="14"/>
      <c r="AW1" s="14"/>
      <c r="AX1" s="1"/>
      <c r="AY1" s="14"/>
      <c r="AZ1" s="14"/>
      <c r="BA1" s="14"/>
      <c r="BB1" s="14"/>
      <c r="BC1" s="14"/>
      <c r="BD1" s="1"/>
      <c r="BE1" s="14"/>
      <c r="BF1" s="14"/>
      <c r="BG1" s="14"/>
      <c r="BH1" s="14"/>
      <c r="BI1" s="14"/>
      <c r="BJ1" s="1"/>
      <c r="BK1" s="14"/>
      <c r="BL1" s="14"/>
      <c r="BM1" s="14"/>
      <c r="BN1" s="14"/>
      <c r="BO1" s="14"/>
      <c r="BP1" s="1"/>
      <c r="BQ1" s="14"/>
      <c r="BR1" s="14"/>
      <c r="BS1" s="14"/>
      <c r="BT1" s="14"/>
      <c r="BU1" s="14"/>
      <c r="BV1" s="1"/>
      <c r="BW1" s="14"/>
      <c r="BX1" s="14"/>
      <c r="BY1" s="14"/>
      <c r="BZ1" s="14"/>
      <c r="CA1" s="14"/>
      <c r="CB1" s="1"/>
      <c r="CC1" s="14"/>
      <c r="CD1" s="14"/>
      <c r="CE1" s="14"/>
      <c r="CF1" s="14"/>
      <c r="CG1" s="14"/>
      <c r="CH1" s="1"/>
      <c r="CI1" s="14"/>
      <c r="CJ1" s="14"/>
      <c r="CK1" s="14"/>
      <c r="CL1" s="14"/>
      <c r="CM1" s="14"/>
      <c r="CN1" s="14"/>
      <c r="CO1" s="14"/>
      <c r="CP1" s="14"/>
      <c r="CX1" s="11"/>
      <c r="CY1" s="11"/>
      <c r="CZ1" s="11"/>
      <c r="DA1" s="11"/>
      <c r="DB1" s="11"/>
      <c r="DC1" s="11"/>
      <c r="DD1" s="11"/>
      <c r="DE1" s="11"/>
      <c r="DF1" s="11"/>
      <c r="DG1" s="11"/>
      <c r="DH1" s="11"/>
      <c r="DI1" s="11"/>
      <c r="DJ1" s="11"/>
      <c r="DK1" s="11"/>
      <c r="DL1" s="11"/>
      <c r="DM1" s="11"/>
      <c r="DN1" s="11"/>
      <c r="DO1" s="11"/>
      <c r="DP1" s="11"/>
      <c r="DQ1" s="11"/>
    </row>
    <row r="2" spans="1:121" ht="11.25" customHeight="1" x14ac:dyDescent="0.2">
      <c r="A2" s="112"/>
      <c r="B2" s="3" t="s">
        <v>256</v>
      </c>
      <c r="C2" s="14"/>
      <c r="D2" s="11"/>
      <c r="E2" s="14"/>
      <c r="F2" s="14"/>
      <c r="G2" s="14"/>
      <c r="H2" s="1"/>
      <c r="I2" s="14"/>
      <c r="J2" s="11"/>
      <c r="K2" s="14"/>
      <c r="L2" s="14"/>
      <c r="M2" s="14"/>
      <c r="N2" s="1"/>
      <c r="O2" s="14"/>
      <c r="P2" s="11"/>
      <c r="Q2" s="14"/>
      <c r="R2" s="14"/>
      <c r="S2" s="14"/>
      <c r="T2" s="1"/>
      <c r="U2" s="14"/>
      <c r="V2" s="11"/>
      <c r="W2" s="14"/>
      <c r="X2" s="14"/>
      <c r="Y2" s="14"/>
      <c r="Z2" s="1"/>
      <c r="AA2" s="14"/>
      <c r="AB2" s="11"/>
      <c r="AC2" s="14"/>
      <c r="AD2" s="14"/>
      <c r="AE2" s="14"/>
      <c r="AF2" s="1"/>
      <c r="AG2" s="14"/>
      <c r="AH2" s="11"/>
      <c r="AI2" s="14"/>
      <c r="AJ2" s="14"/>
      <c r="AK2" s="14"/>
      <c r="AL2" s="1"/>
      <c r="AM2" s="14"/>
      <c r="AN2" s="11"/>
      <c r="AO2" s="14"/>
      <c r="AP2" s="14"/>
      <c r="AQ2" s="14"/>
      <c r="AR2" s="1"/>
      <c r="AS2" s="14"/>
      <c r="AT2" s="14"/>
      <c r="AU2" s="14"/>
      <c r="AV2" s="14"/>
      <c r="AW2" s="14"/>
      <c r="AX2" s="1"/>
      <c r="AY2" s="14"/>
      <c r="AZ2" s="14"/>
      <c r="BA2" s="14"/>
      <c r="BB2" s="14"/>
      <c r="BC2" s="14"/>
      <c r="BD2" s="1"/>
      <c r="BE2" s="14"/>
      <c r="BF2" s="14"/>
      <c r="BG2" s="14"/>
      <c r="BH2" s="14"/>
      <c r="BI2" s="14"/>
      <c r="BJ2" s="1"/>
      <c r="BK2" s="14"/>
      <c r="BL2" s="14"/>
      <c r="BM2" s="14"/>
      <c r="BN2" s="14"/>
      <c r="BO2" s="14"/>
      <c r="BP2" s="1"/>
      <c r="BQ2" s="14"/>
      <c r="BR2" s="14"/>
      <c r="BS2" s="14"/>
      <c r="BT2" s="14"/>
      <c r="BU2" s="14"/>
      <c r="BV2" s="1"/>
      <c r="BW2" s="14"/>
      <c r="BX2" s="14"/>
      <c r="BY2" s="14"/>
      <c r="BZ2" s="14"/>
      <c r="CA2" s="14"/>
      <c r="CB2" s="1"/>
      <c r="CC2" s="14"/>
      <c r="CD2" s="14"/>
      <c r="CE2" s="14"/>
      <c r="CF2" s="14"/>
      <c r="CG2" s="14"/>
      <c r="CH2" s="1"/>
      <c r="CI2" s="14"/>
      <c r="CJ2" s="14"/>
      <c r="CK2" s="14"/>
      <c r="CL2" s="14"/>
      <c r="CM2" s="14"/>
      <c r="CN2" s="14"/>
      <c r="CO2" s="14"/>
      <c r="CP2" s="14"/>
      <c r="CX2" s="11"/>
      <c r="CY2" s="11"/>
      <c r="CZ2" s="11"/>
      <c r="DA2" s="11"/>
      <c r="DB2" s="11"/>
      <c r="DC2" s="11"/>
      <c r="DD2" s="11"/>
      <c r="DE2" s="11"/>
      <c r="DF2" s="11"/>
      <c r="DG2" s="11"/>
      <c r="DH2" s="11"/>
      <c r="DI2" s="11"/>
      <c r="DJ2" s="11"/>
      <c r="DK2" s="11"/>
      <c r="DL2" s="11"/>
      <c r="DM2" s="11"/>
      <c r="DN2" s="11"/>
      <c r="DO2" s="11"/>
      <c r="DP2" s="11"/>
      <c r="DQ2" s="11"/>
    </row>
    <row r="3" spans="1:121" ht="11.25" customHeight="1" x14ac:dyDescent="0.2">
      <c r="A3" s="112"/>
      <c r="B3" s="4" t="s">
        <v>41</v>
      </c>
      <c r="C3" s="14"/>
      <c r="D3" s="11"/>
      <c r="E3" s="14"/>
      <c r="F3" s="14"/>
      <c r="G3" s="14"/>
      <c r="H3" s="1"/>
      <c r="I3" s="14"/>
      <c r="J3" s="11"/>
      <c r="K3" s="14"/>
      <c r="L3" s="14"/>
      <c r="M3" s="14"/>
      <c r="N3" s="1"/>
      <c r="O3" s="14"/>
      <c r="P3" s="11"/>
      <c r="Q3" s="14"/>
      <c r="R3" s="14"/>
      <c r="S3" s="14"/>
      <c r="T3" s="1"/>
      <c r="U3" s="14"/>
      <c r="V3" s="11"/>
      <c r="W3" s="14"/>
      <c r="X3" s="14"/>
      <c r="Y3" s="14"/>
      <c r="Z3" s="1"/>
      <c r="AA3" s="14"/>
      <c r="AB3" s="11"/>
      <c r="AC3" s="14"/>
      <c r="AD3" s="14"/>
      <c r="AE3" s="14"/>
      <c r="AF3" s="1"/>
      <c r="AG3" s="14"/>
      <c r="AH3" s="11"/>
      <c r="AI3" s="14"/>
      <c r="AJ3" s="14"/>
      <c r="AK3" s="14"/>
      <c r="AL3" s="1"/>
      <c r="AM3" s="14"/>
      <c r="AN3" s="11"/>
      <c r="AO3" s="14"/>
      <c r="AP3" s="14"/>
      <c r="AQ3" s="14"/>
      <c r="AR3" s="1"/>
      <c r="AS3" s="14"/>
      <c r="AT3" s="14"/>
      <c r="AU3" s="14"/>
      <c r="AV3" s="14"/>
      <c r="AW3" s="14"/>
      <c r="AX3" s="1"/>
      <c r="AY3" s="14"/>
      <c r="AZ3" s="14"/>
      <c r="BA3" s="14"/>
      <c r="BB3" s="14"/>
      <c r="BC3" s="14"/>
      <c r="BD3" s="1"/>
      <c r="BE3" s="471"/>
      <c r="BF3" s="14"/>
      <c r="BG3" s="14"/>
      <c r="BH3" s="14"/>
      <c r="BI3" s="14"/>
      <c r="BJ3" s="1"/>
      <c r="BK3" s="14"/>
      <c r="BL3" s="14"/>
      <c r="BM3" s="14"/>
      <c r="BN3" s="14"/>
      <c r="BO3" s="14"/>
      <c r="BP3" s="1"/>
      <c r="BQ3" s="14"/>
      <c r="BR3" s="14"/>
      <c r="BS3" s="14"/>
      <c r="BT3" s="14"/>
      <c r="BU3" s="14"/>
      <c r="BV3" s="1"/>
      <c r="BW3" s="14"/>
      <c r="BX3" s="14"/>
      <c r="BY3" s="14"/>
      <c r="BZ3" s="14"/>
      <c r="CA3" s="14"/>
      <c r="CB3" s="1"/>
      <c r="CC3" s="14"/>
      <c r="CD3" s="14"/>
      <c r="CE3" s="14"/>
      <c r="CF3" s="14"/>
      <c r="CG3" s="14"/>
      <c r="CH3" s="1"/>
      <c r="CI3" s="14"/>
      <c r="CJ3" s="14"/>
      <c r="CK3" s="14"/>
      <c r="CL3" s="14"/>
      <c r="CM3" s="14"/>
      <c r="CN3" s="14"/>
      <c r="CO3" s="14"/>
      <c r="CP3" s="14"/>
      <c r="CX3" s="11"/>
      <c r="CY3" s="11"/>
      <c r="CZ3" s="11"/>
      <c r="DA3" s="11"/>
      <c r="DB3" s="11"/>
      <c r="DC3" s="11"/>
      <c r="DD3" s="11"/>
      <c r="DE3" s="11"/>
      <c r="DF3" s="11"/>
      <c r="DG3" s="11"/>
      <c r="DH3" s="11"/>
      <c r="DI3" s="11"/>
      <c r="DJ3" s="11"/>
      <c r="DK3" s="11"/>
      <c r="DL3" s="11"/>
      <c r="DM3" s="11"/>
      <c r="DN3" s="11"/>
      <c r="DO3" s="11"/>
      <c r="DP3" s="11"/>
      <c r="DQ3" s="11"/>
    </row>
    <row r="4" spans="1:121" ht="11.25" customHeight="1" x14ac:dyDescent="0.2">
      <c r="A4" s="112"/>
      <c r="B4" s="5" t="s">
        <v>304</v>
      </c>
      <c r="C4" s="14"/>
      <c r="D4" s="11"/>
      <c r="E4" s="14"/>
      <c r="F4" s="14"/>
      <c r="G4" s="14"/>
      <c r="H4" s="1"/>
      <c r="I4" s="14"/>
      <c r="J4" s="11"/>
      <c r="K4" s="14"/>
      <c r="L4" s="14"/>
      <c r="M4" s="14"/>
      <c r="N4" s="1"/>
      <c r="O4" s="14"/>
      <c r="P4" s="11"/>
      <c r="Q4" s="14"/>
      <c r="R4" s="14"/>
      <c r="S4" s="14"/>
      <c r="T4" s="1"/>
      <c r="U4" s="14"/>
      <c r="V4" s="11"/>
      <c r="W4" s="14"/>
      <c r="X4" s="14"/>
      <c r="Y4" s="14"/>
      <c r="Z4" s="1"/>
      <c r="AA4" s="14"/>
      <c r="AB4" s="11"/>
      <c r="AC4" s="14"/>
      <c r="AD4" s="14"/>
      <c r="AE4" s="14"/>
      <c r="AF4" s="1"/>
      <c r="AG4" s="14"/>
      <c r="AH4" s="11"/>
      <c r="AI4" s="14"/>
      <c r="AJ4" s="14"/>
      <c r="AK4" s="14"/>
      <c r="AL4" s="1"/>
      <c r="AM4" s="14"/>
      <c r="AN4" s="11"/>
      <c r="AO4" s="14"/>
      <c r="AP4" s="14"/>
      <c r="AQ4" s="14"/>
      <c r="AR4" s="1"/>
      <c r="AS4" s="14"/>
      <c r="AT4" s="14"/>
      <c r="AU4" s="14"/>
      <c r="AV4" s="14"/>
      <c r="AW4" s="14"/>
      <c r="AX4" s="1"/>
      <c r="AY4" s="14"/>
      <c r="AZ4" s="14"/>
      <c r="BA4" s="14"/>
      <c r="BB4" s="14"/>
      <c r="BC4" s="14"/>
      <c r="BD4" s="1"/>
      <c r="BE4" s="14"/>
      <c r="BF4" s="14"/>
      <c r="BG4" s="14"/>
      <c r="BH4" s="14"/>
      <c r="BI4" s="14"/>
      <c r="BJ4" s="1"/>
      <c r="BK4" s="14"/>
      <c r="BL4" s="14"/>
      <c r="BM4" s="14"/>
      <c r="BN4" s="14"/>
      <c r="BO4" s="14"/>
      <c r="BP4" s="1"/>
      <c r="BQ4" s="14"/>
      <c r="BR4" s="14"/>
      <c r="BS4" s="14"/>
      <c r="BT4" s="14"/>
      <c r="BU4" s="14"/>
      <c r="BV4" s="1"/>
      <c r="BW4" s="14"/>
      <c r="BX4" s="14"/>
      <c r="BY4" s="14"/>
      <c r="BZ4" s="14"/>
      <c r="CA4" s="14"/>
      <c r="CB4" s="1"/>
      <c r="CC4" s="14"/>
      <c r="CD4" s="14"/>
      <c r="CE4" s="14"/>
      <c r="CF4" s="14"/>
      <c r="CG4" s="14"/>
      <c r="CH4" s="1"/>
      <c r="CI4" s="14"/>
      <c r="CJ4" s="14"/>
      <c r="CK4" s="14"/>
      <c r="CL4" s="14"/>
      <c r="CM4" s="14"/>
      <c r="CN4" s="14"/>
      <c r="CO4" s="14"/>
      <c r="CP4" s="14"/>
      <c r="CX4" s="11"/>
      <c r="CY4" s="11"/>
      <c r="CZ4" s="11"/>
      <c r="DA4" s="11"/>
      <c r="DB4" s="11"/>
      <c r="DC4" s="11"/>
      <c r="DD4" s="11"/>
      <c r="DE4" s="11"/>
      <c r="DF4" s="11"/>
      <c r="DG4" s="11"/>
      <c r="DH4" s="11"/>
      <c r="DI4" s="11"/>
      <c r="DJ4" s="11"/>
      <c r="DK4" s="11"/>
      <c r="DL4" s="11"/>
      <c r="DM4" s="11"/>
      <c r="DN4" s="11"/>
      <c r="DO4" s="11"/>
      <c r="DP4" s="11"/>
      <c r="DQ4" s="11"/>
    </row>
    <row r="5" spans="1:121" s="109" customFormat="1" ht="11.25" customHeight="1" x14ac:dyDescent="0.2">
      <c r="A5" s="111"/>
      <c r="B5" s="5"/>
      <c r="C5" s="1401" t="s">
        <v>31</v>
      </c>
      <c r="D5" s="1402"/>
      <c r="E5" s="1402"/>
      <c r="F5" s="1402"/>
      <c r="G5" s="510" t="str">
        <f>C5</f>
        <v>2007A</v>
      </c>
      <c r="H5" s="575"/>
      <c r="I5" s="1404" t="s">
        <v>32</v>
      </c>
      <c r="J5" s="1405"/>
      <c r="K5" s="1405"/>
      <c r="L5" s="1405"/>
      <c r="M5" s="510" t="str">
        <f>I5</f>
        <v>2008A</v>
      </c>
      <c r="N5" s="575"/>
      <c r="O5" s="1404" t="s">
        <v>33</v>
      </c>
      <c r="P5" s="1405"/>
      <c r="Q5" s="1405"/>
      <c r="R5" s="1405"/>
      <c r="S5" s="510" t="str">
        <f>O5</f>
        <v>2009A</v>
      </c>
      <c r="T5" s="575"/>
      <c r="U5" s="1404" t="s">
        <v>103</v>
      </c>
      <c r="V5" s="1405"/>
      <c r="W5" s="1405"/>
      <c r="X5" s="1405"/>
      <c r="Y5" s="510" t="str">
        <f>U5</f>
        <v>2010A</v>
      </c>
      <c r="Z5" s="575"/>
      <c r="AA5" s="1404" t="s">
        <v>139</v>
      </c>
      <c r="AB5" s="1405"/>
      <c r="AC5" s="1405"/>
      <c r="AD5" s="1405"/>
      <c r="AE5" s="510" t="str">
        <f>AA5</f>
        <v>2011A</v>
      </c>
      <c r="AF5" s="575"/>
      <c r="AG5" s="1404" t="s">
        <v>140</v>
      </c>
      <c r="AH5" s="1405"/>
      <c r="AI5" s="1405"/>
      <c r="AJ5" s="1405"/>
      <c r="AK5" s="510" t="str">
        <f>AG5</f>
        <v>2012A</v>
      </c>
      <c r="AL5" s="575"/>
      <c r="AM5" s="1404" t="s">
        <v>141</v>
      </c>
      <c r="AN5" s="1405"/>
      <c r="AO5" s="1405"/>
      <c r="AP5" s="1405"/>
      <c r="AQ5" s="510" t="str">
        <f>AM5</f>
        <v>2013A</v>
      </c>
      <c r="AR5" s="575"/>
      <c r="AS5" s="1404" t="s">
        <v>245</v>
      </c>
      <c r="AT5" s="1405"/>
      <c r="AU5" s="1405"/>
      <c r="AV5" s="1405"/>
      <c r="AW5" s="510" t="str">
        <f>AS5</f>
        <v>2014A</v>
      </c>
      <c r="AX5" s="575"/>
      <c r="AY5" s="1404" t="s">
        <v>259</v>
      </c>
      <c r="AZ5" s="1405"/>
      <c r="BA5" s="1405"/>
      <c r="BB5" s="1405"/>
      <c r="BC5" s="510" t="str">
        <f>AY5</f>
        <v>2015A</v>
      </c>
      <c r="BD5" s="575"/>
      <c r="BE5" s="1404" t="s">
        <v>270</v>
      </c>
      <c r="BF5" s="1405"/>
      <c r="BG5" s="1405"/>
      <c r="BH5" s="1405"/>
      <c r="BI5" s="510" t="str">
        <f>BE5</f>
        <v>2016A</v>
      </c>
      <c r="BJ5" s="575"/>
      <c r="BK5" s="1401" t="s">
        <v>455</v>
      </c>
      <c r="BL5" s="1402"/>
      <c r="BM5" s="1402"/>
      <c r="BN5" s="1403"/>
      <c r="BO5" s="510" t="str">
        <f>BK5</f>
        <v>2017A</v>
      </c>
      <c r="BP5" s="575"/>
      <c r="BQ5" s="1401" t="s">
        <v>251</v>
      </c>
      <c r="BR5" s="1402"/>
      <c r="BS5" s="1402"/>
      <c r="BT5" s="1402"/>
      <c r="BU5" s="510" t="str">
        <f>BQ5</f>
        <v>2018E</v>
      </c>
      <c r="BV5" s="107"/>
      <c r="BW5" s="1401" t="s">
        <v>252</v>
      </c>
      <c r="BX5" s="1402"/>
      <c r="BY5" s="1402"/>
      <c r="BZ5" s="1402"/>
      <c r="CA5" s="510" t="str">
        <f>BW5</f>
        <v>2019E</v>
      </c>
      <c r="CB5" s="107"/>
      <c r="CC5" s="1401" t="s">
        <v>253</v>
      </c>
      <c r="CD5" s="1402"/>
      <c r="CE5" s="1402"/>
      <c r="CF5" s="1402"/>
      <c r="CG5" s="510" t="str">
        <f>CC5</f>
        <v>2020E</v>
      </c>
      <c r="CH5" s="107"/>
      <c r="CI5" s="1401" t="s">
        <v>565</v>
      </c>
      <c r="CJ5" s="1402"/>
      <c r="CK5" s="1402"/>
      <c r="CL5" s="1402"/>
      <c r="CM5" s="510" t="str">
        <f>CI5</f>
        <v>2021E</v>
      </c>
      <c r="CN5" s="138"/>
      <c r="CO5" s="138"/>
      <c r="CP5" s="138"/>
      <c r="CQ5"/>
      <c r="CR5"/>
      <c r="CS5"/>
      <c r="CT5"/>
      <c r="CU5"/>
      <c r="CV5"/>
    </row>
    <row r="6" spans="1:121" ht="11.25" customHeight="1" x14ac:dyDescent="0.2">
      <c r="A6" s="112"/>
      <c r="B6" s="14"/>
      <c r="C6" s="509">
        <v>38929</v>
      </c>
      <c r="D6" s="256">
        <v>39021</v>
      </c>
      <c r="E6" s="256">
        <v>39113</v>
      </c>
      <c r="F6" s="256">
        <v>39202</v>
      </c>
      <c r="G6" s="513" t="str">
        <f>+C5</f>
        <v>2007A</v>
      </c>
      <c r="H6" s="99"/>
      <c r="I6" s="512">
        <f>O6-365</f>
        <v>39294</v>
      </c>
      <c r="J6" s="94">
        <f>P6-365</f>
        <v>39386</v>
      </c>
      <c r="K6" s="94">
        <f>Q6-365</f>
        <v>39478</v>
      </c>
      <c r="L6" s="94">
        <f>R6-365</f>
        <v>39568</v>
      </c>
      <c r="M6" s="511" t="str">
        <f>+I5</f>
        <v>2008A</v>
      </c>
      <c r="N6" s="99"/>
      <c r="O6" s="512">
        <f>U6-365</f>
        <v>39659</v>
      </c>
      <c r="P6" s="94">
        <f>V6-365</f>
        <v>39751</v>
      </c>
      <c r="Q6" s="94">
        <f>W6-365</f>
        <v>39843</v>
      </c>
      <c r="R6" s="94">
        <f>X6-365</f>
        <v>39933</v>
      </c>
      <c r="S6" s="511" t="str">
        <f>+O5</f>
        <v>2009A</v>
      </c>
      <c r="T6" s="99"/>
      <c r="U6" s="512">
        <f>AA6-365</f>
        <v>40024</v>
      </c>
      <c r="V6" s="94">
        <f>AB6-365</f>
        <v>40116</v>
      </c>
      <c r="W6" s="94">
        <f>AC6-365</f>
        <v>40208</v>
      </c>
      <c r="X6" s="94">
        <f>AD6-365</f>
        <v>40298</v>
      </c>
      <c r="Y6" s="511" t="str">
        <f>+U5</f>
        <v>2010A</v>
      </c>
      <c r="Z6" s="99"/>
      <c r="AA6" s="512">
        <v>40389</v>
      </c>
      <c r="AB6" s="94">
        <v>40481</v>
      </c>
      <c r="AC6" s="94">
        <v>40573</v>
      </c>
      <c r="AD6" s="94">
        <v>40663</v>
      </c>
      <c r="AE6" s="511" t="str">
        <f>+AA5</f>
        <v>2011A</v>
      </c>
      <c r="AF6" s="99"/>
      <c r="AG6" s="512">
        <v>40754</v>
      </c>
      <c r="AH6" s="94">
        <v>40846</v>
      </c>
      <c r="AI6" s="94">
        <v>40938</v>
      </c>
      <c r="AJ6" s="94">
        <v>41029</v>
      </c>
      <c r="AK6" s="511" t="str">
        <f>+AG5</f>
        <v>2012A</v>
      </c>
      <c r="AL6" s="99"/>
      <c r="AM6" s="512">
        <v>41120</v>
      </c>
      <c r="AN6" s="94">
        <v>41212</v>
      </c>
      <c r="AO6" s="94">
        <v>41304</v>
      </c>
      <c r="AP6" s="94">
        <v>41394</v>
      </c>
      <c r="AQ6" s="511" t="str">
        <f>+AM5</f>
        <v>2013A</v>
      </c>
      <c r="AR6" s="99"/>
      <c r="AS6" s="512">
        <v>41485</v>
      </c>
      <c r="AT6" s="94">
        <v>41577</v>
      </c>
      <c r="AU6" s="94">
        <v>41669</v>
      </c>
      <c r="AV6" s="94">
        <v>41759</v>
      </c>
      <c r="AW6" s="511" t="str">
        <f>+AS5</f>
        <v>2014A</v>
      </c>
      <c r="AX6" s="99"/>
      <c r="AY6" s="512">
        <v>41850</v>
      </c>
      <c r="AZ6" s="94">
        <v>41942</v>
      </c>
      <c r="BA6" s="94">
        <v>42034</v>
      </c>
      <c r="BB6" s="94">
        <v>42124</v>
      </c>
      <c r="BC6" s="511" t="str">
        <f>+AY5</f>
        <v>2015A</v>
      </c>
      <c r="BD6" s="99"/>
      <c r="BE6" s="512">
        <v>42215</v>
      </c>
      <c r="BF6" s="94">
        <v>42307</v>
      </c>
      <c r="BG6" s="94">
        <v>42399</v>
      </c>
      <c r="BH6" s="94">
        <v>42490</v>
      </c>
      <c r="BI6" s="511" t="str">
        <f>+BE5</f>
        <v>2016A</v>
      </c>
      <c r="BJ6" s="99"/>
      <c r="BK6" s="512">
        <v>42581</v>
      </c>
      <c r="BL6" s="94">
        <v>42673</v>
      </c>
      <c r="BM6" s="94">
        <v>42765</v>
      </c>
      <c r="BN6" s="94">
        <v>42855</v>
      </c>
      <c r="BO6" s="511" t="str">
        <f>+BK5</f>
        <v>2017A</v>
      </c>
      <c r="BP6" s="99"/>
      <c r="BQ6" s="1284">
        <v>42946</v>
      </c>
      <c r="BR6" s="1313">
        <v>43038</v>
      </c>
      <c r="BS6" s="94">
        <v>43130</v>
      </c>
      <c r="BT6" s="92">
        <v>43220</v>
      </c>
      <c r="BU6" s="516" t="str">
        <f>+BQ5</f>
        <v>2018E</v>
      </c>
      <c r="BV6" s="99"/>
      <c r="BW6" s="515">
        <v>43311</v>
      </c>
      <c r="BX6" s="92">
        <v>43403</v>
      </c>
      <c r="BY6" s="92">
        <v>43495</v>
      </c>
      <c r="BZ6" s="92">
        <v>43585</v>
      </c>
      <c r="CA6" s="516" t="str">
        <f>+BW5</f>
        <v>2019E</v>
      </c>
      <c r="CB6" s="99"/>
      <c r="CC6" s="515">
        <f>+BW6+365.25</f>
        <v>43676.25</v>
      </c>
      <c r="CD6" s="92">
        <f>+BX6+365.25</f>
        <v>43768.25</v>
      </c>
      <c r="CE6" s="92">
        <f>+BY6+365.25</f>
        <v>43860.25</v>
      </c>
      <c r="CF6" s="92">
        <f>+BZ6+365.25</f>
        <v>43950.25</v>
      </c>
      <c r="CG6" s="516" t="str">
        <f>+CC5</f>
        <v>2020E</v>
      </c>
      <c r="CH6" s="99"/>
      <c r="CI6" s="515">
        <f>+CC6+365.25</f>
        <v>44041.5</v>
      </c>
      <c r="CJ6" s="92">
        <f>+CD6+365.25</f>
        <v>44133.5</v>
      </c>
      <c r="CK6" s="92">
        <f>+CE6+365.25</f>
        <v>44225.5</v>
      </c>
      <c r="CL6" s="92">
        <f>+CF6+365.25</f>
        <v>44315.5</v>
      </c>
      <c r="CM6" s="516" t="str">
        <f>+CI5</f>
        <v>2021E</v>
      </c>
      <c r="CN6" s="99"/>
      <c r="CO6" s="14"/>
      <c r="CP6" s="14"/>
      <c r="CX6" s="11"/>
      <c r="CY6" s="11"/>
      <c r="CZ6" s="11"/>
      <c r="DA6" s="11"/>
      <c r="DB6" s="11"/>
      <c r="DC6" s="11"/>
      <c r="DD6" s="11"/>
      <c r="DE6" s="11"/>
      <c r="DF6" s="11"/>
      <c r="DG6" s="11"/>
      <c r="DH6" s="11"/>
      <c r="DI6" s="11"/>
      <c r="DJ6" s="11"/>
      <c r="DK6" s="11"/>
      <c r="DL6" s="11"/>
      <c r="DM6" s="11"/>
      <c r="DN6" s="11"/>
      <c r="DO6" s="11"/>
      <c r="DP6" s="11"/>
      <c r="DQ6" s="11"/>
    </row>
    <row r="7" spans="1:121" ht="11.25" customHeight="1" x14ac:dyDescent="0.2">
      <c r="B7" s="923" t="s">
        <v>198</v>
      </c>
      <c r="C7" s="144"/>
      <c r="D7" s="834"/>
      <c r="E7" s="145"/>
      <c r="F7" s="145"/>
      <c r="G7" s="491"/>
      <c r="H7" s="99"/>
      <c r="I7" s="517"/>
      <c r="J7" s="835"/>
      <c r="K7" s="518"/>
      <c r="L7" s="518"/>
      <c r="M7" s="665"/>
      <c r="N7" s="99"/>
      <c r="O7" s="517"/>
      <c r="P7" s="835"/>
      <c r="Q7" s="518"/>
      <c r="R7" s="518"/>
      <c r="S7" s="665"/>
      <c r="T7" s="99"/>
      <c r="U7" s="517"/>
      <c r="V7" s="835"/>
      <c r="W7" s="518"/>
      <c r="X7" s="518"/>
      <c r="Y7" s="665"/>
      <c r="Z7" s="99"/>
      <c r="AA7" s="517"/>
      <c r="AB7" s="835"/>
      <c r="AC7" s="518"/>
      <c r="AD7" s="518"/>
      <c r="AE7" s="665"/>
      <c r="AF7" s="99"/>
      <c r="AG7" s="517"/>
      <c r="AH7" s="835"/>
      <c r="AI7" s="518"/>
      <c r="AJ7" s="518"/>
      <c r="AK7" s="665"/>
      <c r="AL7" s="99"/>
      <c r="AM7" s="517"/>
      <c r="AN7" s="835"/>
      <c r="AO7" s="518"/>
      <c r="AP7" s="518"/>
      <c r="AQ7" s="665"/>
      <c r="AR7" s="99"/>
      <c r="AS7" s="517"/>
      <c r="AT7" s="518"/>
      <c r="AU7" s="518"/>
      <c r="AV7" s="518"/>
      <c r="AW7" s="665"/>
      <c r="AX7" s="99"/>
      <c r="AY7" s="517"/>
      <c r="AZ7" s="518"/>
      <c r="BA7" s="518"/>
      <c r="BB7" s="518"/>
      <c r="BC7" s="665"/>
      <c r="BD7" s="99"/>
      <c r="BE7" s="517"/>
      <c r="BF7" s="518"/>
      <c r="BG7" s="518"/>
      <c r="BH7" s="518"/>
      <c r="BI7" s="665"/>
      <c r="BJ7" s="99"/>
      <c r="BK7" s="517"/>
      <c r="BL7" s="518"/>
      <c r="BM7" s="518"/>
      <c r="BN7" s="518"/>
      <c r="BO7" s="665"/>
      <c r="BP7" s="99"/>
      <c r="BQ7" s="517"/>
      <c r="BR7" s="518"/>
      <c r="BS7" s="1411"/>
      <c r="BT7" s="518"/>
      <c r="BU7" s="665"/>
      <c r="BV7" s="99"/>
      <c r="BW7" s="517"/>
      <c r="BX7" s="518"/>
      <c r="BY7" s="518"/>
      <c r="BZ7" s="518"/>
      <c r="CA7" s="665"/>
      <c r="CB7" s="99"/>
      <c r="CC7" s="517"/>
      <c r="CD7" s="518"/>
      <c r="CE7" s="518"/>
      <c r="CF7" s="518"/>
      <c r="CG7" s="665"/>
      <c r="CH7" s="99"/>
      <c r="CI7" s="517"/>
      <c r="CJ7" s="518"/>
      <c r="CK7" s="518"/>
      <c r="CL7" s="518"/>
      <c r="CM7" s="665"/>
      <c r="CN7" s="99"/>
      <c r="CO7" s="14"/>
      <c r="CP7" s="14"/>
      <c r="CX7" s="11"/>
      <c r="CY7" s="11"/>
      <c r="CZ7" s="11"/>
      <c r="DA7" s="11"/>
      <c r="DB7" s="11"/>
      <c r="DC7" s="11"/>
      <c r="DD7" s="11"/>
      <c r="DE7" s="11"/>
      <c r="DF7" s="11"/>
      <c r="DG7" s="11"/>
      <c r="DH7" s="11"/>
      <c r="DI7" s="11"/>
      <c r="DJ7" s="11"/>
      <c r="DK7" s="11"/>
      <c r="DL7" s="11"/>
      <c r="DM7" s="11"/>
      <c r="DN7" s="11"/>
      <c r="DO7" s="11"/>
      <c r="DP7" s="11"/>
      <c r="DQ7" s="11"/>
    </row>
    <row r="8" spans="1:121" ht="11.25" customHeight="1" x14ac:dyDescent="0.2">
      <c r="A8" s="32"/>
      <c r="B8" s="823" t="s">
        <v>71</v>
      </c>
      <c r="C8" s="836">
        <v>41.584000000000003</v>
      </c>
      <c r="D8" s="837">
        <f>89.821-C8</f>
        <v>48.236999999999995</v>
      </c>
      <c r="E8" s="837">
        <f>148.412-D8-C8</f>
        <v>58.591000000000008</v>
      </c>
      <c r="F8" s="837">
        <f>208.336-E8-D8-C8</f>
        <v>59.924000000000007</v>
      </c>
      <c r="G8" s="694">
        <f>SUM(C8:F8)</f>
        <v>208.33600000000001</v>
      </c>
      <c r="H8" s="199"/>
      <c r="I8" s="425">
        <v>47.543999999999997</v>
      </c>
      <c r="J8" s="200">
        <f>101.285-I8</f>
        <v>53.741</v>
      </c>
      <c r="K8" s="200">
        <f>161.649-J8-I8</f>
        <v>60.364000000000004</v>
      </c>
      <c r="L8" s="200">
        <f>224.858-K8-J8-I8</f>
        <v>63.209000000000003</v>
      </c>
      <c r="M8" s="694">
        <f>SUM(I8:L8)</f>
        <v>224.858</v>
      </c>
      <c r="N8" s="199"/>
      <c r="O8" s="425">
        <v>45.963999999999999</v>
      </c>
      <c r="P8" s="200">
        <f>92.867-O8</f>
        <v>46.903000000000006</v>
      </c>
      <c r="Q8" s="200">
        <f>145.674-P8-O8</f>
        <v>52.807000000000002</v>
      </c>
      <c r="R8" s="200">
        <f>199.635-Q8-P8-O8</f>
        <v>53.96099999999997</v>
      </c>
      <c r="S8" s="694">
        <f>SUM(O8:R8)</f>
        <v>199.63499999999999</v>
      </c>
      <c r="T8" s="199"/>
      <c r="U8" s="425">
        <v>45.057000000000002</v>
      </c>
      <c r="V8" s="200">
        <f>94.4-U8</f>
        <v>49.343000000000004</v>
      </c>
      <c r="W8" s="200">
        <f>150.449-V8-U8</f>
        <v>56.049000000000007</v>
      </c>
      <c r="X8" s="200">
        <f>212.254-W8-V8-U8</f>
        <v>61.804999999999978</v>
      </c>
      <c r="Y8" s="694">
        <f>SUM(U8:X8)</f>
        <v>212.25399999999999</v>
      </c>
      <c r="Z8" s="199"/>
      <c r="AA8" s="425">
        <v>53.924999999999997</v>
      </c>
      <c r="AB8" s="200">
        <f>107.282-AA8</f>
        <v>53.356999999999999</v>
      </c>
      <c r="AC8" s="200">
        <f>162.678-AB8-AA8</f>
        <v>55.396000000000001</v>
      </c>
      <c r="AD8" s="200">
        <f>225.385-AC8-AB8-AA8</f>
        <v>62.706999999999979</v>
      </c>
      <c r="AE8" s="694">
        <f>SUM(AA8:AD8)</f>
        <v>225.38499999999999</v>
      </c>
      <c r="AF8" s="199"/>
      <c r="AG8" s="425">
        <v>48.61</v>
      </c>
      <c r="AH8" s="200">
        <f>97.564-AG8</f>
        <v>48.953999999999994</v>
      </c>
      <c r="AI8" s="200">
        <f>150.672-AH8-AG8</f>
        <v>53.108000000000004</v>
      </c>
      <c r="AJ8" s="200">
        <f>212.815-AI8-AH8-AG8</f>
        <v>62.143000000000001</v>
      </c>
      <c r="AK8" s="694">
        <f>SUM(AG8:AJ8)</f>
        <v>212.815</v>
      </c>
      <c r="AL8" s="199"/>
      <c r="AM8" s="425">
        <v>47.537999999999997</v>
      </c>
      <c r="AN8" s="200">
        <f>93.08-AM8</f>
        <v>45.542000000000002</v>
      </c>
      <c r="AO8" s="200">
        <f>146.71-AN8-AM8</f>
        <v>53.63000000000001</v>
      </c>
      <c r="AP8" s="200">
        <f>210.272-AO8-AN8-AM8</f>
        <v>63.561999999999998</v>
      </c>
      <c r="AQ8" s="694">
        <f>SUM(AM8:AP8)</f>
        <v>210.27199999999999</v>
      </c>
      <c r="AR8" s="199"/>
      <c r="AS8" s="425">
        <v>45.892000000000003</v>
      </c>
      <c r="AT8" s="200">
        <f>87.92-AS8</f>
        <v>42.027999999999999</v>
      </c>
      <c r="AU8" s="200">
        <f>144.941-AT8-AS8</f>
        <v>57.021000000000008</v>
      </c>
      <c r="AV8" s="200">
        <f>200.612-AU8-AT8-AS8</f>
        <v>55.670999999999985</v>
      </c>
      <c r="AW8" s="694">
        <f>SUM(AS8:AV8)</f>
        <v>200.61199999999999</v>
      </c>
      <c r="AX8" s="199"/>
      <c r="AY8" s="849">
        <v>50.289000000000001</v>
      </c>
      <c r="AZ8" s="845">
        <f>104.067-AY8</f>
        <v>53.777999999999992</v>
      </c>
      <c r="BA8" s="845">
        <f>158.743-AZ8-AY8</f>
        <v>54.676000000000002</v>
      </c>
      <c r="BB8" s="845">
        <f>223.261-BA8-AZ8-AY8</f>
        <v>64.517999999999986</v>
      </c>
      <c r="BC8" s="694">
        <f>SUM(AY8:BB8)</f>
        <v>223.26099999999997</v>
      </c>
      <c r="BD8" s="199"/>
      <c r="BE8" s="851">
        <v>29.702999999999999</v>
      </c>
      <c r="BF8" s="846">
        <f>65.124-BE8</f>
        <v>35.420999999999992</v>
      </c>
      <c r="BG8" s="846">
        <f>121.564-BF8-BE8</f>
        <v>56.44</v>
      </c>
      <c r="BH8" s="846">
        <f>187.184-BG8-BF8-BE8</f>
        <v>65.62</v>
      </c>
      <c r="BI8" s="694">
        <f>SUM(BE8:BH8)</f>
        <v>187.184</v>
      </c>
      <c r="BJ8" s="199"/>
      <c r="BK8" s="853">
        <f>'P&amp;L'!BK66</f>
        <v>38.905999999999899</v>
      </c>
      <c r="BL8" s="689">
        <f>'P&amp;L'!BL66</f>
        <v>45.756000000000036</v>
      </c>
      <c r="BM8" s="689">
        <f>'P&amp;L'!BM66</f>
        <v>24.539999999999996</v>
      </c>
      <c r="BN8" s="689">
        <f>'P&amp;L'!BN66</f>
        <v>62.391000000000005</v>
      </c>
      <c r="BO8" s="694">
        <f>SUM(BK8:BN8)</f>
        <v>171.59299999999993</v>
      </c>
      <c r="BP8" s="199"/>
      <c r="BQ8" s="853">
        <f>'P&amp;L'!BQ66</f>
        <v>30.846999999999991</v>
      </c>
      <c r="BR8" s="689">
        <f>'P&amp;L'!BR66</f>
        <v>40.243999999999971</v>
      </c>
      <c r="BS8" s="689">
        <f>'P&amp;L'!BS64</f>
        <v>108.955</v>
      </c>
      <c r="BT8" s="689">
        <f>'P&amp;L'!BT64</f>
        <v>25.941522154097179</v>
      </c>
      <c r="BU8" s="694">
        <f>SUM(BQ8:BT8)</f>
        <v>205.98752215409715</v>
      </c>
      <c r="BV8" s="199"/>
      <c r="BW8" s="853">
        <f>'P&amp;L'!BW64</f>
        <v>32.165741645425328</v>
      </c>
      <c r="BX8" s="689">
        <f>'P&amp;L'!BX64</f>
        <v>35.803154237920204</v>
      </c>
      <c r="BY8" s="689">
        <f>'P&amp;L'!BY64</f>
        <v>38.005353822883507</v>
      </c>
      <c r="BZ8" s="689">
        <f>'P&amp;L'!BZ64</f>
        <v>40.485967374714328</v>
      </c>
      <c r="CA8" s="694">
        <f>SUM(BW8:BZ8)</f>
        <v>146.46021708094338</v>
      </c>
      <c r="CB8" s="199"/>
      <c r="CC8" s="853">
        <f>'P&amp;L'!CC64</f>
        <v>34.776361148846661</v>
      </c>
      <c r="CD8" s="689">
        <f>'P&amp;L'!CD64</f>
        <v>38.470863064159765</v>
      </c>
      <c r="CE8" s="689">
        <f>'P&amp;L'!CE64</f>
        <v>40.286895173204577</v>
      </c>
      <c r="CF8" s="689">
        <f>'P&amp;L'!CF64</f>
        <v>43.011925519346057</v>
      </c>
      <c r="CG8" s="694">
        <f>SUM(CC8:CF8)</f>
        <v>156.54604490555707</v>
      </c>
      <c r="CH8" s="199"/>
      <c r="CI8" s="853">
        <f>'P&amp;L'!CI64</f>
        <v>31.618915253443706</v>
      </c>
      <c r="CJ8" s="689">
        <f>'P&amp;L'!CJ64</f>
        <v>35.054619580729785</v>
      </c>
      <c r="CK8" s="689">
        <f>'P&amp;L'!CK64</f>
        <v>37.279603992360222</v>
      </c>
      <c r="CL8" s="689">
        <f>'P&amp;L'!CL64</f>
        <v>39.826516370154735</v>
      </c>
      <c r="CM8" s="694">
        <f>SUM(CI8:CL8)</f>
        <v>143.77965519668845</v>
      </c>
      <c r="CN8" s="199"/>
      <c r="CO8" s="14"/>
      <c r="CP8" s="14"/>
      <c r="CW8" s="240"/>
      <c r="CX8" s="11"/>
      <c r="CY8" s="11"/>
      <c r="CZ8" s="11"/>
      <c r="DA8" s="11"/>
      <c r="DB8" s="11"/>
      <c r="DC8" s="11"/>
      <c r="DD8" s="11"/>
      <c r="DE8" s="11"/>
      <c r="DF8" s="11"/>
      <c r="DG8" s="11"/>
      <c r="DH8" s="11"/>
      <c r="DI8" s="11"/>
      <c r="DJ8" s="11"/>
      <c r="DK8" s="11"/>
      <c r="DL8" s="11"/>
      <c r="DM8" s="11"/>
      <c r="DN8" s="11"/>
      <c r="DO8" s="11"/>
      <c r="DP8" s="11"/>
      <c r="DQ8" s="11"/>
    </row>
    <row r="9" spans="1:121" ht="11.25" customHeight="1" x14ac:dyDescent="0.2">
      <c r="A9" s="32"/>
      <c r="B9" s="823" t="s">
        <v>314</v>
      </c>
      <c r="C9" s="425">
        <v>0</v>
      </c>
      <c r="D9" s="200">
        <f>0-C9</f>
        <v>0</v>
      </c>
      <c r="E9" s="200">
        <f>0-D9-C9</f>
        <v>0</v>
      </c>
      <c r="F9" s="200">
        <f>0-E9-D9-C9</f>
        <v>0</v>
      </c>
      <c r="G9" s="695">
        <f t="shared" ref="G9:G24" si="0">SUM(C9:F9)</f>
        <v>0</v>
      </c>
      <c r="H9" s="199"/>
      <c r="I9" s="425">
        <v>0</v>
      </c>
      <c r="J9" s="200">
        <f>0-I9</f>
        <v>0</v>
      </c>
      <c r="K9" s="200">
        <f>0-J9-I9</f>
        <v>0</v>
      </c>
      <c r="L9" s="200">
        <f>0-K9-J9-I9</f>
        <v>0</v>
      </c>
      <c r="M9" s="695">
        <f t="shared" ref="M9:M24" si="1">SUM(I9:L9)</f>
        <v>0</v>
      </c>
      <c r="N9" s="199"/>
      <c r="O9" s="425">
        <v>0</v>
      </c>
      <c r="P9" s="200">
        <f>0-O9</f>
        <v>0</v>
      </c>
      <c r="Q9" s="200">
        <f>0-P9-O9</f>
        <v>0</v>
      </c>
      <c r="R9" s="200">
        <f>0-Q9-P9-O9</f>
        <v>0</v>
      </c>
      <c r="S9" s="695">
        <f t="shared" ref="S9:S24" si="2">SUM(O9:R9)</f>
        <v>0</v>
      </c>
      <c r="T9" s="199"/>
      <c r="U9" s="425">
        <v>0</v>
      </c>
      <c r="V9" s="200">
        <f>0-U9</f>
        <v>0</v>
      </c>
      <c r="W9" s="200">
        <f>0-V9-U9</f>
        <v>0</v>
      </c>
      <c r="X9" s="200">
        <f>0-W9-V9-U9</f>
        <v>0</v>
      </c>
      <c r="Y9" s="695">
        <f t="shared" ref="Y9:Y24" si="3">SUM(U9:X9)</f>
        <v>0</v>
      </c>
      <c r="Z9" s="199"/>
      <c r="AA9" s="425">
        <v>0</v>
      </c>
      <c r="AB9" s="200">
        <v>0</v>
      </c>
      <c r="AC9" s="200">
        <f>0-AB9-AA9</f>
        <v>0</v>
      </c>
      <c r="AD9" s="200">
        <f>0-AC9-AB9-AA9</f>
        <v>0</v>
      </c>
      <c r="AE9" s="695">
        <f t="shared" ref="AE9:AE24" si="4">SUM(AA9:AD9)</f>
        <v>0</v>
      </c>
      <c r="AF9" s="199"/>
      <c r="AG9" s="425">
        <v>0</v>
      </c>
      <c r="AH9" s="200">
        <f>0-AG9</f>
        <v>0</v>
      </c>
      <c r="AI9" s="200">
        <f>0-AH9-AG9</f>
        <v>0</v>
      </c>
      <c r="AJ9" s="200">
        <f>0-AI9-AH9-AG9</f>
        <v>0</v>
      </c>
      <c r="AK9" s="695">
        <f t="shared" ref="AK9:AK24" si="5">SUM(AG9:AJ9)</f>
        <v>0</v>
      </c>
      <c r="AL9" s="199"/>
      <c r="AM9" s="425">
        <v>0</v>
      </c>
      <c r="AN9" s="200">
        <f>0-AM9</f>
        <v>0</v>
      </c>
      <c r="AO9" s="200">
        <f>0-AN9-AM9</f>
        <v>0</v>
      </c>
      <c r="AP9" s="200">
        <f>0-AO9-AN9-AM9</f>
        <v>0</v>
      </c>
      <c r="AQ9" s="695">
        <f t="shared" ref="AQ9:AQ24" si="6">SUM(AM9:AP9)</f>
        <v>0</v>
      </c>
      <c r="AR9" s="199"/>
      <c r="AS9" s="425">
        <v>0</v>
      </c>
      <c r="AT9" s="200">
        <f>0-AS9</f>
        <v>0</v>
      </c>
      <c r="AU9" s="200">
        <f>0-AT9-AS9</f>
        <v>0</v>
      </c>
      <c r="AV9" s="200">
        <f>0-AU9-AT9-AS9</f>
        <v>0</v>
      </c>
      <c r="AW9" s="695">
        <f t="shared" ref="AW9:AW24" si="7">SUM(AS9:AV9)</f>
        <v>0</v>
      </c>
      <c r="AX9" s="199"/>
      <c r="AY9" s="850">
        <v>-11.964</v>
      </c>
      <c r="AZ9" s="786">
        <f>-23.877-AY9</f>
        <v>-11.912999999999998</v>
      </c>
      <c r="BA9" s="786">
        <f>-32.119-AZ9-AY9</f>
        <v>-8.2420000000000027</v>
      </c>
      <c r="BB9" s="786">
        <f>-43.178-BA9-AZ9-AY9</f>
        <v>-11.058999999999996</v>
      </c>
      <c r="BC9" s="695">
        <f t="shared" ref="BC9:BC24" si="8">SUM(AY9:BB9)</f>
        <v>-43.177999999999997</v>
      </c>
      <c r="BD9" s="199"/>
      <c r="BE9" s="851">
        <v>-9.3919999999999995</v>
      </c>
      <c r="BF9" s="846">
        <f>-2.25-BE9</f>
        <v>7.1419999999999995</v>
      </c>
      <c r="BG9" s="846">
        <f>-1.5-BF9-BE9</f>
        <v>0.75</v>
      </c>
      <c r="BH9" s="846">
        <f>-1.5-BG9-BF9-BE9</f>
        <v>0</v>
      </c>
      <c r="BI9" s="695">
        <f t="shared" ref="BI9:BI22" si="9">SUM(BE9:BH9)</f>
        <v>-1.5</v>
      </c>
      <c r="BJ9" s="199"/>
      <c r="BK9" s="851">
        <v>0</v>
      </c>
      <c r="BL9" s="846">
        <v>0</v>
      </c>
      <c r="BM9" s="847">
        <f>3.229-SUM(BK9:BL9)</f>
        <v>3.2290000000000001</v>
      </c>
      <c r="BN9" s="846">
        <f>2.895-SUM(BK9:BM9)</f>
        <v>-0.33400000000000007</v>
      </c>
      <c r="BO9" s="695">
        <f t="shared" ref="BO9:BO22" si="10">SUM(BK9:BN9)</f>
        <v>2.895</v>
      </c>
      <c r="BP9" s="199"/>
      <c r="BQ9" s="851">
        <v>0</v>
      </c>
      <c r="BR9" s="846">
        <f>0-BQ9</f>
        <v>0</v>
      </c>
      <c r="BS9" s="847">
        <f>0-SUM(BQ9:BR9)</f>
        <v>0</v>
      </c>
      <c r="BT9" s="848">
        <v>0</v>
      </c>
      <c r="BU9" s="695">
        <f t="shared" ref="BU9:BU22" si="11">SUM(BQ9:BT9)</f>
        <v>0</v>
      </c>
      <c r="BV9" s="199"/>
      <c r="BW9" s="854">
        <v>0</v>
      </c>
      <c r="BX9" s="848">
        <v>0</v>
      </c>
      <c r="BY9" s="848">
        <v>0</v>
      </c>
      <c r="BZ9" s="848">
        <v>0</v>
      </c>
      <c r="CA9" s="695">
        <f>SUM(BW9:BZ9)</f>
        <v>0</v>
      </c>
      <c r="CB9" s="199"/>
      <c r="CC9" s="854">
        <v>0</v>
      </c>
      <c r="CD9" s="848">
        <v>0</v>
      </c>
      <c r="CE9" s="848">
        <v>0</v>
      </c>
      <c r="CF9" s="848">
        <v>0</v>
      </c>
      <c r="CG9" s="695">
        <f>SUM(CC9:CF9)</f>
        <v>0</v>
      </c>
      <c r="CH9" s="199"/>
      <c r="CI9" s="854">
        <v>0</v>
      </c>
      <c r="CJ9" s="848">
        <v>0</v>
      </c>
      <c r="CK9" s="848">
        <v>0</v>
      </c>
      <c r="CL9" s="848">
        <v>0</v>
      </c>
      <c r="CM9" s="695">
        <f>SUM(CI9:CL9)</f>
        <v>0</v>
      </c>
      <c r="CN9" s="199"/>
      <c r="CO9" s="14"/>
      <c r="CP9" s="14"/>
      <c r="CW9" s="240"/>
      <c r="CX9" s="11"/>
      <c r="CY9" s="11"/>
      <c r="CZ9" s="11"/>
      <c r="DA9" s="11"/>
      <c r="DB9" s="11"/>
      <c r="DC9" s="11"/>
      <c r="DD9" s="11"/>
      <c r="DE9" s="11"/>
      <c r="DF9" s="11"/>
      <c r="DG9" s="11"/>
      <c r="DH9" s="11"/>
      <c r="DI9" s="11"/>
      <c r="DJ9" s="11"/>
      <c r="DK9" s="11"/>
      <c r="DL9" s="11"/>
      <c r="DM9" s="11"/>
      <c r="DN9" s="11"/>
      <c r="DO9" s="11"/>
      <c r="DP9" s="11"/>
      <c r="DQ9" s="11"/>
    </row>
    <row r="10" spans="1:121" ht="11.25" customHeight="1" x14ac:dyDescent="0.2">
      <c r="A10" s="112"/>
      <c r="B10" s="823" t="s">
        <v>199</v>
      </c>
      <c r="C10" s="425"/>
      <c r="D10" s="200"/>
      <c r="E10" s="200"/>
      <c r="F10" s="200"/>
      <c r="G10" s="695"/>
      <c r="H10" s="199"/>
      <c r="I10" s="425"/>
      <c r="J10" s="200"/>
      <c r="K10" s="200"/>
      <c r="L10" s="200"/>
      <c r="M10" s="695"/>
      <c r="N10" s="199"/>
      <c r="O10" s="425"/>
      <c r="P10" s="200"/>
      <c r="Q10" s="200"/>
      <c r="R10" s="200"/>
      <c r="S10" s="695"/>
      <c r="T10" s="199"/>
      <c r="U10" s="425"/>
      <c r="V10" s="200"/>
      <c r="W10" s="200"/>
      <c r="X10" s="200"/>
      <c r="Y10" s="695"/>
      <c r="Z10" s="199"/>
      <c r="AA10" s="425"/>
      <c r="AB10" s="200"/>
      <c r="AC10" s="200"/>
      <c r="AD10" s="200"/>
      <c r="AE10" s="695"/>
      <c r="AF10" s="199"/>
      <c r="AG10" s="425"/>
      <c r="AH10" s="200"/>
      <c r="AI10" s="200"/>
      <c r="AJ10" s="200"/>
      <c r="AK10" s="695"/>
      <c r="AL10" s="199"/>
      <c r="AM10" s="425"/>
      <c r="AN10" s="200"/>
      <c r="AO10" s="200"/>
      <c r="AP10" s="200"/>
      <c r="AQ10" s="695"/>
      <c r="AR10" s="199"/>
      <c r="AS10" s="425"/>
      <c r="AT10" s="200"/>
      <c r="AU10" s="199"/>
      <c r="AV10" s="199"/>
      <c r="AW10" s="695"/>
      <c r="AX10" s="199"/>
      <c r="AY10" s="425"/>
      <c r="AZ10" s="200"/>
      <c r="BA10" s="200"/>
      <c r="BB10" s="200"/>
      <c r="BC10" s="695"/>
      <c r="BD10" s="199"/>
      <c r="BE10" s="852"/>
      <c r="BF10" s="847"/>
      <c r="BG10" s="847"/>
      <c r="BH10" s="847"/>
      <c r="BI10" s="695"/>
      <c r="BJ10" s="199"/>
      <c r="BK10" s="852"/>
      <c r="BL10" s="847"/>
      <c r="BM10" s="847"/>
      <c r="BN10" s="847"/>
      <c r="BO10" s="695"/>
      <c r="BP10" s="199"/>
      <c r="BQ10" s="852"/>
      <c r="BR10" s="847"/>
      <c r="BS10" s="200"/>
      <c r="BT10" s="200"/>
      <c r="BU10" s="695"/>
      <c r="BV10" s="199"/>
      <c r="BW10" s="425"/>
      <c r="BX10" s="200"/>
      <c r="BY10" s="200"/>
      <c r="BZ10" s="200"/>
      <c r="CA10" s="695"/>
      <c r="CB10" s="199"/>
      <c r="CC10" s="425"/>
      <c r="CD10" s="200"/>
      <c r="CE10" s="200"/>
      <c r="CF10" s="200"/>
      <c r="CG10" s="695"/>
      <c r="CH10" s="199"/>
      <c r="CI10" s="425"/>
      <c r="CJ10" s="200"/>
      <c r="CK10" s="200"/>
      <c r="CL10" s="200"/>
      <c r="CM10" s="695"/>
      <c r="CN10" s="199"/>
      <c r="CO10" s="14"/>
      <c r="CP10" s="14"/>
      <c r="CX10" s="11"/>
      <c r="CY10" s="11"/>
      <c r="CZ10" s="11"/>
      <c r="DA10" s="11"/>
      <c r="DB10" s="11"/>
      <c r="DC10" s="11"/>
      <c r="DD10" s="11"/>
      <c r="DE10" s="11"/>
      <c r="DF10" s="11"/>
      <c r="DG10" s="11"/>
      <c r="DH10" s="11"/>
      <c r="DI10" s="11"/>
      <c r="DJ10" s="11"/>
      <c r="DK10" s="11"/>
      <c r="DL10" s="11"/>
      <c r="DM10" s="11"/>
      <c r="DN10" s="11"/>
      <c r="DO10" s="11"/>
      <c r="DP10" s="11"/>
      <c r="DQ10" s="11"/>
    </row>
    <row r="11" spans="1:121" ht="11.25" customHeight="1" x14ac:dyDescent="0.2">
      <c r="A11" s="70"/>
      <c r="B11" s="824" t="s">
        <v>82</v>
      </c>
      <c r="C11" s="425">
        <v>4.859</v>
      </c>
      <c r="D11" s="193">
        <f>10-C11</f>
        <v>5.141</v>
      </c>
      <c r="E11" s="193">
        <f>15.017-D11-C11</f>
        <v>5.0169999999999995</v>
      </c>
      <c r="F11" s="193">
        <f>19.791-E11-D11-C11</f>
        <v>4.7740000000000009</v>
      </c>
      <c r="G11" s="695">
        <f t="shared" si="0"/>
        <v>19.791</v>
      </c>
      <c r="H11" s="215"/>
      <c r="I11" s="425">
        <v>4.8360000000000003</v>
      </c>
      <c r="J11" s="193">
        <f>9.675-I11</f>
        <v>4.8390000000000004</v>
      </c>
      <c r="K11" s="193">
        <f>14.527-J11-I11</f>
        <v>4.8519999999999985</v>
      </c>
      <c r="L11" s="193">
        <f>19.492-K11-J11-I11</f>
        <v>4.9650000000000016</v>
      </c>
      <c r="M11" s="695">
        <f t="shared" si="1"/>
        <v>19.492000000000001</v>
      </c>
      <c r="N11" s="215"/>
      <c r="O11" s="425">
        <v>4.9649999999999999</v>
      </c>
      <c r="P11" s="193">
        <f>10.968-O11</f>
        <v>6.0030000000000001</v>
      </c>
      <c r="Q11" s="193">
        <f>16.327-P11-O11</f>
        <v>5.3590000000000018</v>
      </c>
      <c r="R11" s="193">
        <f>22.89-Q11-P11-O11</f>
        <v>6.5629999999999988</v>
      </c>
      <c r="S11" s="695">
        <f t="shared" si="2"/>
        <v>22.89</v>
      </c>
      <c r="T11" s="215"/>
      <c r="U11" s="425">
        <v>5.7539999999999996</v>
      </c>
      <c r="V11" s="200">
        <f>11.928-U11</f>
        <v>6.1740000000000013</v>
      </c>
      <c r="W11" s="200">
        <f>17.91-V11-U11</f>
        <v>5.9819999999999993</v>
      </c>
      <c r="X11" s="193">
        <f>25.692-W11-V11-U11</f>
        <v>7.782</v>
      </c>
      <c r="Y11" s="695">
        <f t="shared" si="3"/>
        <v>25.692</v>
      </c>
      <c r="Z11" s="215"/>
      <c r="AA11" s="425">
        <v>6.4089999999999998</v>
      </c>
      <c r="AB11" s="200">
        <f>12.853-AA11</f>
        <v>6.444</v>
      </c>
      <c r="AC11" s="200">
        <f>18.768-AB11-AA11</f>
        <v>5.9150000000000018</v>
      </c>
      <c r="AD11" s="200">
        <f>24.613-AC11-AB11-AA11</f>
        <v>5.844999999999998</v>
      </c>
      <c r="AE11" s="695">
        <f t="shared" si="4"/>
        <v>24.613</v>
      </c>
      <c r="AF11" s="215"/>
      <c r="AG11" s="425">
        <v>5.4169999999999998</v>
      </c>
      <c r="AH11" s="200">
        <f>12.121-AG11</f>
        <v>6.7040000000000006</v>
      </c>
      <c r="AI11" s="200">
        <f>18.442-AH11-AG11</f>
        <v>6.3209999999999997</v>
      </c>
      <c r="AJ11" s="200">
        <f>25.254-AI11-AH11-AG11</f>
        <v>6.8119999999999994</v>
      </c>
      <c r="AK11" s="695">
        <f t="shared" si="5"/>
        <v>25.253999999999998</v>
      </c>
      <c r="AL11" s="215"/>
      <c r="AM11" s="425">
        <v>6.4139999999999997</v>
      </c>
      <c r="AN11" s="200">
        <f>12.719-AM11</f>
        <v>6.3049999999999997</v>
      </c>
      <c r="AO11" s="200">
        <f>19.137-AN11-AM11</f>
        <v>6.418000000000001</v>
      </c>
      <c r="AP11" s="200">
        <f>25.72-AO11-AN11-AM11</f>
        <v>6.5830000000000002</v>
      </c>
      <c r="AQ11" s="695">
        <f t="shared" si="6"/>
        <v>25.72</v>
      </c>
      <c r="AR11" s="215"/>
      <c r="AS11" s="425">
        <v>6.58</v>
      </c>
      <c r="AT11" s="200">
        <f>13.341-AS11</f>
        <v>6.7609999999999992</v>
      </c>
      <c r="AU11" s="200">
        <f>20.32-AT11-AS11</f>
        <v>6.979000000000001</v>
      </c>
      <c r="AV11" s="200">
        <f>27.113-AU11-AT11-AS11</f>
        <v>6.793000000000001</v>
      </c>
      <c r="AW11" s="695">
        <f t="shared" si="7"/>
        <v>27.113</v>
      </c>
      <c r="AX11" s="215"/>
      <c r="AY11" s="677">
        <v>5.907</v>
      </c>
      <c r="AZ11" s="193">
        <f>11.663-AY11</f>
        <v>5.7560000000000002</v>
      </c>
      <c r="BA11" s="193">
        <f>17.297-AZ11-AY11</f>
        <v>5.6340000000000003</v>
      </c>
      <c r="BB11" s="200">
        <f>23.768-BA11-AZ11-AY11</f>
        <v>6.4710000000000001</v>
      </c>
      <c r="BC11" s="695">
        <f t="shared" si="8"/>
        <v>23.768000000000001</v>
      </c>
      <c r="BD11" s="215"/>
      <c r="BE11" s="851">
        <v>7.3460000000000001</v>
      </c>
      <c r="BF11" s="846">
        <f>16.791-BE11</f>
        <v>9.4450000000000003</v>
      </c>
      <c r="BG11" s="846">
        <f>24.94-BF11-BE11</f>
        <v>8.1490000000000009</v>
      </c>
      <c r="BH11" s="846">
        <f>34.315-BG11-BF11-BE11</f>
        <v>9.3749999999999964</v>
      </c>
      <c r="BI11" s="695">
        <f t="shared" si="9"/>
        <v>34.314999999999998</v>
      </c>
      <c r="BJ11" s="215"/>
      <c r="BK11" s="851">
        <v>9.0640000000000001</v>
      </c>
      <c r="BL11" s="846">
        <f>18.01-BK11</f>
        <v>8.9460000000000015</v>
      </c>
      <c r="BM11" s="846">
        <f>29.037-SUM(BK11:BL11)</f>
        <v>11.026999999999997</v>
      </c>
      <c r="BN11" s="846">
        <f>40.004-SUM(BK11:BM11)</f>
        <v>10.966999999999999</v>
      </c>
      <c r="BO11" s="695">
        <f t="shared" si="10"/>
        <v>40.003999999999998</v>
      </c>
      <c r="BP11" s="215"/>
      <c r="BQ11" s="851">
        <v>11.433</v>
      </c>
      <c r="BR11" s="846">
        <f>22.458-BQ11</f>
        <v>11.024999999999999</v>
      </c>
      <c r="BS11" s="846">
        <f>34-SUM(BQ11:BR11)</f>
        <v>11.542000000000002</v>
      </c>
      <c r="BT11" s="199">
        <f>-'BalSht '!BT112</f>
        <v>11.782609461396683</v>
      </c>
      <c r="BU11" s="695">
        <f t="shared" si="11"/>
        <v>45.782609461396682</v>
      </c>
      <c r="BV11" s="215"/>
      <c r="BW11" s="175">
        <f>-'BalSht '!BW112</f>
        <v>12.034825934605644</v>
      </c>
      <c r="BX11" s="199">
        <f>-'BalSht '!BX112</f>
        <v>12.248500123694321</v>
      </c>
      <c r="BY11" s="199">
        <f>-'BalSht '!BY112</f>
        <v>12.481997322645784</v>
      </c>
      <c r="BZ11" s="199">
        <f>-'BalSht '!BZ112</f>
        <v>12.712251895047995</v>
      </c>
      <c r="CA11" s="695">
        <f t="shared" ref="CA11:CA22" si="12">SUM(BW11:BZ11)</f>
        <v>49.477575275993743</v>
      </c>
      <c r="CB11" s="215"/>
      <c r="CC11" s="175">
        <f>-'BalSht '!CC112</f>
        <v>12.956148922584431</v>
      </c>
      <c r="CD11" s="199">
        <f>-'BalSht '!CD112</f>
        <v>13.175132683041529</v>
      </c>
      <c r="CE11" s="199">
        <f>-'BalSht '!CE112</f>
        <v>13.414331089746506</v>
      </c>
      <c r="CF11" s="199">
        <f>-'BalSht '!CF112</f>
        <v>13.65072560806721</v>
      </c>
      <c r="CG11" s="695">
        <f t="shared" ref="CG11:CG22" si="13">SUM(CC11:CF11)</f>
        <v>53.196338303439674</v>
      </c>
      <c r="CH11" s="215"/>
      <c r="CI11" s="175">
        <f>-'BalSht '!CI112</f>
        <v>13.901162495450624</v>
      </c>
      <c r="CJ11" s="199">
        <f>-'BalSht '!CJ112</f>
        <v>14.126063361328875</v>
      </c>
      <c r="CK11" s="199">
        <f>-'BalSht '!CK112</f>
        <v>14.37173748022191</v>
      </c>
      <c r="CL11" s="199">
        <f>-'BalSht '!CL112</f>
        <v>14.614460908402796</v>
      </c>
      <c r="CM11" s="695">
        <f t="shared" ref="CM11:CM22" si="14">SUM(CI11:CL11)</f>
        <v>57.013424245404202</v>
      </c>
      <c r="CN11" s="215"/>
      <c r="CO11" s="14"/>
      <c r="CP11" s="14"/>
      <c r="CW11" s="240"/>
      <c r="CX11" s="11"/>
      <c r="CY11" s="11"/>
      <c r="CZ11" s="11"/>
      <c r="DA11" s="11"/>
      <c r="DB11" s="11"/>
      <c r="DC11" s="11"/>
      <c r="DD11" s="11"/>
      <c r="DE11" s="11"/>
      <c r="DF11" s="11"/>
      <c r="DG11" s="11"/>
      <c r="DH11" s="11"/>
      <c r="DI11" s="11"/>
      <c r="DJ11" s="11"/>
      <c r="DK11" s="11"/>
      <c r="DL11" s="11"/>
      <c r="DM11" s="11"/>
      <c r="DN11" s="11"/>
      <c r="DO11" s="11"/>
      <c r="DP11" s="11"/>
      <c r="DQ11" s="11"/>
    </row>
    <row r="12" spans="1:121" ht="11.25" customHeight="1" x14ac:dyDescent="0.2">
      <c r="A12" s="70"/>
      <c r="B12" s="824" t="s">
        <v>88</v>
      </c>
      <c r="C12" s="425">
        <v>1.385</v>
      </c>
      <c r="D12" s="200">
        <f>2.856-C12</f>
        <v>1.4709999999999999</v>
      </c>
      <c r="E12" s="200">
        <f>4.32-D12-C12</f>
        <v>1.4640000000000002</v>
      </c>
      <c r="F12" s="200">
        <f>5.71-E12-D12-C12</f>
        <v>1.3899999999999995</v>
      </c>
      <c r="G12" s="695">
        <f t="shared" si="0"/>
        <v>5.71</v>
      </c>
      <c r="H12" s="215"/>
      <c r="I12" s="425">
        <v>1.2470000000000001</v>
      </c>
      <c r="J12" s="200">
        <f>2.649-I12</f>
        <v>1.4019999999999999</v>
      </c>
      <c r="K12" s="200">
        <f>4.97-J12-I12</f>
        <v>2.3209999999999997</v>
      </c>
      <c r="L12" s="193">
        <f>6.788-K12-J12-I12</f>
        <v>1.8180000000000003</v>
      </c>
      <c r="M12" s="695">
        <f t="shared" si="1"/>
        <v>6.7880000000000003</v>
      </c>
      <c r="N12" s="215"/>
      <c r="O12" s="425">
        <v>1.4179999999999999</v>
      </c>
      <c r="P12" s="200">
        <f>2.896-O12</f>
        <v>1.478</v>
      </c>
      <c r="Q12" s="200">
        <f>5.188-P12-O12</f>
        <v>2.2919999999999998</v>
      </c>
      <c r="R12" s="193">
        <f>7.456-Q12-P12-O12</f>
        <v>2.2680000000000007</v>
      </c>
      <c r="S12" s="695">
        <f t="shared" si="2"/>
        <v>7.4560000000000004</v>
      </c>
      <c r="T12" s="215"/>
      <c r="U12" s="425">
        <v>3.1030000000000002</v>
      </c>
      <c r="V12" s="200">
        <f>6.741-U12</f>
        <v>3.6379999999999995</v>
      </c>
      <c r="W12" s="200">
        <f>10.324-V12-U12</f>
        <v>3.5829999999999997</v>
      </c>
      <c r="X12" s="193">
        <f>13.782-W12-V12-U12</f>
        <v>3.4579999999999997</v>
      </c>
      <c r="Y12" s="695">
        <f t="shared" si="3"/>
        <v>13.782</v>
      </c>
      <c r="Z12" s="215"/>
      <c r="AA12" s="425">
        <v>3.1139999999999999</v>
      </c>
      <c r="AB12" s="200">
        <f>8.2-AA12</f>
        <v>5.0859999999999994</v>
      </c>
      <c r="AC12" s="200">
        <f>12.067-AB12-AA12</f>
        <v>3.8670000000000009</v>
      </c>
      <c r="AD12" s="200">
        <f>16.726-AC12-AB12-AA12</f>
        <v>4.6589999999999989</v>
      </c>
      <c r="AE12" s="695">
        <f t="shared" si="4"/>
        <v>16.725999999999999</v>
      </c>
      <c r="AF12" s="215"/>
      <c r="AG12" s="425">
        <v>3.665</v>
      </c>
      <c r="AH12" s="200">
        <f>7.418-AG12</f>
        <v>3.7530000000000001</v>
      </c>
      <c r="AI12" s="200">
        <f>11.99-AH12-AG12</f>
        <v>4.5720000000000001</v>
      </c>
      <c r="AJ12" s="200">
        <f>16.955-AI12-AH12-AG12</f>
        <v>4.964999999999999</v>
      </c>
      <c r="AK12" s="695">
        <f t="shared" si="5"/>
        <v>16.954999999999998</v>
      </c>
      <c r="AL12" s="215"/>
      <c r="AM12" s="425">
        <v>5.0709999999999997</v>
      </c>
      <c r="AN12" s="200">
        <f>9.187-AM12</f>
        <v>4.1159999999999997</v>
      </c>
      <c r="AO12" s="200">
        <f>14.17-AN12-AM12</f>
        <v>4.9830000000000005</v>
      </c>
      <c r="AP12" s="200">
        <f>20.282-AO12-AN12-AM12</f>
        <v>6.1120000000000001</v>
      </c>
      <c r="AQ12" s="695">
        <f t="shared" si="6"/>
        <v>20.282</v>
      </c>
      <c r="AR12" s="215"/>
      <c r="AS12" s="425">
        <v>4.3959999999999999</v>
      </c>
      <c r="AT12" s="200">
        <f>9.7-AS12</f>
        <v>5.3039999999999994</v>
      </c>
      <c r="AU12" s="200">
        <f>16.363-AT12-AS12</f>
        <v>6.6630000000000011</v>
      </c>
      <c r="AV12" s="200">
        <f>22.873-AU12-AT12-AS12</f>
        <v>6.5100000000000025</v>
      </c>
      <c r="AW12" s="695">
        <f t="shared" si="7"/>
        <v>22.873000000000001</v>
      </c>
      <c r="AX12" s="215"/>
      <c r="AY12" s="677">
        <v>3.7490000000000001</v>
      </c>
      <c r="AZ12" s="193">
        <f>9.351-AY12</f>
        <v>5.6020000000000003</v>
      </c>
      <c r="BA12" s="193">
        <f>14.192-AZ12-AY12</f>
        <v>4.8409999999999993</v>
      </c>
      <c r="BB12" s="200">
        <f>20.755-BA12-AZ12-AY12</f>
        <v>6.5629999999999988</v>
      </c>
      <c r="BC12" s="695">
        <f t="shared" si="8"/>
        <v>20.754999999999999</v>
      </c>
      <c r="BD12" s="215"/>
      <c r="BE12" s="851">
        <v>7.9009999999999998</v>
      </c>
      <c r="BF12" s="846">
        <f>21.609-BE12</f>
        <v>13.708000000000002</v>
      </c>
      <c r="BG12" s="846">
        <f>33.877-BF12-BE12</f>
        <v>12.268000000000001</v>
      </c>
      <c r="BH12" s="846">
        <f>48.068-BG12-BF12-BE12</f>
        <v>14.190999999999995</v>
      </c>
      <c r="BI12" s="695">
        <f t="shared" si="9"/>
        <v>48.067999999999998</v>
      </c>
      <c r="BJ12" s="215"/>
      <c r="BK12" s="851">
        <v>11.295</v>
      </c>
      <c r="BL12" s="846">
        <f>23.997-BK12</f>
        <v>12.702</v>
      </c>
      <c r="BM12" s="846">
        <f>34.019-SUM(BK12:BL12)</f>
        <v>10.021999999999998</v>
      </c>
      <c r="BN12" s="846">
        <f>43.814-SUM(BK12:BM12)</f>
        <v>9.7950000000000017</v>
      </c>
      <c r="BO12" s="695">
        <f t="shared" si="10"/>
        <v>43.814</v>
      </c>
      <c r="BP12" s="215"/>
      <c r="BQ12" s="852">
        <v>9.6709999999999994</v>
      </c>
      <c r="BR12" s="846">
        <f>19.375-BQ12</f>
        <v>9.7040000000000006</v>
      </c>
      <c r="BS12" s="846">
        <f>62.787-34-SUM(BQ12:BR12)</f>
        <v>9.411999999999999</v>
      </c>
      <c r="BT12" s="199">
        <f>+'BalSht '!BT123</f>
        <v>8.7730000000000032</v>
      </c>
      <c r="BU12" s="695">
        <f t="shared" si="11"/>
        <v>37.56</v>
      </c>
      <c r="BV12" s="215"/>
      <c r="BW12" s="175">
        <f>+'BalSht '!BW123</f>
        <v>9.5</v>
      </c>
      <c r="BX12" s="199">
        <f>+'BalSht '!BX123</f>
        <v>9.5</v>
      </c>
      <c r="BY12" s="199">
        <f>+'BalSht '!BY123</f>
        <v>9.5</v>
      </c>
      <c r="BZ12" s="199">
        <f>+'BalSht '!BZ123</f>
        <v>9.5</v>
      </c>
      <c r="CA12" s="695">
        <f t="shared" si="12"/>
        <v>38</v>
      </c>
      <c r="CB12" s="215"/>
      <c r="CC12" s="175">
        <f>+'BalSht '!CC123</f>
        <v>8.75</v>
      </c>
      <c r="CD12" s="199">
        <f>+'BalSht '!CD123</f>
        <v>8.75</v>
      </c>
      <c r="CE12" s="199">
        <f>+'BalSht '!CE123</f>
        <v>8.75</v>
      </c>
      <c r="CF12" s="199">
        <f>+'BalSht '!CF123</f>
        <v>8.75</v>
      </c>
      <c r="CG12" s="695">
        <f t="shared" si="13"/>
        <v>35</v>
      </c>
      <c r="CH12" s="215"/>
      <c r="CI12" s="175">
        <f>+'BalSht '!CI123</f>
        <v>8.75</v>
      </c>
      <c r="CJ12" s="199">
        <f>+'BalSht '!CJ123</f>
        <v>8.75</v>
      </c>
      <c r="CK12" s="199">
        <f>+'BalSht '!CK123</f>
        <v>8.75</v>
      </c>
      <c r="CL12" s="199">
        <f>+'BalSht '!CL123</f>
        <v>8.75</v>
      </c>
      <c r="CM12" s="695">
        <f t="shared" si="14"/>
        <v>35</v>
      </c>
      <c r="CN12" s="215"/>
      <c r="CO12" s="14"/>
      <c r="CP12" s="14"/>
      <c r="CW12" s="240"/>
      <c r="CX12" s="11"/>
      <c r="CY12" s="11"/>
      <c r="CZ12" s="11"/>
      <c r="DA12" s="11"/>
      <c r="DB12" s="11"/>
      <c r="DC12" s="11"/>
      <c r="DD12" s="11"/>
      <c r="DE12" s="11"/>
      <c r="DF12" s="11"/>
      <c r="DG12" s="11"/>
      <c r="DH12" s="11"/>
      <c r="DI12" s="11"/>
      <c r="DJ12" s="11"/>
      <c r="DK12" s="11"/>
      <c r="DL12" s="11"/>
      <c r="DM12" s="11"/>
      <c r="DN12" s="11"/>
      <c r="DO12" s="11"/>
      <c r="DP12" s="11"/>
      <c r="DQ12" s="11"/>
    </row>
    <row r="13" spans="1:121" ht="11.25" customHeight="1" x14ac:dyDescent="0.2">
      <c r="A13" s="70"/>
      <c r="B13" s="824" t="s">
        <v>300</v>
      </c>
      <c r="C13" s="425">
        <v>0.26200000000000001</v>
      </c>
      <c r="D13" s="200">
        <f>1.153-C13</f>
        <v>0.89100000000000001</v>
      </c>
      <c r="E13" s="200">
        <f>1.633-D13-C13</f>
        <v>0.48</v>
      </c>
      <c r="F13" s="200">
        <f>2.04-E13-D13-C13</f>
        <v>0.40700000000000003</v>
      </c>
      <c r="G13" s="695">
        <f t="shared" si="0"/>
        <v>2.04</v>
      </c>
      <c r="H13" s="215"/>
      <c r="I13" s="425">
        <v>0.48199999999999998</v>
      </c>
      <c r="J13" s="200">
        <f>1.696-I13</f>
        <v>1.214</v>
      </c>
      <c r="K13" s="200">
        <f>2.396-J13-I13</f>
        <v>0.7</v>
      </c>
      <c r="L13" s="193">
        <f>3.547-K13-J13-I13</f>
        <v>1.1510000000000005</v>
      </c>
      <c r="M13" s="695">
        <f t="shared" si="1"/>
        <v>3.5470000000000006</v>
      </c>
      <c r="N13" s="215"/>
      <c r="O13" s="425">
        <v>0.53800000000000003</v>
      </c>
      <c r="P13" s="200">
        <f>1.049-O13</f>
        <v>0.5109999999999999</v>
      </c>
      <c r="Q13" s="200">
        <f>3.136-P13-O13</f>
        <v>2.0869999999999997</v>
      </c>
      <c r="R13" s="193">
        <f>4.193-Q13-P13-O13</f>
        <v>1.0569999999999999</v>
      </c>
      <c r="S13" s="695">
        <f t="shared" si="2"/>
        <v>4.1929999999999996</v>
      </c>
      <c r="T13" s="215"/>
      <c r="U13" s="425">
        <v>0.99199999999999999</v>
      </c>
      <c r="V13" s="200">
        <f>1.962-U13</f>
        <v>0.97</v>
      </c>
      <c r="W13" s="200">
        <f>3.047-V13-U13</f>
        <v>1.085</v>
      </c>
      <c r="X13" s="193">
        <f>4.579-W13-V13-U13</f>
        <v>1.532</v>
      </c>
      <c r="Y13" s="695">
        <f t="shared" si="3"/>
        <v>4.5789999999999997</v>
      </c>
      <c r="Z13" s="215"/>
      <c r="AA13" s="425">
        <v>1.022</v>
      </c>
      <c r="AB13" s="200">
        <f>2.099-AA13</f>
        <v>1.0770000000000002</v>
      </c>
      <c r="AC13" s="200">
        <f>2.613-AB13-AA13</f>
        <v>0.51399999999999979</v>
      </c>
      <c r="AD13" s="200">
        <f>3.409-AC13-AB13-AA13</f>
        <v>0.79599999999999982</v>
      </c>
      <c r="AE13" s="695">
        <f t="shared" si="4"/>
        <v>3.4089999999999998</v>
      </c>
      <c r="AF13" s="215"/>
      <c r="AG13" s="425">
        <v>0.76600000000000001</v>
      </c>
      <c r="AH13" s="200">
        <f>1.76-AG13</f>
        <v>0.99399999999999999</v>
      </c>
      <c r="AI13" s="200">
        <f>2.216-AH13-AG13</f>
        <v>0.45600000000000018</v>
      </c>
      <c r="AJ13" s="200">
        <f>2.445-AI13-AH13-AG13</f>
        <v>0.22899999999999965</v>
      </c>
      <c r="AK13" s="695">
        <f t="shared" si="5"/>
        <v>2.4449999999999998</v>
      </c>
      <c r="AL13" s="215"/>
      <c r="AM13" s="425">
        <v>0.93700000000000006</v>
      </c>
      <c r="AN13" s="200">
        <f>1.412-AM13</f>
        <v>0.47499999999999987</v>
      </c>
      <c r="AO13" s="200">
        <f>0.492-AN13-AM13</f>
        <v>-0.91999999999999993</v>
      </c>
      <c r="AP13" s="200">
        <f>1.119-AO13-AN13-AM13</f>
        <v>0.62699999999999978</v>
      </c>
      <c r="AQ13" s="695">
        <f t="shared" si="6"/>
        <v>1.1189999999999998</v>
      </c>
      <c r="AR13" s="215"/>
      <c r="AS13" s="425">
        <v>0.24399999999999999</v>
      </c>
      <c r="AT13" s="200">
        <f>1.362-AS13</f>
        <v>1.1180000000000001</v>
      </c>
      <c r="AU13" s="200">
        <f>2.202-AT13-AS13</f>
        <v>0.83999999999999986</v>
      </c>
      <c r="AV13" s="200">
        <f>3.22-AU13-AT13-AS13</f>
        <v>1.0180000000000002</v>
      </c>
      <c r="AW13" s="695">
        <f t="shared" si="7"/>
        <v>3.22</v>
      </c>
      <c r="AX13" s="215"/>
      <c r="AY13" s="677">
        <v>0.35299999999999998</v>
      </c>
      <c r="AZ13" s="193">
        <f>0.809-AY13</f>
        <v>0.45600000000000007</v>
      </c>
      <c r="BA13" s="193">
        <f>1.778-AZ13-AY13</f>
        <v>0.96900000000000008</v>
      </c>
      <c r="BB13" s="200">
        <f>2.546-BA13-AZ13-AY13</f>
        <v>0.76799999999999957</v>
      </c>
      <c r="BC13" s="695">
        <f t="shared" si="8"/>
        <v>2.5459999999999994</v>
      </c>
      <c r="BD13" s="215"/>
      <c r="BE13" s="851">
        <v>4.7190000000000003</v>
      </c>
      <c r="BF13" s="846">
        <f>5.674-BE13</f>
        <v>0.95500000000000007</v>
      </c>
      <c r="BG13" s="846">
        <f>6.546-BF13-BE13</f>
        <v>0.87199999999999989</v>
      </c>
      <c r="BH13" s="846">
        <f>8.246-BG13-BF13-BE13</f>
        <v>1.7000000000000002</v>
      </c>
      <c r="BI13" s="695">
        <f t="shared" si="9"/>
        <v>8.2460000000000004</v>
      </c>
      <c r="BJ13" s="215"/>
      <c r="BK13" s="851">
        <v>-0.45700000000000002</v>
      </c>
      <c r="BL13" s="846">
        <f>0.058-BK13</f>
        <v>0.51500000000000001</v>
      </c>
      <c r="BM13" s="846">
        <f>1.013-SUM(BK13:BL13)</f>
        <v>0.95499999999999985</v>
      </c>
      <c r="BN13" s="846">
        <f>1.642-SUM(BK13:BM13)</f>
        <v>0.629</v>
      </c>
      <c r="BO13" s="695">
        <f t="shared" si="10"/>
        <v>1.6419999999999999</v>
      </c>
      <c r="BP13" s="215"/>
      <c r="BQ13" s="851">
        <v>1.419</v>
      </c>
      <c r="BR13" s="846">
        <f>3.716-BQ13</f>
        <v>2.2970000000000002</v>
      </c>
      <c r="BS13" s="846">
        <f>0-BR13-BQ13</f>
        <v>-3.7160000000000002</v>
      </c>
      <c r="BT13" s="848">
        <v>0</v>
      </c>
      <c r="BU13" s="695">
        <f t="shared" si="11"/>
        <v>0</v>
      </c>
      <c r="BV13" s="215"/>
      <c r="BW13" s="854">
        <v>0</v>
      </c>
      <c r="BX13" s="848">
        <v>0</v>
      </c>
      <c r="BY13" s="848">
        <v>0</v>
      </c>
      <c r="BZ13" s="848">
        <v>0</v>
      </c>
      <c r="CA13" s="695">
        <f t="shared" si="12"/>
        <v>0</v>
      </c>
      <c r="CB13" s="215"/>
      <c r="CC13" s="854">
        <v>0</v>
      </c>
      <c r="CD13" s="848">
        <v>0</v>
      </c>
      <c r="CE13" s="848">
        <v>0</v>
      </c>
      <c r="CF13" s="848">
        <v>0</v>
      </c>
      <c r="CG13" s="695">
        <f t="shared" si="13"/>
        <v>0</v>
      </c>
      <c r="CH13" s="215"/>
      <c r="CI13" s="854">
        <v>0</v>
      </c>
      <c r="CJ13" s="848">
        <v>0</v>
      </c>
      <c r="CK13" s="848">
        <v>0</v>
      </c>
      <c r="CL13" s="848">
        <v>0</v>
      </c>
      <c r="CM13" s="695">
        <f t="shared" si="14"/>
        <v>0</v>
      </c>
      <c r="CN13" s="215"/>
      <c r="CO13" s="14"/>
      <c r="CP13" s="14"/>
      <c r="CW13" s="240"/>
      <c r="CX13" s="11"/>
      <c r="CY13" s="11"/>
      <c r="CZ13" s="11"/>
      <c r="DA13" s="11"/>
      <c r="DB13" s="11"/>
      <c r="DC13" s="11"/>
      <c r="DD13" s="11"/>
      <c r="DE13" s="11"/>
      <c r="DF13" s="11"/>
      <c r="DG13" s="11"/>
      <c r="DH13" s="11"/>
      <c r="DI13" s="11"/>
      <c r="DJ13" s="11"/>
      <c r="DK13" s="11"/>
      <c r="DL13" s="11"/>
      <c r="DM13" s="11"/>
      <c r="DN13" s="11"/>
      <c r="DO13" s="11"/>
      <c r="DP13" s="11"/>
      <c r="DQ13" s="11"/>
    </row>
    <row r="14" spans="1:121" ht="11.25" customHeight="1" x14ac:dyDescent="0.2">
      <c r="A14" s="69"/>
      <c r="B14" s="824" t="s">
        <v>205</v>
      </c>
      <c r="C14" s="425">
        <v>2.0680000000000001</v>
      </c>
      <c r="D14" s="200">
        <f>4.065-C14</f>
        <v>1.9970000000000003</v>
      </c>
      <c r="E14" s="193">
        <f>5.881-D14-C14</f>
        <v>1.8159999999999998</v>
      </c>
      <c r="F14" s="193">
        <f>7.757-E14-D14-C14</f>
        <v>1.8759999999999994</v>
      </c>
      <c r="G14" s="695">
        <f t="shared" si="0"/>
        <v>7.7569999999999997</v>
      </c>
      <c r="H14" s="200"/>
      <c r="I14" s="425">
        <v>1.9690000000000001</v>
      </c>
      <c r="J14" s="200">
        <f>3.978-I14</f>
        <v>2.0090000000000003</v>
      </c>
      <c r="K14" s="193">
        <f>5.954-J14-I14</f>
        <v>1.9759999999999993</v>
      </c>
      <c r="L14" s="193">
        <f>7.723-K14-J14-I14</f>
        <v>1.7690000000000003</v>
      </c>
      <c r="M14" s="695">
        <f t="shared" si="1"/>
        <v>7.7229999999999999</v>
      </c>
      <c r="N14" s="200"/>
      <c r="O14" s="425">
        <v>1.962</v>
      </c>
      <c r="P14" s="200">
        <f>3.938-O14</f>
        <v>1.9760000000000002</v>
      </c>
      <c r="Q14" s="193">
        <f>5.8-P14-O14</f>
        <v>1.8619999999999999</v>
      </c>
      <c r="R14" s="193">
        <f>7.73-Q14-P14-O14</f>
        <v>1.9300000000000004</v>
      </c>
      <c r="S14" s="695">
        <f t="shared" si="2"/>
        <v>7.73</v>
      </c>
      <c r="T14" s="200"/>
      <c r="U14" s="425">
        <v>2.23</v>
      </c>
      <c r="V14" s="200">
        <f>4.397-U14</f>
        <v>2.1670000000000003</v>
      </c>
      <c r="W14" s="200">
        <f>6.618-V14-U14</f>
        <v>2.2210000000000005</v>
      </c>
      <c r="X14" s="193">
        <f>8.826-W14-V14-U14</f>
        <v>2.2080000000000006</v>
      </c>
      <c r="Y14" s="695">
        <f t="shared" si="3"/>
        <v>8.8260000000000005</v>
      </c>
      <c r="Z14" s="200"/>
      <c r="AA14" s="425">
        <f>0.525+2.669</f>
        <v>3.194</v>
      </c>
      <c r="AB14" s="200">
        <f>1.05+5.289-AA14</f>
        <v>3.1449999999999996</v>
      </c>
      <c r="AC14" s="200">
        <f>1.575+7.911-AB14-AA14</f>
        <v>3.1469999999999994</v>
      </c>
      <c r="AD14" s="200">
        <f>10.481+2.113-AA14-AB14-AC14</f>
        <v>3.1079999999999997</v>
      </c>
      <c r="AE14" s="695">
        <f t="shared" si="4"/>
        <v>12.593999999999998</v>
      </c>
      <c r="AF14" s="200"/>
      <c r="AG14" s="425">
        <f>5.7+3.18</f>
        <v>8.8800000000000008</v>
      </c>
      <c r="AH14" s="200">
        <f>0.367+6.301-AG14</f>
        <v>-2.2120000000000006</v>
      </c>
      <c r="AI14" s="200">
        <f>0.544+9.428-AH14-AG14</f>
        <v>3.3040000000000003</v>
      </c>
      <c r="AJ14" s="200">
        <f>12.615+0.756-AI14-AH14-AG14</f>
        <v>3.3989999999999991</v>
      </c>
      <c r="AK14" s="695">
        <f t="shared" si="5"/>
        <v>13.371</v>
      </c>
      <c r="AL14" s="200"/>
      <c r="AM14" s="425">
        <f>5.7+3.738</f>
        <v>9.4380000000000006</v>
      </c>
      <c r="AN14" s="200">
        <f>11.4+7.456-AM14</f>
        <v>9.418000000000001</v>
      </c>
      <c r="AO14" s="200">
        <f>17.1+10.985-AN14-AM14</f>
        <v>9.229000000000001</v>
      </c>
      <c r="AP14" s="200">
        <f>35.202-AO14-AN14-AM14</f>
        <v>7.1169999999999991</v>
      </c>
      <c r="AQ14" s="695">
        <f t="shared" si="6"/>
        <v>35.201999999999998</v>
      </c>
      <c r="AR14" s="200"/>
      <c r="AS14" s="425">
        <v>4.4619999999999997</v>
      </c>
      <c r="AT14" s="200">
        <f>13.568-AS14</f>
        <v>9.1059999999999999</v>
      </c>
      <c r="AU14" s="200">
        <f>14.84-AT14-AS14</f>
        <v>1.2720000000000002</v>
      </c>
      <c r="AV14" s="200">
        <f>20.018-AU14-AT14-AS14</f>
        <v>5.1780000000000026</v>
      </c>
      <c r="AW14" s="695">
        <f t="shared" si="7"/>
        <v>20.018000000000001</v>
      </c>
      <c r="AX14" s="200"/>
      <c r="AY14" s="677">
        <v>6.4119999999999999</v>
      </c>
      <c r="AZ14" s="193">
        <f>11.94-AY14</f>
        <v>5.5279999999999996</v>
      </c>
      <c r="BA14" s="193">
        <f>17.94-AZ14-AY14</f>
        <v>6.0000000000000027</v>
      </c>
      <c r="BB14" s="200">
        <f>23.07-BA14-AZ14-AY14</f>
        <v>5.1299999999999981</v>
      </c>
      <c r="BC14" s="695">
        <f t="shared" si="8"/>
        <v>23.07</v>
      </c>
      <c r="BD14" s="200"/>
      <c r="BE14" s="851">
        <v>6.9649999999999999</v>
      </c>
      <c r="BF14" s="846">
        <f>13.541-BE14</f>
        <v>6.5760000000000005</v>
      </c>
      <c r="BG14" s="846">
        <f>20.587-BF14-BE14</f>
        <v>7.0459999999999994</v>
      </c>
      <c r="BH14" s="846">
        <f>28.851-BG14-BF14-BE14</f>
        <v>8.2639999999999993</v>
      </c>
      <c r="BI14" s="695">
        <f t="shared" si="9"/>
        <v>28.850999999999999</v>
      </c>
      <c r="BJ14" s="200"/>
      <c r="BK14" s="851">
        <v>9.1839999999999993</v>
      </c>
      <c r="BL14" s="846">
        <f>14.693-BK14</f>
        <v>5.5090000000000003</v>
      </c>
      <c r="BM14" s="846">
        <f>17.254-SUM(BK14:BL14)</f>
        <v>2.5610000000000017</v>
      </c>
      <c r="BN14" s="846">
        <f>19.025-SUM(BK14:BM14)</f>
        <v>1.7709999999999972</v>
      </c>
      <c r="BO14" s="695">
        <f t="shared" si="10"/>
        <v>19.024999999999999</v>
      </c>
      <c r="BP14" s="200"/>
      <c r="BQ14" s="851">
        <v>8.6560000000000006</v>
      </c>
      <c r="BR14" s="846">
        <f>16.635-BQ14</f>
        <v>7.979000000000001</v>
      </c>
      <c r="BS14" s="846">
        <f>22.999-SUM(BQ14:BR14)</f>
        <v>6.3639999999999972</v>
      </c>
      <c r="BT14" s="216">
        <f t="shared" ref="BS14:BT14" si="15">+BT100</f>
        <v>6.7026384288634846</v>
      </c>
      <c r="BU14" s="695">
        <f t="shared" si="11"/>
        <v>29.701638428863482</v>
      </c>
      <c r="BV14" s="200"/>
      <c r="BW14" s="840">
        <f>+BW100</f>
        <v>7.546933728496926</v>
      </c>
      <c r="BX14" s="216">
        <f>+BX100</f>
        <v>8.2482552264424189</v>
      </c>
      <c r="BY14" s="216">
        <f t="shared" ref="BY14:BZ14" si="16">+BY100</f>
        <v>8.1099916403587837</v>
      </c>
      <c r="BZ14" s="216">
        <f t="shared" si="16"/>
        <v>8.592628832064122</v>
      </c>
      <c r="CA14" s="695">
        <f>SUM(BW14:BZ14)</f>
        <v>32.497809427362249</v>
      </c>
      <c r="CB14" s="200"/>
      <c r="CC14" s="840">
        <f t="shared" ref="CC14:CL14" si="17">+CC100</f>
        <v>7.7330788232224652</v>
      </c>
      <c r="CD14" s="216">
        <f t="shared" si="17"/>
        <v>8.4483432280977375</v>
      </c>
      <c r="CE14" s="216">
        <f t="shared" si="17"/>
        <v>8.3253731016505554</v>
      </c>
      <c r="CF14" s="216">
        <f t="shared" si="17"/>
        <v>8.8216526436068232</v>
      </c>
      <c r="CG14" s="695">
        <f t="shared" si="13"/>
        <v>33.328447796577585</v>
      </c>
      <c r="CH14" s="200"/>
      <c r="CI14" s="840">
        <f t="shared" ref="CI14:CJ14" si="18">+CI100</f>
        <v>7.9645034186283681</v>
      </c>
      <c r="CJ14" s="216">
        <f t="shared" si="18"/>
        <v>8.7017254235090071</v>
      </c>
      <c r="CK14" s="216">
        <f t="shared" si="17"/>
        <v>8.5738142747152235</v>
      </c>
      <c r="CL14" s="216">
        <f t="shared" si="17"/>
        <v>9.0857498319434491</v>
      </c>
      <c r="CM14" s="695">
        <f t="shared" si="14"/>
        <v>34.32579294879605</v>
      </c>
      <c r="CN14" s="200"/>
      <c r="CO14" s="14"/>
      <c r="CP14" s="14"/>
      <c r="CW14" s="240"/>
      <c r="CX14" s="11"/>
      <c r="CY14" s="11"/>
      <c r="CZ14" s="11"/>
      <c r="DA14" s="11"/>
      <c r="DB14" s="11"/>
      <c r="DC14" s="11"/>
      <c r="DD14" s="11"/>
      <c r="DE14" s="11"/>
      <c r="DF14" s="11"/>
      <c r="DG14" s="11"/>
      <c r="DH14" s="11"/>
      <c r="DI14" s="11"/>
      <c r="DJ14" s="11"/>
      <c r="DK14" s="11"/>
      <c r="DL14" s="11"/>
      <c r="DM14" s="11"/>
      <c r="DN14" s="11"/>
      <c r="DO14" s="11"/>
      <c r="DP14" s="11"/>
      <c r="DQ14" s="11"/>
    </row>
    <row r="15" spans="1:121" ht="11.25" customHeight="1" x14ac:dyDescent="0.2">
      <c r="A15" s="69"/>
      <c r="B15" s="824" t="s">
        <v>315</v>
      </c>
      <c r="C15" s="425">
        <v>-0.48899999999999999</v>
      </c>
      <c r="D15" s="200">
        <f>-0.504-C15</f>
        <v>-1.5000000000000013E-2</v>
      </c>
      <c r="E15" s="193">
        <f>-0.607-D15-C15</f>
        <v>-0.10299999999999998</v>
      </c>
      <c r="F15" s="193">
        <f>-0.658-E15-D15-C15</f>
        <v>-5.1000000000000045E-2</v>
      </c>
      <c r="G15" s="695">
        <f t="shared" si="0"/>
        <v>-0.65800000000000003</v>
      </c>
      <c r="H15" s="200"/>
      <c r="I15" s="425">
        <v>-0.248</v>
      </c>
      <c r="J15" s="200">
        <f>-0.529-I15</f>
        <v>-0.28100000000000003</v>
      </c>
      <c r="K15" s="193">
        <f>-0.585-J15-I15</f>
        <v>-5.5999999999999939E-2</v>
      </c>
      <c r="L15" s="193">
        <f>-0.778-K15-J15-I15</f>
        <v>-0.19300000000000006</v>
      </c>
      <c r="M15" s="695">
        <f t="shared" si="1"/>
        <v>-0.77800000000000002</v>
      </c>
      <c r="N15" s="200"/>
      <c r="O15" s="425">
        <v>-0.05</v>
      </c>
      <c r="P15" s="200">
        <f>-0.291-O15</f>
        <v>-0.24099999999999999</v>
      </c>
      <c r="Q15" s="193">
        <f>-0.317-P15-O15</f>
        <v>-2.6000000000000009E-2</v>
      </c>
      <c r="R15" s="193">
        <f>-0.346-Q15-P15-O15</f>
        <v>-2.8999999999999956E-2</v>
      </c>
      <c r="S15" s="695">
        <f t="shared" si="2"/>
        <v>-0.34599999999999997</v>
      </c>
      <c r="T15" s="200"/>
      <c r="U15" s="425">
        <v>-0.105</v>
      </c>
      <c r="V15" s="200">
        <f>-0.255-U15</f>
        <v>-0.15000000000000002</v>
      </c>
      <c r="W15" s="200">
        <f>-0.381-V15-U15</f>
        <v>-0.126</v>
      </c>
      <c r="X15" s="193">
        <f>-0.387-W15-V15-U15</f>
        <v>-5.9999999999999915E-3</v>
      </c>
      <c r="Y15" s="695">
        <f t="shared" si="3"/>
        <v>-0.38700000000000001</v>
      </c>
      <c r="Z15" s="200"/>
      <c r="AA15" s="425">
        <v>-0.875</v>
      </c>
      <c r="AB15" s="200">
        <f>-1.031-AA15</f>
        <v>-0.15599999999999992</v>
      </c>
      <c r="AC15" s="200">
        <f>-1.276-AB15-AA15</f>
        <v>-0.24500000000000011</v>
      </c>
      <c r="AD15" s="200">
        <f>-1.276-AC15-AB15-AA15</f>
        <v>0</v>
      </c>
      <c r="AE15" s="695">
        <f t="shared" si="4"/>
        <v>-1.276</v>
      </c>
      <c r="AF15" s="200"/>
      <c r="AG15" s="425">
        <v>-0.38800000000000001</v>
      </c>
      <c r="AH15" s="200">
        <f>-0.544-AG15</f>
        <v>-0.15600000000000003</v>
      </c>
      <c r="AI15" s="200">
        <f>-0.608-AH15-AG15</f>
        <v>-6.3999999999999946E-2</v>
      </c>
      <c r="AJ15" s="200">
        <f>-1.371-AI15-AH15-AG15</f>
        <v>-0.76299999999999979</v>
      </c>
      <c r="AK15" s="695">
        <f t="shared" si="5"/>
        <v>-1.3709999999999998</v>
      </c>
      <c r="AL15" s="200"/>
      <c r="AM15" s="425">
        <v>-0.434</v>
      </c>
      <c r="AN15" s="200">
        <f>-0.656-AM15</f>
        <v>-0.22200000000000003</v>
      </c>
      <c r="AO15" s="200">
        <f>-0.849-AN15-AM15</f>
        <v>-0.193</v>
      </c>
      <c r="AP15" s="200">
        <f>-2.487-AO15-AN15-AM15</f>
        <v>-1.6380000000000001</v>
      </c>
      <c r="AQ15" s="695">
        <f t="shared" si="6"/>
        <v>-2.4870000000000001</v>
      </c>
      <c r="AR15" s="200"/>
      <c r="AS15" s="425">
        <v>-0.55300000000000005</v>
      </c>
      <c r="AT15" s="200">
        <f>-0.832-AS15</f>
        <v>-0.27899999999999991</v>
      </c>
      <c r="AU15" s="200">
        <f>-1.096-AT15-AS15</f>
        <v>-0.26400000000000012</v>
      </c>
      <c r="AV15" s="200">
        <f>-1.29-AU15-AT15-AS15</f>
        <v>-0.19399999999999984</v>
      </c>
      <c r="AW15" s="695">
        <f t="shared" si="7"/>
        <v>-1.29</v>
      </c>
      <c r="AX15" s="200"/>
      <c r="AY15" s="677">
        <v>-0.51200000000000001</v>
      </c>
      <c r="AZ15" s="193">
        <f>-0.175-AY15</f>
        <v>0.33700000000000002</v>
      </c>
      <c r="BA15" s="193">
        <f>-0.289-AZ15-AY15</f>
        <v>-0.11399999999999999</v>
      </c>
      <c r="BB15" s="200">
        <f>-0.255-BA15-AZ15-AY15</f>
        <v>3.3999999999999975E-2</v>
      </c>
      <c r="BC15" s="695">
        <f t="shared" si="8"/>
        <v>-0.255</v>
      </c>
      <c r="BD15" s="200"/>
      <c r="BE15" s="851">
        <v>-6.3E-2</v>
      </c>
      <c r="BF15" s="846">
        <f>-1.686-BE15</f>
        <v>-1.623</v>
      </c>
      <c r="BG15" s="846">
        <f>-1.75-BF15-BE15</f>
        <v>-6.4000000000000001E-2</v>
      </c>
      <c r="BH15" s="846">
        <f>-2.656-BG15-BF15-BE15</f>
        <v>-0.90600000000000014</v>
      </c>
      <c r="BI15" s="695">
        <f t="shared" si="9"/>
        <v>-2.6560000000000001</v>
      </c>
      <c r="BJ15" s="200"/>
      <c r="BK15" s="851">
        <v>0</v>
      </c>
      <c r="BL15" s="846">
        <v>0</v>
      </c>
      <c r="BM15" s="846">
        <f>0-SUM(BK15:BL15)</f>
        <v>0</v>
      </c>
      <c r="BN15" s="846">
        <f>0-SUM(BK15:BM15)</f>
        <v>0</v>
      </c>
      <c r="BO15" s="695">
        <f t="shared" si="10"/>
        <v>0</v>
      </c>
      <c r="BP15" s="200"/>
      <c r="BQ15" s="851">
        <v>0</v>
      </c>
      <c r="BR15" s="846">
        <f>0-BQ15</f>
        <v>0</v>
      </c>
      <c r="BS15" s="846">
        <f>0-SUM(BQ15:BR15)</f>
        <v>0</v>
      </c>
      <c r="BT15" s="848">
        <v>0</v>
      </c>
      <c r="BU15" s="695">
        <f t="shared" si="11"/>
        <v>0</v>
      </c>
      <c r="BV15" s="200"/>
      <c r="BW15" s="854">
        <v>0</v>
      </c>
      <c r="BX15" s="848">
        <v>0</v>
      </c>
      <c r="BY15" s="848">
        <v>0</v>
      </c>
      <c r="BZ15" s="848">
        <v>0</v>
      </c>
      <c r="CA15" s="695">
        <f t="shared" si="12"/>
        <v>0</v>
      </c>
      <c r="CB15" s="200"/>
      <c r="CC15" s="854">
        <v>0</v>
      </c>
      <c r="CD15" s="848">
        <v>0</v>
      </c>
      <c r="CE15" s="848">
        <v>0</v>
      </c>
      <c r="CF15" s="848">
        <v>0</v>
      </c>
      <c r="CG15" s="695">
        <f t="shared" si="13"/>
        <v>0</v>
      </c>
      <c r="CH15" s="200"/>
      <c r="CI15" s="854">
        <v>0</v>
      </c>
      <c r="CJ15" s="848">
        <v>0</v>
      </c>
      <c r="CK15" s="848">
        <v>0</v>
      </c>
      <c r="CL15" s="848">
        <v>0</v>
      </c>
      <c r="CM15" s="695">
        <f t="shared" si="14"/>
        <v>0</v>
      </c>
      <c r="CN15" s="200"/>
      <c r="CO15" s="14"/>
      <c r="CP15" s="14"/>
      <c r="CW15" s="240"/>
      <c r="CX15" s="11"/>
      <c r="CY15" s="11"/>
      <c r="CZ15" s="11"/>
      <c r="DA15" s="11"/>
      <c r="DB15" s="11"/>
      <c r="DC15" s="11"/>
      <c r="DD15" s="11"/>
      <c r="DE15" s="11"/>
      <c r="DF15" s="11"/>
      <c r="DG15" s="11"/>
      <c r="DH15" s="11"/>
      <c r="DI15" s="11"/>
      <c r="DJ15" s="11"/>
      <c r="DK15" s="11"/>
      <c r="DL15" s="11"/>
      <c r="DM15" s="11"/>
      <c r="DN15" s="11"/>
      <c r="DO15" s="11"/>
      <c r="DP15" s="11"/>
      <c r="DQ15" s="11"/>
    </row>
    <row r="16" spans="1:121" ht="11.25" customHeight="1" x14ac:dyDescent="0.2">
      <c r="A16" s="69"/>
      <c r="B16" s="824" t="s">
        <v>316</v>
      </c>
      <c r="C16" s="425">
        <v>0</v>
      </c>
      <c r="D16" s="200">
        <f>0-C16</f>
        <v>0</v>
      </c>
      <c r="E16" s="193">
        <f>0-D16-C16</f>
        <v>0</v>
      </c>
      <c r="F16" s="193">
        <f>0.124-E16-D16-C16</f>
        <v>0.124</v>
      </c>
      <c r="G16" s="695">
        <f t="shared" si="0"/>
        <v>0.124</v>
      </c>
      <c r="H16" s="200"/>
      <c r="I16" s="425">
        <v>0</v>
      </c>
      <c r="J16" s="200">
        <f>0-I16</f>
        <v>0</v>
      </c>
      <c r="K16" s="193">
        <f>0-J16-I16</f>
        <v>0</v>
      </c>
      <c r="L16" s="193">
        <f>13.146-K16-J16-I16</f>
        <v>13.146000000000001</v>
      </c>
      <c r="M16" s="695">
        <f t="shared" si="1"/>
        <v>13.146000000000001</v>
      </c>
      <c r="N16" s="200"/>
      <c r="O16" s="425">
        <v>0</v>
      </c>
      <c r="P16" s="200">
        <f>0-O16</f>
        <v>0</v>
      </c>
      <c r="Q16" s="193">
        <f>0-P16-O16</f>
        <v>0</v>
      </c>
      <c r="R16" s="193">
        <f>9.83-Q16-P16-O16</f>
        <v>9.83</v>
      </c>
      <c r="S16" s="695">
        <f t="shared" si="2"/>
        <v>9.83</v>
      </c>
      <c r="T16" s="200"/>
      <c r="U16" s="425">
        <v>0</v>
      </c>
      <c r="V16" s="200">
        <f>0-U16</f>
        <v>0</v>
      </c>
      <c r="W16" s="200">
        <f>0-V16-U16</f>
        <v>0</v>
      </c>
      <c r="X16" s="193">
        <f>0.251-W16-V16-U16</f>
        <v>0.251</v>
      </c>
      <c r="Y16" s="695">
        <f t="shared" si="3"/>
        <v>0.251</v>
      </c>
      <c r="Z16" s="200"/>
      <c r="AA16" s="425">
        <v>0</v>
      </c>
      <c r="AB16" s="200">
        <f>0-AA16</f>
        <v>0</v>
      </c>
      <c r="AC16" s="200">
        <f>0-AB16-AA16</f>
        <v>0</v>
      </c>
      <c r="AD16" s="200">
        <f>17.17-AC16-AB16-AA16</f>
        <v>17.170000000000002</v>
      </c>
      <c r="AE16" s="695">
        <f t="shared" si="4"/>
        <v>17.170000000000002</v>
      </c>
      <c r="AF16" s="200"/>
      <c r="AG16" s="425">
        <v>0</v>
      </c>
      <c r="AH16" s="200">
        <f>0-AG16</f>
        <v>0</v>
      </c>
      <c r="AI16" s="200">
        <f>0-AH16-AG16</f>
        <v>0</v>
      </c>
      <c r="AJ16" s="200">
        <f>0.089-AI16-AH16-AG16</f>
        <v>8.8999999999999996E-2</v>
      </c>
      <c r="AK16" s="695">
        <f t="shared" si="5"/>
        <v>8.8999999999999996E-2</v>
      </c>
      <c r="AL16" s="200"/>
      <c r="AM16" s="425">
        <v>0</v>
      </c>
      <c r="AN16" s="200">
        <f>0-AM16</f>
        <v>0</v>
      </c>
      <c r="AO16" s="200">
        <f>0-AN16-AM16</f>
        <v>0</v>
      </c>
      <c r="AP16" s="200">
        <f>7.049-AO16-AN16-AM16</f>
        <v>7.0490000000000004</v>
      </c>
      <c r="AQ16" s="695">
        <f t="shared" si="6"/>
        <v>7.0490000000000004</v>
      </c>
      <c r="AR16" s="200"/>
      <c r="AS16" s="425">
        <v>0</v>
      </c>
      <c r="AT16" s="200">
        <f>0-AS16</f>
        <v>0</v>
      </c>
      <c r="AU16" s="200">
        <f>0-AT16-AS16</f>
        <v>0</v>
      </c>
      <c r="AV16" s="200">
        <f>7.765-AU16-AT16-AS16</f>
        <v>7.7649999999999997</v>
      </c>
      <c r="AW16" s="695">
        <f t="shared" si="7"/>
        <v>7.7649999999999997</v>
      </c>
      <c r="AX16" s="200"/>
      <c r="AY16" s="677">
        <v>0</v>
      </c>
      <c r="AZ16" s="193">
        <f>0-AY16</f>
        <v>0</v>
      </c>
      <c r="BA16" s="193">
        <f>0-AZ16-AY16</f>
        <v>0</v>
      </c>
      <c r="BB16" s="200">
        <f>0.46-BA16-AZ16-AY16</f>
        <v>0.46</v>
      </c>
      <c r="BC16" s="695">
        <f t="shared" si="8"/>
        <v>0.46</v>
      </c>
      <c r="BD16" s="200"/>
      <c r="BE16" s="851">
        <v>0</v>
      </c>
      <c r="BF16" s="846">
        <f>0-BE16</f>
        <v>0</v>
      </c>
      <c r="BG16" s="846">
        <f>0-BF16-BE16</f>
        <v>0</v>
      </c>
      <c r="BH16" s="846">
        <f>-16.034-BG16-BF16-BE16</f>
        <v>-16.033999999999999</v>
      </c>
      <c r="BI16" s="695">
        <f t="shared" si="9"/>
        <v>-16.033999999999999</v>
      </c>
      <c r="BJ16" s="200"/>
      <c r="BK16" s="851">
        <v>0</v>
      </c>
      <c r="BL16" s="846">
        <v>0</v>
      </c>
      <c r="BM16" s="846">
        <f>0-SUM(BK16:BL16)</f>
        <v>0</v>
      </c>
      <c r="BN16" s="846">
        <f>-13.713-SUM(BK16:BM16)</f>
        <v>-13.712999999999999</v>
      </c>
      <c r="BO16" s="695">
        <f t="shared" si="10"/>
        <v>-13.712999999999999</v>
      </c>
      <c r="BP16" s="200"/>
      <c r="BQ16" s="851">
        <v>0</v>
      </c>
      <c r="BR16" s="846">
        <f>0-BQ16</f>
        <v>0</v>
      </c>
      <c r="BS16" s="846">
        <f>0-SUM(BQ16:BR16)</f>
        <v>0</v>
      </c>
      <c r="BT16" s="199">
        <f>'BalSht '!BT34-'BalSht '!BS34</f>
        <v>0</v>
      </c>
      <c r="BU16" s="695">
        <f t="shared" si="11"/>
        <v>0</v>
      </c>
      <c r="BV16" s="200"/>
      <c r="BW16" s="175">
        <f>'BalSht '!BW34-'BalSht '!BU34</f>
        <v>0</v>
      </c>
      <c r="BX16" s="199">
        <f>'BalSht '!BX34-'BalSht '!BW34</f>
        <v>0</v>
      </c>
      <c r="BY16" s="199">
        <f>'BalSht '!BY34-'BalSht '!BX34</f>
        <v>0</v>
      </c>
      <c r="BZ16" s="199">
        <f>'BalSht '!BZ34-'BalSht '!BY34</f>
        <v>0</v>
      </c>
      <c r="CA16" s="695">
        <f t="shared" si="12"/>
        <v>0</v>
      </c>
      <c r="CB16" s="200"/>
      <c r="CC16" s="175">
        <f>'BalSht '!CC34-'BalSht '!CA34</f>
        <v>0</v>
      </c>
      <c r="CD16" s="199">
        <f>'BalSht '!CD34-'BalSht '!CC34</f>
        <v>0</v>
      </c>
      <c r="CE16" s="199">
        <f>'BalSht '!CE34-'BalSht '!CD34</f>
        <v>0</v>
      </c>
      <c r="CF16" s="199">
        <f>'BalSht '!CF34-'BalSht '!CE34</f>
        <v>0</v>
      </c>
      <c r="CG16" s="695">
        <f t="shared" si="13"/>
        <v>0</v>
      </c>
      <c r="CH16" s="200"/>
      <c r="CI16" s="175">
        <f>'BalSht '!CI34-'BalSht '!CG34</f>
        <v>0</v>
      </c>
      <c r="CJ16" s="199">
        <f>'BalSht '!CJ34-'BalSht '!CI34</f>
        <v>0</v>
      </c>
      <c r="CK16" s="199">
        <f>'BalSht '!CK34-'BalSht '!CJ34</f>
        <v>0</v>
      </c>
      <c r="CL16" s="199">
        <f>'BalSht '!CL34-'BalSht '!CK34</f>
        <v>0</v>
      </c>
      <c r="CM16" s="695">
        <f t="shared" si="14"/>
        <v>0</v>
      </c>
      <c r="CN16" s="200"/>
      <c r="CO16" s="14"/>
      <c r="CP16" s="14"/>
      <c r="CW16" s="240"/>
      <c r="CX16" s="11"/>
      <c r="CY16" s="11"/>
      <c r="CZ16" s="11"/>
      <c r="DA16" s="11"/>
      <c r="DB16" s="11"/>
      <c r="DC16" s="11"/>
      <c r="DD16" s="11"/>
      <c r="DE16" s="11"/>
      <c r="DF16" s="11"/>
      <c r="DG16" s="11"/>
      <c r="DH16" s="11"/>
      <c r="DI16" s="11"/>
      <c r="DJ16" s="11"/>
      <c r="DK16" s="11"/>
      <c r="DL16" s="11"/>
      <c r="DM16" s="11"/>
      <c r="DN16" s="11"/>
      <c r="DO16" s="11"/>
      <c r="DP16" s="11"/>
      <c r="DQ16" s="11"/>
    </row>
    <row r="17" spans="1:121" ht="11.25" customHeight="1" x14ac:dyDescent="0.2">
      <c r="A17" s="70"/>
      <c r="B17" s="824" t="s">
        <v>206</v>
      </c>
      <c r="C17" s="425">
        <v>2.8530000000000002</v>
      </c>
      <c r="D17" s="200">
        <f>-24.916-C17</f>
        <v>-27.769000000000002</v>
      </c>
      <c r="E17" s="200">
        <f>-57.744-D17-C17</f>
        <v>-32.827999999999996</v>
      </c>
      <c r="F17" s="216">
        <f>SUM(F18:F22)</f>
        <v>49.311000000000007</v>
      </c>
      <c r="G17" s="695">
        <f t="shared" si="0"/>
        <v>-8.4329999999999927</v>
      </c>
      <c r="H17" s="200"/>
      <c r="I17" s="425">
        <v>-2.69</v>
      </c>
      <c r="J17" s="200">
        <f>-9.915-I17</f>
        <v>-7.2249999999999996</v>
      </c>
      <c r="K17" s="200">
        <f>-20.778-J17-I17</f>
        <v>-10.863</v>
      </c>
      <c r="L17" s="216">
        <f>SUM(L18:L22)</f>
        <v>10.767999999999997</v>
      </c>
      <c r="M17" s="695">
        <f t="shared" si="1"/>
        <v>-10.010000000000002</v>
      </c>
      <c r="N17" s="200"/>
      <c r="O17" s="425">
        <v>-22.201000000000001</v>
      </c>
      <c r="P17" s="200">
        <f>-53.597-O17</f>
        <v>-31.396000000000001</v>
      </c>
      <c r="Q17" s="200">
        <f>-103.274-P17-O17</f>
        <v>-49.677</v>
      </c>
      <c r="R17" s="216">
        <f>SUM(R18:R22)</f>
        <v>-18.853999999999999</v>
      </c>
      <c r="S17" s="695">
        <f t="shared" si="2"/>
        <v>-122.128</v>
      </c>
      <c r="T17" s="200"/>
      <c r="U17" s="425">
        <v>-10.195</v>
      </c>
      <c r="V17" s="200">
        <f>-63.721-U17</f>
        <v>-53.525999999999996</v>
      </c>
      <c r="W17" s="200">
        <f>-34.84-U17-V17</f>
        <v>28.880999999999993</v>
      </c>
      <c r="X17" s="216">
        <f>SUM(X18:X22)</f>
        <v>36.329000000000008</v>
      </c>
      <c r="Y17" s="695">
        <f t="shared" si="3"/>
        <v>1.4890000000000043</v>
      </c>
      <c r="Z17" s="200"/>
      <c r="AA17" s="425">
        <v>-44.030999999999999</v>
      </c>
      <c r="AB17" s="200">
        <f>-27.837-AA17</f>
        <v>16.193999999999999</v>
      </c>
      <c r="AC17" s="200">
        <f>-12.881-AB17-AA17</f>
        <v>14.956</v>
      </c>
      <c r="AD17" s="216">
        <f>SUM(AD18:AD22)</f>
        <v>-21.275999999999993</v>
      </c>
      <c r="AE17" s="695">
        <f t="shared" si="4"/>
        <v>-34.156999999999996</v>
      </c>
      <c r="AF17" s="200"/>
      <c r="AG17" s="425">
        <v>-0.23400000000000001</v>
      </c>
      <c r="AH17" s="200">
        <f>-5.903-AG17</f>
        <v>-5.6689999999999996</v>
      </c>
      <c r="AI17" s="200">
        <f>35.978-AH17-AG17</f>
        <v>41.881</v>
      </c>
      <c r="AJ17" s="216">
        <f>SUM(AJ18:AJ22)</f>
        <v>10.684000000000005</v>
      </c>
      <c r="AK17" s="695">
        <f t="shared" si="5"/>
        <v>46.662000000000006</v>
      </c>
      <c r="AL17" s="200"/>
      <c r="AM17" s="425">
        <v>-9.2059999999999995</v>
      </c>
      <c r="AN17" s="200">
        <f>-1.398-AM17</f>
        <v>7.8079999999999998</v>
      </c>
      <c r="AO17" s="200">
        <f>-28.409-AN17-AM17</f>
        <v>-27.010999999999999</v>
      </c>
      <c r="AP17" s="216">
        <f>SUM(AP18:AP22)</f>
        <v>26.146000000000008</v>
      </c>
      <c r="AQ17" s="695">
        <f t="shared" ref="AQ17:AQ23" si="19">SUM(AM17:AP17)</f>
        <v>-2.262999999999991</v>
      </c>
      <c r="AR17" s="200"/>
      <c r="AS17" s="425">
        <v>-39.896000000000001</v>
      </c>
      <c r="AT17" s="200">
        <f>-37.019-AS17</f>
        <v>2.8770000000000024</v>
      </c>
      <c r="AU17" s="200">
        <f>-52.946-AT17-AS17</f>
        <v>-15.927</v>
      </c>
      <c r="AV17" s="216">
        <f>SUM(AV18:AV22)</f>
        <v>-12.467000000000013</v>
      </c>
      <c r="AW17" s="695">
        <f t="shared" si="7"/>
        <v>-65.413000000000011</v>
      </c>
      <c r="AX17" s="200"/>
      <c r="AY17" s="677">
        <v>14.06</v>
      </c>
      <c r="AZ17" s="193">
        <f>-37.233-AY17</f>
        <v>-51.292999999999999</v>
      </c>
      <c r="BA17" s="193">
        <f>-58.125-AZ17-AY17</f>
        <v>-20.892000000000003</v>
      </c>
      <c r="BB17" s="216">
        <f>SUM(BB18:BB22)</f>
        <v>49.33</v>
      </c>
      <c r="BC17" s="695">
        <f t="shared" si="8"/>
        <v>-8.7950000000000017</v>
      </c>
      <c r="BD17" s="200"/>
      <c r="BE17" s="851">
        <v>-39.484999999999999</v>
      </c>
      <c r="BF17" s="846">
        <f>-137.923-BE17</f>
        <v>-98.438000000000002</v>
      </c>
      <c r="BG17" s="846">
        <f>-256.964-BF17-BE17</f>
        <v>-119.04100000000001</v>
      </c>
      <c r="BH17" s="216">
        <f>SUM(BH18:BH22)</f>
        <v>158.11700000000002</v>
      </c>
      <c r="BI17" s="695">
        <f t="shared" si="9"/>
        <v>-98.84699999999998</v>
      </c>
      <c r="BJ17" s="200"/>
      <c r="BK17" s="851">
        <v>-140.77099999999999</v>
      </c>
      <c r="BL17" s="846">
        <f>-196.726-BK17</f>
        <v>-55.955000000000013</v>
      </c>
      <c r="BM17" s="846">
        <f>-239.537-SUM(BK17:BL17)</f>
        <v>-42.811000000000007</v>
      </c>
      <c r="BN17" s="216">
        <f>SUM(BN18:BN22)</f>
        <v>122.06400000000001</v>
      </c>
      <c r="BO17" s="695">
        <f t="shared" si="10"/>
        <v>-117.473</v>
      </c>
      <c r="BP17" s="200"/>
      <c r="BQ17" s="851">
        <v>-108.054</v>
      </c>
      <c r="BR17" s="846">
        <f>-56.167-BQ17</f>
        <v>51.887</v>
      </c>
      <c r="BS17" s="846">
        <f>-225.819-SUM(BQ17:BR17)</f>
        <v>-169.65199999999999</v>
      </c>
      <c r="BT17" s="199">
        <f>SUM(BT18:BT22)</f>
        <v>67.949226807479178</v>
      </c>
      <c r="BU17" s="695">
        <f t="shared" si="11"/>
        <v>-157.86977319252082</v>
      </c>
      <c r="BV17" s="200"/>
      <c r="BW17" s="175">
        <f>SUM(BW18:BW22)</f>
        <v>17.205715885448356</v>
      </c>
      <c r="BX17" s="199">
        <f>SUM(BX18:BX22)</f>
        <v>-51.829548636924258</v>
      </c>
      <c r="BY17" s="199">
        <f>SUM(BY18:BY22)</f>
        <v>7.5509363146054227</v>
      </c>
      <c r="BZ17" s="199">
        <f>SUM(BZ18:BZ22)</f>
        <v>20.143280194513807</v>
      </c>
      <c r="CA17" s="695">
        <f t="shared" si="12"/>
        <v>-6.9296162423566727</v>
      </c>
      <c r="CB17" s="200"/>
      <c r="CC17" s="175">
        <f>SUM(CC18:CC22)</f>
        <v>1.0041194488546381</v>
      </c>
      <c r="CD17" s="199">
        <f>SUM(CD18:CD22)</f>
        <v>-55.551632784794009</v>
      </c>
      <c r="CE17" s="199">
        <f>SUM(CE18:CE22)</f>
        <v>5.2242823512813885</v>
      </c>
      <c r="CF17" s="199">
        <f>SUM(CF18:CF22)</f>
        <v>20.81101892059219</v>
      </c>
      <c r="CG17" s="695">
        <f t="shared" si="13"/>
        <v>-28.512212064065793</v>
      </c>
      <c r="CH17" s="200"/>
      <c r="CI17" s="175">
        <f>SUM(CI18:CI22)</f>
        <v>-9.9148238313333081E-2</v>
      </c>
      <c r="CJ17" s="199">
        <f>SUM(CJ18:CJ22)</f>
        <v>-57.283444825270593</v>
      </c>
      <c r="CK17" s="199">
        <f>SUM(CK18:CK22)</f>
        <v>5.7233300595743088</v>
      </c>
      <c r="CL17" s="199">
        <f>SUM(CL18:CL22)</f>
        <v>21.664240846347909</v>
      </c>
      <c r="CM17" s="695">
        <f t="shared" si="14"/>
        <v>-29.995022157661708</v>
      </c>
      <c r="CN17" s="200"/>
      <c r="CO17" s="14"/>
      <c r="CP17" s="14"/>
      <c r="CW17" s="240"/>
      <c r="CX17" s="11"/>
      <c r="CY17" s="11"/>
      <c r="CZ17" s="11"/>
      <c r="DA17" s="11"/>
      <c r="DB17" s="11"/>
      <c r="DC17" s="11"/>
      <c r="DD17" s="11"/>
      <c r="DE17" s="11"/>
      <c r="DF17" s="11"/>
      <c r="DG17" s="11"/>
      <c r="DH17" s="11"/>
      <c r="DI17" s="11"/>
      <c r="DJ17" s="11"/>
      <c r="DK17" s="11"/>
      <c r="DL17" s="11"/>
      <c r="DM17" s="11"/>
      <c r="DN17" s="11"/>
      <c r="DO17" s="11"/>
      <c r="DP17" s="11"/>
      <c r="DQ17" s="11"/>
    </row>
    <row r="18" spans="1:121" ht="11.25" customHeight="1" outlineLevel="1" x14ac:dyDescent="0.2">
      <c r="A18" s="70"/>
      <c r="B18" s="657" t="s">
        <v>317</v>
      </c>
      <c r="C18" s="677">
        <f>350.299-'BalSht '!C11</f>
        <v>22.378999999999962</v>
      </c>
      <c r="D18" s="199">
        <f>'BalSht '!C11-'BalSht '!D11</f>
        <v>-8.0500000000000114</v>
      </c>
      <c r="E18" s="199">
        <f>'BalSht '!D11-'BalSht '!E11</f>
        <v>-9.478999999999985</v>
      </c>
      <c r="F18" s="193">
        <f>-12.246-E18-D18-C18</f>
        <v>-17.095999999999968</v>
      </c>
      <c r="G18" s="695">
        <f t="shared" si="0"/>
        <v>-12.246000000000002</v>
      </c>
      <c r="H18" s="203"/>
      <c r="I18" s="175">
        <f>'BalSht '!G11-'BalSht '!I11</f>
        <v>27.759000000000015</v>
      </c>
      <c r="J18" s="199">
        <f>'BalSht '!I11-'BalSht '!J11</f>
        <v>-14.704000000000008</v>
      </c>
      <c r="K18" s="199">
        <f>'BalSht '!J11-'BalSht '!K11</f>
        <v>-18.492000000000019</v>
      </c>
      <c r="L18" s="193">
        <f>-3.282-K18-J18-I18</f>
        <v>2.1550000000000118</v>
      </c>
      <c r="M18" s="695">
        <f t="shared" si="1"/>
        <v>-3.282</v>
      </c>
      <c r="N18" s="203"/>
      <c r="O18" s="175">
        <f>'BalSht '!M11-'BalSht '!O11</f>
        <v>15.096000000000004</v>
      </c>
      <c r="P18" s="199">
        <f>'BalSht '!O11-'BalSht '!P11</f>
        <v>-16.235000000000014</v>
      </c>
      <c r="Q18" s="199">
        <f>'BalSht '!P11-'BalSht '!Q11</f>
        <v>-71.384999999999991</v>
      </c>
      <c r="R18" s="193">
        <f>-90.908-Q18-P18-O18</f>
        <v>-18.384</v>
      </c>
      <c r="S18" s="695">
        <f t="shared" si="2"/>
        <v>-90.908000000000001</v>
      </c>
      <c r="T18" s="203"/>
      <c r="U18" s="175">
        <f>'BalSht '!S11-'BalSht '!U11</f>
        <v>-7.97199999999998</v>
      </c>
      <c r="V18" s="199">
        <f>'BalSht '!U11-'BalSht '!V11</f>
        <v>-19.033999999999992</v>
      </c>
      <c r="W18" s="199">
        <f>'BalSht '!V11-'BalSht '!W11</f>
        <v>31.846000000000004</v>
      </c>
      <c r="X18" s="193">
        <f>24.185-W18-V18-U18</f>
        <v>19.344999999999967</v>
      </c>
      <c r="Y18" s="695">
        <f t="shared" si="3"/>
        <v>24.184999999999999</v>
      </c>
      <c r="Z18" s="203"/>
      <c r="AA18" s="175">
        <f>'BalSht '!Y11-'BalSht '!AA11</f>
        <v>-2.1949999999999932</v>
      </c>
      <c r="AB18" s="199">
        <f>'BalSht '!AA11-'BalSht '!AB11</f>
        <v>27.664999999999964</v>
      </c>
      <c r="AC18" s="199">
        <f>'BalSht '!AB11-'BalSht '!AC11</f>
        <v>6.4979999999999905</v>
      </c>
      <c r="AD18" s="200">
        <f>3.784-AC18-AB18-AA18</f>
        <v>-28.183999999999962</v>
      </c>
      <c r="AE18" s="695">
        <f t="shared" si="4"/>
        <v>3.7839999999999989</v>
      </c>
      <c r="AF18" s="203"/>
      <c r="AG18" s="175">
        <f>'BalSht '!AE11-'BalSht '!AG11</f>
        <v>41.884999999999991</v>
      </c>
      <c r="AH18" s="199">
        <f>'BalSht '!AG11-'BalSht '!AH11</f>
        <v>6.4759999999999991</v>
      </c>
      <c r="AI18" s="199">
        <f>'BalSht '!AH11-'BalSht '!AI11</f>
        <v>-11.777999999999963</v>
      </c>
      <c r="AJ18" s="200">
        <f>0.468-AI18-AH18-AG18</f>
        <v>-36.115000000000023</v>
      </c>
      <c r="AK18" s="695">
        <f t="shared" si="5"/>
        <v>0.46800000000000352</v>
      </c>
      <c r="AL18" s="203"/>
      <c r="AM18" s="175">
        <f>'BalSht '!AK11-'BalSht '!AM11</f>
        <v>51.17900000000003</v>
      </c>
      <c r="AN18" s="199">
        <f>'BalSht '!AM11-'BalSht '!AN11</f>
        <v>5.8550000000000182</v>
      </c>
      <c r="AO18" s="199">
        <f>'BalSht '!AN11-'BalSht '!AO11</f>
        <v>-13.670999999999992</v>
      </c>
      <c r="AP18" s="200">
        <f>17.226-AO18-AN18-AM18</f>
        <v>-26.137000000000057</v>
      </c>
      <c r="AQ18" s="695">
        <f t="shared" si="19"/>
        <v>17.225999999999999</v>
      </c>
      <c r="AR18" s="203"/>
      <c r="AS18" s="175">
        <f>'BalSht '!AQ11-'BalSht '!AS11</f>
        <v>47.617999999999995</v>
      </c>
      <c r="AT18" s="199">
        <f>'BalSht '!AS11-'BalSht '!AT11</f>
        <v>-150.22899999999998</v>
      </c>
      <c r="AU18" s="199">
        <f>'BalSht '!AT11-'BalSht '!AU11</f>
        <v>-6.8070000000000164</v>
      </c>
      <c r="AV18" s="200">
        <f>-50.756-AU18-AT18-AS18</f>
        <v>58.662000000000006</v>
      </c>
      <c r="AW18" s="695">
        <f t="shared" si="7"/>
        <v>-50.756</v>
      </c>
      <c r="AX18" s="203"/>
      <c r="AY18" s="175">
        <f>'BalSht '!AW11-'BalSht '!AY11</f>
        <v>43.122000000000071</v>
      </c>
      <c r="AZ18" s="199">
        <f>'BalSht '!AY11-'BalSht '!AZ11</f>
        <v>-23.377000000000066</v>
      </c>
      <c r="BA18" s="199">
        <f>'BalSht '!AZ11-'BalSht '!BA11</f>
        <v>-2.4249999999999545</v>
      </c>
      <c r="BB18" s="200">
        <f>-40.696-BA18-AZ18-AY18</f>
        <v>-58.016000000000048</v>
      </c>
      <c r="BC18" s="695">
        <f t="shared" si="8"/>
        <v>-40.695999999999998</v>
      </c>
      <c r="BD18" s="203"/>
      <c r="BE18" s="175">
        <f>'BalSht '!BC11-'BalSht '!BE11</f>
        <v>-38.076999999999998</v>
      </c>
      <c r="BF18" s="199">
        <f>'BalSht '!BE11-'BalSht '!BF11</f>
        <v>-110.12099999999998</v>
      </c>
      <c r="BG18" s="199">
        <f>'BalSht '!BF11-'BalSht '!BG11</f>
        <v>35.550000000000068</v>
      </c>
      <c r="BH18" s="847">
        <f>-57.249-BG18-BF18-BE18</f>
        <v>55.398999999999916</v>
      </c>
      <c r="BI18" s="695">
        <f t="shared" si="9"/>
        <v>-57.248999999999995</v>
      </c>
      <c r="BJ18" s="203"/>
      <c r="BK18" s="175">
        <f>'BalSht '!BI11-'BalSht '!BK11</f>
        <v>77.475000000000023</v>
      </c>
      <c r="BL18" s="199">
        <f>'BalSht '!BK11-'BalSht '!BL11</f>
        <v>-103.51600000000008</v>
      </c>
      <c r="BM18" s="199">
        <f>'BalSht '!BL11-'BalSht '!BM11</f>
        <v>12.579000000000065</v>
      </c>
      <c r="BN18" s="847">
        <f>-103.181-SUM(BK18:BM18)</f>
        <v>-89.719000000000008</v>
      </c>
      <c r="BO18" s="695">
        <f t="shared" si="10"/>
        <v>-103.181</v>
      </c>
      <c r="BP18" s="203"/>
      <c r="BQ18" s="175">
        <f>'BalSht '!BO11-'BalSht '!BQ11</f>
        <v>43.519000000000005</v>
      </c>
      <c r="BR18" s="199">
        <f>'BalSht '!BQ11-'BalSht '!BR11</f>
        <v>-7.9210000000000491</v>
      </c>
      <c r="BS18" s="199">
        <f>'BalSht '!BR11-'BalSht '!BS11</f>
        <v>-14.25</v>
      </c>
      <c r="BT18" s="199">
        <f>'BalSht '!BS11-'BalSht '!BT11</f>
        <v>-1.4826646436947613</v>
      </c>
      <c r="BU18" s="695">
        <f t="shared" si="11"/>
        <v>19.865335356305195</v>
      </c>
      <c r="BV18" s="203"/>
      <c r="BW18" s="175">
        <f>'BalSht '!BU11-'BalSht '!BW11</f>
        <v>4.6935488437990216</v>
      </c>
      <c r="BX18" s="199">
        <f>'BalSht '!BW11-'BalSht '!BX11</f>
        <v>-5.6602711318352021</v>
      </c>
      <c r="BY18" s="199">
        <f>'BalSht '!BX11-'BalSht '!BY11</f>
        <v>-5.9483083148187461</v>
      </c>
      <c r="BZ18" s="199">
        <f>'BalSht '!BY11-'BalSht '!BZ11</f>
        <v>-17.535655146132171</v>
      </c>
      <c r="CA18" s="695">
        <f t="shared" si="12"/>
        <v>-24.450685748987098</v>
      </c>
      <c r="CB18" s="203"/>
      <c r="CC18" s="175">
        <f>'BalSht '!CA11-'BalSht '!CC11</f>
        <v>17.544261871827644</v>
      </c>
      <c r="CD18" s="199">
        <f>'BalSht '!CC11-'BalSht '!CD11</f>
        <v>-7.2280440094583582</v>
      </c>
      <c r="CE18" s="199">
        <f>'BalSht '!CD11-'BalSht '!CE11</f>
        <v>-8.14808537030774</v>
      </c>
      <c r="CF18" s="199">
        <f>'BalSht '!CE11-'BalSht '!CF11</f>
        <v>-17.481289887491926</v>
      </c>
      <c r="CG18" s="695">
        <f t="shared" si="13"/>
        <v>-15.31315739543038</v>
      </c>
      <c r="CH18" s="203"/>
      <c r="CI18" s="175">
        <f>'BalSht '!CG11-'BalSht '!CI11</f>
        <v>16.859192150285594</v>
      </c>
      <c r="CJ18" s="199">
        <f>'BalSht '!CI11-'BalSht '!CJ11</f>
        <v>-6.8379551458278911</v>
      </c>
      <c r="CK18" s="199">
        <f>'BalSht '!CJ11-'BalSht '!CK11</f>
        <v>-8.2009743889333322</v>
      </c>
      <c r="CL18" s="199">
        <f>'BalSht '!CK11-'BalSht '!CL11</f>
        <v>-17.410898720688124</v>
      </c>
      <c r="CM18" s="695">
        <f t="shared" si="14"/>
        <v>-15.590636105163753</v>
      </c>
      <c r="CN18" s="203"/>
      <c r="CO18" s="14"/>
      <c r="CP18" s="14"/>
      <c r="CW18" s="240"/>
      <c r="CX18" s="11"/>
      <c r="CY18" s="11"/>
      <c r="CZ18" s="11"/>
      <c r="DA18" s="11"/>
      <c r="DB18" s="11"/>
      <c r="DC18" s="11"/>
      <c r="DD18" s="11"/>
      <c r="DE18" s="11"/>
      <c r="DF18" s="11"/>
      <c r="DG18" s="11"/>
      <c r="DH18" s="11"/>
      <c r="DI18" s="11"/>
      <c r="DJ18" s="11"/>
      <c r="DK18" s="11"/>
      <c r="DL18" s="11"/>
      <c r="DM18" s="11"/>
      <c r="DN18" s="11"/>
      <c r="DO18" s="11"/>
      <c r="DP18" s="11"/>
      <c r="DQ18" s="11"/>
    </row>
    <row r="19" spans="1:121" ht="11.25" customHeight="1" outlineLevel="1" x14ac:dyDescent="0.2">
      <c r="A19" s="70"/>
      <c r="B19" s="657" t="s">
        <v>266</v>
      </c>
      <c r="C19" s="677">
        <f>244.709-'BalSht '!C12</f>
        <v>-17.25</v>
      </c>
      <c r="D19" s="199">
        <f>'BalSht '!C12-'BalSht '!D12</f>
        <v>26.225999999999999</v>
      </c>
      <c r="E19" s="199">
        <f>'BalSht '!D12-'BalSht '!E12</f>
        <v>-7.2179999999999893</v>
      </c>
      <c r="F19" s="193">
        <f>-3.817-E19-D19-C19</f>
        <v>-5.5750000000000099</v>
      </c>
      <c r="G19" s="695">
        <f t="shared" si="0"/>
        <v>-3.8170000000000002</v>
      </c>
      <c r="H19" s="19"/>
      <c r="I19" s="175">
        <f>'BalSht '!G12-'BalSht '!I12</f>
        <v>-30.670999999999992</v>
      </c>
      <c r="J19" s="199">
        <f>'BalSht '!I12-'BalSht '!J12</f>
        <v>0.43399999999996908</v>
      </c>
      <c r="K19" s="199">
        <f>'BalSht '!J12-'BalSht '!K12</f>
        <v>-8.33299999999997</v>
      </c>
      <c r="L19" s="193">
        <f>-27.036-K19-J19-I19</f>
        <v>11.533999999999992</v>
      </c>
      <c r="M19" s="695">
        <f t="shared" si="1"/>
        <v>-27.036000000000001</v>
      </c>
      <c r="N19" s="19"/>
      <c r="O19" s="175">
        <f>'BalSht '!M12-'BalSht '!O12</f>
        <v>-37.982000000000028</v>
      </c>
      <c r="P19" s="199">
        <f>'BalSht '!O12-'BalSht '!P12</f>
        <v>7.5830000000000268</v>
      </c>
      <c r="Q19" s="199">
        <f>'BalSht '!P12-'BalSht '!Q12</f>
        <v>26.339999999999975</v>
      </c>
      <c r="R19" s="193">
        <f>24.161-Q19-P19-O19</f>
        <v>28.220000000000027</v>
      </c>
      <c r="S19" s="695">
        <f t="shared" si="2"/>
        <v>24.161000000000001</v>
      </c>
      <c r="T19" s="19"/>
      <c r="U19" s="175">
        <f>'BalSht '!S12-'BalSht '!U12</f>
        <v>-29.546999999999969</v>
      </c>
      <c r="V19" s="199">
        <f>'BalSht '!U12-'BalSht '!V12</f>
        <v>4.8349999999999795</v>
      </c>
      <c r="W19" s="199">
        <f>'BalSht '!V12-'BalSht '!W12</f>
        <v>-7.9909999999999854</v>
      </c>
      <c r="X19" s="193">
        <f>-12.09-W19-V19-U19</f>
        <v>20.612999999999975</v>
      </c>
      <c r="Y19" s="695">
        <f t="shared" si="3"/>
        <v>-12.09</v>
      </c>
      <c r="Z19" s="19"/>
      <c r="AA19" s="175">
        <f>'BalSht '!Y12-'BalSht '!AA12</f>
        <v>-47.656999999999982</v>
      </c>
      <c r="AB19" s="199">
        <f>'BalSht '!AA12-'BalSht '!AB12</f>
        <v>29.706999999999994</v>
      </c>
      <c r="AC19" s="199">
        <f>'BalSht '!AB12-'BalSht '!AC12</f>
        <v>-16.59499999999997</v>
      </c>
      <c r="AD19" s="200">
        <f>-26.639-AC19-AB19-AA19</f>
        <v>7.9059999999999633</v>
      </c>
      <c r="AE19" s="695">
        <f t="shared" si="4"/>
        <v>-26.638999999999996</v>
      </c>
      <c r="AF19" s="19"/>
      <c r="AG19" s="175">
        <f>'BalSht '!AE12-'BalSht '!AG12</f>
        <v>-10.382000000000005</v>
      </c>
      <c r="AH19" s="199">
        <f>'BalSht '!AG12-'BalSht '!AH12</f>
        <v>-0.8720000000000141</v>
      </c>
      <c r="AI19" s="199">
        <f>'BalSht '!AH12-'BalSht '!AI12</f>
        <v>12.573000000000036</v>
      </c>
      <c r="AJ19" s="200">
        <f>16.859-AI19-AH19-AG19</f>
        <v>15.539999999999985</v>
      </c>
      <c r="AK19" s="695">
        <f t="shared" si="5"/>
        <v>16.859000000000002</v>
      </c>
      <c r="AL19" s="19"/>
      <c r="AM19" s="175">
        <f>'BalSht '!AK12-'BalSht '!AM12</f>
        <v>1.8240000000000123</v>
      </c>
      <c r="AN19" s="199">
        <f>'BalSht '!AM12-'BalSht '!AN12</f>
        <v>-12.824999999999989</v>
      </c>
      <c r="AO19" s="199">
        <f>'BalSht '!AN12-'BalSht '!AO12</f>
        <v>-21.69300000000004</v>
      </c>
      <c r="AP19" s="200">
        <f>-39.096-AO19-AN19-AM19</f>
        <v>-6.4019999999999797</v>
      </c>
      <c r="AQ19" s="695">
        <f t="shared" si="19"/>
        <v>-39.095999999999997</v>
      </c>
      <c r="AR19" s="19"/>
      <c r="AS19" s="175">
        <f>'BalSht '!AQ12-'BalSht '!AS12</f>
        <v>-27.697000000000003</v>
      </c>
      <c r="AT19" s="199">
        <f>'BalSht '!AS12-'BalSht '!AT12</f>
        <v>-53.865000000000009</v>
      </c>
      <c r="AU19" s="199">
        <f>'BalSht '!AT12-'BalSht '!AU12</f>
        <v>-8.9850000000000136</v>
      </c>
      <c r="AV19" s="200">
        <f>-36.019-AU19-AT19-AS19</f>
        <v>54.528000000000027</v>
      </c>
      <c r="AW19" s="695">
        <f t="shared" si="7"/>
        <v>-36.018999999999998</v>
      </c>
      <c r="AX19" s="19"/>
      <c r="AY19" s="175">
        <f>'BalSht '!AW12-'BalSht '!AY12</f>
        <v>-82.393999999999949</v>
      </c>
      <c r="AZ19" s="199">
        <f>'BalSht '!AY12-'BalSht '!AZ12</f>
        <v>18.963999999999999</v>
      </c>
      <c r="BA19" s="199">
        <f>'BalSht '!AZ12-'BalSht '!BA12</f>
        <v>-14.726000000000056</v>
      </c>
      <c r="BB19" s="200">
        <f>-21.754-BA19-AZ19-AY19</f>
        <v>56.402000000000001</v>
      </c>
      <c r="BC19" s="695">
        <f t="shared" si="8"/>
        <v>-21.754000000000005</v>
      </c>
      <c r="BD19" s="19"/>
      <c r="BE19" s="175">
        <f>'BalSht '!BC12-'BalSht '!BE12</f>
        <v>-308.28499999999997</v>
      </c>
      <c r="BF19" s="199">
        <f>'BalSht '!BE12-'BalSht '!BF12</f>
        <v>-36.142000000000053</v>
      </c>
      <c r="BG19" s="199">
        <f>'BalSht '!BF12-'BalSht '!BG12</f>
        <v>-61.563999999999965</v>
      </c>
      <c r="BH19" s="847">
        <f>-118.351-BG19-BF19-BE19</f>
        <v>287.64</v>
      </c>
      <c r="BI19" s="695">
        <f t="shared" si="9"/>
        <v>-118.351</v>
      </c>
      <c r="BJ19" s="19"/>
      <c r="BK19" s="175">
        <f>'BalSht '!BI12-'BalSht '!BK12</f>
        <v>-77.036000000000058</v>
      </c>
      <c r="BL19" s="199">
        <f>'BalSht '!BK12-'BalSht '!BL12</f>
        <v>3.7220000000000937</v>
      </c>
      <c r="BM19" s="199">
        <f>'BalSht '!BL12-'BalSht '!BM12</f>
        <v>-31.603000000000065</v>
      </c>
      <c r="BN19" s="847">
        <f>-0.961-SUM(BK19:BM19)</f>
        <v>103.95600000000003</v>
      </c>
      <c r="BO19" s="695">
        <f t="shared" si="10"/>
        <v>-0.96099999999999852</v>
      </c>
      <c r="BP19" s="19"/>
      <c r="BQ19" s="175">
        <f>'BalSht '!BO12-'BalSht '!BQ12</f>
        <v>-65.451000000000022</v>
      </c>
      <c r="BR19" s="199">
        <f>'BalSht '!BQ12-'BalSht '!BR12</f>
        <v>-19.014999999999986</v>
      </c>
      <c r="BS19" s="199">
        <f>'BalSht '!BR12-'BalSht '!BS12</f>
        <v>-85.649000000000001</v>
      </c>
      <c r="BT19" s="199">
        <f>'BalSht '!BS12-'BalSht '!BT12</f>
        <v>116.46253451136772</v>
      </c>
      <c r="BU19" s="695">
        <f t="shared" si="11"/>
        <v>-53.652465488632288</v>
      </c>
      <c r="BV19" s="19"/>
      <c r="BW19" s="175">
        <f>'BalSht '!BU12-'BalSht '!BW12</f>
        <v>14.913543826398723</v>
      </c>
      <c r="BX19" s="199">
        <f>'BalSht '!BW12-'BalSht '!BX12</f>
        <v>-68.938647986301248</v>
      </c>
      <c r="BY19" s="199">
        <f>'BalSht '!BX12-'BalSht '!BY12</f>
        <v>-31.782770991658367</v>
      </c>
      <c r="BZ19" s="199">
        <f>'BalSht '!BY12-'BalSht '!BZ12</f>
        <v>72.840816930848405</v>
      </c>
      <c r="CA19" s="695">
        <f t="shared" si="12"/>
        <v>-12.967058220712488</v>
      </c>
      <c r="CB19" s="19"/>
      <c r="CC19" s="175">
        <f>'BalSht '!CA12-'BalSht '!CC12</f>
        <v>10.526210189711151</v>
      </c>
      <c r="CD19" s="199">
        <f>'BalSht '!CC12-'BalSht '!CD12</f>
        <v>-72.501000281750635</v>
      </c>
      <c r="CE19" s="199">
        <f>'BalSht '!CD12-'BalSht '!CE12</f>
        <v>-34.566772118506378</v>
      </c>
      <c r="CF19" s="199">
        <f>'BalSht '!CE12-'BalSht '!CF12</f>
        <v>74.80375820154552</v>
      </c>
      <c r="CG19" s="695">
        <f t="shared" si="13"/>
        <v>-21.737804009000342</v>
      </c>
      <c r="CH19" s="19"/>
      <c r="CI19" s="175">
        <f>'BalSht '!CG12-'BalSht '!CI12</f>
        <v>7.7819054274669952</v>
      </c>
      <c r="CJ19" s="199">
        <f>'BalSht '!CI12-'BalSht '!CJ12</f>
        <v>-74.843452973447029</v>
      </c>
      <c r="CK19" s="199">
        <f>'BalSht '!CJ12-'BalSht '!CK12</f>
        <v>-35.571201578710202</v>
      </c>
      <c r="CL19" s="199">
        <f>'BalSht '!CK12-'BalSht '!CL12</f>
        <v>77.119525411676932</v>
      </c>
      <c r="CM19" s="695">
        <f t="shared" si="14"/>
        <v>-25.513223713013303</v>
      </c>
      <c r="CN19" s="19"/>
      <c r="CO19" s="14"/>
      <c r="CP19" s="14"/>
      <c r="CW19" s="240"/>
      <c r="CX19" s="11"/>
      <c r="CY19" s="11"/>
      <c r="CZ19" s="11"/>
      <c r="DA19" s="11"/>
      <c r="DB19" s="11"/>
      <c r="DC19" s="11"/>
      <c r="DD19" s="11"/>
      <c r="DE19" s="11"/>
      <c r="DF19" s="11"/>
      <c r="DG19" s="11"/>
      <c r="DH19" s="11"/>
      <c r="DI19" s="11"/>
      <c r="DJ19" s="11"/>
      <c r="DK19" s="11"/>
      <c r="DL19" s="11"/>
      <c r="DM19" s="11"/>
      <c r="DN19" s="11"/>
      <c r="DO19" s="11"/>
      <c r="DP19" s="11"/>
      <c r="DQ19" s="11"/>
    </row>
    <row r="20" spans="1:121" ht="11.25" customHeight="1" outlineLevel="1" x14ac:dyDescent="0.2">
      <c r="A20" s="70"/>
      <c r="B20" s="657" t="s">
        <v>98</v>
      </c>
      <c r="C20" s="677">
        <f>'BalSht '!C25-173.957</f>
        <v>-19.775999999999982</v>
      </c>
      <c r="D20" s="199">
        <f>'BalSht '!D25-'BalSht '!C25</f>
        <v>-17.664000000000016</v>
      </c>
      <c r="E20" s="199">
        <f>'BalSht '!E25-'BalSht '!D25</f>
        <v>5.2249999999999943</v>
      </c>
      <c r="F20" s="193">
        <f>7.739-E20-D20-C20</f>
        <v>39.954000000000008</v>
      </c>
      <c r="G20" s="695">
        <f t="shared" si="0"/>
        <v>7.7390000000000043</v>
      </c>
      <c r="H20" s="200"/>
      <c r="I20" s="175">
        <f>'BalSht '!I25-'BalSht '!G25</f>
        <v>-11.358000000000004</v>
      </c>
      <c r="J20" s="199">
        <f>'BalSht '!J25-'BalSht '!I25</f>
        <v>10.371000000000009</v>
      </c>
      <c r="K20" s="199">
        <f>'BalSht '!K25-'BalSht '!J25</f>
        <v>5.257000000000005</v>
      </c>
      <c r="L20" s="193">
        <f>9.231-K20-J20-I20</f>
        <v>4.9609999999999896</v>
      </c>
      <c r="M20" s="695">
        <f t="shared" si="1"/>
        <v>9.2309999999999999</v>
      </c>
      <c r="N20" s="200"/>
      <c r="O20" s="175">
        <f>'BalSht '!O25-'BalSht '!M25</f>
        <v>-10.760999999999996</v>
      </c>
      <c r="P20" s="199">
        <f>'BalSht '!P25-'BalSht '!O25</f>
        <v>4.8789999999999907</v>
      </c>
      <c r="Q20" s="199">
        <f>'BalSht '!Q25-'BalSht '!P25</f>
        <v>-15.245000000000005</v>
      </c>
      <c r="R20" s="193">
        <f>-35.61-Q20-P20-O20</f>
        <v>-14.48299999999999</v>
      </c>
      <c r="S20" s="695">
        <f t="shared" si="2"/>
        <v>-35.61</v>
      </c>
      <c r="T20" s="200"/>
      <c r="U20" s="175">
        <f>'BalSht '!U25-'BalSht '!S25</f>
        <v>18.448000000000008</v>
      </c>
      <c r="V20" s="199">
        <f>'BalSht '!V25-'BalSht '!U25</f>
        <v>-25.319999999999993</v>
      </c>
      <c r="W20" s="199">
        <f>'BalSht '!W25-'BalSht '!V25</f>
        <v>9.9739999999999895</v>
      </c>
      <c r="X20" s="193">
        <f>9.215-W20-V20-U20</f>
        <v>6.112999999999996</v>
      </c>
      <c r="Y20" s="695">
        <f t="shared" si="3"/>
        <v>9.2149999999999999</v>
      </c>
      <c r="Z20" s="200"/>
      <c r="AA20" s="175">
        <f>'BalSht '!AA25-'BalSht '!Y25</f>
        <v>-13.153999999999996</v>
      </c>
      <c r="AB20" s="199">
        <f>'BalSht '!AB25-'BalSht '!AA25</f>
        <v>-16.129999999999995</v>
      </c>
      <c r="AC20" s="199">
        <f>'BalSht '!AC25-'BalSht '!AB25</f>
        <v>7.8849999999999909</v>
      </c>
      <c r="AD20" s="200">
        <f>9.664-AC20-AB20-AA20</f>
        <v>31.063000000000002</v>
      </c>
      <c r="AE20" s="695">
        <f t="shared" si="4"/>
        <v>9.6640000000000015</v>
      </c>
      <c r="AF20" s="200"/>
      <c r="AG20" s="175">
        <f>'BalSht '!AG25-'BalSht '!AE25</f>
        <v>-8.2319999999999993</v>
      </c>
      <c r="AH20" s="199">
        <f>'BalSht '!AH25-'BalSht '!AG25</f>
        <v>-15.781999999999982</v>
      </c>
      <c r="AI20" s="199">
        <f>'BalSht '!AI25-'BalSht '!AH25</f>
        <v>3.3880000000000052</v>
      </c>
      <c r="AJ20" s="200">
        <f>-6.847-AI20-AH20-AG20</f>
        <v>13.778999999999975</v>
      </c>
      <c r="AK20" s="695">
        <f t="shared" si="5"/>
        <v>-6.8470000000000013</v>
      </c>
      <c r="AL20" s="200"/>
      <c r="AM20" s="175">
        <f>'BalSht '!AM25-'BalSht '!AK25</f>
        <v>-5.6620000000000061</v>
      </c>
      <c r="AN20" s="199">
        <f>'BalSht '!AN25-'BalSht '!AM25</f>
        <v>20.782000000000011</v>
      </c>
      <c r="AO20" s="199">
        <f>'BalSht '!AO25-'BalSht '!AN25</f>
        <v>-2.164999999999992</v>
      </c>
      <c r="AP20" s="200">
        <f>41.347-AO20-AN20-AM20</f>
        <v>28.391999999999989</v>
      </c>
      <c r="AQ20" s="695">
        <f t="shared" si="19"/>
        <v>41.347000000000001</v>
      </c>
      <c r="AR20" s="200"/>
      <c r="AS20" s="175">
        <f>'BalSht '!AS25-'BalSht '!AQ25</f>
        <v>-22.008999999999986</v>
      </c>
      <c r="AT20" s="199">
        <f>'BalSht '!AT25-'BalSht '!AS25</f>
        <v>125.613</v>
      </c>
      <c r="AU20" s="199">
        <f>'BalSht '!AU25-'BalSht '!AT25</f>
        <v>-22.598000000000013</v>
      </c>
      <c r="AV20" s="200">
        <f>12.345-AU20-AT20-AS20</f>
        <v>-68.661000000000001</v>
      </c>
      <c r="AW20" s="695">
        <f t="shared" si="7"/>
        <v>12.344999999999999</v>
      </c>
      <c r="AX20" s="200"/>
      <c r="AY20" s="175">
        <f>'BalSht '!AY25-'BalSht '!AW25</f>
        <v>46.115000000000009</v>
      </c>
      <c r="AZ20" s="199">
        <f>'BalSht '!AZ25-'BalSht '!AY25</f>
        <v>-50.409999999999968</v>
      </c>
      <c r="BA20" s="199">
        <f>'BalSht '!BA25-'BalSht '!AZ25</f>
        <v>3.6639999999999873</v>
      </c>
      <c r="BB20" s="200">
        <f>10.286-BA20-AZ20-AY20</f>
        <v>10.916999999999973</v>
      </c>
      <c r="BC20" s="695">
        <f t="shared" si="8"/>
        <v>10.286000000000001</v>
      </c>
      <c r="BD20" s="200"/>
      <c r="BE20" s="175">
        <f>'BalSht '!BE25-'BalSht '!BC25</f>
        <v>132.96500000000003</v>
      </c>
      <c r="BF20" s="199">
        <f>'BalSht '!BF25-'BalSht '!BE25</f>
        <v>36.20999999999998</v>
      </c>
      <c r="BG20" s="199">
        <f>'BalSht '!BG25-'BalSht '!BF25</f>
        <v>11.05400000000003</v>
      </c>
      <c r="BH20" s="846">
        <f>119.69-BG20-BF20-BE20</f>
        <v>-60.539000000000044</v>
      </c>
      <c r="BI20" s="695">
        <f t="shared" si="9"/>
        <v>119.69</v>
      </c>
      <c r="BJ20" s="200"/>
      <c r="BK20" s="175">
        <f>'BalSht '!BK25-'BalSht '!BI25</f>
        <v>-43.148000000000025</v>
      </c>
      <c r="BL20" s="199">
        <f>'BalSht '!BL25-'BalSht '!BK25</f>
        <v>22.260999999999967</v>
      </c>
      <c r="BM20" s="199">
        <f>'BalSht '!BM25-'BalSht '!BL25</f>
        <v>2.2960000000000491</v>
      </c>
      <c r="BN20" s="846">
        <f>59.654-SUM(BK20:BM20)</f>
        <v>78.245000000000005</v>
      </c>
      <c r="BO20" s="695">
        <f t="shared" si="10"/>
        <v>59.653999999999996</v>
      </c>
      <c r="BP20" s="200"/>
      <c r="BQ20" s="175">
        <f>'BalSht '!BQ25-'BalSht '!BO25</f>
        <v>-80.839000000000055</v>
      </c>
      <c r="BR20" s="199">
        <f>'BalSht '!BR25-'BalSht '!BQ25</f>
        <v>98.574000000000069</v>
      </c>
      <c r="BS20" s="199">
        <f>'BalSht '!BS25-'BalSht '!BR25</f>
        <v>20.197999999999979</v>
      </c>
      <c r="BT20" s="199">
        <f>'BalSht '!BT25-'BalSht '!BS25</f>
        <v>-43.653281174963013</v>
      </c>
      <c r="BU20" s="695">
        <f t="shared" si="11"/>
        <v>-5.72028117496302</v>
      </c>
      <c r="BV20" s="200"/>
      <c r="BW20" s="175">
        <f>'BalSht '!BW25-'BalSht '!BU25</f>
        <v>-32.596716542980516</v>
      </c>
      <c r="BX20" s="199">
        <f>'BalSht '!BX25-'BalSht '!BW25</f>
        <v>27.953533187600669</v>
      </c>
      <c r="BY20" s="199">
        <f>'BalSht '!BY25-'BalSht '!BX25</f>
        <v>44.746011520059824</v>
      </c>
      <c r="BZ20" s="199">
        <f>'BalSht '!BZ25-'BalSht '!BY25</f>
        <v>-32.394204872229238</v>
      </c>
      <c r="CA20" s="695">
        <f t="shared" si="12"/>
        <v>7.7086232924507385</v>
      </c>
      <c r="CB20" s="200"/>
      <c r="CC20" s="175">
        <f>'BalSht '!CC25-'BalSht '!CA25</f>
        <v>-26.929795086565605</v>
      </c>
      <c r="CD20" s="199">
        <f>'BalSht '!CD25-'BalSht '!CC25</f>
        <v>30.056530042892859</v>
      </c>
      <c r="CE20" s="199">
        <f>'BalSht '!CE25-'BalSht '!CD25</f>
        <v>47.397108912517638</v>
      </c>
      <c r="CF20" s="199">
        <f>'BalSht '!CF25-'BalSht '!CE25</f>
        <v>-33.244469380942292</v>
      </c>
      <c r="CG20" s="695">
        <f t="shared" si="13"/>
        <v>17.279374487902601</v>
      </c>
      <c r="CH20" s="200"/>
      <c r="CI20" s="175">
        <f>'BalSht '!CI25-'BalSht '!CG25</f>
        <v>-25.340081904493672</v>
      </c>
      <c r="CJ20" s="199">
        <f>'BalSht '!CJ25-'BalSht '!CI25</f>
        <v>31.037811416174009</v>
      </c>
      <c r="CK20" s="199">
        <f>'BalSht '!CK25-'BalSht '!CJ25</f>
        <v>48.834237503730719</v>
      </c>
      <c r="CL20" s="199">
        <f>'BalSht '!CL25-'BalSht '!CK25</f>
        <v>-34.251512432774234</v>
      </c>
      <c r="CM20" s="695">
        <f t="shared" si="14"/>
        <v>20.280454582636821</v>
      </c>
      <c r="CN20" s="200"/>
      <c r="CO20" s="14"/>
      <c r="CP20" s="14"/>
      <c r="CW20" s="240"/>
      <c r="CX20" s="11"/>
      <c r="CY20" s="11"/>
      <c r="CZ20" s="11"/>
      <c r="DA20" s="11"/>
      <c r="DB20" s="11"/>
      <c r="DC20" s="11"/>
      <c r="DD20" s="11"/>
      <c r="DE20" s="11"/>
      <c r="DF20" s="11"/>
      <c r="DG20" s="11"/>
      <c r="DH20" s="11"/>
      <c r="DI20" s="11"/>
      <c r="DJ20" s="11"/>
      <c r="DK20" s="11"/>
      <c r="DL20" s="11"/>
      <c r="DM20" s="11"/>
      <c r="DN20" s="11"/>
      <c r="DO20" s="11"/>
      <c r="DP20" s="11"/>
      <c r="DQ20" s="11"/>
    </row>
    <row r="21" spans="1:121" ht="11.25" customHeight="1" outlineLevel="1" x14ac:dyDescent="0.2">
      <c r="A21" s="70"/>
      <c r="B21" s="825" t="s">
        <v>318</v>
      </c>
      <c r="C21" s="677">
        <f>'BalSht '!C26-34.111+'BalSht '!C27-85.396</f>
        <v>5.7660000000000053</v>
      </c>
      <c r="D21" s="199">
        <f>'BalSht '!D26-'BalSht '!C26+'BalSht '!D27-'BalSht '!C27</f>
        <v>18.801999999999992</v>
      </c>
      <c r="E21" s="199">
        <f>'BalSht '!E26-'BalSht '!D26+'BalSht '!E27-'BalSht '!D27</f>
        <v>-4.8760000000000048</v>
      </c>
      <c r="F21" s="193">
        <f>2.633-E21-D21-C21</f>
        <v>-17.058999999999994</v>
      </c>
      <c r="G21" s="695">
        <f t="shared" si="0"/>
        <v>2.6329999999999991</v>
      </c>
      <c r="H21" s="200"/>
      <c r="I21" s="175">
        <f>'BalSht '!I26-'BalSht '!G26+'BalSht '!I27-'BalSht '!G27</f>
        <v>-16.994</v>
      </c>
      <c r="J21" s="199">
        <f>'BalSht '!J26-'BalSht '!I26+'BalSht '!J27-'BalSht '!I27</f>
        <v>10.521000000000001</v>
      </c>
      <c r="K21" s="199">
        <f>'BalSht '!K26-'BalSht '!J26+'BalSht '!K27-'BalSht '!J27</f>
        <v>35.031999999999996</v>
      </c>
      <c r="L21" s="193">
        <f>13.45-K21-J21-I21</f>
        <v>-15.108999999999995</v>
      </c>
      <c r="M21" s="695">
        <f t="shared" si="1"/>
        <v>13.450000000000003</v>
      </c>
      <c r="N21" s="200"/>
      <c r="O21" s="175">
        <f>'BalSht '!O26-'BalSht '!M26+'BalSht '!O27-'BalSht '!M27</f>
        <v>-10.369000000000014</v>
      </c>
      <c r="P21" s="199">
        <f>'BalSht '!P26-'BalSht '!O26+'BalSht '!P27-'BalSht '!O27</f>
        <v>-7.6169999999999902</v>
      </c>
      <c r="Q21" s="199">
        <f>'BalSht '!Q26-'BalSht '!P26+'BalSht '!Q27-'BalSht '!P27</f>
        <v>6.2059999999999889</v>
      </c>
      <c r="R21" s="193">
        <f>-22.591-Q21-P21-O21</f>
        <v>-10.810999999999986</v>
      </c>
      <c r="S21" s="695">
        <f t="shared" si="2"/>
        <v>-22.591000000000001</v>
      </c>
      <c r="T21" s="200"/>
      <c r="U21" s="175">
        <f>'BalSht '!U26-'BalSht '!S26+'BalSht '!U27-'BalSht '!S27</f>
        <v>7.9999999999998295E-2</v>
      </c>
      <c r="V21" s="199">
        <f>'BalSht '!V26-'BalSht '!U26+'BalSht '!V27-'BalSht '!U27</f>
        <v>9.5379999999999967</v>
      </c>
      <c r="W21" s="199">
        <f>'BalSht '!W26-'BalSht '!V26+'BalSht '!W27-'BalSht '!V27</f>
        <v>7.5390000000000015</v>
      </c>
      <c r="X21" s="193">
        <f>3.68-W21-V21-U21</f>
        <v>-13.476999999999997</v>
      </c>
      <c r="Y21" s="695">
        <f t="shared" si="3"/>
        <v>3.6799999999999997</v>
      </c>
      <c r="Z21" s="200"/>
      <c r="AA21" s="175">
        <f>'BalSht '!AA26-'BalSht '!Y26+'BalSht '!AA27-'BalSht '!Y27</f>
        <v>-21.198999999999998</v>
      </c>
      <c r="AB21" s="199">
        <f>'BalSht '!AB26-'BalSht '!AA26+'BalSht '!AB27-'BalSht '!AA27</f>
        <v>-1.7830000000000013</v>
      </c>
      <c r="AC21" s="199">
        <f>'BalSht '!AC26-'BalSht '!AB26+'BalSht '!AC27-'BalSht '!AB27</f>
        <v>21.393000000000001</v>
      </c>
      <c r="AD21" s="200">
        <f>-5.754-AC21-AB21-AA21</f>
        <v>-4.1649999999999991</v>
      </c>
      <c r="AE21" s="695">
        <f t="shared" si="4"/>
        <v>-5.7539999999999978</v>
      </c>
      <c r="AF21" s="200"/>
      <c r="AG21" s="175">
        <f>'BalSht '!AG26-'BalSht '!AE26+'BalSht '!AG27-'BalSht '!AE27</f>
        <v>-21.661000000000001</v>
      </c>
      <c r="AH21" s="199">
        <f>'BalSht '!AH26-'BalSht '!AG26+'BalSht '!AH27-'BalSht '!AG27</f>
        <v>17.819000000000003</v>
      </c>
      <c r="AI21" s="199">
        <f>'BalSht '!AI26-'BalSht '!AH26+'BalSht '!AI27-'BalSht '!AH27</f>
        <v>4.519999999999996</v>
      </c>
      <c r="AJ21" s="200">
        <f>37.948-AI21-AH21-AG21</f>
        <v>37.270000000000003</v>
      </c>
      <c r="AK21" s="695">
        <f t="shared" si="5"/>
        <v>37.948</v>
      </c>
      <c r="AL21" s="200"/>
      <c r="AM21" s="175">
        <f>'BalSht '!AM26-'BalSht '!AK26+'BalSht '!AM27-'BalSht '!AK27</f>
        <v>-22.631999999999991</v>
      </c>
      <c r="AN21" s="199">
        <f>'BalSht '!AN26-'BalSht '!AM26+'BalSht '!AN27-'BalSht '!AM27</f>
        <v>-14.422000000000025</v>
      </c>
      <c r="AO21" s="199">
        <f>'BalSht '!AO26-'BalSht '!AN26+'BalSht '!AO27-'BalSht '!AN27</f>
        <v>26.477999999999994</v>
      </c>
      <c r="AP21" s="200">
        <f>-21.767-AO21-AN21-AM21</f>
        <v>-11.190999999999974</v>
      </c>
      <c r="AQ21" s="695">
        <f t="shared" si="19"/>
        <v>-21.766999999999996</v>
      </c>
      <c r="AR21" s="200"/>
      <c r="AS21" s="175">
        <f>'BalSht '!AS26-'BalSht '!AQ26+'BalSht '!AS27-'BalSht '!AQ27</f>
        <v>-33.998000000000019</v>
      </c>
      <c r="AT21" s="199">
        <f>'BalSht '!AT26-'BalSht '!AS26+'BalSht '!AT27-'BalSht '!AS27</f>
        <v>13.50800000000001</v>
      </c>
      <c r="AU21" s="199">
        <f>'BalSht '!AU26-'BalSht '!AT26+'BalSht '!AU27-'BalSht '!AT27</f>
        <v>34.14700000000002</v>
      </c>
      <c r="AV21" s="200">
        <f>14.125-AU21-AT21-AS21</f>
        <v>0.46799999999998931</v>
      </c>
      <c r="AW21" s="695">
        <f t="shared" si="7"/>
        <v>14.125</v>
      </c>
      <c r="AX21" s="200"/>
      <c r="AY21" s="175">
        <f>'BalSht '!AY26-'BalSht '!AW26+'BalSht '!AY27-'BalSht '!AW27</f>
        <v>-6.6119999999999948</v>
      </c>
      <c r="AZ21" s="199">
        <f>'BalSht '!AZ26-'BalSht '!AY26+'BalSht '!AZ27-'BalSht '!AY27</f>
        <v>14.530000000000001</v>
      </c>
      <c r="BA21" s="199">
        <f>'BalSht '!BA26-'BalSht '!AZ26+'BalSht '!BA27-'BalSht '!AZ27</f>
        <v>18.312000000000012</v>
      </c>
      <c r="BB21" s="200">
        <f>42.555-BA21-AZ21-AY21</f>
        <v>16.324999999999982</v>
      </c>
      <c r="BC21" s="695">
        <f t="shared" si="8"/>
        <v>42.555</v>
      </c>
      <c r="BD21" s="200"/>
      <c r="BE21" s="175">
        <f>'BalSht '!BE26-'BalSht '!BC26+'BalSht '!BE27-'BalSht '!BC27</f>
        <v>-16.72199999999998</v>
      </c>
      <c r="BF21" s="199">
        <f>'BalSht '!BF26-'BalSht '!BE26+'BalSht '!BF27-'BalSht '!BE27</f>
        <v>11.542999999999978</v>
      </c>
      <c r="BG21" s="199">
        <f>'BalSht '!BG26-'BalSht '!BF26+'BalSht '!BG27-'BalSht '!BF27</f>
        <v>-12.320999999999998</v>
      </c>
      <c r="BH21" s="846">
        <f>-4.055-BE21-BF21-BG21</f>
        <v>13.445</v>
      </c>
      <c r="BI21" s="695">
        <f t="shared" si="9"/>
        <v>-4.0549999999999997</v>
      </c>
      <c r="BJ21" s="200"/>
      <c r="BK21" s="175">
        <f>'BalSht '!BK26-'BalSht '!BI26+'BalSht '!BK27-'BalSht '!BI27</f>
        <v>-39.245999999999981</v>
      </c>
      <c r="BL21" s="199">
        <f>'BalSht '!BL26-'BalSht '!BK26+'BalSht '!BL27-'BalSht '!BK27</f>
        <v>30.342000000000013</v>
      </c>
      <c r="BM21" s="199">
        <f>'BalSht '!BM26-'BalSht '!BL26+'BalSht '!BM27-'BalSht '!BL27</f>
        <v>10.359000000000009</v>
      </c>
      <c r="BN21" s="846">
        <f>-9.009-SUM(BK21:BM21)</f>
        <v>-10.464000000000041</v>
      </c>
      <c r="BO21" s="695">
        <f t="shared" si="10"/>
        <v>-9.0090000000000003</v>
      </c>
      <c r="BP21" s="200"/>
      <c r="BQ21" s="175">
        <f>'BalSht '!BQ26-'BalSht '!BO26+'BalSht '!BQ27-'BalSht '!BO27</f>
        <v>-25.027999999999992</v>
      </c>
      <c r="BR21" s="199">
        <f>'BalSht '!BR26-'BalSht '!BQ26+'BalSht '!BR27-'BalSht '!BQ27</f>
        <v>20.992999999999995</v>
      </c>
      <c r="BS21" s="199">
        <f>'BalSht '!BS26-'BalSht '!BR26+'BalSht '!BS27-'BalSht '!BR27</f>
        <v>-17.743000000000023</v>
      </c>
      <c r="BT21" s="199">
        <f>'BalSht '!BT26-'BalSht '!BS26+'BalSht '!BT27-'BalSht '!BS27</f>
        <v>2.5704912337245958</v>
      </c>
      <c r="BU21" s="695">
        <f t="shared" si="11"/>
        <v>-19.207508766275424</v>
      </c>
      <c r="BV21" s="200"/>
      <c r="BW21" s="175">
        <f>'BalSht '!BW26-'BalSht '!BU26+'BalSht '!BW27-'BalSht '!BU27</f>
        <v>-4.9213151200566472</v>
      </c>
      <c r="BX21" s="199">
        <f>'BalSht '!BX26-'BalSht '!BW26+'BalSht '!BX27-'BalSht '!BW27</f>
        <v>3.5483108321772079</v>
      </c>
      <c r="BY21" s="199">
        <f>'BalSht '!BY26-'BalSht '!BX26+'BalSht '!BY27-'BalSht '!BX27</f>
        <v>-0.89244449143609472</v>
      </c>
      <c r="BZ21" s="199">
        <f>'BalSht '!BZ26-'BalSht '!BY26+'BalSht '!BZ27-'BalSht '!BY27</f>
        <v>3.242125995402489</v>
      </c>
      <c r="CA21" s="695">
        <f t="shared" si="12"/>
        <v>0.97667721608695501</v>
      </c>
      <c r="CB21" s="200"/>
      <c r="CC21" s="175">
        <f>'BalSht '!CC26-'BalSht '!CA26+'BalSht '!CC27-'BalSht '!CA27</f>
        <v>-5.738046473953716</v>
      </c>
      <c r="CD21" s="199">
        <f>'BalSht '!CD26-'BalSht '!CC26+'BalSht '!CD27-'BalSht '!CC27</f>
        <v>3.5219001686903368</v>
      </c>
      <c r="CE21" s="199">
        <f>'BalSht '!CE26-'BalSht '!CD26+'BalSht '!CE27-'BalSht '!CD27</f>
        <v>-0.76194475542516216</v>
      </c>
      <c r="CF21" s="199">
        <f>'BalSht '!CF26-'BalSht '!CE26+'BalSht '!CF27-'BalSht '!CE27</f>
        <v>3.2635608935458436</v>
      </c>
      <c r="CG21" s="695">
        <f t="shared" si="13"/>
        <v>0.28546983285730221</v>
      </c>
      <c r="CH21" s="200"/>
      <c r="CI21" s="175">
        <f>'BalSht '!CI26-'BalSht '!CG26+'BalSht '!CI27-'BalSht '!CG27</f>
        <v>-5.7573927849064148</v>
      </c>
      <c r="CJ21" s="199">
        <f>'BalSht '!CJ26-'BalSht '!CI26+'BalSht '!CJ27-'BalSht '!CI27</f>
        <v>3.5306837271280926</v>
      </c>
      <c r="CK21" s="199">
        <f>'BalSht '!CK26-'BalSht '!CJ26+'BalSht '!CK27-'BalSht '!CJ27</f>
        <v>-0.78338214552292129</v>
      </c>
      <c r="CL21" s="199">
        <f>'BalSht '!CL26-'BalSht '!CK26+'BalSht '!CL27-'BalSht '!CK27</f>
        <v>3.2844684558146469</v>
      </c>
      <c r="CM21" s="695">
        <f t="shared" si="14"/>
        <v>0.27437725251340339</v>
      </c>
      <c r="CN21" s="200"/>
      <c r="CO21" s="14"/>
      <c r="CP21" s="14"/>
      <c r="CW21" s="240"/>
      <c r="CX21" s="11"/>
      <c r="CY21" s="11"/>
      <c r="CZ21" s="11"/>
      <c r="DA21" s="11"/>
      <c r="DB21" s="11"/>
      <c r="DC21" s="11"/>
      <c r="DD21" s="11"/>
      <c r="DE21" s="11"/>
      <c r="DF21" s="11"/>
      <c r="DG21" s="11"/>
      <c r="DH21" s="11"/>
      <c r="DI21" s="11"/>
      <c r="DJ21" s="11"/>
      <c r="DK21" s="11"/>
      <c r="DL21" s="11"/>
      <c r="DM21" s="11"/>
      <c r="DN21" s="11"/>
      <c r="DO21" s="11"/>
      <c r="DP21" s="11"/>
      <c r="DQ21" s="11"/>
    </row>
    <row r="22" spans="1:121" ht="11.25" customHeight="1" outlineLevel="1" x14ac:dyDescent="0.2">
      <c r="A22" s="70"/>
      <c r="B22" s="825" t="s">
        <v>319</v>
      </c>
      <c r="C22" s="677">
        <f>+C17-SUM(C18:C21)</f>
        <v>11.734000000000014</v>
      </c>
      <c r="D22" s="199">
        <f>+D17-SUM(D18:D21)</f>
        <v>-47.08299999999997</v>
      </c>
      <c r="E22" s="199">
        <f>+E17-SUM(E18:E21)</f>
        <v>-16.480000000000011</v>
      </c>
      <c r="F22" s="193">
        <f>-2.742-E22-D22-C22</f>
        <v>49.086999999999968</v>
      </c>
      <c r="G22" s="695">
        <f t="shared" si="0"/>
        <v>-2.7419999999999973</v>
      </c>
      <c r="H22" s="200"/>
      <c r="I22" s="175">
        <f>+I17-SUM(I18:I21)</f>
        <v>28.57399999999998</v>
      </c>
      <c r="J22" s="199">
        <f>+J17-SUM(J18:J21)</f>
        <v>-13.846999999999971</v>
      </c>
      <c r="K22" s="199">
        <f>+K17-SUM(K18:K21)</f>
        <v>-24.327000000000012</v>
      </c>
      <c r="L22" s="193">
        <f>-2.373-K22-J22-I22</f>
        <v>7.2270000000000003</v>
      </c>
      <c r="M22" s="695">
        <f t="shared" si="1"/>
        <v>-2.3730000000000029</v>
      </c>
      <c r="N22" s="200"/>
      <c r="O22" s="175">
        <f>+O17-SUM(O18:O21)</f>
        <v>21.815000000000033</v>
      </c>
      <c r="P22" s="199">
        <f>+P17-SUM(P18:P21)</f>
        <v>-20.006000000000014</v>
      </c>
      <c r="Q22" s="199">
        <f>+Q17-SUM(Q18:Q21)</f>
        <v>4.407000000000032</v>
      </c>
      <c r="R22" s="193">
        <f>2.82-Q22-P22-O22</f>
        <v>-3.3960000000000505</v>
      </c>
      <c r="S22" s="695">
        <f t="shared" si="2"/>
        <v>2.8200000000000003</v>
      </c>
      <c r="T22" s="200"/>
      <c r="U22" s="175">
        <f>+U17-SUM(U18:U21)</f>
        <v>8.7959999999999425</v>
      </c>
      <c r="V22" s="199">
        <f>+V17-SUM(V18:V21)</f>
        <v>-23.544999999999987</v>
      </c>
      <c r="W22" s="199">
        <f>+W17-SUM(W18:W21)</f>
        <v>-12.487000000000016</v>
      </c>
      <c r="X22" s="193">
        <f>-23.501-W22-V22-U22</f>
        <v>3.7350000000000598</v>
      </c>
      <c r="Y22" s="695">
        <f t="shared" si="3"/>
        <v>-23.501000000000001</v>
      </c>
      <c r="Z22" s="200"/>
      <c r="AA22" s="175">
        <f>+AA17-SUM(AA18:AA21)</f>
        <v>40.173999999999971</v>
      </c>
      <c r="AB22" s="199">
        <f>+AB17-SUM(AB18:AB21)</f>
        <v>-23.264999999999961</v>
      </c>
      <c r="AC22" s="199">
        <f>+AC17-SUM(AC18:AC21)</f>
        <v>-4.2250000000000121</v>
      </c>
      <c r="AD22" s="200">
        <f>-15.212-AC22-AB22-AA22</f>
        <v>-27.895999999999997</v>
      </c>
      <c r="AE22" s="695">
        <f t="shared" si="4"/>
        <v>-15.212</v>
      </c>
      <c r="AF22" s="200"/>
      <c r="AG22" s="175">
        <f>+AG17-SUM(AG18:AG21)</f>
        <v>-1.8439999999999852</v>
      </c>
      <c r="AH22" s="199">
        <f>+AH17-SUM(AH18:AH21)</f>
        <v>-13.310000000000006</v>
      </c>
      <c r="AI22" s="199">
        <f>+AI17-SUM(AI18:AI21)</f>
        <v>33.177999999999926</v>
      </c>
      <c r="AJ22" s="200">
        <f>-1.766-AI22-AH22-AG22</f>
        <v>-19.789999999999935</v>
      </c>
      <c r="AK22" s="695">
        <f t="shared" si="5"/>
        <v>-1.7659999999999982</v>
      </c>
      <c r="AL22" s="200"/>
      <c r="AM22" s="175">
        <f>+AM17-SUM(AM18:AM21)</f>
        <v>-33.915000000000049</v>
      </c>
      <c r="AN22" s="199">
        <f>+AN17-SUM(AN18:AN21)</f>
        <v>8.4179999999999851</v>
      </c>
      <c r="AO22" s="199">
        <f>+AO17-SUM(AO18:AO21)</f>
        <v>-15.959999999999969</v>
      </c>
      <c r="AP22" s="200">
        <f>0.027-AO22-AN22-AM22</f>
        <v>41.48400000000003</v>
      </c>
      <c r="AQ22" s="695">
        <f t="shared" si="19"/>
        <v>2.6999999999993918E-2</v>
      </c>
      <c r="AR22" s="200"/>
      <c r="AS22" s="175">
        <f>+AS17-SUM(AS18:AS21)</f>
        <v>-3.8099999999999881</v>
      </c>
      <c r="AT22" s="199">
        <f>+AT17-SUM(AT18:AT21)</f>
        <v>67.849999999999994</v>
      </c>
      <c r="AU22" s="199">
        <f>+AU17-SUM(AU18:AU21)</f>
        <v>-11.683999999999976</v>
      </c>
      <c r="AV22" s="200">
        <f>-5.108-AU22-AT22-AS22</f>
        <v>-57.464000000000027</v>
      </c>
      <c r="AW22" s="695">
        <f t="shared" si="7"/>
        <v>-5.107999999999997</v>
      </c>
      <c r="AX22" s="200"/>
      <c r="AY22" s="175">
        <f>+AY17-SUM(AY18:AY21)</f>
        <v>13.828999999999864</v>
      </c>
      <c r="AZ22" s="199">
        <f>+AZ17-SUM(AZ18:AZ21)</f>
        <v>-10.999999999999964</v>
      </c>
      <c r="BA22" s="199">
        <f>+BA17-SUM(BA18:BA21)</f>
        <v>-25.716999999999992</v>
      </c>
      <c r="BB22" s="200">
        <f>0.814-BA22-AZ22-AY22</f>
        <v>23.702000000000091</v>
      </c>
      <c r="BC22" s="695">
        <f t="shared" si="8"/>
        <v>0.81400000000000006</v>
      </c>
      <c r="BD22" s="200"/>
      <c r="BE22" s="175">
        <f>+BE17-SUM(BE18:BE21)</f>
        <v>190.6339999999999</v>
      </c>
      <c r="BF22" s="199">
        <f>+BF17-SUM(BF18:BF21)</f>
        <v>7.2000000000073783E-2</v>
      </c>
      <c r="BG22" s="199">
        <f>+BG17-SUM(BG18:BG21)</f>
        <v>-91.760000000000147</v>
      </c>
      <c r="BH22" s="846">
        <f>-38.882-BE22-BF22-BG22</f>
        <v>-137.8279999999998</v>
      </c>
      <c r="BI22" s="695">
        <f t="shared" si="9"/>
        <v>-38.881999999999991</v>
      </c>
      <c r="BJ22" s="200"/>
      <c r="BK22" s="175">
        <f>+BK17-SUM(BK18:BK21)</f>
        <v>-58.815999999999946</v>
      </c>
      <c r="BL22" s="199">
        <f>+BL17-SUM(BL18:BL21)</f>
        <v>-8.76400000000001</v>
      </c>
      <c r="BM22" s="199">
        <f>+BM17-SUM(BM18:BM21)</f>
        <v>-36.442000000000064</v>
      </c>
      <c r="BN22" s="846">
        <f>-63.976-SUM(BK22:BM22)</f>
        <v>40.046000000000021</v>
      </c>
      <c r="BO22" s="695">
        <f t="shared" si="10"/>
        <v>-63.975999999999999</v>
      </c>
      <c r="BP22" s="200"/>
      <c r="BQ22" s="175">
        <f>+BQ17-SUM(BQ18:BQ21)</f>
        <v>19.745000000000061</v>
      </c>
      <c r="BR22" s="199">
        <f>+BR17-SUM(BR18:BR21)</f>
        <v>-40.744000000000028</v>
      </c>
      <c r="BS22" s="199">
        <f>+BS17-SUM(BS18:BS21)</f>
        <v>-72.207999999999942</v>
      </c>
      <c r="BT22" s="199">
        <f>'BalSht '!BS18-'BalSht '!BT18</f>
        <v>-5.9478531189553649</v>
      </c>
      <c r="BU22" s="695">
        <f t="shared" si="11"/>
        <v>-99.154853118955273</v>
      </c>
      <c r="BV22" s="200"/>
      <c r="BW22" s="175">
        <f>'BalSht '!BU18-'BalSht '!BW18</f>
        <v>35.116654878287775</v>
      </c>
      <c r="BX22" s="199">
        <f>'BalSht '!BW18-'BalSht '!BX18</f>
        <v>-8.7324735385656851</v>
      </c>
      <c r="BY22" s="199">
        <f>'BalSht '!BX18-'BalSht '!BY18</f>
        <v>1.4284485924588068</v>
      </c>
      <c r="BZ22" s="199">
        <f>'BalSht '!BY18-'BalSht '!BZ18</f>
        <v>-6.0098027133756773</v>
      </c>
      <c r="CA22" s="695">
        <f t="shared" si="12"/>
        <v>21.80282721880522</v>
      </c>
      <c r="CB22" s="200"/>
      <c r="CC22" s="175">
        <f>'BalSht '!CA18-'BalSht '!CC18</f>
        <v>5.6014889478351648</v>
      </c>
      <c r="CD22" s="199">
        <f>'BalSht '!CC18-'BalSht '!CD18</f>
        <v>-9.4010187051682124</v>
      </c>
      <c r="CE22" s="199">
        <f>'BalSht '!CD18-'BalSht '!CE18</f>
        <v>1.3039756830030313</v>
      </c>
      <c r="CF22" s="199">
        <f>'BalSht '!CE18-'BalSht '!CF18</f>
        <v>-6.5305409060649566</v>
      </c>
      <c r="CG22" s="695">
        <f t="shared" si="13"/>
        <v>-9.0260949803949728</v>
      </c>
      <c r="CH22" s="200"/>
      <c r="CI22" s="175">
        <f>'BalSht '!CG18-'BalSht '!CI18</f>
        <v>6.3572288733341651</v>
      </c>
      <c r="CJ22" s="199">
        <f>'BalSht '!CI18-'BalSht '!CJ18</f>
        <v>-10.170531849297774</v>
      </c>
      <c r="CK22" s="199">
        <f>'BalSht '!CJ18-'BalSht '!CK18</f>
        <v>1.4446506690100449</v>
      </c>
      <c r="CL22" s="199">
        <f>'BalSht '!CK18-'BalSht '!CL18</f>
        <v>-7.0773418676813122</v>
      </c>
      <c r="CM22" s="695">
        <f t="shared" si="14"/>
        <v>-9.4459941746348761</v>
      </c>
      <c r="CN22" s="200"/>
      <c r="CO22" s="14"/>
      <c r="CP22" s="14"/>
      <c r="CW22" s="240"/>
      <c r="CX22" s="11"/>
      <c r="CY22" s="11"/>
      <c r="CZ22" s="11"/>
      <c r="DA22" s="11"/>
      <c r="DB22" s="11"/>
      <c r="DC22" s="11"/>
      <c r="DD22" s="11"/>
      <c r="DE22" s="11"/>
      <c r="DF22" s="11"/>
      <c r="DG22" s="11"/>
      <c r="DH22" s="11"/>
      <c r="DI22" s="11"/>
      <c r="DJ22" s="11"/>
      <c r="DK22" s="11"/>
      <c r="DL22" s="11"/>
      <c r="DM22" s="11"/>
      <c r="DN22" s="11"/>
      <c r="DO22" s="11"/>
      <c r="DP22" s="11"/>
      <c r="DQ22" s="11"/>
    </row>
    <row r="23" spans="1:121" ht="11.25" customHeight="1" outlineLevel="1" x14ac:dyDescent="0.2">
      <c r="A23" s="70"/>
      <c r="B23" s="826" t="s">
        <v>200</v>
      </c>
      <c r="C23" s="677">
        <v>0</v>
      </c>
      <c r="D23" s="193">
        <f>0-C23</f>
        <v>0</v>
      </c>
      <c r="E23" s="193">
        <f>0-D23-C23</f>
        <v>0</v>
      </c>
      <c r="F23" s="193">
        <f>8.838-E23-D23-C23</f>
        <v>8.8379999999999992</v>
      </c>
      <c r="G23" s="695">
        <f t="shared" si="0"/>
        <v>8.8379999999999992</v>
      </c>
      <c r="H23" s="203"/>
      <c r="I23" s="677">
        <v>0</v>
      </c>
      <c r="J23" s="193">
        <f>0-I23</f>
        <v>0</v>
      </c>
      <c r="K23" s="193">
        <f>0-J23-I23</f>
        <v>0</v>
      </c>
      <c r="L23" s="193">
        <f>0.613-K23-J23-I23</f>
        <v>0.61299999999999999</v>
      </c>
      <c r="M23" s="695">
        <f t="shared" si="1"/>
        <v>0.61299999999999999</v>
      </c>
      <c r="N23" s="203"/>
      <c r="O23" s="677">
        <v>0</v>
      </c>
      <c r="P23" s="193">
        <v>0</v>
      </c>
      <c r="Q23" s="193">
        <f>0-P23-O23</f>
        <v>0</v>
      </c>
      <c r="R23" s="193">
        <f>-5.255-Q23-P23-O23</f>
        <v>-5.2549999999999999</v>
      </c>
      <c r="S23" s="695">
        <f t="shared" si="2"/>
        <v>-5.2549999999999999</v>
      </c>
      <c r="T23" s="203"/>
      <c r="U23" s="677">
        <v>0</v>
      </c>
      <c r="V23" s="200">
        <f>0-U23</f>
        <v>0</v>
      </c>
      <c r="W23" s="200">
        <f>0-V23-U23</f>
        <v>0</v>
      </c>
      <c r="X23" s="193">
        <f>-1.001-W23-V23-U23</f>
        <v>-1.0009999999999999</v>
      </c>
      <c r="Y23" s="695">
        <f t="shared" si="3"/>
        <v>-1.0009999999999999</v>
      </c>
      <c r="Z23" s="203"/>
      <c r="AA23" s="677">
        <v>0</v>
      </c>
      <c r="AB23" s="193">
        <f>-122.348-AA23</f>
        <v>-122.348</v>
      </c>
      <c r="AC23" s="200">
        <f>0-AB23-AA23</f>
        <v>122.348</v>
      </c>
      <c r="AD23" s="200">
        <f>-1.852-AC23-AB23-AA23</f>
        <v>-1.8520000000000039</v>
      </c>
      <c r="AE23" s="695">
        <f t="shared" si="4"/>
        <v>-1.8520000000000039</v>
      </c>
      <c r="AF23" s="203"/>
      <c r="AG23" s="677">
        <v>0</v>
      </c>
      <c r="AH23" s="193">
        <f>0-AG23</f>
        <v>0</v>
      </c>
      <c r="AI23" s="200">
        <f>0-AH23-AG23</f>
        <v>0</v>
      </c>
      <c r="AJ23" s="200">
        <f>4.938-AI23-AH23-AG23</f>
        <v>4.9379999999999997</v>
      </c>
      <c r="AK23" s="695">
        <f t="shared" si="5"/>
        <v>4.9379999999999997</v>
      </c>
      <c r="AL23" s="203"/>
      <c r="AM23" s="677">
        <v>0</v>
      </c>
      <c r="AN23" s="193">
        <f>0-AM23</f>
        <v>0</v>
      </c>
      <c r="AO23" s="200">
        <f>0-AN23-AM23</f>
        <v>0</v>
      </c>
      <c r="AP23" s="200">
        <f>4.301-AO23-AN23-AM23</f>
        <v>4.3010000000000002</v>
      </c>
      <c r="AQ23" s="695">
        <f t="shared" si="19"/>
        <v>4.3010000000000002</v>
      </c>
      <c r="AR23" s="203"/>
      <c r="AS23" s="677">
        <v>0</v>
      </c>
      <c r="AT23" s="193">
        <f>5.114-AS23</f>
        <v>5.1139999999999999</v>
      </c>
      <c r="AU23" s="200">
        <f>5.126-AT23-AS23</f>
        <v>1.2000000000000455E-2</v>
      </c>
      <c r="AV23" s="199">
        <f>13.842+-32.904-AS23-AT23-AU23</f>
        <v>-24.188000000000006</v>
      </c>
      <c r="AW23" s="695">
        <f t="shared" si="7"/>
        <v>-19.062000000000005</v>
      </c>
      <c r="AX23" s="203"/>
      <c r="AY23" s="677">
        <v>0</v>
      </c>
      <c r="AZ23" s="193">
        <f>0-AY23</f>
        <v>0</v>
      </c>
      <c r="BA23" s="193">
        <f>0-AZ23-AY23</f>
        <v>0</v>
      </c>
      <c r="BB23" s="200">
        <f>-36.568-BA23-AZ23-AY23</f>
        <v>-36.567999999999998</v>
      </c>
      <c r="BC23" s="695">
        <f t="shared" si="8"/>
        <v>-36.567999999999998</v>
      </c>
      <c r="BD23" s="203"/>
      <c r="BE23" s="851">
        <v>0</v>
      </c>
      <c r="BF23" s="846">
        <f>5.153-BE23</f>
        <v>5.1529999999999996</v>
      </c>
      <c r="BG23" s="846">
        <f>5.153-BF23-BE23</f>
        <v>0</v>
      </c>
      <c r="BH23" s="846">
        <f>2.093+5.153-BG23-BF23-BE23</f>
        <v>2.093</v>
      </c>
      <c r="BI23" s="695">
        <f>SUM(BE23:BH23)</f>
        <v>7.2459999999999996</v>
      </c>
      <c r="BJ23" s="203"/>
      <c r="BK23" s="851">
        <v>0</v>
      </c>
      <c r="BL23" s="846">
        <v>0</v>
      </c>
      <c r="BM23" s="846">
        <f>36.312+0.06-SUM(BK23:BL23)</f>
        <v>36.372</v>
      </c>
      <c r="BN23" s="846">
        <f>36.312+0.06-17.845-SUM(BK23:BM23)</f>
        <v>-17.844999999999999</v>
      </c>
      <c r="BO23" s="695">
        <f>SUM(BK23:BN23)</f>
        <v>18.527000000000001</v>
      </c>
      <c r="BP23" s="203"/>
      <c r="BQ23" s="851">
        <v>0</v>
      </c>
      <c r="BR23" s="846">
        <f>0-BQ23</f>
        <v>0</v>
      </c>
      <c r="BS23" s="846">
        <v>0</v>
      </c>
      <c r="BT23" s="199">
        <f>'BalSht '!BS13-'BalSht '!BT13+'BalSht '!BT30-'BalSht '!BS30</f>
        <v>-5.6107999080731901</v>
      </c>
      <c r="BU23" s="695">
        <f>SUM(BQ23:BT23)</f>
        <v>-5.6107999080731901</v>
      </c>
      <c r="BV23" s="203"/>
      <c r="BW23" s="175">
        <f>'BalSht '!BU13-'BalSht '!BW13+'BalSht '!BW30-'BalSht '!BU30</f>
        <v>18.503455536780606</v>
      </c>
      <c r="BX23" s="199">
        <f>'BalSht '!BW13-'BalSht '!BX13+'BalSht '!BX30-'BalSht '!BW30</f>
        <v>-9.5942474203322519</v>
      </c>
      <c r="BY23" s="199">
        <f>'BalSht '!BX13-'BalSht '!BY13+'BalSht '!BY30-'BalSht '!BX30</f>
        <v>1.5694166335288031</v>
      </c>
      <c r="BZ23" s="199">
        <f>'BalSht '!BY13-'BalSht '!BZ13+'BalSht '!BZ30-'BalSht '!BY30</f>
        <v>-6.6028867908806603</v>
      </c>
      <c r="CA23" s="695">
        <f>SUM(BW23:BZ23)</f>
        <v>3.8757379590964973</v>
      </c>
      <c r="CB23" s="203"/>
      <c r="CC23" s="175">
        <f>'BalSht '!CA13-'BalSht '!CC13+'BalSht '!CC30-'BalSht '!CA30</f>
        <v>6.6845536805400343</v>
      </c>
      <c r="CD23" s="199">
        <f>'BalSht '!CC13-'BalSht '!CD13+'BalSht '!CD30-'BalSht '!CC30</f>
        <v>-10.279818356994767</v>
      </c>
      <c r="CE23" s="199">
        <f>'BalSht '!CD13-'BalSht '!CE13+'BalSht '!CE30-'BalSht '!CD30</f>
        <v>1.4258702789135071</v>
      </c>
      <c r="CF23" s="199">
        <f>'BalSht '!CE13-'BalSht '!CF13+'BalSht '!CF30-'BalSht '!CE30</f>
        <v>-7.1410106066872885</v>
      </c>
      <c r="CG23" s="695">
        <f>SUM(CC23:CF23)</f>
        <v>-9.3104050042285138</v>
      </c>
      <c r="CH23" s="203"/>
      <c r="CI23" s="175">
        <f>'BalSht '!CG13-'BalSht '!CI13+'BalSht '!CI30-'BalSht '!CG30</f>
        <v>7.4673668659852694</v>
      </c>
      <c r="CJ23" s="199">
        <f>'BalSht '!CI13-'BalSht '!CJ13+'BalSht '!CJ30-'BalSht '!CI30</f>
        <v>-11.073616043442982</v>
      </c>
      <c r="CK23" s="199">
        <f>'BalSht '!CJ13-'BalSht '!CK13+'BalSht '!CK30-'BalSht '!CJ30</f>
        <v>1.5729272630540834</v>
      </c>
      <c r="CL23" s="199">
        <f>'BalSht '!CK13-'BalSht '!CL13+'BalSht '!CL30-'BalSht '!CK30</f>
        <v>-7.7057687456431267</v>
      </c>
      <c r="CM23" s="695">
        <f>SUM(CI23:CL23)</f>
        <v>-9.7390906600467559</v>
      </c>
      <c r="CN23" s="203"/>
      <c r="CO23" s="14"/>
      <c r="CP23" s="14"/>
      <c r="CW23" s="873"/>
      <c r="CX23" s="11"/>
      <c r="CY23" s="11"/>
      <c r="CZ23" s="11"/>
      <c r="DA23" s="11"/>
      <c r="DB23" s="11"/>
      <c r="DC23" s="11"/>
      <c r="DD23" s="11"/>
      <c r="DE23" s="11"/>
      <c r="DF23" s="11"/>
      <c r="DG23" s="11"/>
      <c r="DH23" s="11"/>
      <c r="DI23" s="11"/>
      <c r="DJ23" s="11"/>
      <c r="DK23" s="11"/>
      <c r="DL23" s="11"/>
      <c r="DM23" s="11"/>
      <c r="DN23" s="11"/>
      <c r="DO23" s="11"/>
      <c r="DP23" s="11"/>
      <c r="DQ23" s="11"/>
    </row>
    <row r="24" spans="1:121" ht="11.25" customHeight="1" outlineLevel="1" x14ac:dyDescent="0.2">
      <c r="A24" s="70"/>
      <c r="B24" s="827" t="s">
        <v>320</v>
      </c>
      <c r="C24" s="677">
        <v>0</v>
      </c>
      <c r="D24" s="193">
        <f>0-C24</f>
        <v>0</v>
      </c>
      <c r="E24" s="193">
        <f>0-D24-C24</f>
        <v>0</v>
      </c>
      <c r="F24" s="193">
        <f>0-E24-D24-C24</f>
        <v>0</v>
      </c>
      <c r="G24" s="695">
        <f t="shared" si="0"/>
        <v>0</v>
      </c>
      <c r="H24" s="203"/>
      <c r="I24" s="677">
        <v>0</v>
      </c>
      <c r="J24" s="193">
        <f>0-I24</f>
        <v>0</v>
      </c>
      <c r="K24" s="193">
        <f>0-J24-I24</f>
        <v>0</v>
      </c>
      <c r="L24" s="193">
        <f>0-K24-J24-I24</f>
        <v>0</v>
      </c>
      <c r="M24" s="695">
        <f t="shared" si="1"/>
        <v>0</v>
      </c>
      <c r="N24" s="203"/>
      <c r="O24" s="677">
        <v>0</v>
      </c>
      <c r="P24" s="193">
        <v>0</v>
      </c>
      <c r="Q24" s="193">
        <f>0-P24-O24</f>
        <v>0</v>
      </c>
      <c r="R24" s="193">
        <f>0-Q24-P24-O24</f>
        <v>0</v>
      </c>
      <c r="S24" s="695">
        <f t="shared" si="2"/>
        <v>0</v>
      </c>
      <c r="T24" s="203"/>
      <c r="U24" s="677">
        <v>0</v>
      </c>
      <c r="V24" s="200">
        <f>0-U24</f>
        <v>0</v>
      </c>
      <c r="W24" s="200">
        <f>0-V24-U24</f>
        <v>0</v>
      </c>
      <c r="X24" s="193">
        <f>0-W24-V24-U24</f>
        <v>0</v>
      </c>
      <c r="Y24" s="695">
        <f t="shared" si="3"/>
        <v>0</v>
      </c>
      <c r="Z24" s="203"/>
      <c r="AA24" s="677">
        <v>0</v>
      </c>
      <c r="AB24" s="193">
        <v>0</v>
      </c>
      <c r="AC24" s="200">
        <f>0-AB24-AA24</f>
        <v>0</v>
      </c>
      <c r="AD24" s="200">
        <f>0-AC24-AB24-AA24</f>
        <v>0</v>
      </c>
      <c r="AE24" s="695">
        <f t="shared" si="4"/>
        <v>0</v>
      </c>
      <c r="AF24" s="203"/>
      <c r="AG24" s="677">
        <v>0</v>
      </c>
      <c r="AH24" s="193">
        <f>0-AG24</f>
        <v>0</v>
      </c>
      <c r="AI24" s="200">
        <f>0-AH24-AG24</f>
        <v>0</v>
      </c>
      <c r="AJ24" s="200">
        <f>0-AI24-AH24-AG24</f>
        <v>0</v>
      </c>
      <c r="AK24" s="695">
        <f t="shared" si="5"/>
        <v>0</v>
      </c>
      <c r="AL24" s="203"/>
      <c r="AM24" s="677">
        <v>0</v>
      </c>
      <c r="AN24" s="193">
        <f>0-AM24</f>
        <v>0</v>
      </c>
      <c r="AO24" s="200">
        <f>0-AN24-AM24</f>
        <v>0</v>
      </c>
      <c r="AP24" s="200">
        <f>0-AO24-AN24-AM24</f>
        <v>0</v>
      </c>
      <c r="AQ24" s="695">
        <f t="shared" si="6"/>
        <v>0</v>
      </c>
      <c r="AR24" s="203"/>
      <c r="AS24" s="677">
        <v>0</v>
      </c>
      <c r="AT24" s="193">
        <f>0-AS24</f>
        <v>0</v>
      </c>
      <c r="AU24" s="200">
        <f>0-AT24-AS24</f>
        <v>0</v>
      </c>
      <c r="AV24" s="200">
        <f>0-AU24-AT24-AS24</f>
        <v>0</v>
      </c>
      <c r="AW24" s="695">
        <f t="shared" si="7"/>
        <v>0</v>
      </c>
      <c r="AX24" s="203"/>
      <c r="AY24" s="677">
        <v>0.47599999999999998</v>
      </c>
      <c r="AZ24" s="193">
        <f>21.85-AY24</f>
        <v>21.374000000000002</v>
      </c>
      <c r="BA24" s="193">
        <f>38.668-AZ24-AY24</f>
        <v>16.817999999999998</v>
      </c>
      <c r="BB24" s="200">
        <f>57.627-BA24-AZ24-AY24</f>
        <v>18.959000000000003</v>
      </c>
      <c r="BC24" s="695">
        <f t="shared" si="8"/>
        <v>57.627000000000002</v>
      </c>
      <c r="BD24" s="203"/>
      <c r="BE24" s="851">
        <v>-2.27</v>
      </c>
      <c r="BF24" s="846">
        <f>-38.985-BE24</f>
        <v>-36.714999999999996</v>
      </c>
      <c r="BG24" s="846">
        <f>-38.985-BF24-BE24</f>
        <v>0</v>
      </c>
      <c r="BH24" s="846">
        <f>-38.544-BG24-BF24-BE24</f>
        <v>0.44099999999999939</v>
      </c>
      <c r="BI24" s="695">
        <f>SUM(BE24:BH24)</f>
        <v>-38.543999999999997</v>
      </c>
      <c r="BJ24" s="203"/>
      <c r="BK24" s="851">
        <v>0</v>
      </c>
      <c r="BL24" s="846">
        <v>0</v>
      </c>
      <c r="BM24" s="846">
        <f>-3.229-SUM(BK24:BL24)</f>
        <v>-3.2290000000000001</v>
      </c>
      <c r="BN24" s="846">
        <f>-2.895-SUM(BK24:BM24)-0.7</f>
        <v>-0.36599999999999988</v>
      </c>
      <c r="BO24" s="695">
        <f>SUM(BK24:BN24)</f>
        <v>-3.5949999999999998</v>
      </c>
      <c r="BP24" s="203"/>
      <c r="BQ24" s="851">
        <v>0</v>
      </c>
      <c r="BR24" s="846">
        <f>0-BQ24</f>
        <v>0</v>
      </c>
      <c r="BS24" s="846">
        <v>0</v>
      </c>
      <c r="BT24" s="848">
        <v>0</v>
      </c>
      <c r="BU24" s="695">
        <f>SUM(BQ24:BT24)</f>
        <v>0</v>
      </c>
      <c r="BV24" s="203"/>
      <c r="BW24" s="854">
        <v>0</v>
      </c>
      <c r="BX24" s="848">
        <v>0</v>
      </c>
      <c r="BY24" s="848">
        <v>0</v>
      </c>
      <c r="BZ24" s="848">
        <v>0</v>
      </c>
      <c r="CA24" s="695">
        <f>SUM(BW24:BZ24)</f>
        <v>0</v>
      </c>
      <c r="CB24" s="203"/>
      <c r="CC24" s="854">
        <v>0</v>
      </c>
      <c r="CD24" s="848">
        <v>0</v>
      </c>
      <c r="CE24" s="848">
        <v>0</v>
      </c>
      <c r="CF24" s="848">
        <v>0</v>
      </c>
      <c r="CG24" s="695">
        <f>SUM(CC24:CF24)</f>
        <v>0</v>
      </c>
      <c r="CH24" s="203"/>
      <c r="CI24" s="854">
        <v>0</v>
      </c>
      <c r="CJ24" s="848">
        <v>0</v>
      </c>
      <c r="CK24" s="848">
        <v>0</v>
      </c>
      <c r="CL24" s="848">
        <v>0</v>
      </c>
      <c r="CM24" s="695">
        <f>SUM(CI24:CL24)</f>
        <v>0</v>
      </c>
      <c r="CN24" s="203"/>
      <c r="CO24" s="14"/>
      <c r="CP24" s="14"/>
      <c r="CW24" s="240"/>
      <c r="CX24" s="11"/>
      <c r="CY24" s="11"/>
      <c r="CZ24" s="11"/>
      <c r="DA24" s="11"/>
      <c r="DB24" s="11"/>
      <c r="DC24" s="11"/>
      <c r="DD24" s="11"/>
      <c r="DE24" s="11"/>
      <c r="DF24" s="11"/>
      <c r="DG24" s="11"/>
      <c r="DH24" s="11"/>
      <c r="DI24" s="11"/>
      <c r="DJ24" s="11"/>
      <c r="DK24" s="11"/>
      <c r="DL24" s="11"/>
      <c r="DM24" s="11"/>
      <c r="DN24" s="11"/>
      <c r="DO24" s="11"/>
      <c r="DP24" s="11"/>
      <c r="DQ24" s="11"/>
    </row>
    <row r="25" spans="1:121" ht="11.25" customHeight="1" x14ac:dyDescent="0.2">
      <c r="A25" s="70"/>
      <c r="B25" s="543" t="s">
        <v>93</v>
      </c>
      <c r="C25" s="683">
        <f>+SUM(C8:C17)+C23+C24</f>
        <v>52.522000000000006</v>
      </c>
      <c r="D25" s="218">
        <f>+SUM(D8:D17)+D23+D24</f>
        <v>29.952999999999985</v>
      </c>
      <c r="E25" s="218">
        <f>+SUM(E8:E17)+E23+E24</f>
        <v>34.437000000000019</v>
      </c>
      <c r="F25" s="218">
        <f>+SUM(F8:F17)+F23+F24</f>
        <v>126.593</v>
      </c>
      <c r="G25" s="672">
        <f>+SUM(G8:G17)+G23+G24</f>
        <v>243.50500000000002</v>
      </c>
      <c r="H25" s="19"/>
      <c r="I25" s="683">
        <f>+SUM(I8:I17)+I23+I24</f>
        <v>53.14</v>
      </c>
      <c r="J25" s="218">
        <f>+SUM(J8:J17)+J23+J24</f>
        <v>55.698999999999998</v>
      </c>
      <c r="K25" s="218">
        <f>+SUM(K8:K17)+K23+K24</f>
        <v>59.294000000000011</v>
      </c>
      <c r="L25" s="218">
        <f>+SUM(L8:L17)+L23+L24</f>
        <v>97.246000000000009</v>
      </c>
      <c r="M25" s="672">
        <f>+SUM(M8:M17)+M23+M24</f>
        <v>265.37900000000002</v>
      </c>
      <c r="N25" s="19"/>
      <c r="O25" s="683">
        <f>+SUM(O8:O17)+O23+O24</f>
        <v>32.596000000000004</v>
      </c>
      <c r="P25" s="218">
        <f>+SUM(P8:P17)+P23+P24</f>
        <v>25.234000000000009</v>
      </c>
      <c r="Q25" s="218">
        <f>+SUM(Q8:Q17)+Q23+Q24</f>
        <v>14.704000000000001</v>
      </c>
      <c r="R25" s="218">
        <f>+SUM(R8:R17)+R23+R24</f>
        <v>51.470999999999982</v>
      </c>
      <c r="S25" s="672">
        <f>+SUM(S8:S17)+S23+S24</f>
        <v>124.005</v>
      </c>
      <c r="T25" s="19"/>
      <c r="U25" s="683">
        <f>+SUM(U8:U17)+U23+U24</f>
        <v>46.835999999999999</v>
      </c>
      <c r="V25" s="218">
        <f>+SUM(V8:V17)+V23+V24</f>
        <v>8.6160000000000068</v>
      </c>
      <c r="W25" s="218">
        <f>+SUM(W8:W17)+W23+W24</f>
        <v>97.674999999999983</v>
      </c>
      <c r="X25" s="218">
        <f>+SUM(X8:X17)+X23+X24</f>
        <v>112.35799999999998</v>
      </c>
      <c r="Y25" s="672">
        <f>+SUM(Y8:Y17)+Y23+Y24</f>
        <v>265.48500000000001</v>
      </c>
      <c r="Z25" s="19"/>
      <c r="AA25" s="683">
        <f>+SUM(AA8:AA17)+AA23+AA24</f>
        <v>22.758000000000003</v>
      </c>
      <c r="AB25" s="218">
        <f>+SUM(AB8:AB17)+AB23+AB24</f>
        <v>-37.201000000000008</v>
      </c>
      <c r="AC25" s="218">
        <f>+SUM(AC8:AC17)+AC23+AC24</f>
        <v>205.898</v>
      </c>
      <c r="AD25" s="218">
        <f>+SUM(AD8:AD17)+AD23+AD24</f>
        <v>71.156999999999996</v>
      </c>
      <c r="AE25" s="672">
        <f>+SUM(AE8:AE17)+AE23+AE24</f>
        <v>262.61199999999997</v>
      </c>
      <c r="AF25" s="19"/>
      <c r="AG25" s="683">
        <f>+SUM(AG8:AG17)+AG23+AG24</f>
        <v>66.715999999999994</v>
      </c>
      <c r="AH25" s="218">
        <f>+SUM(AH8:AH17)+AH23+AH24</f>
        <v>52.367999999999995</v>
      </c>
      <c r="AI25" s="218">
        <f>+SUM(AI8:AI17)+AI23+AI24</f>
        <v>109.57800000000002</v>
      </c>
      <c r="AJ25" s="218">
        <f>+SUM(AJ8:AJ17)+AJ23+AJ24</f>
        <v>92.495999999999995</v>
      </c>
      <c r="AK25" s="672">
        <f>+SUM(AK8:AK17)+AK23+AK24</f>
        <v>321.15800000000002</v>
      </c>
      <c r="AL25" s="19"/>
      <c r="AM25" s="683">
        <f>+SUM(AM8:AM17)+AM23+AM24</f>
        <v>59.757999999999996</v>
      </c>
      <c r="AN25" s="218">
        <f>+SUM(AN8:AN17)+AN23+AN24</f>
        <v>73.442000000000007</v>
      </c>
      <c r="AO25" s="218">
        <f>+SUM(AO8:AO17)+AO23+AO24</f>
        <v>46.13600000000001</v>
      </c>
      <c r="AP25" s="218">
        <f>+SUM(AP8:AP17)+AP23+AP24</f>
        <v>119.85899999999999</v>
      </c>
      <c r="AQ25" s="672">
        <f>+SUM(AQ8:AQ17)+AQ23+AQ24</f>
        <v>299.19499999999999</v>
      </c>
      <c r="AR25" s="19"/>
      <c r="AS25" s="683">
        <f>+SUM(AS8:AS17)+AS23+AS24</f>
        <v>21.125</v>
      </c>
      <c r="AT25" s="218">
        <f>+SUM(AT8:AT17)+AT23+AT24</f>
        <v>72.029000000000025</v>
      </c>
      <c r="AU25" s="218">
        <f>+SUM(AU8:AU17)+AU23+AU24</f>
        <v>56.596000000000025</v>
      </c>
      <c r="AV25" s="218">
        <f>+SUM(AV8:AV17)+AV23+AV24</f>
        <v>46.08599999999997</v>
      </c>
      <c r="AW25" s="672">
        <f>+SUM(AW8:AW17)+AW23+AW24</f>
        <v>195.83599999999996</v>
      </c>
      <c r="AX25" s="19"/>
      <c r="AY25" s="683">
        <f>+SUM(AY8:AY17)+AY23+AY24</f>
        <v>68.77</v>
      </c>
      <c r="AZ25" s="218">
        <f>+SUM(AZ8:AZ17)+AZ23+AZ24</f>
        <v>29.625000000000007</v>
      </c>
      <c r="BA25" s="218">
        <f>+SUM(BA8:BA17)+BA23+BA24</f>
        <v>59.69</v>
      </c>
      <c r="BB25" s="218">
        <f>+SUM(BB8:BB17)+BB23+BB24</f>
        <v>104.60599999999999</v>
      </c>
      <c r="BC25" s="672">
        <f>+SUM(BC8:BC17)+BC23+BC24</f>
        <v>262.69099999999997</v>
      </c>
      <c r="BD25" s="19"/>
      <c r="BE25" s="683">
        <f t="shared" ref="BE25:BM25" si="20">+SUM(BE8:BE17)+BE23+BE24</f>
        <v>5.424000000000003</v>
      </c>
      <c r="BF25" s="218">
        <f t="shared" si="20"/>
        <v>-58.376000000000019</v>
      </c>
      <c r="BG25" s="218">
        <f t="shared" si="20"/>
        <v>-33.58</v>
      </c>
      <c r="BH25" s="218">
        <f t="shared" si="20"/>
        <v>242.86100000000002</v>
      </c>
      <c r="BI25" s="672">
        <f t="shared" si="20"/>
        <v>156.32900000000001</v>
      </c>
      <c r="BJ25" s="19"/>
      <c r="BK25" s="683">
        <f t="shared" si="20"/>
        <v>-72.779000000000082</v>
      </c>
      <c r="BL25" s="218">
        <f t="shared" si="20"/>
        <v>17.473000000000027</v>
      </c>
      <c r="BM25" s="218">
        <f t="shared" si="20"/>
        <v>42.665999999999983</v>
      </c>
      <c r="BN25" s="218">
        <f>+SUM(BN8:BN17)+BN23+BN24</f>
        <v>175.35900000000001</v>
      </c>
      <c r="BO25" s="672">
        <f>+SUM(BO8:BO17)+BO23+BO24</f>
        <v>162.71899999999985</v>
      </c>
      <c r="BP25" s="19"/>
      <c r="BQ25" s="683">
        <f t="shared" ref="BQ25:BR25" si="21">+SUM(BQ8:BQ17)+BQ23+BQ24</f>
        <v>-46.02800000000002</v>
      </c>
      <c r="BR25" s="218">
        <f t="shared" si="21"/>
        <v>123.13599999999997</v>
      </c>
      <c r="BS25" s="218">
        <f>+SUM(BS8:BS17)+BS23+BS24</f>
        <v>-37.094999999999999</v>
      </c>
      <c r="BT25" s="218">
        <f>+SUM(BT8:BT17)+BT23+BT24</f>
        <v>115.53819694376334</v>
      </c>
      <c r="BU25" s="672">
        <f>+SUM(BU8:BU17)+BU23+BU24</f>
        <v>155.55119694376327</v>
      </c>
      <c r="BV25" s="19"/>
      <c r="BW25" s="683">
        <f>+SUM(BW8:BW17)+BW23+BW24</f>
        <v>96.956672730756864</v>
      </c>
      <c r="BX25" s="218">
        <f>+SUM(BX8:BX17)+BX23+BX24</f>
        <v>4.3761135308004384</v>
      </c>
      <c r="BY25" s="218">
        <f>+SUM(BY8:BY17)+BY23+BY24</f>
        <v>77.2176957340223</v>
      </c>
      <c r="BZ25" s="218">
        <f>+SUM(BZ8:BZ17)+BZ23+BZ24</f>
        <v>84.831241505459587</v>
      </c>
      <c r="CA25" s="672">
        <f>+SUM(CA8:CA17)+CA23+CA24</f>
        <v>263.38172350103918</v>
      </c>
      <c r="CB25" s="19"/>
      <c r="CC25" s="683">
        <f>+SUM(CC8:CC17)+CC23+CC24</f>
        <v>71.904262024048236</v>
      </c>
      <c r="CD25" s="218">
        <f>+SUM(CD8:CD17)+CD23+CD24</f>
        <v>3.0128878335102627</v>
      </c>
      <c r="CE25" s="218">
        <f>+SUM(CE8:CE17)+CE23+CE24</f>
        <v>77.426751994796533</v>
      </c>
      <c r="CF25" s="218">
        <f>+SUM(CF8:CF17)+CF23+CF24</f>
        <v>87.904312084924996</v>
      </c>
      <c r="CG25" s="672">
        <f>+SUM(CG8:CG17)+CG23+CG24</f>
        <v>240.24821393727996</v>
      </c>
      <c r="CH25" s="19"/>
      <c r="CI25" s="683">
        <f>+SUM(CI8:CI17)+CI23+CI24</f>
        <v>69.602799795194642</v>
      </c>
      <c r="CJ25" s="218">
        <f>+SUM(CJ8:CJ17)+CJ23+CJ24</f>
        <v>-1.7246525031459043</v>
      </c>
      <c r="CK25" s="218">
        <f>+SUM(CK8:CK17)+CK23+CK24</f>
        <v>76.271413069925742</v>
      </c>
      <c r="CL25" s="218">
        <f>+SUM(CL8:CL17)+CL23+CL24</f>
        <v>86.235199211205767</v>
      </c>
      <c r="CM25" s="672">
        <f>+SUM(CM8:CM17)+CM23+CM24</f>
        <v>230.38475957318019</v>
      </c>
      <c r="CN25" s="19"/>
      <c r="CO25" s="14"/>
      <c r="CP25" s="14"/>
      <c r="CW25" s="873"/>
      <c r="CX25" s="11"/>
      <c r="CY25" s="11"/>
      <c r="CZ25" s="11"/>
      <c r="DA25" s="11"/>
      <c r="DB25" s="11"/>
      <c r="DC25" s="11"/>
      <c r="DD25" s="11"/>
      <c r="DE25" s="11"/>
      <c r="DF25" s="11"/>
      <c r="DG25" s="11"/>
      <c r="DH25" s="11"/>
      <c r="DI25" s="11"/>
      <c r="DJ25" s="11"/>
      <c r="DK25" s="11"/>
      <c r="DL25" s="11"/>
      <c r="DM25" s="11"/>
      <c r="DN25" s="11"/>
      <c r="DO25" s="11"/>
      <c r="DP25" s="11"/>
      <c r="DQ25" s="11"/>
    </row>
    <row r="26" spans="1:121" ht="11.25" customHeight="1" x14ac:dyDescent="0.2">
      <c r="A26" s="70"/>
      <c r="B26" s="262"/>
      <c r="C26" s="680"/>
      <c r="D26" s="838"/>
      <c r="E26" s="838"/>
      <c r="F26" s="838"/>
      <c r="G26" s="842"/>
      <c r="H26" s="19"/>
      <c r="I26" s="680"/>
      <c r="J26" s="838"/>
      <c r="K26" s="838"/>
      <c r="L26" s="838"/>
      <c r="M26" s="842"/>
      <c r="N26" s="19"/>
      <c r="O26" s="680"/>
      <c r="P26" s="838"/>
      <c r="Q26" s="838"/>
      <c r="R26" s="838"/>
      <c r="S26" s="842"/>
      <c r="T26" s="19"/>
      <c r="U26" s="680"/>
      <c r="V26" s="838"/>
      <c r="W26" s="838"/>
      <c r="X26" s="838"/>
      <c r="Y26" s="842"/>
      <c r="Z26" s="19"/>
      <c r="AA26" s="680"/>
      <c r="AB26" s="838"/>
      <c r="AC26" s="838"/>
      <c r="AD26" s="838"/>
      <c r="AE26" s="842"/>
      <c r="AF26" s="19"/>
      <c r="AG26" s="175"/>
      <c r="AH26" s="199"/>
      <c r="AI26" s="199"/>
      <c r="AJ26" s="199"/>
      <c r="AK26" s="844"/>
      <c r="AL26" s="19"/>
      <c r="AM26" s="175"/>
      <c r="AN26" s="199"/>
      <c r="AO26" s="199"/>
      <c r="AP26" s="199"/>
      <c r="AQ26" s="844"/>
      <c r="AR26" s="19"/>
      <c r="AS26" s="175"/>
      <c r="AT26" s="199"/>
      <c r="AU26" s="199"/>
      <c r="AV26" s="199"/>
      <c r="AW26" s="844"/>
      <c r="AX26" s="19"/>
      <c r="AY26" s="175"/>
      <c r="AZ26" s="199"/>
      <c r="BA26" s="199"/>
      <c r="BB26" s="199"/>
      <c r="BC26" s="844"/>
      <c r="BD26" s="19"/>
      <c r="BE26" s="175"/>
      <c r="BF26" s="199"/>
      <c r="BG26" s="199"/>
      <c r="BH26" s="199"/>
      <c r="BI26" s="844"/>
      <c r="BJ26" s="19"/>
      <c r="BK26" s="175"/>
      <c r="BL26" s="199"/>
      <c r="BM26" s="199"/>
      <c r="BN26" s="199"/>
      <c r="BO26" s="844"/>
      <c r="BP26" s="19"/>
      <c r="BQ26" s="175"/>
      <c r="BR26" s="199"/>
      <c r="BS26" s="199"/>
      <c r="BT26" s="199"/>
      <c r="BU26" s="844"/>
      <c r="BV26" s="19"/>
      <c r="BW26" s="175"/>
      <c r="BX26" s="199"/>
      <c r="BY26" s="199"/>
      <c r="BZ26" s="199"/>
      <c r="CA26" s="844"/>
      <c r="CB26" s="19"/>
      <c r="CC26" s="175"/>
      <c r="CD26" s="199"/>
      <c r="CE26" s="199"/>
      <c r="CF26" s="199"/>
      <c r="CG26" s="844"/>
      <c r="CH26" s="19"/>
      <c r="CI26" s="175"/>
      <c r="CJ26" s="199"/>
      <c r="CK26" s="199"/>
      <c r="CL26" s="199"/>
      <c r="CM26" s="844"/>
      <c r="CN26" s="19"/>
      <c r="CO26" s="14"/>
      <c r="CP26" s="14"/>
      <c r="CW26" s="873"/>
      <c r="CX26" s="11"/>
      <c r="CY26" s="11"/>
      <c r="CZ26" s="11"/>
      <c r="DA26" s="11"/>
      <c r="DB26" s="11"/>
      <c r="DC26" s="11"/>
      <c r="DD26" s="11"/>
      <c r="DE26" s="11"/>
      <c r="DF26" s="11"/>
      <c r="DG26" s="11"/>
      <c r="DH26" s="11"/>
      <c r="DI26" s="11"/>
      <c r="DJ26" s="11"/>
      <c r="DK26" s="11"/>
      <c r="DL26" s="11"/>
      <c r="DM26" s="11"/>
      <c r="DN26" s="11"/>
      <c r="DO26" s="11"/>
      <c r="DP26" s="11"/>
      <c r="DQ26" s="11"/>
    </row>
    <row r="27" spans="1:121" ht="11.25" customHeight="1" x14ac:dyDescent="0.2">
      <c r="A27" s="70"/>
      <c r="B27" s="922" t="s">
        <v>201</v>
      </c>
      <c r="C27" s="680"/>
      <c r="D27" s="838"/>
      <c r="E27" s="838"/>
      <c r="F27" s="838"/>
      <c r="G27" s="669"/>
      <c r="H27" s="200"/>
      <c r="I27" s="680"/>
      <c r="J27" s="838"/>
      <c r="K27" s="838"/>
      <c r="L27" s="838"/>
      <c r="M27" s="669"/>
      <c r="N27" s="200"/>
      <c r="O27" s="680"/>
      <c r="P27" s="838"/>
      <c r="Q27" s="838"/>
      <c r="R27" s="838"/>
      <c r="S27" s="669"/>
      <c r="T27" s="200"/>
      <c r="U27" s="680"/>
      <c r="V27" s="838"/>
      <c r="W27" s="838"/>
      <c r="X27" s="838"/>
      <c r="Y27" s="669"/>
      <c r="Z27" s="200"/>
      <c r="AA27" s="680"/>
      <c r="AB27" s="838"/>
      <c r="AC27" s="838"/>
      <c r="AD27" s="838"/>
      <c r="AE27" s="669"/>
      <c r="AF27" s="200"/>
      <c r="AG27" s="175"/>
      <c r="AH27" s="199"/>
      <c r="AI27" s="199"/>
      <c r="AJ27" s="199"/>
      <c r="AK27" s="695"/>
      <c r="AL27" s="200"/>
      <c r="AM27" s="175"/>
      <c r="AN27" s="199"/>
      <c r="AO27" s="199"/>
      <c r="AP27" s="199"/>
      <c r="AQ27" s="695"/>
      <c r="AR27" s="200"/>
      <c r="AS27" s="175"/>
      <c r="AT27" s="199"/>
      <c r="AU27" s="199"/>
      <c r="AV27" s="199"/>
      <c r="AW27" s="695"/>
      <c r="AX27" s="200"/>
      <c r="AY27" s="175"/>
      <c r="AZ27" s="199"/>
      <c r="BA27" s="199"/>
      <c r="BB27" s="199"/>
      <c r="BC27" s="695"/>
      <c r="BD27" s="200"/>
      <c r="BE27" s="175"/>
      <c r="BF27" s="199"/>
      <c r="BG27" s="199"/>
      <c r="BH27" s="199"/>
      <c r="BI27" s="695"/>
      <c r="BJ27" s="200"/>
      <c r="BK27" s="175"/>
      <c r="BL27" s="199"/>
      <c r="BM27" s="199"/>
      <c r="BN27" s="199"/>
      <c r="BO27" s="695"/>
      <c r="BP27" s="200"/>
      <c r="BQ27" s="175"/>
      <c r="BR27" s="199"/>
      <c r="BS27" s="199"/>
      <c r="BT27" s="199"/>
      <c r="BU27" s="695"/>
      <c r="BV27" s="200"/>
      <c r="BW27" s="175"/>
      <c r="BX27" s="199"/>
      <c r="BY27" s="199"/>
      <c r="BZ27" s="199"/>
      <c r="CA27" s="695"/>
      <c r="CB27" s="200"/>
      <c r="CC27" s="175"/>
      <c r="CD27" s="199"/>
      <c r="CE27" s="199"/>
      <c r="CF27" s="199"/>
      <c r="CG27" s="695"/>
      <c r="CH27" s="200"/>
      <c r="CI27" s="175"/>
      <c r="CJ27" s="199"/>
      <c r="CK27" s="199"/>
      <c r="CL27" s="199"/>
      <c r="CM27" s="695"/>
      <c r="CN27" s="200"/>
      <c r="CO27" s="14"/>
      <c r="CP27" s="14"/>
      <c r="CW27" s="873"/>
      <c r="CX27" s="11"/>
      <c r="CY27" s="11"/>
      <c r="CZ27" s="11"/>
      <c r="DA27" s="11"/>
      <c r="DB27" s="11"/>
      <c r="DC27" s="11"/>
      <c r="DD27" s="11"/>
      <c r="DE27" s="11"/>
      <c r="DF27" s="11"/>
      <c r="DG27" s="11"/>
      <c r="DH27" s="11"/>
      <c r="DI27" s="11"/>
      <c r="DJ27" s="11"/>
      <c r="DK27" s="11"/>
      <c r="DL27" s="11"/>
      <c r="DM27" s="11"/>
      <c r="DN27" s="11"/>
      <c r="DO27" s="11"/>
      <c r="DP27" s="11"/>
      <c r="DQ27" s="11"/>
    </row>
    <row r="28" spans="1:121" ht="11.25" customHeight="1" x14ac:dyDescent="0.2">
      <c r="A28" s="70"/>
      <c r="B28" s="828" t="s">
        <v>197</v>
      </c>
      <c r="C28" s="677">
        <v>-6.665</v>
      </c>
      <c r="D28" s="193">
        <f>-9.726-C28</f>
        <v>-3.0610000000000008</v>
      </c>
      <c r="E28" s="200">
        <f>-14.73-D28-C28</f>
        <v>-5.0040000000000004</v>
      </c>
      <c r="F28" s="200">
        <f>-19.507-E28-D28-C28</f>
        <v>-4.7770000000000001</v>
      </c>
      <c r="G28" s="695">
        <f>SUM(C28:F28)</f>
        <v>-19.507000000000001</v>
      </c>
      <c r="H28" s="819"/>
      <c r="I28" s="677">
        <v>-5.0069999999999997</v>
      </c>
      <c r="J28" s="193">
        <f>-9.18-I28</f>
        <v>-4.173</v>
      </c>
      <c r="K28" s="200">
        <f>-16.344-J28-I28</f>
        <v>-7.1640000000000015</v>
      </c>
      <c r="L28" s="200">
        <f>-35.991-K28-J28-I28</f>
        <v>-19.646999999999998</v>
      </c>
      <c r="M28" s="695">
        <f>SUM(I28:L28)</f>
        <v>-35.991</v>
      </c>
      <c r="N28" s="819"/>
      <c r="O28" s="677">
        <v>-11.478999999999999</v>
      </c>
      <c r="P28" s="193">
        <f>-17.495-O28</f>
        <v>-6.0160000000000018</v>
      </c>
      <c r="Q28" s="200">
        <f>-22.838-P28-O28</f>
        <v>-5.343</v>
      </c>
      <c r="R28" s="200">
        <f>-32.318-Q28-P28-O28</f>
        <v>-9.4799999999999969</v>
      </c>
      <c r="S28" s="695">
        <f>SUM(O28:R28)</f>
        <v>-32.317999999999998</v>
      </c>
      <c r="T28" s="819"/>
      <c r="U28" s="677">
        <v>-8.0079999999999991</v>
      </c>
      <c r="V28" s="193">
        <f>-13.133-U28</f>
        <v>-5.125</v>
      </c>
      <c r="W28" s="200">
        <f>-17.506-V28-U28</f>
        <v>-4.3730000000000011</v>
      </c>
      <c r="X28" s="200">
        <f>-29.804-W28-V28-U28</f>
        <v>-12.297999999999998</v>
      </c>
      <c r="Y28" s="695">
        <f>SUM(U28:X28)</f>
        <v>-29.803999999999998</v>
      </c>
      <c r="Z28" s="819"/>
      <c r="AA28" s="677">
        <v>-9.1300000000000008</v>
      </c>
      <c r="AB28" s="193">
        <f>-20.046-AA28</f>
        <v>-10.915999999999999</v>
      </c>
      <c r="AC28" s="200">
        <f>-29.199-AB28-AA28</f>
        <v>-9.1530000000000005</v>
      </c>
      <c r="AD28" s="200">
        <f>-36.822-AC28-AB28-AA28</f>
        <v>-7.6230000000000064</v>
      </c>
      <c r="AE28" s="695">
        <f>SUM(AA28:AD28)</f>
        <v>-36.822000000000003</v>
      </c>
      <c r="AF28" s="819"/>
      <c r="AG28" s="677">
        <v>-10.247</v>
      </c>
      <c r="AH28" s="193">
        <f>-22.379-AG28</f>
        <v>-12.132000000000001</v>
      </c>
      <c r="AI28" s="193">
        <f>-25.051-AH28-AG28</f>
        <v>-2.671999999999997</v>
      </c>
      <c r="AJ28" s="193">
        <f>-29.65-AI28-AH28-AG28</f>
        <v>-4.5990000000000002</v>
      </c>
      <c r="AK28" s="695">
        <f>SUM(AG28:AJ28)</f>
        <v>-29.65</v>
      </c>
      <c r="AL28" s="819"/>
      <c r="AM28" s="677">
        <v>-3.206</v>
      </c>
      <c r="AN28" s="193">
        <f>-8.765-AM28</f>
        <v>-5.5590000000000011</v>
      </c>
      <c r="AO28" s="193">
        <f>-14.259-AN28-AM28</f>
        <v>-5.4939999999999998</v>
      </c>
      <c r="AP28" s="193">
        <f>-21.983-AO28-AN28-AM28</f>
        <v>-7.7240000000000002</v>
      </c>
      <c r="AQ28" s="695">
        <f>SUM(AM28:AP28)</f>
        <v>-21.983000000000001</v>
      </c>
      <c r="AR28" s="819"/>
      <c r="AS28" s="677">
        <v>-5.5640000000000001</v>
      </c>
      <c r="AT28" s="193">
        <f>-17.444-AS28</f>
        <v>-11.879999999999999</v>
      </c>
      <c r="AU28" s="193">
        <f>-30.263-AT28-AS28</f>
        <v>-12.819000000000003</v>
      </c>
      <c r="AV28" s="193">
        <f>-40.387-AU28-AT28-AS28</f>
        <v>-10.123999999999999</v>
      </c>
      <c r="AW28" s="695">
        <f>SUM(AS28:AV28)</f>
        <v>-40.387</v>
      </c>
      <c r="AX28" s="819"/>
      <c r="AY28" s="677">
        <v>-16.172999999999998</v>
      </c>
      <c r="AZ28" s="193">
        <f>-29.19-AY28</f>
        <v>-13.017000000000003</v>
      </c>
      <c r="BA28" s="193">
        <f>-43.182-AZ28-AY28</f>
        <v>-13.992000000000001</v>
      </c>
      <c r="BB28" s="200">
        <f>-60.662-BA28-AZ28-AY28</f>
        <v>-17.48</v>
      </c>
      <c r="BC28" s="695">
        <f>SUM(AY28:BB28)</f>
        <v>-60.662000000000006</v>
      </c>
      <c r="BD28" s="819"/>
      <c r="BE28" s="677">
        <v>-17.064</v>
      </c>
      <c r="BF28" s="193">
        <f>-40.978-BE28</f>
        <v>-23.914000000000001</v>
      </c>
      <c r="BG28" s="193">
        <f>-56.28-BF28-BE28</f>
        <v>-15.302</v>
      </c>
      <c r="BH28" s="193">
        <f>-79.354-BG28-BF28-BE28</f>
        <v>-23.073999999999991</v>
      </c>
      <c r="BI28" s="695">
        <f>SUM(BE28:BH28)</f>
        <v>-79.353999999999985</v>
      </c>
      <c r="BJ28" s="819"/>
      <c r="BK28" s="677">
        <v>-15.042</v>
      </c>
      <c r="BL28" s="193">
        <f>-29.377-BK28</f>
        <v>-14.334999999999999</v>
      </c>
      <c r="BM28" s="193">
        <f>-37.457-SUM(BK28:BL28)</f>
        <v>-8.0800000000000018</v>
      </c>
      <c r="BN28" s="193">
        <f>-47.019-SUM(BK28:BM28)</f>
        <v>-9.5619999999999976</v>
      </c>
      <c r="BO28" s="695">
        <f>SUM(BK28:BN28)</f>
        <v>-47.018999999999998</v>
      </c>
      <c r="BP28" s="819"/>
      <c r="BQ28" s="677">
        <v>-6.6740000000000004</v>
      </c>
      <c r="BR28" s="193">
        <f>-16.431-BQ28</f>
        <v>-9.7570000000000014</v>
      </c>
      <c r="BS28" s="193">
        <f>-28.239-SUM(BQ28:BR28)</f>
        <v>-11.808</v>
      </c>
      <c r="BT28" s="199">
        <f>-'BalSht '!BT104</f>
        <v>-12.377618479189477</v>
      </c>
      <c r="BU28" s="695">
        <f>SUM(BQ28:BT28)</f>
        <v>-40.616618479189476</v>
      </c>
      <c r="BV28" s="819"/>
      <c r="BW28" s="175">
        <f>-'BalSht '!BW104</f>
        <v>-10.486141360000001</v>
      </c>
      <c r="BX28" s="199">
        <f>-'BalSht '!BX104</f>
        <v>-11.45896304</v>
      </c>
      <c r="BY28" s="199">
        <f>-'BalSht '!BY104</f>
        <v>-11.299829920000001</v>
      </c>
      <c r="BZ28" s="199">
        <f>-'BalSht '!BZ104</f>
        <v>-11.969338547340765</v>
      </c>
      <c r="CA28" s="695">
        <f>SUM(BW28:BZ28)</f>
        <v>-45.214272867340767</v>
      </c>
      <c r="CB28" s="819"/>
      <c r="CC28" s="175">
        <f>-'BalSht '!CC104</f>
        <v>-10.746710576000002</v>
      </c>
      <c r="CD28" s="199">
        <f>-'BalSht '!CD104</f>
        <v>-11.7387519592</v>
      </c>
      <c r="CE28" s="199">
        <f>-'BalSht '!CE104</f>
        <v>-11.60115008</v>
      </c>
      <c r="CF28" s="199">
        <f>-'BalSht '!CF104</f>
        <v>-12.290284634102658</v>
      </c>
      <c r="CG28" s="695">
        <f>SUM(CC28:CF28)</f>
        <v>-46.376897249302658</v>
      </c>
      <c r="CH28" s="819"/>
      <c r="CI28" s="175">
        <f>-'BalSht '!CI104</f>
        <v>-11.037094754608001</v>
      </c>
      <c r="CJ28" s="199">
        <f>-'BalSht '!CJ104</f>
        <v>-12.056549975424002</v>
      </c>
      <c r="CK28" s="199">
        <f>-'BalSht '!CK104</f>
        <v>-11.911743716656</v>
      </c>
      <c r="CL28" s="199">
        <f>-'BalSht '!CL104</f>
        <v>-12.62114940196493</v>
      </c>
      <c r="CM28" s="695">
        <f>SUM(CI28:CL28)</f>
        <v>-47.62653784865293</v>
      </c>
      <c r="CN28" s="819"/>
      <c r="CO28" s="14"/>
      <c r="CP28" s="14"/>
      <c r="CW28" s="873"/>
      <c r="CX28" s="11"/>
      <c r="CY28" s="11"/>
      <c r="CZ28" s="11"/>
      <c r="DA28" s="11"/>
      <c r="DB28" s="11"/>
      <c r="DC28" s="11"/>
      <c r="DD28" s="11"/>
      <c r="DE28" s="11"/>
      <c r="DF28" s="11"/>
      <c r="DG28" s="11"/>
      <c r="DH28" s="11"/>
      <c r="DI28" s="11"/>
      <c r="DJ28" s="11"/>
      <c r="DK28" s="11"/>
      <c r="DL28" s="11"/>
      <c r="DM28" s="11"/>
      <c r="DN28" s="11"/>
      <c r="DO28" s="11"/>
      <c r="DP28" s="11"/>
      <c r="DQ28" s="11"/>
    </row>
    <row r="29" spans="1:121" ht="11.25" customHeight="1" x14ac:dyDescent="0.2">
      <c r="A29" s="70"/>
      <c r="B29" s="828" t="s">
        <v>162</v>
      </c>
      <c r="C29" s="677">
        <v>-4.0640000000000001</v>
      </c>
      <c r="D29" s="193">
        <f>-8.665-C29</f>
        <v>-4.6009999999999991</v>
      </c>
      <c r="E29" s="200">
        <f>-12.665-D29-C29</f>
        <v>-4</v>
      </c>
      <c r="F29" s="200">
        <f>-12.665-E29-D29-C29</f>
        <v>0</v>
      </c>
      <c r="G29" s="695">
        <f>SUM(C29:F29)</f>
        <v>-12.664999999999999</v>
      </c>
      <c r="H29" s="819"/>
      <c r="I29" s="677">
        <v>-2.8279999999999998</v>
      </c>
      <c r="J29" s="193">
        <f>-11.539-I29</f>
        <v>-8.7110000000000003</v>
      </c>
      <c r="K29" s="200">
        <f>-12.967-J29-I29</f>
        <v>-1.4280000000000004</v>
      </c>
      <c r="L29" s="200">
        <f>-22.694-K29-J29-I29</f>
        <v>-9.7269999999999985</v>
      </c>
      <c r="M29" s="695">
        <f>SUM(I29:L29)</f>
        <v>-22.693999999999999</v>
      </c>
      <c r="N29" s="819"/>
      <c r="O29" s="677">
        <v>-0.51300000000000001</v>
      </c>
      <c r="P29" s="193">
        <f>-69.877-O29</f>
        <v>-69.36399999999999</v>
      </c>
      <c r="Q29" s="200">
        <f>-109.942-P29-O29</f>
        <v>-40.065000000000005</v>
      </c>
      <c r="R29" s="200">
        <f>-124.776-Q29-P29-O29</f>
        <v>-14.833999999999994</v>
      </c>
      <c r="S29" s="695">
        <f>SUM(O29:R29)</f>
        <v>-124.776</v>
      </c>
      <c r="T29" s="819"/>
      <c r="U29" s="677">
        <v>-28.113</v>
      </c>
      <c r="V29" s="193">
        <f>-28.151-U29</f>
        <v>-3.8000000000000256E-2</v>
      </c>
      <c r="W29" s="200">
        <f>-28.151-V29-U29</f>
        <v>0</v>
      </c>
      <c r="X29" s="200">
        <f>-53.672-W29-V29-U29</f>
        <v>-25.521000000000001</v>
      </c>
      <c r="Y29" s="695">
        <f>SUM(U29:X29)</f>
        <v>-53.671999999999997</v>
      </c>
      <c r="Z29" s="819"/>
      <c r="AA29" s="677">
        <v>-46.682000000000002</v>
      </c>
      <c r="AB29" s="193">
        <f>-46.682-AA29</f>
        <v>0</v>
      </c>
      <c r="AC29" s="200">
        <f>-52.343-AB29-AA29</f>
        <v>-5.6610000000000014</v>
      </c>
      <c r="AD29" s="200">
        <f>-52.187-AC29-AB29-AA29</f>
        <v>0.15600000000000591</v>
      </c>
      <c r="AE29" s="695">
        <f>SUM(AA29:AD29)</f>
        <v>-52.186999999999998</v>
      </c>
      <c r="AF29" s="819"/>
      <c r="AG29" s="677">
        <v>0</v>
      </c>
      <c r="AH29" s="193">
        <f>-8.726-AG29</f>
        <v>-8.7260000000000009</v>
      </c>
      <c r="AI29" s="193">
        <f>-14.193-AH29-AG29</f>
        <v>-5.4669999999999987</v>
      </c>
      <c r="AJ29" s="193">
        <f>-22.62-AI29-AH29-AG29</f>
        <v>-8.4270000000000014</v>
      </c>
      <c r="AK29" s="695">
        <f>SUM(AG29:AJ29)</f>
        <v>-22.62</v>
      </c>
      <c r="AL29" s="819"/>
      <c r="AM29" s="677">
        <v>0</v>
      </c>
      <c r="AN29" s="193">
        <f>-10.591-AM29</f>
        <v>-10.590999999999999</v>
      </c>
      <c r="AO29" s="193">
        <f>-14.65-AN29-AM29</f>
        <v>-4.0590000000000011</v>
      </c>
      <c r="AP29" s="193">
        <f>-14.65-AO29-AN29-AM29</f>
        <v>0</v>
      </c>
      <c r="AQ29" s="695">
        <f>SUM(AM29:AP29)</f>
        <v>-14.65</v>
      </c>
      <c r="AR29" s="819"/>
      <c r="AS29" s="677">
        <v>0</v>
      </c>
      <c r="AT29" s="193">
        <f>-140.963-AS29</f>
        <v>-140.96299999999999</v>
      </c>
      <c r="AU29" s="193">
        <f>-140.774-AT29-AS29</f>
        <v>0.18899999999999295</v>
      </c>
      <c r="AV29" s="193">
        <f>-145.815-AU29-AT29-AS29</f>
        <v>-5.0409999999999968</v>
      </c>
      <c r="AW29" s="695">
        <f>SUM(AS29:AV29)</f>
        <v>-145.815</v>
      </c>
      <c r="AX29" s="819"/>
      <c r="AY29" s="677">
        <v>0</v>
      </c>
      <c r="AZ29" s="193">
        <f>0-AY29</f>
        <v>0</v>
      </c>
      <c r="BA29" s="193">
        <f>-8.73-AZ29-AY29</f>
        <v>-8.73</v>
      </c>
      <c r="BB29" s="200">
        <f>-10.515-BA29-AZ29-AY29</f>
        <v>-1.7850000000000001</v>
      </c>
      <c r="BC29" s="695">
        <f>SUM(AY29:BB29)</f>
        <v>-10.515000000000001</v>
      </c>
      <c r="BD29" s="819"/>
      <c r="BE29" s="677">
        <v>-1104.73</v>
      </c>
      <c r="BF29" s="193">
        <f>-1105.229-BE29</f>
        <v>-0.49900000000002365</v>
      </c>
      <c r="BG29" s="193">
        <f>-1106.583-BF29-BE29</f>
        <v>-1.3540000000000418</v>
      </c>
      <c r="BH29" s="193">
        <f>-1106.583-BG29-BF29-BE29</f>
        <v>0</v>
      </c>
      <c r="BI29" s="695">
        <f>SUM(BE29:BH29)</f>
        <v>-1106.5830000000001</v>
      </c>
      <c r="BJ29" s="819"/>
      <c r="BK29" s="677">
        <v>0</v>
      </c>
      <c r="BL29" s="193">
        <f>0-BK29</f>
        <v>0</v>
      </c>
      <c r="BM29" s="193">
        <f>0-SUM(BK29:BL29)</f>
        <v>0</v>
      </c>
      <c r="BN29" s="193">
        <f>0-SUM(BK29:BM29)</f>
        <v>0</v>
      </c>
      <c r="BO29" s="695">
        <f>SUM(BK29:BN29)</f>
        <v>0</v>
      </c>
      <c r="BP29" s="819"/>
      <c r="BQ29" s="677">
        <v>0</v>
      </c>
      <c r="BR29" s="193">
        <f>0-BQ29</f>
        <v>0</v>
      </c>
      <c r="BS29" s="193">
        <f>0-SUM(BQ29:BR29)</f>
        <v>0</v>
      </c>
      <c r="BT29" s="848">
        <v>0</v>
      </c>
      <c r="BU29" s="695">
        <f>SUM(BQ29:BT29)</f>
        <v>0</v>
      </c>
      <c r="BV29" s="819"/>
      <c r="BW29" s="854">
        <v>0</v>
      </c>
      <c r="BX29" s="848">
        <v>0</v>
      </c>
      <c r="BY29" s="848">
        <v>0</v>
      </c>
      <c r="BZ29" s="848">
        <v>0</v>
      </c>
      <c r="CA29" s="695">
        <f>SUM(BW29:BZ29)</f>
        <v>0</v>
      </c>
      <c r="CB29" s="819"/>
      <c r="CC29" s="854">
        <v>0</v>
      </c>
      <c r="CD29" s="848">
        <v>0</v>
      </c>
      <c r="CE29" s="848">
        <v>0</v>
      </c>
      <c r="CF29" s="848">
        <v>0</v>
      </c>
      <c r="CG29" s="695">
        <f>SUM(CC29:CF29)</f>
        <v>0</v>
      </c>
      <c r="CH29" s="819"/>
      <c r="CI29" s="854">
        <v>0</v>
      </c>
      <c r="CJ29" s="848">
        <v>0</v>
      </c>
      <c r="CK29" s="848">
        <v>0</v>
      </c>
      <c r="CL29" s="848">
        <v>0</v>
      </c>
      <c r="CM29" s="695">
        <f>SUM(CI29:CL29)</f>
        <v>0</v>
      </c>
      <c r="CN29" s="819"/>
      <c r="CO29" s="14"/>
      <c r="CP29" s="14"/>
      <c r="CW29" s="873"/>
      <c r="CX29" s="11"/>
      <c r="CY29" s="11"/>
      <c r="CZ29" s="11"/>
      <c r="DA29" s="11"/>
      <c r="DB29" s="11"/>
      <c r="DC29" s="11"/>
      <c r="DD29" s="11"/>
      <c r="DE29" s="11"/>
      <c r="DF29" s="11"/>
      <c r="DG29" s="11"/>
      <c r="DH29" s="11"/>
      <c r="DI29" s="11"/>
      <c r="DJ29" s="11"/>
      <c r="DK29" s="11"/>
      <c r="DL29" s="11"/>
      <c r="DM29" s="11"/>
      <c r="DN29" s="11"/>
      <c r="DO29" s="11"/>
      <c r="DP29" s="11"/>
      <c r="DQ29" s="11"/>
    </row>
    <row r="30" spans="1:121" ht="11.25" customHeight="1" x14ac:dyDescent="0.2">
      <c r="A30" s="70"/>
      <c r="B30" s="829" t="s">
        <v>321</v>
      </c>
      <c r="C30" s="677">
        <v>0</v>
      </c>
      <c r="D30" s="193">
        <f>0-C30</f>
        <v>0</v>
      </c>
      <c r="E30" s="200">
        <f>0-D30-C30</f>
        <v>0</v>
      </c>
      <c r="F30" s="200">
        <f>0-E30-D30-C30</f>
        <v>0</v>
      </c>
      <c r="G30" s="695">
        <f>SUM(C30:F30)</f>
        <v>0</v>
      </c>
      <c r="H30" s="819"/>
      <c r="I30" s="677">
        <v>0</v>
      </c>
      <c r="J30" s="193">
        <f>0-I30</f>
        <v>0</v>
      </c>
      <c r="K30" s="200">
        <f>0-J30-I30</f>
        <v>0</v>
      </c>
      <c r="L30" s="200">
        <f>0-K30-J30-I30</f>
        <v>0</v>
      </c>
      <c r="M30" s="695">
        <f>SUM(I30:L30)</f>
        <v>0</v>
      </c>
      <c r="N30" s="819"/>
      <c r="O30" s="677">
        <v>0</v>
      </c>
      <c r="P30" s="193">
        <f>0-O30</f>
        <v>0</v>
      </c>
      <c r="Q30" s="200">
        <f>0-P30-O30</f>
        <v>0</v>
      </c>
      <c r="R30" s="200">
        <f>0-Q30-P30-O30</f>
        <v>0</v>
      </c>
      <c r="S30" s="695">
        <f>SUM(O30:R30)</f>
        <v>0</v>
      </c>
      <c r="T30" s="819"/>
      <c r="U30" s="677">
        <v>0</v>
      </c>
      <c r="V30" s="193">
        <f>0-U30</f>
        <v>0</v>
      </c>
      <c r="W30" s="200">
        <f>0-V30-U30</f>
        <v>0</v>
      </c>
      <c r="X30" s="200">
        <f>0-W30-V30-U30</f>
        <v>0</v>
      </c>
      <c r="Y30" s="695">
        <f>SUM(U30:X30)</f>
        <v>0</v>
      </c>
      <c r="Z30" s="819"/>
      <c r="AA30" s="677">
        <v>0</v>
      </c>
      <c r="AB30" s="193">
        <f>0-AA30</f>
        <v>0</v>
      </c>
      <c r="AC30" s="200">
        <f>0-AB30-AA30</f>
        <v>0</v>
      </c>
      <c r="AD30" s="200">
        <f>0-AC30-AB30-AA30</f>
        <v>0</v>
      </c>
      <c r="AE30" s="695">
        <f>SUM(AA30:AD30)</f>
        <v>0</v>
      </c>
      <c r="AF30" s="819"/>
      <c r="AG30" s="677">
        <v>0</v>
      </c>
      <c r="AH30" s="193">
        <f>0-AG30</f>
        <v>0</v>
      </c>
      <c r="AI30" s="193">
        <f>0-AH30-AG30</f>
        <v>0</v>
      </c>
      <c r="AJ30" s="193">
        <f>0-AI30-AH30-AG30</f>
        <v>0</v>
      </c>
      <c r="AK30" s="695">
        <f>SUM(AG30:AJ30)</f>
        <v>0</v>
      </c>
      <c r="AL30" s="819"/>
      <c r="AM30" s="677">
        <v>0</v>
      </c>
      <c r="AN30" s="193">
        <f>0-AM30</f>
        <v>0</v>
      </c>
      <c r="AO30" s="193">
        <f>0-AN30-AM30</f>
        <v>0</v>
      </c>
      <c r="AP30" s="193">
        <f>0-AO30-AN30-AM30</f>
        <v>0</v>
      </c>
      <c r="AQ30" s="695">
        <f>SUM(AM30:AP30)</f>
        <v>0</v>
      </c>
      <c r="AR30" s="819"/>
      <c r="AS30" s="677">
        <v>0</v>
      </c>
      <c r="AT30" s="193">
        <f>0-AS30</f>
        <v>0</v>
      </c>
      <c r="AU30" s="193">
        <f>-99.232-AT30-AS30</f>
        <v>-99.231999999999999</v>
      </c>
      <c r="AV30" s="193">
        <f>-99.672-AU30-AT30-AS30</f>
        <v>-0.43999999999999773</v>
      </c>
      <c r="AW30" s="695">
        <f>SUM(AS30:AV30)</f>
        <v>-99.671999999999997</v>
      </c>
      <c r="AX30" s="819"/>
      <c r="AY30" s="677">
        <v>-0.35899999999999999</v>
      </c>
      <c r="AZ30" s="193">
        <f>-0.543-AY30</f>
        <v>-0.18400000000000005</v>
      </c>
      <c r="BA30" s="193">
        <f>-0.543-AZ30-AY30</f>
        <v>0</v>
      </c>
      <c r="BB30" s="200">
        <f>-0.543-BA30-AZ30-AY30</f>
        <v>0</v>
      </c>
      <c r="BC30" s="695">
        <f>SUM(AY30:BB30)</f>
        <v>-0.54300000000000004</v>
      </c>
      <c r="BD30" s="819"/>
      <c r="BE30" s="677">
        <v>0</v>
      </c>
      <c r="BF30" s="193">
        <v>0</v>
      </c>
      <c r="BG30" s="193">
        <v>0</v>
      </c>
      <c r="BH30" s="193">
        <v>0</v>
      </c>
      <c r="BI30" s="695">
        <f>SUM(BE30:BH30)</f>
        <v>0</v>
      </c>
      <c r="BJ30" s="819"/>
      <c r="BK30" s="677">
        <v>0</v>
      </c>
      <c r="BL30" s="193">
        <f>0-BK30</f>
        <v>0</v>
      </c>
      <c r="BM30" s="193">
        <f>0-SUM(BK30:BL30)</f>
        <v>0</v>
      </c>
      <c r="BN30" s="193">
        <f>0-SUM(BK30:BM30)</f>
        <v>0</v>
      </c>
      <c r="BO30" s="695">
        <f>SUM(BK30:BN30)</f>
        <v>0</v>
      </c>
      <c r="BP30" s="819"/>
      <c r="BQ30" s="677">
        <v>0</v>
      </c>
      <c r="BR30" s="193">
        <f>11.626-BQ30</f>
        <v>11.625999999999999</v>
      </c>
      <c r="BS30" s="193">
        <f>10.6-SUM(BQ30:BR30)</f>
        <v>-1.0259999999999998</v>
      </c>
      <c r="BT30" s="199">
        <f>'BalSht '!BS10-'BalSht '!BT10</f>
        <v>0</v>
      </c>
      <c r="BU30" s="695">
        <f>SUM(BQ30:BT30)</f>
        <v>10.6</v>
      </c>
      <c r="BV30" s="819"/>
      <c r="BW30" s="175">
        <f>'BalSht '!BU10-'BalSht '!BW10</f>
        <v>0</v>
      </c>
      <c r="BX30" s="199">
        <f>'BalSht '!BW10-'BalSht '!BX10</f>
        <v>0</v>
      </c>
      <c r="BY30" s="199">
        <f>'BalSht '!BX10-'BalSht '!BY10</f>
        <v>0</v>
      </c>
      <c r="BZ30" s="199">
        <f>'BalSht '!BY10-'BalSht '!BZ10</f>
        <v>0</v>
      </c>
      <c r="CA30" s="695">
        <f>SUM(BW30:BZ30)</f>
        <v>0</v>
      </c>
      <c r="CB30" s="819"/>
      <c r="CC30" s="175">
        <f>'BalSht '!CA10-'BalSht '!CC10</f>
        <v>0</v>
      </c>
      <c r="CD30" s="199">
        <f>'BalSht '!CC10-'BalSht '!CD10</f>
        <v>0</v>
      </c>
      <c r="CE30" s="199">
        <f>'BalSht '!CD10-'BalSht '!CE10</f>
        <v>0</v>
      </c>
      <c r="CF30" s="199">
        <f>'BalSht '!CE10-'BalSht '!CF10</f>
        <v>0</v>
      </c>
      <c r="CG30" s="695">
        <f>SUM(CC30:CF30)</f>
        <v>0</v>
      </c>
      <c r="CH30" s="819"/>
      <c r="CI30" s="175">
        <f>'BalSht '!CG10-'BalSht '!CI10</f>
        <v>0</v>
      </c>
      <c r="CJ30" s="199">
        <f>'BalSht '!CI10-'BalSht '!CJ10</f>
        <v>0</v>
      </c>
      <c r="CK30" s="199">
        <f>'BalSht '!CJ10-'BalSht '!CK10</f>
        <v>0</v>
      </c>
      <c r="CL30" s="199">
        <f>'BalSht '!CK10-'BalSht '!CL10</f>
        <v>0</v>
      </c>
      <c r="CM30" s="695">
        <f>SUM(CI30:CL30)</f>
        <v>0</v>
      </c>
      <c r="CN30" s="819"/>
      <c r="CO30" s="14"/>
      <c r="CP30" s="14"/>
      <c r="CW30" s="873"/>
      <c r="CX30" s="11"/>
      <c r="CY30" s="11"/>
      <c r="CZ30" s="11"/>
      <c r="DA30" s="11"/>
      <c r="DB30" s="11"/>
      <c r="DC30" s="11"/>
      <c r="DD30" s="11"/>
      <c r="DE30" s="11"/>
      <c r="DF30" s="11"/>
      <c r="DG30" s="11"/>
      <c r="DH30" s="11"/>
      <c r="DI30" s="11"/>
      <c r="DJ30" s="11"/>
      <c r="DK30" s="11"/>
      <c r="DL30" s="11"/>
      <c r="DM30" s="11"/>
      <c r="DN30" s="11"/>
      <c r="DO30" s="11"/>
      <c r="DP30" s="11"/>
      <c r="DQ30" s="11"/>
    </row>
    <row r="31" spans="1:121" ht="11.25" customHeight="1" x14ac:dyDescent="0.2">
      <c r="A31" s="70"/>
      <c r="B31" s="828" t="s">
        <v>143</v>
      </c>
      <c r="C31" s="677">
        <v>0</v>
      </c>
      <c r="D31" s="193">
        <f>0-C31</f>
        <v>0</v>
      </c>
      <c r="E31" s="200">
        <f>9.163-D31-C31</f>
        <v>9.1630000000000003</v>
      </c>
      <c r="F31" s="200">
        <f>9.163-E31-D31-C31</f>
        <v>0</v>
      </c>
      <c r="G31" s="695">
        <f>SUM(C31:F31)</f>
        <v>9.1630000000000003</v>
      </c>
      <c r="H31" s="19"/>
      <c r="I31" s="677">
        <v>0</v>
      </c>
      <c r="J31" s="193">
        <f>0-I31</f>
        <v>0</v>
      </c>
      <c r="K31" s="200">
        <f>0-J31-I31</f>
        <v>0</v>
      </c>
      <c r="L31" s="200">
        <f>0-K31-J31-I31</f>
        <v>0</v>
      </c>
      <c r="M31" s="695">
        <f>SUM(I31:L31)</f>
        <v>0</v>
      </c>
      <c r="N31" s="19"/>
      <c r="O31" s="677">
        <v>0</v>
      </c>
      <c r="P31" s="193">
        <f>0-O31</f>
        <v>0</v>
      </c>
      <c r="Q31" s="200">
        <f>0-P31-O31</f>
        <v>0</v>
      </c>
      <c r="R31" s="200">
        <f>0-Q31-P31-O31</f>
        <v>0</v>
      </c>
      <c r="S31" s="695">
        <f>SUM(O31:R31)</f>
        <v>0</v>
      </c>
      <c r="T31" s="19"/>
      <c r="U31" s="677">
        <v>0</v>
      </c>
      <c r="V31" s="193">
        <f>0-U31</f>
        <v>0</v>
      </c>
      <c r="W31" s="200">
        <f>0-V31-U31</f>
        <v>0</v>
      </c>
      <c r="X31" s="200">
        <f>0-W31-V31-U31</f>
        <v>0</v>
      </c>
      <c r="Y31" s="695">
        <f>SUM(U31:X31)</f>
        <v>0</v>
      </c>
      <c r="Z31" s="19"/>
      <c r="AA31" s="677">
        <v>0</v>
      </c>
      <c r="AB31" s="193">
        <f>0-AA31</f>
        <v>0</v>
      </c>
      <c r="AC31" s="200">
        <f>0-AB31-AA31</f>
        <v>0</v>
      </c>
      <c r="AD31" s="200">
        <f>0-AC31-AB31-AA31</f>
        <v>0</v>
      </c>
      <c r="AE31" s="695">
        <f>SUM(AA31:AD31)</f>
        <v>0</v>
      </c>
      <c r="AF31" s="19"/>
      <c r="AG31" s="677">
        <v>0</v>
      </c>
      <c r="AH31" s="193">
        <f>0-AG31</f>
        <v>0</v>
      </c>
      <c r="AI31" s="193">
        <f>0-AH31-AG31</f>
        <v>0</v>
      </c>
      <c r="AJ31" s="193">
        <f>0-AI31-AH31-AG31</f>
        <v>0</v>
      </c>
      <c r="AK31" s="695">
        <f>SUM(AG31:AJ31)</f>
        <v>0</v>
      </c>
      <c r="AL31" s="19"/>
      <c r="AM31" s="677">
        <v>0</v>
      </c>
      <c r="AN31" s="193">
        <f>0-AM31</f>
        <v>0</v>
      </c>
      <c r="AO31" s="193">
        <f>0-AN31-AM31</f>
        <v>0</v>
      </c>
      <c r="AP31" s="193">
        <f>6.595-AO31-AN31-AM31</f>
        <v>6.5949999999999998</v>
      </c>
      <c r="AQ31" s="695">
        <f>SUM(AM31:AP31)</f>
        <v>6.5949999999999998</v>
      </c>
      <c r="AR31" s="19"/>
      <c r="AS31" s="677">
        <v>0</v>
      </c>
      <c r="AT31" s="193">
        <f>-4.436+6.546-AS31</f>
        <v>2.1100000000000003</v>
      </c>
      <c r="AU31" s="193">
        <f>-4.436+6.546-AT31-AS31</f>
        <v>0</v>
      </c>
      <c r="AV31" s="193">
        <f>-4.436+6.546-AU31-AT31-AS31</f>
        <v>0</v>
      </c>
      <c r="AW31" s="695">
        <f>SUM(AS31:AV31)</f>
        <v>2.1100000000000003</v>
      </c>
      <c r="AX31" s="19"/>
      <c r="AY31" s="851">
        <v>0</v>
      </c>
      <c r="AZ31" s="193">
        <f>40.775-AY31</f>
        <v>40.774999999999999</v>
      </c>
      <c r="BA31" s="193">
        <f>40.775-AZ31-AY31</f>
        <v>0</v>
      </c>
      <c r="BB31" s="200">
        <f>40.775+18.035-BA31-AZ31-AY31</f>
        <v>18.035000000000004</v>
      </c>
      <c r="BC31" s="695">
        <f>SUM(AY31:BB31)</f>
        <v>58.81</v>
      </c>
      <c r="BD31" s="19"/>
      <c r="BE31" s="677">
        <v>0</v>
      </c>
      <c r="BF31" s="193">
        <f>48.744-BE31</f>
        <v>48.744</v>
      </c>
      <c r="BG31" s="193">
        <f>48.744-BF31-BE31</f>
        <v>0</v>
      </c>
      <c r="BH31" s="193">
        <f>22.32+48.744-BG31-BF31-BE31</f>
        <v>22.319999999999993</v>
      </c>
      <c r="BI31" s="695">
        <f>SUM(BE31:BH31)</f>
        <v>71.063999999999993</v>
      </c>
      <c r="BJ31" s="19"/>
      <c r="BK31" s="677">
        <v>9.3369999999999997</v>
      </c>
      <c r="BL31" s="193">
        <f>23.115-BK31</f>
        <v>13.777999999999999</v>
      </c>
      <c r="BM31" s="193">
        <f>35.869-SUM(BK31:BL31)</f>
        <v>12.754000000000001</v>
      </c>
      <c r="BN31" s="193">
        <f>48.212-SUM(BK31:BM31)</f>
        <v>12.343000000000004</v>
      </c>
      <c r="BO31" s="695">
        <f>SUM(BK31:BN31)</f>
        <v>48.212000000000003</v>
      </c>
      <c r="BP31" s="19"/>
      <c r="BQ31" s="677">
        <v>12.191000000000001</v>
      </c>
      <c r="BR31" s="193">
        <f>24.581-BQ31</f>
        <v>12.389999999999999</v>
      </c>
      <c r="BS31" s="193">
        <f>37.068-SUM(BQ31:BR31)</f>
        <v>12.486999999999998</v>
      </c>
      <c r="BT31" s="848">
        <v>0</v>
      </c>
      <c r="BU31" s="695">
        <f>SUM(BQ31:BT31)</f>
        <v>37.067999999999998</v>
      </c>
      <c r="BV31" s="19"/>
      <c r="BW31" s="854">
        <v>0</v>
      </c>
      <c r="BX31" s="848">
        <v>0</v>
      </c>
      <c r="BY31" s="848">
        <v>0</v>
      </c>
      <c r="BZ31" s="848">
        <v>0</v>
      </c>
      <c r="CA31" s="695">
        <f>SUM(BW31:BZ31)</f>
        <v>0</v>
      </c>
      <c r="CB31" s="19"/>
      <c r="CC31" s="854">
        <v>0</v>
      </c>
      <c r="CD31" s="848">
        <v>0</v>
      </c>
      <c r="CE31" s="848">
        <v>0</v>
      </c>
      <c r="CF31" s="848">
        <v>0</v>
      </c>
      <c r="CG31" s="695">
        <f>SUM(CC31:CF31)</f>
        <v>0</v>
      </c>
      <c r="CH31" s="19"/>
      <c r="CI31" s="854">
        <v>0</v>
      </c>
      <c r="CJ31" s="848">
        <v>0</v>
      </c>
      <c r="CK31" s="848">
        <v>0</v>
      </c>
      <c r="CL31" s="848">
        <v>0</v>
      </c>
      <c r="CM31" s="695">
        <f>SUM(CI31:CL31)</f>
        <v>0</v>
      </c>
      <c r="CN31" s="19"/>
      <c r="CO31" s="14"/>
      <c r="CP31" s="14"/>
      <c r="CW31" s="873"/>
      <c r="CX31" s="11"/>
      <c r="CY31" s="11"/>
      <c r="CZ31" s="11"/>
      <c r="DA31" s="11"/>
      <c r="DB31" s="11"/>
      <c r="DC31" s="11"/>
      <c r="DD31" s="11"/>
      <c r="DE31" s="11"/>
      <c r="DF31" s="11"/>
      <c r="DG31" s="11"/>
      <c r="DH31" s="11"/>
      <c r="DI31" s="11"/>
      <c r="DJ31" s="11"/>
      <c r="DK31" s="11"/>
      <c r="DL31" s="11"/>
      <c r="DM31" s="11"/>
      <c r="DN31" s="11"/>
      <c r="DO31" s="11"/>
      <c r="DP31" s="11"/>
      <c r="DQ31" s="11"/>
    </row>
    <row r="32" spans="1:121" ht="11.25" customHeight="1" outlineLevel="1" x14ac:dyDescent="0.2">
      <c r="A32" s="70"/>
      <c r="B32" s="830" t="s">
        <v>322</v>
      </c>
      <c r="C32" s="677">
        <v>0</v>
      </c>
      <c r="D32" s="193">
        <f>0-C32</f>
        <v>0</v>
      </c>
      <c r="E32" s="200">
        <f>0-D32-C32</f>
        <v>0</v>
      </c>
      <c r="F32" s="200">
        <f>0-E32-D32-C32</f>
        <v>0</v>
      </c>
      <c r="G32" s="695">
        <f>SUM(C32:F32)</f>
        <v>0</v>
      </c>
      <c r="H32" s="19"/>
      <c r="I32" s="677">
        <v>0</v>
      </c>
      <c r="J32" s="193">
        <f>0-I32</f>
        <v>0</v>
      </c>
      <c r="K32" s="200">
        <f>0-J32-I32</f>
        <v>0</v>
      </c>
      <c r="L32" s="200">
        <f>0-K32-J32-I32</f>
        <v>0</v>
      </c>
      <c r="M32" s="695">
        <f>SUM(I32:L32)</f>
        <v>0</v>
      </c>
      <c r="N32" s="19"/>
      <c r="O32" s="677">
        <v>0</v>
      </c>
      <c r="P32" s="193">
        <f>0-O32</f>
        <v>0</v>
      </c>
      <c r="Q32" s="200">
        <f>0-P32-O32</f>
        <v>0</v>
      </c>
      <c r="R32" s="200">
        <f>0-Q32-P32-O32</f>
        <v>0</v>
      </c>
      <c r="S32" s="695">
        <f>SUM(O32:R32)</f>
        <v>0</v>
      </c>
      <c r="T32" s="19"/>
      <c r="U32" s="677">
        <v>0</v>
      </c>
      <c r="V32" s="193">
        <f>0-U32</f>
        <v>0</v>
      </c>
      <c r="W32" s="200">
        <f>0-V32-U32</f>
        <v>0</v>
      </c>
      <c r="X32" s="200">
        <f>0-W32-V32-U32</f>
        <v>0</v>
      </c>
      <c r="Y32" s="695">
        <f>SUM(U32:X32)</f>
        <v>0</v>
      </c>
      <c r="Z32" s="19"/>
      <c r="AA32" s="677">
        <v>0</v>
      </c>
      <c r="AB32" s="193">
        <f>0-AA32</f>
        <v>0</v>
      </c>
      <c r="AC32" s="200">
        <f>0-AB32-AA32</f>
        <v>0</v>
      </c>
      <c r="AD32" s="200">
        <f>0-AC32-AB32-AA32</f>
        <v>0</v>
      </c>
      <c r="AE32" s="695">
        <f>SUM(AA32:AD32)</f>
        <v>0</v>
      </c>
      <c r="AF32" s="19"/>
      <c r="AG32" s="677">
        <v>0</v>
      </c>
      <c r="AH32" s="193">
        <f>0-AG32</f>
        <v>0</v>
      </c>
      <c r="AI32" s="193">
        <f>0-AH32-AG32</f>
        <v>0</v>
      </c>
      <c r="AJ32" s="193">
        <f>0-AI32-AH32-AG32</f>
        <v>0</v>
      </c>
      <c r="AK32" s="695">
        <f>SUM(AG32:AJ32)</f>
        <v>0</v>
      </c>
      <c r="AL32" s="19"/>
      <c r="AM32" s="677">
        <v>0</v>
      </c>
      <c r="AN32" s="193">
        <f>0-AM32</f>
        <v>0</v>
      </c>
      <c r="AO32" s="193">
        <f>0-AN32-AM32</f>
        <v>0</v>
      </c>
      <c r="AP32" s="193">
        <f>0-AO32-AN32-AM32</f>
        <v>0</v>
      </c>
      <c r="AQ32" s="695">
        <f>SUM(AM32:AP32)</f>
        <v>0</v>
      </c>
      <c r="AR32" s="19"/>
      <c r="AS32" s="677">
        <v>0</v>
      </c>
      <c r="AT32" s="193">
        <f>0-AS32</f>
        <v>0</v>
      </c>
      <c r="AU32" s="193">
        <f>0-AT32-AS32</f>
        <v>0</v>
      </c>
      <c r="AV32" s="193">
        <f>0-AU32-AT32-AS32</f>
        <v>0</v>
      </c>
      <c r="AW32" s="695">
        <f>SUM(AS32:AV32)</f>
        <v>0</v>
      </c>
      <c r="AX32" s="19"/>
      <c r="AY32" s="851">
        <v>5.0860000000000003</v>
      </c>
      <c r="AZ32" s="846">
        <f>4.598-AY32</f>
        <v>-0.48800000000000043</v>
      </c>
      <c r="BA32" s="846">
        <f>4.256-AZ32-AY32</f>
        <v>-0.34199999999999964</v>
      </c>
      <c r="BB32" s="200">
        <f>3.311-BA32-AZ32-AY32</f>
        <v>-0.94500000000000028</v>
      </c>
      <c r="BC32" s="695">
        <f>SUM(AY32:BB32)</f>
        <v>3.3109999999999999</v>
      </c>
      <c r="BD32" s="19"/>
      <c r="BE32" s="677">
        <v>-5.3999999999999999E-2</v>
      </c>
      <c r="BF32" s="193">
        <f>715.43-BE32</f>
        <v>715.48399999999992</v>
      </c>
      <c r="BG32" s="193">
        <f>714.68-BF32-BE32</f>
        <v>-0.74999999999997358</v>
      </c>
      <c r="BH32" s="193">
        <f>714.239-BG32-BF32-BE32</f>
        <v>-0.44099999999989087</v>
      </c>
      <c r="BI32" s="695">
        <f>SUM(BE32:BH32)</f>
        <v>714.23900000000003</v>
      </c>
      <c r="BJ32" s="19"/>
      <c r="BK32" s="677">
        <v>0</v>
      </c>
      <c r="BL32" s="193">
        <v>0</v>
      </c>
      <c r="BM32" s="193">
        <f>0-SUM(BK32:BL32)</f>
        <v>0</v>
      </c>
      <c r="BN32" s="193">
        <f>0-SUM(BK32:BM32)</f>
        <v>0</v>
      </c>
      <c r="BO32" s="695">
        <f>SUM(BK32:BN32)</f>
        <v>0</v>
      </c>
      <c r="BP32" s="19"/>
      <c r="BQ32" s="677">
        <v>0</v>
      </c>
      <c r="BR32" s="193">
        <f>0-BQ32</f>
        <v>0</v>
      </c>
      <c r="BS32" s="193">
        <f>0-SUM(BQ32:BR32)</f>
        <v>0</v>
      </c>
      <c r="BT32" s="848">
        <v>0</v>
      </c>
      <c r="BU32" s="695">
        <f>SUM(BQ32:BT32)</f>
        <v>0</v>
      </c>
      <c r="BV32" s="19"/>
      <c r="BW32" s="854">
        <v>0</v>
      </c>
      <c r="BX32" s="848">
        <v>0</v>
      </c>
      <c r="BY32" s="848">
        <v>0</v>
      </c>
      <c r="BZ32" s="848">
        <v>0</v>
      </c>
      <c r="CA32" s="695">
        <f>SUM(BW32:BZ32)</f>
        <v>0</v>
      </c>
      <c r="CB32" s="19"/>
      <c r="CC32" s="854">
        <v>0</v>
      </c>
      <c r="CD32" s="848">
        <v>0</v>
      </c>
      <c r="CE32" s="848">
        <v>0</v>
      </c>
      <c r="CF32" s="848">
        <v>0</v>
      </c>
      <c r="CG32" s="695">
        <f>SUM(CC32:CF32)</f>
        <v>0</v>
      </c>
      <c r="CH32" s="19"/>
      <c r="CI32" s="854">
        <v>0</v>
      </c>
      <c r="CJ32" s="848">
        <v>0</v>
      </c>
      <c r="CK32" s="848">
        <v>0</v>
      </c>
      <c r="CL32" s="848">
        <v>0</v>
      </c>
      <c r="CM32" s="695">
        <f>SUM(CI32:CL32)</f>
        <v>0</v>
      </c>
      <c r="CN32" s="19"/>
      <c r="CO32" s="14"/>
      <c r="CP32" s="14"/>
      <c r="CW32" s="240"/>
      <c r="CX32" s="11"/>
      <c r="CY32" s="11"/>
      <c r="CZ32" s="11"/>
      <c r="DA32" s="11"/>
      <c r="DB32" s="11"/>
      <c r="DC32" s="11"/>
      <c r="DD32" s="11"/>
      <c r="DE32" s="11"/>
      <c r="DF32" s="11"/>
      <c r="DG32" s="11"/>
      <c r="DH32" s="11"/>
      <c r="DI32" s="11"/>
      <c r="DJ32" s="11"/>
      <c r="DK32" s="11"/>
      <c r="DL32" s="11"/>
      <c r="DM32" s="11"/>
      <c r="DN32" s="11"/>
      <c r="DO32" s="11"/>
      <c r="DP32" s="11"/>
      <c r="DQ32" s="11"/>
    </row>
    <row r="33" spans="1:121" ht="11.25" customHeight="1" x14ac:dyDescent="0.2">
      <c r="A33" s="70"/>
      <c r="B33" s="543" t="s">
        <v>94</v>
      </c>
      <c r="C33" s="683">
        <f>SUM(C28:C32)</f>
        <v>-10.728999999999999</v>
      </c>
      <c r="D33" s="218">
        <f>SUM(D28:D32)</f>
        <v>-7.6619999999999999</v>
      </c>
      <c r="E33" s="218">
        <f>SUM(E28:E32)</f>
        <v>0.15899999999999892</v>
      </c>
      <c r="F33" s="218">
        <f>SUM(F28:F32)</f>
        <v>-4.7770000000000001</v>
      </c>
      <c r="G33" s="672">
        <f>SUM(G28:G32)</f>
        <v>-23.008999999999997</v>
      </c>
      <c r="H33" s="41"/>
      <c r="I33" s="683">
        <f>SUM(I28:I32)</f>
        <v>-7.8349999999999991</v>
      </c>
      <c r="J33" s="218">
        <f>SUM(J28:J32)</f>
        <v>-12.884</v>
      </c>
      <c r="K33" s="218">
        <f>SUM(K28:K32)</f>
        <v>-8.5920000000000023</v>
      </c>
      <c r="L33" s="218">
        <f>SUM(L28:L32)</f>
        <v>-29.373999999999995</v>
      </c>
      <c r="M33" s="672">
        <f>SUM(M28:M32)</f>
        <v>-58.685000000000002</v>
      </c>
      <c r="N33" s="41"/>
      <c r="O33" s="683">
        <f>SUM(O28:O32)</f>
        <v>-11.991999999999999</v>
      </c>
      <c r="P33" s="218">
        <f>SUM(P28:P32)</f>
        <v>-75.38</v>
      </c>
      <c r="Q33" s="218">
        <f>SUM(Q28:Q32)</f>
        <v>-45.408000000000001</v>
      </c>
      <c r="R33" s="218">
        <f>SUM(R28:R32)</f>
        <v>-24.313999999999993</v>
      </c>
      <c r="S33" s="672">
        <f>SUM(S28:S32)</f>
        <v>-157.09399999999999</v>
      </c>
      <c r="T33" s="41"/>
      <c r="U33" s="683">
        <f>SUM(U28:U32)</f>
        <v>-36.120999999999995</v>
      </c>
      <c r="V33" s="218">
        <f>SUM(V28:V32)</f>
        <v>-5.1630000000000003</v>
      </c>
      <c r="W33" s="218">
        <f>SUM(W28:W32)</f>
        <v>-4.3730000000000011</v>
      </c>
      <c r="X33" s="218">
        <f>SUM(X28:X32)</f>
        <v>-37.819000000000003</v>
      </c>
      <c r="Y33" s="672">
        <f>SUM(Y28:Y32)</f>
        <v>-83.475999999999999</v>
      </c>
      <c r="Z33" s="41"/>
      <c r="AA33" s="683">
        <f>SUM(AA28:AA32)</f>
        <v>-55.812000000000005</v>
      </c>
      <c r="AB33" s="218">
        <f>SUM(AB28:AB32)</f>
        <v>-10.915999999999999</v>
      </c>
      <c r="AC33" s="218">
        <f>SUM(AC28:AC32)</f>
        <v>-14.814000000000002</v>
      </c>
      <c r="AD33" s="218">
        <f>SUM(AD28:AD32)</f>
        <v>-7.4670000000000005</v>
      </c>
      <c r="AE33" s="672">
        <f>SUM(AE28:AE32)</f>
        <v>-89.009</v>
      </c>
      <c r="AF33" s="41"/>
      <c r="AG33" s="683">
        <f>SUM(AG28:AG32)</f>
        <v>-10.247</v>
      </c>
      <c r="AH33" s="218">
        <f>SUM(AH28:AH32)</f>
        <v>-20.858000000000004</v>
      </c>
      <c r="AI33" s="218">
        <f>SUM(AI28:AI32)</f>
        <v>-8.1389999999999958</v>
      </c>
      <c r="AJ33" s="218">
        <f>SUM(AJ28:AJ32)</f>
        <v>-13.026000000000002</v>
      </c>
      <c r="AK33" s="672">
        <f>SUM(AK28:AK32)</f>
        <v>-52.269999999999996</v>
      </c>
      <c r="AL33" s="41"/>
      <c r="AM33" s="683">
        <f>SUM(AM28:AM32)</f>
        <v>-3.206</v>
      </c>
      <c r="AN33" s="218">
        <f>SUM(AN28:AN32)</f>
        <v>-16.149999999999999</v>
      </c>
      <c r="AO33" s="218">
        <f>SUM(AO28:AO32)</f>
        <v>-9.5530000000000008</v>
      </c>
      <c r="AP33" s="218">
        <f>SUM(AP28:AP32)</f>
        <v>-1.1290000000000004</v>
      </c>
      <c r="AQ33" s="672">
        <f>SUM(AQ28:AQ32)</f>
        <v>-30.038000000000004</v>
      </c>
      <c r="AR33" s="41"/>
      <c r="AS33" s="683">
        <f>SUM(AS28:AS32)</f>
        <v>-5.5640000000000001</v>
      </c>
      <c r="AT33" s="218">
        <f>SUM(AT28:AT32)</f>
        <v>-150.73299999999998</v>
      </c>
      <c r="AU33" s="218">
        <f>SUM(AU28:AU32)</f>
        <v>-111.86200000000001</v>
      </c>
      <c r="AV33" s="218">
        <f>SUM(AV28:AV32)</f>
        <v>-15.604999999999993</v>
      </c>
      <c r="AW33" s="672">
        <f>SUM(AW28:AW32)</f>
        <v>-283.76400000000001</v>
      </c>
      <c r="AX33" s="41"/>
      <c r="AY33" s="683">
        <f>SUM(AY28:AY32)</f>
        <v>-11.445999999999996</v>
      </c>
      <c r="AZ33" s="218">
        <f>SUM(AZ28:AZ32)</f>
        <v>27.085999999999999</v>
      </c>
      <c r="BA33" s="218">
        <f>SUM(BA28:BA32)</f>
        <v>-23.064</v>
      </c>
      <c r="BB33" s="218">
        <f>SUM(BB28:BB32)</f>
        <v>-2.1749999999999972</v>
      </c>
      <c r="BC33" s="672">
        <f>SUM(BC28:BC32)</f>
        <v>-9.5990000000000109</v>
      </c>
      <c r="BD33" s="41"/>
      <c r="BE33" s="683">
        <f>SUM(BE28:BE32)</f>
        <v>-1121.8480000000002</v>
      </c>
      <c r="BF33" s="218">
        <f>SUM(BF28:BF32)</f>
        <v>739.81499999999994</v>
      </c>
      <c r="BG33" s="218">
        <f>SUM(BG28:BG32)</f>
        <v>-17.406000000000017</v>
      </c>
      <c r="BH33" s="218">
        <f>SUM(BH28:BH32)</f>
        <v>-1.1949999999998886</v>
      </c>
      <c r="BI33" s="672">
        <f>SUM(BI28:BI32)</f>
        <v>-400.63400000000001</v>
      </c>
      <c r="BJ33" s="41"/>
      <c r="BK33" s="683">
        <f>SUM(BK28:BK32)</f>
        <v>-5.7050000000000001</v>
      </c>
      <c r="BL33" s="218">
        <f>SUM(BL28:BL32)</f>
        <v>-0.55700000000000038</v>
      </c>
      <c r="BM33" s="218">
        <f>SUM(BM28:BM32)</f>
        <v>4.6739999999999995</v>
      </c>
      <c r="BN33" s="218">
        <f>SUM(BN28:BN32)</f>
        <v>2.7810000000000059</v>
      </c>
      <c r="BO33" s="672">
        <f>SUM(BO28:BO32)</f>
        <v>1.1930000000000049</v>
      </c>
      <c r="BP33" s="41"/>
      <c r="BQ33" s="683">
        <f>SUM(BQ28:BQ32)</f>
        <v>5.5170000000000003</v>
      </c>
      <c r="BR33" s="218">
        <f>SUM(BR28:BR32)</f>
        <v>14.258999999999997</v>
      </c>
      <c r="BS33" s="218">
        <f>SUM(BS28:BS32)</f>
        <v>-0.34700000000000131</v>
      </c>
      <c r="BT33" s="218">
        <f>SUM(BT28:BT32)</f>
        <v>-12.377618479189477</v>
      </c>
      <c r="BU33" s="672">
        <f>SUM(BU28:BU32)</f>
        <v>7.0513815208105228</v>
      </c>
      <c r="BV33" s="41"/>
      <c r="BW33" s="683">
        <f>SUM(BW28:BW32)</f>
        <v>-10.486141360000001</v>
      </c>
      <c r="BX33" s="218">
        <f>SUM(BX28:BX32)</f>
        <v>-11.45896304</v>
      </c>
      <c r="BY33" s="218">
        <f>SUM(BY28:BY32)</f>
        <v>-11.299829920000001</v>
      </c>
      <c r="BZ33" s="218">
        <f>SUM(BZ28:BZ32)</f>
        <v>-11.969338547340765</v>
      </c>
      <c r="CA33" s="672">
        <f>SUM(CA28:CA32)</f>
        <v>-45.214272867340767</v>
      </c>
      <c r="CB33" s="41"/>
      <c r="CC33" s="683">
        <f>SUM(CC28:CC32)</f>
        <v>-10.746710576000002</v>
      </c>
      <c r="CD33" s="218">
        <f>SUM(CD28:CD32)</f>
        <v>-11.7387519592</v>
      </c>
      <c r="CE33" s="218">
        <f>SUM(CE28:CE32)</f>
        <v>-11.60115008</v>
      </c>
      <c r="CF33" s="218">
        <f>SUM(CF28:CF32)</f>
        <v>-12.290284634102658</v>
      </c>
      <c r="CG33" s="672">
        <f>SUM(CG28:CG32)</f>
        <v>-46.376897249302658</v>
      </c>
      <c r="CH33" s="41"/>
      <c r="CI33" s="683">
        <f>SUM(CI28:CI32)</f>
        <v>-11.037094754608001</v>
      </c>
      <c r="CJ33" s="218">
        <f>SUM(CJ28:CJ32)</f>
        <v>-12.056549975424002</v>
      </c>
      <c r="CK33" s="218">
        <f>SUM(CK28:CK32)</f>
        <v>-11.911743716656</v>
      </c>
      <c r="CL33" s="218">
        <f>SUM(CL28:CL32)</f>
        <v>-12.62114940196493</v>
      </c>
      <c r="CM33" s="672">
        <f>SUM(CM28:CM32)</f>
        <v>-47.62653784865293</v>
      </c>
      <c r="CN33" s="41"/>
      <c r="CO33" s="14"/>
      <c r="CP33" s="14"/>
      <c r="CW33" s="873"/>
      <c r="CX33" s="11"/>
      <c r="CY33" s="11"/>
      <c r="CZ33" s="11"/>
      <c r="DA33" s="11"/>
      <c r="DB33" s="11"/>
      <c r="DC33" s="11"/>
      <c r="DD33" s="11"/>
      <c r="DE33" s="11"/>
      <c r="DF33" s="11"/>
      <c r="DG33" s="11"/>
      <c r="DH33" s="11"/>
      <c r="DI33" s="11"/>
      <c r="DJ33" s="11"/>
      <c r="DK33" s="11"/>
      <c r="DL33" s="11"/>
      <c r="DM33" s="11"/>
      <c r="DN33" s="11"/>
      <c r="DO33" s="11"/>
      <c r="DP33" s="11"/>
      <c r="DQ33" s="11"/>
    </row>
    <row r="34" spans="1:121" ht="11.25" customHeight="1" x14ac:dyDescent="0.2">
      <c r="A34" s="70"/>
      <c r="B34" s="828"/>
      <c r="C34" s="680"/>
      <c r="D34" s="838"/>
      <c r="E34" s="838"/>
      <c r="F34" s="838"/>
      <c r="G34" s="695"/>
      <c r="H34" s="200"/>
      <c r="I34" s="680"/>
      <c r="J34" s="838"/>
      <c r="K34" s="838"/>
      <c r="L34" s="838"/>
      <c r="M34" s="695"/>
      <c r="N34" s="200"/>
      <c r="O34" s="680"/>
      <c r="P34" s="838"/>
      <c r="Q34" s="838"/>
      <c r="R34" s="838"/>
      <c r="S34" s="695"/>
      <c r="T34" s="200"/>
      <c r="U34" s="680"/>
      <c r="V34" s="838"/>
      <c r="W34" s="838"/>
      <c r="X34" s="838"/>
      <c r="Y34" s="695"/>
      <c r="Z34" s="200"/>
      <c r="AA34" s="680"/>
      <c r="AB34" s="838"/>
      <c r="AC34" s="838"/>
      <c r="AD34" s="838"/>
      <c r="AE34" s="695"/>
      <c r="AF34" s="200"/>
      <c r="AG34" s="175"/>
      <c r="AH34" s="199"/>
      <c r="AI34" s="199"/>
      <c r="AJ34" s="199"/>
      <c r="AK34" s="695"/>
      <c r="AL34" s="200"/>
      <c r="AM34" s="175"/>
      <c r="AN34" s="199"/>
      <c r="AO34" s="199"/>
      <c r="AP34" s="199"/>
      <c r="AQ34" s="695"/>
      <c r="AR34" s="200"/>
      <c r="AS34" s="175"/>
      <c r="AT34" s="199"/>
      <c r="AU34" s="199"/>
      <c r="AV34" s="199"/>
      <c r="AW34" s="695"/>
      <c r="AX34" s="200"/>
      <c r="AY34" s="840"/>
      <c r="AZ34" s="216"/>
      <c r="BA34" s="216"/>
      <c r="BB34" s="199"/>
      <c r="BC34" s="695"/>
      <c r="BD34" s="200"/>
      <c r="BE34" s="175"/>
      <c r="BF34" s="199"/>
      <c r="BG34" s="199"/>
      <c r="BH34" s="199"/>
      <c r="BI34" s="695"/>
      <c r="BJ34" s="200"/>
      <c r="BK34" s="175"/>
      <c r="BL34" s="199"/>
      <c r="BM34" s="199"/>
      <c r="BN34" s="199"/>
      <c r="BO34" s="695"/>
      <c r="BP34" s="200"/>
      <c r="BQ34" s="175"/>
      <c r="BR34" s="199"/>
      <c r="BS34" s="199"/>
      <c r="BT34" s="199"/>
      <c r="BU34" s="695"/>
      <c r="BV34" s="200"/>
      <c r="BW34" s="175"/>
      <c r="BX34" s="199"/>
      <c r="BY34" s="199"/>
      <c r="BZ34" s="199"/>
      <c r="CA34" s="695"/>
      <c r="CB34" s="200"/>
      <c r="CC34" s="175"/>
      <c r="CD34" s="199"/>
      <c r="CE34" s="199"/>
      <c r="CF34" s="199"/>
      <c r="CG34" s="695"/>
      <c r="CH34" s="200"/>
      <c r="CI34" s="175"/>
      <c r="CJ34" s="199"/>
      <c r="CK34" s="199"/>
      <c r="CL34" s="199"/>
      <c r="CM34" s="695"/>
      <c r="CN34" s="200"/>
      <c r="CO34" s="14"/>
      <c r="CP34" s="14"/>
      <c r="CW34" s="873"/>
      <c r="CX34" s="11"/>
      <c r="CY34" s="11"/>
      <c r="CZ34" s="11"/>
      <c r="DA34" s="11"/>
      <c r="DB34" s="11"/>
      <c r="DC34" s="11"/>
      <c r="DD34" s="11"/>
      <c r="DE34" s="11"/>
      <c r="DF34" s="11"/>
      <c r="DG34" s="11"/>
      <c r="DH34" s="11"/>
      <c r="DI34" s="11"/>
      <c r="DJ34" s="11"/>
      <c r="DK34" s="11"/>
      <c r="DL34" s="11"/>
      <c r="DM34" s="11"/>
      <c r="DN34" s="11"/>
      <c r="DO34" s="11"/>
      <c r="DP34" s="11"/>
      <c r="DQ34" s="11"/>
    </row>
    <row r="35" spans="1:121" ht="11.25" customHeight="1" x14ac:dyDescent="0.2">
      <c r="A35" s="70"/>
      <c r="B35" s="922" t="s">
        <v>202</v>
      </c>
      <c r="C35" s="680"/>
      <c r="D35" s="838"/>
      <c r="E35" s="838"/>
      <c r="F35" s="838"/>
      <c r="G35" s="695"/>
      <c r="H35" s="200"/>
      <c r="I35" s="680"/>
      <c r="J35" s="838"/>
      <c r="K35" s="838"/>
      <c r="L35" s="838"/>
      <c r="M35" s="695"/>
      <c r="N35" s="200"/>
      <c r="O35" s="680"/>
      <c r="P35" s="838"/>
      <c r="Q35" s="838"/>
      <c r="R35" s="838"/>
      <c r="S35" s="695"/>
      <c r="T35" s="200"/>
      <c r="U35" s="680"/>
      <c r="V35" s="838"/>
      <c r="W35" s="838"/>
      <c r="X35" s="838"/>
      <c r="Y35" s="695"/>
      <c r="Z35" s="200"/>
      <c r="AA35" s="680"/>
      <c r="AB35" s="838"/>
      <c r="AC35" s="838"/>
      <c r="AD35" s="838"/>
      <c r="AE35" s="695"/>
      <c r="AF35" s="200"/>
      <c r="AG35" s="175"/>
      <c r="AH35" s="199"/>
      <c r="AI35" s="199"/>
      <c r="AJ35" s="199"/>
      <c r="AK35" s="695"/>
      <c r="AL35" s="200"/>
      <c r="AM35" s="175"/>
      <c r="AN35" s="199"/>
      <c r="AO35" s="199"/>
      <c r="AP35" s="199"/>
      <c r="AQ35" s="695"/>
      <c r="AR35" s="200"/>
      <c r="AS35" s="175"/>
      <c r="AT35" s="199"/>
      <c r="AU35" s="199"/>
      <c r="AV35" s="199"/>
      <c r="AW35" s="695"/>
      <c r="AX35" s="200"/>
      <c r="AY35" s="175"/>
      <c r="AZ35" s="199"/>
      <c r="BA35" s="199"/>
      <c r="BB35" s="199"/>
      <c r="BC35" s="695"/>
      <c r="BD35" s="200"/>
      <c r="BE35" s="175"/>
      <c r="BF35" s="199"/>
      <c r="BG35" s="199"/>
      <c r="BH35" s="199"/>
      <c r="BI35" s="695"/>
      <c r="BJ35" s="200"/>
      <c r="BK35" s="175"/>
      <c r="BL35" s="199"/>
      <c r="BM35" s="199"/>
      <c r="BN35" s="199"/>
      <c r="BO35" s="695"/>
      <c r="BP35" s="200"/>
      <c r="BQ35" s="175"/>
      <c r="BR35" s="199"/>
      <c r="BS35" s="199"/>
      <c r="BT35" s="199"/>
      <c r="BU35" s="695"/>
      <c r="BV35" s="200"/>
      <c r="BW35" s="175"/>
      <c r="BX35" s="199"/>
      <c r="BY35" s="199"/>
      <c r="BZ35" s="199"/>
      <c r="CA35" s="695"/>
      <c r="CB35" s="200"/>
      <c r="CC35" s="175"/>
      <c r="CD35" s="199"/>
      <c r="CE35" s="199"/>
      <c r="CF35" s="199"/>
      <c r="CG35" s="695"/>
      <c r="CH35" s="200"/>
      <c r="CI35" s="175"/>
      <c r="CJ35" s="199"/>
      <c r="CK35" s="199"/>
      <c r="CL35" s="199"/>
      <c r="CM35" s="695"/>
      <c r="CN35" s="200"/>
      <c r="CO35" s="14"/>
      <c r="CP35" s="14"/>
      <c r="CW35" s="873"/>
      <c r="CX35" s="11"/>
      <c r="CY35" s="11"/>
      <c r="CZ35" s="11"/>
      <c r="DA35" s="11"/>
      <c r="DB35" s="11"/>
      <c r="DC35" s="11"/>
      <c r="DD35" s="11"/>
      <c r="DE35" s="11"/>
      <c r="DF35" s="11"/>
      <c r="DG35" s="11"/>
      <c r="DH35" s="11"/>
      <c r="DI35" s="11"/>
      <c r="DJ35" s="11"/>
      <c r="DK35" s="11"/>
      <c r="DL35" s="11"/>
      <c r="DM35" s="11"/>
      <c r="DN35" s="11"/>
      <c r="DO35" s="11"/>
      <c r="DP35" s="11"/>
      <c r="DQ35" s="11"/>
    </row>
    <row r="36" spans="1:121" ht="11.25" customHeight="1" x14ac:dyDescent="0.2">
      <c r="A36" s="70"/>
      <c r="B36" s="262" t="s">
        <v>203</v>
      </c>
      <c r="C36" s="677">
        <v>0</v>
      </c>
      <c r="D36" s="193">
        <f>0-C36</f>
        <v>0</v>
      </c>
      <c r="E36" s="200">
        <f>0-D36-C36</f>
        <v>0</v>
      </c>
      <c r="F36" s="200">
        <f>0-E36-D36-C36</f>
        <v>0</v>
      </c>
      <c r="G36" s="695">
        <f t="shared" ref="G36:G45" si="22">SUM(C36:F36)</f>
        <v>0</v>
      </c>
      <c r="H36" s="19"/>
      <c r="I36" s="677">
        <v>0</v>
      </c>
      <c r="J36" s="193">
        <f>0-I36</f>
        <v>0</v>
      </c>
      <c r="K36" s="200">
        <f>0-J36-I36</f>
        <v>0</v>
      </c>
      <c r="L36" s="200">
        <f>0-K36-J36-I36</f>
        <v>0</v>
      </c>
      <c r="M36" s="695">
        <f t="shared" ref="M36:M45" si="23">SUM(I36:L36)</f>
        <v>0</v>
      </c>
      <c r="N36" s="19"/>
      <c r="O36" s="677">
        <v>0</v>
      </c>
      <c r="P36" s="193">
        <f>0-O36</f>
        <v>0</v>
      </c>
      <c r="Q36" s="200">
        <f>0-P36-O36</f>
        <v>0</v>
      </c>
      <c r="R36" s="200">
        <f>0-Q36-P36-O36</f>
        <v>0</v>
      </c>
      <c r="S36" s="695">
        <f t="shared" ref="S36:S45" si="24">SUM(O36:R36)</f>
        <v>0</v>
      </c>
      <c r="T36" s="19"/>
      <c r="U36" s="677">
        <v>0</v>
      </c>
      <c r="V36" s="193">
        <f>0-U36</f>
        <v>0</v>
      </c>
      <c r="W36" s="200">
        <v>0</v>
      </c>
      <c r="X36" s="200">
        <f>-11.886-W36-V36-U36</f>
        <v>-11.885999999999999</v>
      </c>
      <c r="Y36" s="695">
        <f t="shared" ref="Y36:Y45" si="25">SUM(U36:X36)</f>
        <v>-11.885999999999999</v>
      </c>
      <c r="Z36" s="19"/>
      <c r="AA36" s="677">
        <v>-11.916</v>
      </c>
      <c r="AB36" s="193">
        <f>-23.734-AA36</f>
        <v>-11.818000000000001</v>
      </c>
      <c r="AC36" s="200">
        <f>-35.543-AB36-AA36</f>
        <v>-11.808999999999997</v>
      </c>
      <c r="AD36" s="200">
        <f>-49.992-AC36-AB36-AA36</f>
        <v>-14.448999999999998</v>
      </c>
      <c r="AE36" s="695">
        <f t="shared" ref="AE36:AE45" si="26">SUM(AA36:AD36)</f>
        <v>-49.991999999999997</v>
      </c>
      <c r="AF36" s="19"/>
      <c r="AG36" s="677">
        <v>-13.801</v>
      </c>
      <c r="AH36" s="193">
        <f>-27.213-AG36</f>
        <v>-13.412000000000001</v>
      </c>
      <c r="AI36" s="193">
        <f>-39.8-AH36-AG36</f>
        <v>-12.586999999999998</v>
      </c>
      <c r="AJ36" s="193">
        <f>-54.741-AI36-AH36-AG36</f>
        <v>-14.941000000000004</v>
      </c>
      <c r="AK36" s="695">
        <f t="shared" ref="AK36:AK45" si="27">SUM(AG36:AJ36)</f>
        <v>-54.741</v>
      </c>
      <c r="AL36" s="19"/>
      <c r="AM36" s="677">
        <v>-14.817</v>
      </c>
      <c r="AN36" s="193">
        <f>-29.346-AM36</f>
        <v>-14.529</v>
      </c>
      <c r="AO36" s="193">
        <f>-43.745-AN36-AM36</f>
        <v>-14.398999999999997</v>
      </c>
      <c r="AP36" s="193">
        <f>-43.767-AO36-AN36-AM36</f>
        <v>-2.2000000000005571E-2</v>
      </c>
      <c r="AQ36" s="695">
        <f t="shared" ref="AQ36:AQ45" si="28">SUM(AM36:AP36)</f>
        <v>-43.767000000000003</v>
      </c>
      <c r="AR36" s="19"/>
      <c r="AS36" s="677">
        <v>-29.773</v>
      </c>
      <c r="AT36" s="193">
        <f>-48.388-AS36</f>
        <v>-18.614999999999998</v>
      </c>
      <c r="AU36" s="193">
        <f>-65.333-AT36-AS36</f>
        <v>-16.945000000000004</v>
      </c>
      <c r="AV36" s="193">
        <f>-85.657-AU36-AT36-AS36</f>
        <v>-20.323999999999995</v>
      </c>
      <c r="AW36" s="695">
        <f t="shared" ref="AW36:AW45" si="29">SUM(AS36:AV36)</f>
        <v>-85.656999999999996</v>
      </c>
      <c r="AX36" s="19"/>
      <c r="AY36" s="677">
        <v>-20.062000000000001</v>
      </c>
      <c r="AZ36" s="193">
        <f>-40.174-AY36</f>
        <v>-20.111999999999998</v>
      </c>
      <c r="BA36" s="193">
        <f>-60.34-AZ36-AY36</f>
        <v>-20.166000000000007</v>
      </c>
      <c r="BB36" s="200">
        <f>-81.76-BA36-AZ36-AY36</f>
        <v>-21.419999999999998</v>
      </c>
      <c r="BC36" s="695">
        <f t="shared" ref="BC36:BC45" si="30">SUM(AY36:BB36)</f>
        <v>-81.760000000000005</v>
      </c>
      <c r="BD36" s="19"/>
      <c r="BE36" s="690">
        <v>-23.128</v>
      </c>
      <c r="BF36" s="691">
        <f>-45.356-BE36</f>
        <v>-22.228000000000002</v>
      </c>
      <c r="BG36" s="691">
        <f>-67.01-BF36-BE36</f>
        <v>-21.654000000000003</v>
      </c>
      <c r="BH36" s="691">
        <f>-90.597-BG36-BF36-BE36</f>
        <v>-23.586999999999982</v>
      </c>
      <c r="BI36" s="695">
        <f t="shared" ref="BI36:BI45" si="31">SUM(BE36:BH36)</f>
        <v>-90.59699999999998</v>
      </c>
      <c r="BJ36" s="19"/>
      <c r="BK36" s="690">
        <v>-24.196999999999999</v>
      </c>
      <c r="BL36" s="691">
        <f>-47.655-BK36</f>
        <v>-23.458000000000002</v>
      </c>
      <c r="BM36" s="691">
        <f>-70.947-SUM(BK36:BL36)</f>
        <v>-23.292000000000002</v>
      </c>
      <c r="BN36" s="691">
        <f>-95.91-SUM(BK36:BM36)</f>
        <v>-24.962999999999994</v>
      </c>
      <c r="BO36" s="695">
        <f t="shared" ref="BO36:BO45" si="32">SUM(BK36:BN36)</f>
        <v>-95.91</v>
      </c>
      <c r="BP36" s="19"/>
      <c r="BQ36" s="690">
        <v>-25.21</v>
      </c>
      <c r="BR36" s="691">
        <f>-49.969-BQ36</f>
        <v>-24.759</v>
      </c>
      <c r="BS36" s="691">
        <f>-74.641-SUM(BQ36:BR36)</f>
        <v>-24.672000000000004</v>
      </c>
      <c r="BT36" s="199">
        <f>-'P&amp;L'!BT26*'Cash Flow'!BT63</f>
        <v>-25.949402280717994</v>
      </c>
      <c r="BU36" s="695">
        <f t="shared" ref="BU36:BU45" si="33">SUM(BQ36:BT36)</f>
        <v>-100.590402280718</v>
      </c>
      <c r="BV36" s="19"/>
      <c r="BW36" s="175">
        <f>-'P&amp;L'!BW26*'Cash Flow'!BW63</f>
        <v>-25.719255211384137</v>
      </c>
      <c r="BX36" s="199">
        <f>-'P&amp;L'!BX26*'Cash Flow'!BX63</f>
        <v>-25.529893177947127</v>
      </c>
      <c r="BY36" s="199">
        <f>-'P&amp;L'!BY26*'Cash Flow'!BY63</f>
        <v>-25.340531144510106</v>
      </c>
      <c r="BZ36" s="199">
        <f>-'P&amp;L'!BZ26*'Cash Flow'!BZ63</f>
        <v>-27.24709987032919</v>
      </c>
      <c r="CA36" s="695">
        <f t="shared" ref="CA36:CA45" si="34">SUM(BW36:BZ36)</f>
        <v>-103.83677940417057</v>
      </c>
      <c r="CB36" s="19"/>
      <c r="CC36" s="175">
        <f>-'P&amp;L'!CC26*'Cash Flow'!CC63</f>
        <v>-27.041957667439085</v>
      </c>
      <c r="CD36" s="199">
        <f>-'P&amp;L'!CD26*'Cash Flow'!CD63</f>
        <v>-26.836815464548991</v>
      </c>
      <c r="CE36" s="199">
        <f>-'P&amp;L'!CE26*'Cash Flow'!CE63</f>
        <v>-26.631673261658886</v>
      </c>
      <c r="CF36" s="199">
        <f>-'P&amp;L'!CF26*'Cash Flow'!CF63</f>
        <v>-28.628741980332858</v>
      </c>
      <c r="CG36" s="695">
        <f t="shared" ref="CG36:CG45" si="35">SUM(CC36:CF36)</f>
        <v>-109.13918837397982</v>
      </c>
      <c r="CH36" s="19"/>
      <c r="CI36" s="175">
        <f>-'P&amp;L'!CI26*'Cash Flow'!CI63</f>
        <v>-28.406504593868579</v>
      </c>
      <c r="CJ36" s="199">
        <f>-'P&amp;L'!CJ26*'Cash Flow'!CJ63</f>
        <v>-28.184267207404307</v>
      </c>
      <c r="CK36" s="199">
        <f>-'P&amp;L'!CK26*'Cash Flow'!CK63</f>
        <v>-27.962029820940028</v>
      </c>
      <c r="CL36" s="199">
        <f>-'P&amp;L'!CL26*'Cash Flow'!CL63</f>
        <v>-30.051441804015411</v>
      </c>
      <c r="CM36" s="695">
        <f t="shared" ref="CM36:CM45" si="36">SUM(CI36:CL36)</f>
        <v>-114.60424342622832</v>
      </c>
      <c r="CN36" s="19"/>
      <c r="CO36" s="14"/>
      <c r="CP36" s="14"/>
      <c r="CW36" s="873"/>
      <c r="CX36" s="11"/>
      <c r="CY36" s="11"/>
      <c r="CZ36" s="11"/>
      <c r="DA36" s="11"/>
      <c r="DB36" s="11"/>
      <c r="DC36" s="11"/>
      <c r="DD36" s="11"/>
      <c r="DE36" s="11"/>
      <c r="DF36" s="11"/>
      <c r="DG36" s="11"/>
      <c r="DH36" s="11"/>
      <c r="DI36" s="11"/>
      <c r="DJ36" s="11"/>
      <c r="DK36" s="11"/>
      <c r="DL36" s="11"/>
      <c r="DM36" s="11"/>
      <c r="DN36" s="11"/>
      <c r="DO36" s="11"/>
      <c r="DP36" s="11"/>
      <c r="DQ36" s="11"/>
    </row>
    <row r="37" spans="1:121" ht="11.25" customHeight="1" x14ac:dyDescent="0.2">
      <c r="A37" s="70"/>
      <c r="B37" s="262" t="s">
        <v>301</v>
      </c>
      <c r="C37" s="677">
        <v>0</v>
      </c>
      <c r="D37" s="193">
        <f>0-C37</f>
        <v>0</v>
      </c>
      <c r="E37" s="200">
        <f>0-D37-C37</f>
        <v>0</v>
      </c>
      <c r="F37" s="200">
        <f>0-E37-D37-C37</f>
        <v>0</v>
      </c>
      <c r="G37" s="695">
        <f t="shared" si="22"/>
        <v>0</v>
      </c>
      <c r="H37" s="19"/>
      <c r="I37" s="677">
        <v>0</v>
      </c>
      <c r="J37" s="193">
        <f>0-I37</f>
        <v>0</v>
      </c>
      <c r="K37" s="200">
        <f>-236.732-J37-I37</f>
        <v>-236.732</v>
      </c>
      <c r="L37" s="200">
        <f>-636.093-K37-J37-I37</f>
        <v>-399.36099999999999</v>
      </c>
      <c r="M37" s="695">
        <f t="shared" si="23"/>
        <v>-636.09299999999996</v>
      </c>
      <c r="N37" s="19"/>
      <c r="O37" s="677">
        <v>0</v>
      </c>
      <c r="P37" s="193">
        <f>0-O37</f>
        <v>0</v>
      </c>
      <c r="Q37" s="200">
        <f>0-P37-O37</f>
        <v>0</v>
      </c>
      <c r="R37" s="200">
        <f>0-Q37-P37-O37</f>
        <v>0</v>
      </c>
      <c r="S37" s="695">
        <f t="shared" si="24"/>
        <v>0</v>
      </c>
      <c r="T37" s="19"/>
      <c r="U37" s="677">
        <v>0</v>
      </c>
      <c r="V37" s="193">
        <f>0-U37</f>
        <v>0</v>
      </c>
      <c r="W37" s="200">
        <f>0-V37-U37</f>
        <v>0</v>
      </c>
      <c r="X37" s="200">
        <f>0-W37-V37-U37</f>
        <v>0</v>
      </c>
      <c r="Y37" s="695">
        <f t="shared" si="25"/>
        <v>0</v>
      </c>
      <c r="Z37" s="19"/>
      <c r="AA37" s="677">
        <v>0</v>
      </c>
      <c r="AB37" s="193">
        <f>-36.947-AA37</f>
        <v>-36.947000000000003</v>
      </c>
      <c r="AC37" s="200">
        <f>-36.947-AB37-AA37</f>
        <v>0</v>
      </c>
      <c r="AD37" s="200">
        <f>-97.153-AC37-AB37-AA37</f>
        <v>-60.206000000000003</v>
      </c>
      <c r="AE37" s="695">
        <f t="shared" si="26"/>
        <v>-97.153000000000006</v>
      </c>
      <c r="AF37" s="19"/>
      <c r="AG37" s="677">
        <v>-59.912999999999997</v>
      </c>
      <c r="AH37" s="193">
        <f>-218.858-AG37</f>
        <v>-158.94499999999999</v>
      </c>
      <c r="AI37" s="193">
        <f>-323.519-AH37-AG37</f>
        <v>-104.66100000000002</v>
      </c>
      <c r="AJ37" s="193">
        <f>-362.379-AI37-AH37-AG37</f>
        <v>-38.860000000000028</v>
      </c>
      <c r="AK37" s="695">
        <f t="shared" si="27"/>
        <v>-362.37900000000002</v>
      </c>
      <c r="AL37" s="19"/>
      <c r="AM37" s="677">
        <v>-34.472000000000001</v>
      </c>
      <c r="AN37" s="193">
        <f>-85.174-AM37</f>
        <v>-50.702000000000005</v>
      </c>
      <c r="AO37" s="193">
        <f>-140.468-AN37-AM37</f>
        <v>-55.29399999999999</v>
      </c>
      <c r="AP37" s="193">
        <f>-179.525-AO37-AN37-AM37</f>
        <v>-39.057000000000023</v>
      </c>
      <c r="AQ37" s="695">
        <f t="shared" si="28"/>
        <v>-179.52500000000001</v>
      </c>
      <c r="AR37" s="19"/>
      <c r="AS37" s="677">
        <v>-22.199000000000002</v>
      </c>
      <c r="AT37" s="193">
        <f>-22.199-AS37</f>
        <v>0</v>
      </c>
      <c r="AU37" s="193">
        <f>-42.734-AT37-AS37</f>
        <v>-20.535</v>
      </c>
      <c r="AV37" s="193">
        <f>-96.486-AU37-AT37-AS37</f>
        <v>-53.75200000000001</v>
      </c>
      <c r="AW37" s="695">
        <f t="shared" si="29"/>
        <v>-96.486000000000018</v>
      </c>
      <c r="AX37" s="19"/>
      <c r="AY37" s="677">
        <v>-42.877000000000002</v>
      </c>
      <c r="AZ37" s="193">
        <f>-47.539-AY37</f>
        <v>-4.661999999999999</v>
      </c>
      <c r="BA37" s="193">
        <f>-47.539-AZ37-AY37</f>
        <v>0</v>
      </c>
      <c r="BB37" s="200">
        <f>-47.539-BA37-AZ37-AY37</f>
        <v>0</v>
      </c>
      <c r="BC37" s="695">
        <f t="shared" si="30"/>
        <v>-47.539000000000001</v>
      </c>
      <c r="BD37" s="19"/>
      <c r="BE37" s="690">
        <v>0</v>
      </c>
      <c r="BF37" s="691">
        <f>-160.579-BE37</f>
        <v>-160.57900000000001</v>
      </c>
      <c r="BG37" s="691">
        <f>-200-BF37-BE37</f>
        <v>-39.420999999999992</v>
      </c>
      <c r="BH37" s="691">
        <f>-200-BG37-BF37-BE37</f>
        <v>0</v>
      </c>
      <c r="BI37" s="695">
        <f t="shared" si="31"/>
        <v>-200</v>
      </c>
      <c r="BJ37" s="19"/>
      <c r="BK37" s="690">
        <v>-25</v>
      </c>
      <c r="BL37" s="691">
        <f>-50-BK37</f>
        <v>-25</v>
      </c>
      <c r="BM37" s="691">
        <f>-84.651-SUM(BK37:BL37)</f>
        <v>-34.650999999999996</v>
      </c>
      <c r="BN37" s="691">
        <f>-125.384-SUM(BK37:BM37)</f>
        <v>-40.733000000000004</v>
      </c>
      <c r="BO37" s="695">
        <f t="shared" si="32"/>
        <v>-125.384</v>
      </c>
      <c r="BP37" s="19"/>
      <c r="BQ37" s="690">
        <v>-37.5</v>
      </c>
      <c r="BR37" s="691">
        <f>-71.254-BQ37</f>
        <v>-33.754000000000005</v>
      </c>
      <c r="BS37" s="691">
        <f>-87.5-SUM(BQ37:BR37)</f>
        <v>-16.245999999999995</v>
      </c>
      <c r="BT37" s="199">
        <f>BT86*-1</f>
        <v>-33.426189999999998</v>
      </c>
      <c r="BU37" s="695">
        <f t="shared" si="33"/>
        <v>-120.92618999999999</v>
      </c>
      <c r="BV37" s="19"/>
      <c r="BW37" s="175">
        <f>BW86*-1</f>
        <v>-24.994959212989372</v>
      </c>
      <c r="BX37" s="199">
        <f>BX86*-1</f>
        <v>-24.994959212989372</v>
      </c>
      <c r="BY37" s="199">
        <f>BY86*-1</f>
        <v>-24.994959212989372</v>
      </c>
      <c r="BZ37" s="199">
        <f>BZ86*-1</f>
        <v>-24.994959212989372</v>
      </c>
      <c r="CA37" s="695">
        <f t="shared" si="34"/>
        <v>-99.979836851957486</v>
      </c>
      <c r="CB37" s="19"/>
      <c r="CC37" s="175">
        <f>CC86*-1</f>
        <v>-24.994959212989372</v>
      </c>
      <c r="CD37" s="199">
        <f>CD86*-1</f>
        <v>-24.994959212989372</v>
      </c>
      <c r="CE37" s="199">
        <f>CE86*-1</f>
        <v>-24.994959212989372</v>
      </c>
      <c r="CF37" s="199">
        <f>CF86*-1</f>
        <v>-24.994959212989372</v>
      </c>
      <c r="CG37" s="695">
        <f t="shared" si="35"/>
        <v>-99.979836851957486</v>
      </c>
      <c r="CH37" s="19"/>
      <c r="CI37" s="175">
        <f>CI86*-1</f>
        <v>-24.994959212989372</v>
      </c>
      <c r="CJ37" s="199">
        <f>CJ86*-1</f>
        <v>-24.994959212989372</v>
      </c>
      <c r="CK37" s="199">
        <f>CK86*-1</f>
        <v>-24.994959212989372</v>
      </c>
      <c r="CL37" s="199">
        <f>CL86*-1</f>
        <v>-24.994959212989372</v>
      </c>
      <c r="CM37" s="695">
        <f t="shared" si="36"/>
        <v>-99.979836851957486</v>
      </c>
      <c r="CN37" s="19"/>
      <c r="CO37" s="14"/>
      <c r="CP37" s="14"/>
      <c r="CW37" s="873"/>
      <c r="CX37" s="11"/>
      <c r="CY37" s="11"/>
      <c r="CZ37" s="11"/>
      <c r="DA37" s="11"/>
      <c r="DB37" s="11"/>
      <c r="DC37" s="11"/>
      <c r="DD37" s="11"/>
      <c r="DE37" s="11"/>
      <c r="DF37" s="11"/>
      <c r="DG37" s="11"/>
      <c r="DH37" s="11"/>
      <c r="DI37" s="11"/>
      <c r="DJ37" s="11"/>
      <c r="DK37" s="11"/>
      <c r="DL37" s="11"/>
      <c r="DM37" s="11"/>
      <c r="DN37" s="11"/>
      <c r="DO37" s="11"/>
      <c r="DP37" s="11"/>
      <c r="DQ37" s="11"/>
    </row>
    <row r="38" spans="1:121" ht="11.25" customHeight="1" x14ac:dyDescent="0.2">
      <c r="A38" s="70"/>
      <c r="B38" s="262" t="s">
        <v>302</v>
      </c>
      <c r="C38" s="677">
        <v>0</v>
      </c>
      <c r="D38" s="193">
        <f>0-C38</f>
        <v>0</v>
      </c>
      <c r="E38" s="200">
        <f>0-D38-C38</f>
        <v>0</v>
      </c>
      <c r="F38" s="200">
        <f>0-E38-D38-C38</f>
        <v>0</v>
      </c>
      <c r="G38" s="695">
        <f t="shared" si="22"/>
        <v>0</v>
      </c>
      <c r="H38" s="19"/>
      <c r="I38" s="677">
        <v>0</v>
      </c>
      <c r="J38" s="193">
        <f>0-I38</f>
        <v>0</v>
      </c>
      <c r="K38" s="200">
        <f>0-J38-I38</f>
        <v>0</v>
      </c>
      <c r="L38" s="200">
        <f>525-K38-J38-I38</f>
        <v>525</v>
      </c>
      <c r="M38" s="695">
        <f t="shared" si="23"/>
        <v>525</v>
      </c>
      <c r="N38" s="19"/>
      <c r="O38" s="677">
        <v>0</v>
      </c>
      <c r="P38" s="193">
        <f>0-O38</f>
        <v>0</v>
      </c>
      <c r="Q38" s="200">
        <f>0-P38-O38</f>
        <v>0</v>
      </c>
      <c r="R38" s="200">
        <f>0-Q38-P38-O38</f>
        <v>0</v>
      </c>
      <c r="S38" s="695">
        <f t="shared" si="24"/>
        <v>0</v>
      </c>
      <c r="T38" s="19"/>
      <c r="U38" s="677">
        <v>0</v>
      </c>
      <c r="V38" s="193">
        <f>0-U38</f>
        <v>0</v>
      </c>
      <c r="W38" s="200">
        <f>0-V38-U38</f>
        <v>0</v>
      </c>
      <c r="X38" s="200">
        <f>0-W38-V38-U38</f>
        <v>0</v>
      </c>
      <c r="Y38" s="695">
        <f t="shared" si="25"/>
        <v>0</v>
      </c>
      <c r="Z38" s="19"/>
      <c r="AA38" s="677">
        <v>0</v>
      </c>
      <c r="AB38" s="193">
        <f>0-AA38</f>
        <v>0</v>
      </c>
      <c r="AC38" s="200">
        <f>0-AB38-AA38</f>
        <v>0</v>
      </c>
      <c r="AD38" s="200">
        <f>0-AC38-AB38-AA38</f>
        <v>0</v>
      </c>
      <c r="AE38" s="695">
        <f t="shared" si="26"/>
        <v>0</v>
      </c>
      <c r="AF38" s="19"/>
      <c r="AG38" s="677">
        <v>0</v>
      </c>
      <c r="AH38" s="193">
        <f>0-AG38</f>
        <v>0</v>
      </c>
      <c r="AI38" s="193">
        <f>325-AH38-AG38</f>
        <v>325</v>
      </c>
      <c r="AJ38" s="193">
        <f>325-AI38-AH38-AG38</f>
        <v>0</v>
      </c>
      <c r="AK38" s="695">
        <f t="shared" si="27"/>
        <v>325</v>
      </c>
      <c r="AL38" s="19"/>
      <c r="AM38" s="677">
        <v>0</v>
      </c>
      <c r="AN38" s="193">
        <f>0-AM38</f>
        <v>0</v>
      </c>
      <c r="AO38" s="193">
        <f>0-AN38-AM38</f>
        <v>0</v>
      </c>
      <c r="AP38" s="193">
        <f>0-AO38-AN38-AM38</f>
        <v>0</v>
      </c>
      <c r="AQ38" s="695">
        <f t="shared" si="28"/>
        <v>0</v>
      </c>
      <c r="AR38" s="19"/>
      <c r="AS38" s="677">
        <v>0</v>
      </c>
      <c r="AT38" s="193">
        <f>0-AS38</f>
        <v>0</v>
      </c>
      <c r="AU38" s="193">
        <f>0-AT38-AS38</f>
        <v>0</v>
      </c>
      <c r="AV38" s="193">
        <f>0-AU38-AT38-AS38</f>
        <v>0</v>
      </c>
      <c r="AW38" s="695">
        <f t="shared" si="29"/>
        <v>0</v>
      </c>
      <c r="AX38" s="19"/>
      <c r="AY38" s="677">
        <v>0</v>
      </c>
      <c r="AZ38" s="193">
        <f t="shared" ref="AZ38:AZ44" si="37">0-AY38</f>
        <v>0</v>
      </c>
      <c r="BA38" s="193">
        <f t="shared" ref="BA38:BA44" si="38">0-AZ38-AY38</f>
        <v>0</v>
      </c>
      <c r="BB38" s="200">
        <f>250-BA38-AZ38-AY38</f>
        <v>250</v>
      </c>
      <c r="BC38" s="695">
        <f t="shared" si="30"/>
        <v>250</v>
      </c>
      <c r="BD38" s="19"/>
      <c r="BE38" s="690">
        <v>1000</v>
      </c>
      <c r="BF38" s="691">
        <f>1000-BE38</f>
        <v>0</v>
      </c>
      <c r="BG38" s="691">
        <f>1000-BF38-BE38</f>
        <v>0</v>
      </c>
      <c r="BH38" s="691">
        <f>1000-BG38-BF38-BE38</f>
        <v>0</v>
      </c>
      <c r="BI38" s="695">
        <f t="shared" si="31"/>
        <v>1000</v>
      </c>
      <c r="BJ38" s="19"/>
      <c r="BK38" s="690">
        <v>0</v>
      </c>
      <c r="BL38" s="691">
        <f>0-BK38</f>
        <v>0</v>
      </c>
      <c r="BM38" s="691">
        <f t="shared" ref="BM38:BM44" si="39">0-SUM(BK38:BL38)</f>
        <v>0</v>
      </c>
      <c r="BN38" s="691">
        <f>39-SUM(BK38:BM38)</f>
        <v>39</v>
      </c>
      <c r="BO38" s="695">
        <f t="shared" si="32"/>
        <v>39</v>
      </c>
      <c r="BP38" s="19"/>
      <c r="BQ38" s="690">
        <v>0</v>
      </c>
      <c r="BR38" s="691">
        <f>0-BQ38</f>
        <v>0</v>
      </c>
      <c r="BS38" s="691">
        <f t="shared" ref="BS38:BS44" si="40">0-SUM(BQ38:BR38)</f>
        <v>0</v>
      </c>
      <c r="BT38" s="199">
        <f>IF(('BalSht '!BT33-'BalSht '!BS33)&lt;0,0,'BalSht '!BT33-'BalSht '!BS33)</f>
        <v>0</v>
      </c>
      <c r="BU38" s="695">
        <f t="shared" si="33"/>
        <v>0</v>
      </c>
      <c r="BV38" s="19"/>
      <c r="BW38" s="175">
        <f>IF(('BalSht '!BW33-'BalSht '!BU33)&lt;0,0,'BalSht '!BW33-'BalSht '!BU33)</f>
        <v>0</v>
      </c>
      <c r="BX38" s="199">
        <f>IF(('BalSht '!BX33-'BalSht '!BW33)&lt;0,0,'BalSht '!BX33-'BalSht '!BW33)</f>
        <v>0</v>
      </c>
      <c r="BY38" s="199">
        <f>IF(('BalSht '!BY33-'BalSht '!BX33)&lt;0,0,'BalSht '!BY33-'BalSht '!BX33)</f>
        <v>0</v>
      </c>
      <c r="BZ38" s="199">
        <f>IF(('BalSht '!BZ33-'BalSht '!BY33)&lt;0,0,'BalSht '!BZ33-'BalSht '!BY33)</f>
        <v>0</v>
      </c>
      <c r="CA38" s="695">
        <f t="shared" si="34"/>
        <v>0</v>
      </c>
      <c r="CB38" s="19"/>
      <c r="CC38" s="175">
        <f>IF(('BalSht '!CC33-'BalSht '!CA33)&lt;0,0,'BalSht '!CC33-'BalSht '!CA33)</f>
        <v>0</v>
      </c>
      <c r="CD38" s="199">
        <f>IF(('BalSht '!CD33-'BalSht '!CC33)&lt;0,0,'BalSht '!CD33-'BalSht '!CC33)</f>
        <v>0</v>
      </c>
      <c r="CE38" s="199">
        <f>IF(('BalSht '!CE33-'BalSht '!CD33)&lt;0,0,'BalSht '!CE33-'BalSht '!CD33)</f>
        <v>0</v>
      </c>
      <c r="CF38" s="199">
        <f>IF(('BalSht '!CF33-'BalSht '!CE33)&lt;0,0,'BalSht '!CF33-'BalSht '!CE33)</f>
        <v>0</v>
      </c>
      <c r="CG38" s="695">
        <f t="shared" si="35"/>
        <v>0</v>
      </c>
      <c r="CH38" s="19"/>
      <c r="CI38" s="175">
        <f>IF(('BalSht '!CI33-'BalSht '!CG33)&lt;0,0,'BalSht '!CI33-'BalSht '!CG33)</f>
        <v>0</v>
      </c>
      <c r="CJ38" s="199">
        <f>IF(('BalSht '!CJ33-'BalSht '!CI33)&lt;0,0,'BalSht '!CJ33-'BalSht '!CI33)</f>
        <v>0</v>
      </c>
      <c r="CK38" s="199">
        <f>IF(('BalSht '!CK33-'BalSht '!CJ33)&lt;0,0,'BalSht '!CK33-'BalSht '!CJ33)</f>
        <v>0</v>
      </c>
      <c r="CL38" s="199">
        <f>IF(('BalSht '!CL33-'BalSht '!CK33)&lt;0,0,'BalSht '!CL33-'BalSht '!CK33)</f>
        <v>0</v>
      </c>
      <c r="CM38" s="695">
        <f t="shared" si="36"/>
        <v>0</v>
      </c>
      <c r="CN38" s="19"/>
      <c r="CO38" s="14"/>
      <c r="CP38" s="14"/>
      <c r="CW38" s="873"/>
      <c r="CX38" s="11"/>
      <c r="CY38" s="11"/>
      <c r="CZ38" s="11"/>
      <c r="DA38" s="11"/>
      <c r="DB38" s="11"/>
      <c r="DC38" s="11"/>
      <c r="DD38" s="11"/>
      <c r="DE38" s="11"/>
      <c r="DF38" s="11"/>
      <c r="DG38" s="11"/>
      <c r="DH38" s="11"/>
      <c r="DI38" s="11"/>
      <c r="DJ38" s="11"/>
      <c r="DK38" s="11"/>
      <c r="DL38" s="11"/>
      <c r="DM38" s="11"/>
      <c r="DN38" s="11"/>
      <c r="DO38" s="11"/>
      <c r="DP38" s="11"/>
      <c r="DQ38" s="11"/>
    </row>
    <row r="39" spans="1:121" ht="11.25" customHeight="1" x14ac:dyDescent="0.2">
      <c r="A39" s="70"/>
      <c r="B39" s="262" t="s">
        <v>303</v>
      </c>
      <c r="C39" s="677">
        <v>0</v>
      </c>
      <c r="D39" s="193">
        <f>0-C39</f>
        <v>0</v>
      </c>
      <c r="E39" s="200">
        <f>0-D39-C39</f>
        <v>0</v>
      </c>
      <c r="F39" s="200">
        <f>0-E39-D39-C39</f>
        <v>0</v>
      </c>
      <c r="G39" s="695">
        <f t="shared" si="22"/>
        <v>0</v>
      </c>
      <c r="H39" s="19"/>
      <c r="I39" s="677">
        <v>0</v>
      </c>
      <c r="J39" s="193">
        <f>0-I39</f>
        <v>0</v>
      </c>
      <c r="K39" s="200">
        <f>0-J39-I39</f>
        <v>0</v>
      </c>
      <c r="L39" s="200">
        <f>-1.813-K39-J39-I39</f>
        <v>-1.8129999999999999</v>
      </c>
      <c r="M39" s="695">
        <f t="shared" si="23"/>
        <v>-1.8129999999999999</v>
      </c>
      <c r="N39" s="19"/>
      <c r="O39" s="677">
        <v>0</v>
      </c>
      <c r="P39" s="193">
        <f>0-O39</f>
        <v>0</v>
      </c>
      <c r="Q39" s="200">
        <f>0-P39-O39</f>
        <v>0</v>
      </c>
      <c r="R39" s="200">
        <f>0-Q39-P39-O39</f>
        <v>0</v>
      </c>
      <c r="S39" s="695">
        <f t="shared" si="24"/>
        <v>0</v>
      </c>
      <c r="T39" s="19"/>
      <c r="U39" s="677">
        <v>0</v>
      </c>
      <c r="V39" s="193">
        <f>0-U39</f>
        <v>0</v>
      </c>
      <c r="W39" s="200">
        <f>0-V39-U39</f>
        <v>0</v>
      </c>
      <c r="X39" s="200">
        <f>0-W39-V39-U39</f>
        <v>0</v>
      </c>
      <c r="Y39" s="695">
        <f t="shared" si="25"/>
        <v>0</v>
      </c>
      <c r="Z39" s="19"/>
      <c r="AA39" s="677">
        <v>0</v>
      </c>
      <c r="AB39" s="193">
        <f>0-AA39</f>
        <v>0</v>
      </c>
      <c r="AC39" s="200">
        <f>0-AB39-AA39</f>
        <v>0</v>
      </c>
      <c r="AD39" s="200">
        <f>0-AC39-AB39-AA39</f>
        <v>0</v>
      </c>
      <c r="AE39" s="695">
        <f t="shared" si="26"/>
        <v>0</v>
      </c>
      <c r="AF39" s="19"/>
      <c r="AG39" s="677">
        <v>0</v>
      </c>
      <c r="AH39" s="193">
        <f>0-AG39</f>
        <v>0</v>
      </c>
      <c r="AI39" s="193">
        <f>-1.862-AH39-AG39</f>
        <v>-1.8620000000000001</v>
      </c>
      <c r="AJ39" s="193">
        <f>-1.862-AI39-AH39-AG39</f>
        <v>0</v>
      </c>
      <c r="AK39" s="695">
        <f t="shared" si="27"/>
        <v>-1.8620000000000001</v>
      </c>
      <c r="AL39" s="19"/>
      <c r="AM39" s="677">
        <v>0</v>
      </c>
      <c r="AN39" s="193">
        <f>0-AM39</f>
        <v>0</v>
      </c>
      <c r="AO39" s="193">
        <f>0-AN39-AM39</f>
        <v>0</v>
      </c>
      <c r="AP39" s="193">
        <f>0-AO39-AN39-AM39</f>
        <v>0</v>
      </c>
      <c r="AQ39" s="695">
        <f t="shared" si="28"/>
        <v>0</v>
      </c>
      <c r="AR39" s="19"/>
      <c r="AS39" s="677">
        <v>0</v>
      </c>
      <c r="AT39" s="193">
        <f>0-AS39</f>
        <v>0</v>
      </c>
      <c r="AU39" s="193">
        <f>0-AT39-AS39</f>
        <v>0</v>
      </c>
      <c r="AV39" s="193">
        <f>0-AU39-AT39-AS39</f>
        <v>0</v>
      </c>
      <c r="AW39" s="695">
        <f t="shared" si="29"/>
        <v>0</v>
      </c>
      <c r="AX39" s="19"/>
      <c r="AY39" s="677">
        <v>0</v>
      </c>
      <c r="AZ39" s="193">
        <f t="shared" si="37"/>
        <v>0</v>
      </c>
      <c r="BA39" s="193">
        <f t="shared" si="38"/>
        <v>0</v>
      </c>
      <c r="BB39" s="200">
        <f>0-BA39-AZ39-AY39</f>
        <v>0</v>
      </c>
      <c r="BC39" s="695">
        <f t="shared" si="30"/>
        <v>0</v>
      </c>
      <c r="BD39" s="19"/>
      <c r="BE39" s="690">
        <v>-11.6</v>
      </c>
      <c r="BF39" s="691">
        <f>-11.6-BE39</f>
        <v>0</v>
      </c>
      <c r="BG39" s="691">
        <f>-11.6-BF39-BE39</f>
        <v>0</v>
      </c>
      <c r="BH39" s="691">
        <f>-11.6-BG39-BF39-BE39</f>
        <v>0</v>
      </c>
      <c r="BI39" s="695">
        <f t="shared" si="31"/>
        <v>-11.6</v>
      </c>
      <c r="BJ39" s="19"/>
      <c r="BK39" s="690">
        <v>0</v>
      </c>
      <c r="BL39" s="691">
        <f>0-BK39</f>
        <v>0</v>
      </c>
      <c r="BM39" s="691">
        <f t="shared" si="39"/>
        <v>0</v>
      </c>
      <c r="BN39" s="691">
        <f>-1.266-SUM(BK39:BM39)</f>
        <v>-1.266</v>
      </c>
      <c r="BO39" s="695">
        <f t="shared" si="32"/>
        <v>-1.266</v>
      </c>
      <c r="BP39" s="19"/>
      <c r="BQ39" s="690">
        <v>0</v>
      </c>
      <c r="BR39" s="691">
        <f>0-BQ39</f>
        <v>0</v>
      </c>
      <c r="BS39" s="691">
        <f t="shared" si="40"/>
        <v>0</v>
      </c>
      <c r="BT39" s="848">
        <v>0</v>
      </c>
      <c r="BU39" s="695">
        <f t="shared" si="33"/>
        <v>0</v>
      </c>
      <c r="BV39" s="19"/>
      <c r="BW39" s="854">
        <v>0</v>
      </c>
      <c r="BX39" s="848">
        <v>0</v>
      </c>
      <c r="BY39" s="848">
        <v>0</v>
      </c>
      <c r="BZ39" s="848">
        <v>0</v>
      </c>
      <c r="CA39" s="695">
        <f t="shared" si="34"/>
        <v>0</v>
      </c>
      <c r="CB39" s="19"/>
      <c r="CC39" s="854">
        <v>0</v>
      </c>
      <c r="CD39" s="848">
        <v>0</v>
      </c>
      <c r="CE39" s="848">
        <v>0</v>
      </c>
      <c r="CF39" s="848">
        <v>0</v>
      </c>
      <c r="CG39" s="695">
        <f t="shared" si="35"/>
        <v>0</v>
      </c>
      <c r="CH39" s="19"/>
      <c r="CI39" s="854">
        <v>0</v>
      </c>
      <c r="CJ39" s="848">
        <v>0</v>
      </c>
      <c r="CK39" s="848">
        <v>0</v>
      </c>
      <c r="CL39" s="848">
        <v>0</v>
      </c>
      <c r="CM39" s="695">
        <f t="shared" si="36"/>
        <v>0</v>
      </c>
      <c r="CN39" s="19"/>
      <c r="CO39" s="14"/>
      <c r="CP39" s="14"/>
      <c r="CW39" s="873"/>
      <c r="CX39" s="11"/>
      <c r="CY39" s="11"/>
      <c r="CZ39" s="11"/>
      <c r="DA39" s="11"/>
      <c r="DB39" s="11"/>
      <c r="DC39" s="11"/>
      <c r="DD39" s="11"/>
      <c r="DE39" s="11"/>
      <c r="DF39" s="11"/>
      <c r="DG39" s="11"/>
      <c r="DH39" s="11"/>
      <c r="DI39" s="11"/>
      <c r="DJ39" s="11"/>
      <c r="DK39" s="11"/>
      <c r="DL39" s="11"/>
      <c r="DM39" s="11"/>
      <c r="DN39" s="11"/>
      <c r="DO39" s="11"/>
      <c r="DP39" s="11"/>
      <c r="DQ39" s="11"/>
    </row>
    <row r="40" spans="1:121" ht="11.25" customHeight="1" x14ac:dyDescent="0.2">
      <c r="A40" s="70"/>
      <c r="B40" s="262" t="s">
        <v>131</v>
      </c>
      <c r="C40" s="677">
        <v>-5.0019999999999998</v>
      </c>
      <c r="D40" s="193">
        <f>-10.013-C40</f>
        <v>-5.0110000000000001</v>
      </c>
      <c r="E40" s="200">
        <f>-85.013-D40-C40</f>
        <v>-75.000000000000014</v>
      </c>
      <c r="F40" s="200">
        <f>-120.017-E40-D40-C40</f>
        <v>-35.003999999999976</v>
      </c>
      <c r="G40" s="695">
        <f t="shared" si="22"/>
        <v>-120.017</v>
      </c>
      <c r="H40" s="19"/>
      <c r="I40" s="677">
        <v>-8.0000000000000002E-3</v>
      </c>
      <c r="J40" s="193">
        <f>-0.016-I40</f>
        <v>-8.0000000000000002E-3</v>
      </c>
      <c r="K40" s="200">
        <f>-50.024-J40-I40</f>
        <v>-50.007999999999996</v>
      </c>
      <c r="L40" s="200">
        <f>-50.024-K40-J40-I40</f>
        <v>-5.3429483060085659E-15</v>
      </c>
      <c r="M40" s="695">
        <f t="shared" si="23"/>
        <v>-50.024000000000001</v>
      </c>
      <c r="N40" s="19"/>
      <c r="O40" s="677">
        <v>-2E-3</v>
      </c>
      <c r="P40" s="193">
        <f>-0.004-O40</f>
        <v>-2E-3</v>
      </c>
      <c r="Q40" s="200">
        <f>-130.008-P40-O40</f>
        <v>-130.00399999999999</v>
      </c>
      <c r="R40" s="200">
        <f>-130.034-Q40-P40-O40</f>
        <v>-2.6000000000001133E-2</v>
      </c>
      <c r="S40" s="695">
        <f t="shared" si="24"/>
        <v>-130.03399999999999</v>
      </c>
      <c r="T40" s="19"/>
      <c r="U40" s="677">
        <v>0</v>
      </c>
      <c r="V40" s="193">
        <f>0-U40</f>
        <v>0</v>
      </c>
      <c r="W40" s="200">
        <f>0-V40-U40</f>
        <v>0</v>
      </c>
      <c r="X40" s="200">
        <f>0-W40-V40-U40</f>
        <v>0</v>
      </c>
      <c r="Y40" s="695">
        <f t="shared" si="25"/>
        <v>0</v>
      </c>
      <c r="Z40" s="19"/>
      <c r="AA40" s="677">
        <v>0</v>
      </c>
      <c r="AB40" s="193">
        <f>0-AA40</f>
        <v>0</v>
      </c>
      <c r="AC40" s="200">
        <f>0-AB40-AA40</f>
        <v>0</v>
      </c>
      <c r="AD40" s="200">
        <f>0-AC40-AB40-AA40</f>
        <v>0</v>
      </c>
      <c r="AE40" s="695">
        <f t="shared" si="26"/>
        <v>0</v>
      </c>
      <c r="AF40" s="19"/>
      <c r="AG40" s="677">
        <v>0</v>
      </c>
      <c r="AH40" s="193">
        <f>0-AG40</f>
        <v>0</v>
      </c>
      <c r="AI40" s="193">
        <f>0-AH40-AG40</f>
        <v>0</v>
      </c>
      <c r="AJ40" s="193">
        <f>0-AI40-AH40-AG40</f>
        <v>0</v>
      </c>
      <c r="AK40" s="695">
        <f t="shared" si="27"/>
        <v>0</v>
      </c>
      <c r="AL40" s="19"/>
      <c r="AM40" s="677">
        <v>0</v>
      </c>
      <c r="AN40" s="193">
        <f>-75-AM40</f>
        <v>-75</v>
      </c>
      <c r="AO40" s="193">
        <f>-75-AN40-AM40</f>
        <v>0</v>
      </c>
      <c r="AP40" s="193">
        <f>-125-AO40-AN40-AM40</f>
        <v>-50</v>
      </c>
      <c r="AQ40" s="695">
        <f t="shared" si="28"/>
        <v>-125</v>
      </c>
      <c r="AR40" s="19"/>
      <c r="AS40" s="677">
        <v>0</v>
      </c>
      <c r="AT40" s="193">
        <f>0-AS40</f>
        <v>0</v>
      </c>
      <c r="AU40" s="193">
        <f>0-AT40-AS40</f>
        <v>0</v>
      </c>
      <c r="AV40" s="193">
        <f>0-AU40-AT40-AS40</f>
        <v>0</v>
      </c>
      <c r="AW40" s="695">
        <f t="shared" si="29"/>
        <v>0</v>
      </c>
      <c r="AX40" s="19"/>
      <c r="AY40" s="677">
        <v>0</v>
      </c>
      <c r="AZ40" s="193">
        <f t="shared" si="37"/>
        <v>0</v>
      </c>
      <c r="BA40" s="193">
        <f t="shared" si="38"/>
        <v>0</v>
      </c>
      <c r="BB40" s="200">
        <f>-250-BA40-AZ40-AY40</f>
        <v>-250</v>
      </c>
      <c r="BC40" s="695">
        <f t="shared" si="30"/>
        <v>-250</v>
      </c>
      <c r="BD40" s="19"/>
      <c r="BE40" s="690">
        <v>0</v>
      </c>
      <c r="BF40" s="691">
        <f>-674.125-BE40</f>
        <v>-674.125</v>
      </c>
      <c r="BG40" s="691">
        <f>-678.25-BF40-BE40</f>
        <v>-4.125</v>
      </c>
      <c r="BH40" s="691">
        <f>-682.375-BG40-BF40-BE40</f>
        <v>-4.125</v>
      </c>
      <c r="BI40" s="695">
        <f t="shared" si="31"/>
        <v>-682.375</v>
      </c>
      <c r="BJ40" s="19"/>
      <c r="BK40" s="690">
        <v>-4.125</v>
      </c>
      <c r="BL40" s="691">
        <f>-8.25-BK40</f>
        <v>-4.125</v>
      </c>
      <c r="BM40" s="691">
        <f>-22.55-SUM(BK40:BL40)</f>
        <v>-14.3</v>
      </c>
      <c r="BN40" s="691">
        <f>-26.238-SUM(BK40:BM40)</f>
        <v>-3.6879999999999988</v>
      </c>
      <c r="BO40" s="695">
        <f t="shared" si="32"/>
        <v>-26.238</v>
      </c>
      <c r="BP40" s="19"/>
      <c r="BQ40" s="690">
        <v>0</v>
      </c>
      <c r="BR40" s="691">
        <f>-7.377-BQ40</f>
        <v>-7.3769999999999998</v>
      </c>
      <c r="BS40" s="691">
        <f>-7.377-SUM(BQ40:BR40)</f>
        <v>0</v>
      </c>
      <c r="BT40" s="199">
        <f>IF(('BalSht '!BT33-'BalSht '!BS33)&gt;0,0,'BalSht '!BT33-'BalSht '!BS33)</f>
        <v>0</v>
      </c>
      <c r="BU40" s="695">
        <f t="shared" si="33"/>
        <v>-7.3769999999999998</v>
      </c>
      <c r="BV40" s="19"/>
      <c r="BW40" s="175">
        <f>IF(('BalSht '!BW33-'BalSht '!BU33)&gt;0,0,'BalSht '!BW33-'BalSht '!BU33)</f>
        <v>0</v>
      </c>
      <c r="BX40" s="199">
        <f>IF(('BalSht '!BX33-'BalSht '!BW33)&gt;0,0,'BalSht '!BX33-'BalSht '!BW33)</f>
        <v>0</v>
      </c>
      <c r="BY40" s="199">
        <f>IF(('BalSht '!BY33-'BalSht '!BX33)&gt;0,0,'BalSht '!BY33-'BalSht '!BX33)</f>
        <v>0</v>
      </c>
      <c r="BZ40" s="199">
        <f>IF(('BalSht '!BZ33-'BalSht '!BY33)&gt;0,0,'BalSht '!BZ33-'BalSht '!BY33)</f>
        <v>0</v>
      </c>
      <c r="CA40" s="695">
        <f t="shared" si="34"/>
        <v>0</v>
      </c>
      <c r="CB40" s="19"/>
      <c r="CC40" s="175">
        <f>IF(('BalSht '!CC33-'BalSht '!CA33)&gt;0,0,'BalSht '!CC33-'BalSht '!CA33)</f>
        <v>0</v>
      </c>
      <c r="CD40" s="199">
        <f>IF(('BalSht '!CD33-'BalSht '!CC33)&gt;0,0,'BalSht '!CD33-'BalSht '!CC33)</f>
        <v>0</v>
      </c>
      <c r="CE40" s="199">
        <f>IF(('BalSht '!CE33-'BalSht '!CD33)&gt;0,0,'BalSht '!CE33-'BalSht '!CD33)</f>
        <v>0</v>
      </c>
      <c r="CF40" s="199">
        <f>IF(('BalSht '!CF33-'BalSht '!CE33)&gt;0,0,'BalSht '!CF33-'BalSht '!CE33)</f>
        <v>0</v>
      </c>
      <c r="CG40" s="695">
        <f t="shared" si="35"/>
        <v>0</v>
      </c>
      <c r="CH40" s="19"/>
      <c r="CI40" s="175">
        <f>IF(('BalSht '!CI33-'BalSht '!CG33)&gt;0,0,'BalSht '!CI33-'BalSht '!CG33)</f>
        <v>0</v>
      </c>
      <c r="CJ40" s="199">
        <f>IF(('BalSht '!CJ33-'BalSht '!CI33)&gt;0,0,'BalSht '!CJ33-'BalSht '!CI33)</f>
        <v>0</v>
      </c>
      <c r="CK40" s="199">
        <f>IF(('BalSht '!CK33-'BalSht '!CJ33)&gt;0,0,'BalSht '!CK33-'BalSht '!CJ33)</f>
        <v>0</v>
      </c>
      <c r="CL40" s="199">
        <f>IF(('BalSht '!CL33-'BalSht '!CK33)&gt;0,0,'BalSht '!CL33-'BalSht '!CK33)</f>
        <v>0</v>
      </c>
      <c r="CM40" s="695">
        <f t="shared" si="36"/>
        <v>0</v>
      </c>
      <c r="CN40" s="19"/>
      <c r="CO40" s="14"/>
      <c r="CP40" s="14"/>
      <c r="CW40" s="873"/>
      <c r="CX40" s="11"/>
      <c r="CY40" s="11"/>
      <c r="CZ40" s="11"/>
      <c r="DA40" s="11"/>
      <c r="DB40" s="11"/>
      <c r="DC40" s="11"/>
      <c r="DD40" s="11"/>
      <c r="DE40" s="11"/>
      <c r="DF40" s="11"/>
      <c r="DG40" s="11"/>
      <c r="DH40" s="11"/>
      <c r="DI40" s="11"/>
      <c r="DJ40" s="11"/>
      <c r="DK40" s="11"/>
      <c r="DL40" s="11"/>
      <c r="DM40" s="11"/>
      <c r="DN40" s="11"/>
      <c r="DO40" s="11"/>
      <c r="DP40" s="11"/>
      <c r="DQ40" s="11"/>
    </row>
    <row r="41" spans="1:121" ht="11.25" customHeight="1" x14ac:dyDescent="0.2">
      <c r="A41" s="70"/>
      <c r="B41" s="262" t="s">
        <v>323</v>
      </c>
      <c r="C41" s="677">
        <v>0</v>
      </c>
      <c r="D41" s="193">
        <f>0-C41</f>
        <v>0</v>
      </c>
      <c r="E41" s="200">
        <f>0-D41-C41</f>
        <v>0</v>
      </c>
      <c r="F41" s="200">
        <f>0-E41-D41-C41</f>
        <v>0</v>
      </c>
      <c r="G41" s="695">
        <f t="shared" si="22"/>
        <v>0</v>
      </c>
      <c r="H41" s="19"/>
      <c r="I41" s="677">
        <v>0</v>
      </c>
      <c r="J41" s="193">
        <f>0-I41</f>
        <v>0</v>
      </c>
      <c r="K41" s="200">
        <f>60-J41-I41</f>
        <v>60</v>
      </c>
      <c r="L41" s="200">
        <f>0-K41-J41-I41</f>
        <v>-60</v>
      </c>
      <c r="M41" s="695">
        <f t="shared" si="23"/>
        <v>0</v>
      </c>
      <c r="N41" s="19"/>
      <c r="O41" s="677">
        <v>0</v>
      </c>
      <c r="P41" s="193">
        <f>0-O41</f>
        <v>0</v>
      </c>
      <c r="Q41" s="200">
        <f>63-P41-O41</f>
        <v>63</v>
      </c>
      <c r="R41" s="200">
        <f>22-Q41-P41-O41</f>
        <v>-41</v>
      </c>
      <c r="S41" s="695">
        <f t="shared" si="24"/>
        <v>22</v>
      </c>
      <c r="T41" s="19"/>
      <c r="U41" s="677">
        <v>-8</v>
      </c>
      <c r="V41" s="193">
        <f>-22-U41</f>
        <v>-14</v>
      </c>
      <c r="W41" s="200">
        <f>-22-V41-U41</f>
        <v>0</v>
      </c>
      <c r="X41" s="200">
        <f>-22-W41-V41-U41</f>
        <v>0</v>
      </c>
      <c r="Y41" s="695">
        <f t="shared" si="25"/>
        <v>-22</v>
      </c>
      <c r="Z41" s="19"/>
      <c r="AA41" s="677">
        <v>0</v>
      </c>
      <c r="AB41" s="193">
        <f>0-AA41</f>
        <v>0</v>
      </c>
      <c r="AC41" s="200">
        <f>0-AB41-AA41</f>
        <v>0</v>
      </c>
      <c r="AD41" s="200">
        <f>0-AC41-AB41-AA41</f>
        <v>0</v>
      </c>
      <c r="AE41" s="695">
        <f t="shared" si="26"/>
        <v>0</v>
      </c>
      <c r="AF41" s="19"/>
      <c r="AG41" s="677">
        <v>0</v>
      </c>
      <c r="AH41" s="193">
        <f>20-AG41</f>
        <v>20</v>
      </c>
      <c r="AI41" s="193">
        <f>0-AH41-AG41</f>
        <v>-20</v>
      </c>
      <c r="AJ41" s="193">
        <f>0-AI41-AH41-AG41</f>
        <v>0</v>
      </c>
      <c r="AK41" s="695">
        <f t="shared" si="27"/>
        <v>0</v>
      </c>
      <c r="AL41" s="19"/>
      <c r="AM41" s="677">
        <v>0</v>
      </c>
      <c r="AN41" s="193">
        <f>0-AM41</f>
        <v>0</v>
      </c>
      <c r="AO41" s="193">
        <f>0-AN41-AM41</f>
        <v>0</v>
      </c>
      <c r="AP41" s="193">
        <f>0-AO41-AN41-AM41</f>
        <v>0</v>
      </c>
      <c r="AQ41" s="695">
        <f t="shared" si="28"/>
        <v>0</v>
      </c>
      <c r="AR41" s="19"/>
      <c r="AS41" s="677">
        <v>135</v>
      </c>
      <c r="AT41" s="193">
        <f>135-AS41</f>
        <v>0</v>
      </c>
      <c r="AU41" s="193">
        <f>135-AT41-AS41</f>
        <v>0</v>
      </c>
      <c r="AV41" s="193">
        <f>135-135-AU41-AT41-AS41</f>
        <v>-135</v>
      </c>
      <c r="AW41" s="695">
        <f t="shared" si="29"/>
        <v>0</v>
      </c>
      <c r="AX41" s="19"/>
      <c r="AY41" s="677">
        <v>0</v>
      </c>
      <c r="AZ41" s="193">
        <f t="shared" si="37"/>
        <v>0</v>
      </c>
      <c r="BA41" s="193">
        <f t="shared" si="38"/>
        <v>0</v>
      </c>
      <c r="BB41" s="200">
        <f>0-BA41-AZ41-AY41</f>
        <v>0</v>
      </c>
      <c r="BC41" s="695">
        <f t="shared" si="30"/>
        <v>0</v>
      </c>
      <c r="BD41" s="19"/>
      <c r="BE41" s="690">
        <v>0</v>
      </c>
      <c r="BF41" s="691">
        <f>80-BE41</f>
        <v>80</v>
      </c>
      <c r="BG41" s="691">
        <f>198-BF41-BE41</f>
        <v>118</v>
      </c>
      <c r="BH41" s="691">
        <f>20-BG41-BF41-BE41</f>
        <v>-178</v>
      </c>
      <c r="BI41" s="695">
        <f t="shared" si="31"/>
        <v>20</v>
      </c>
      <c r="BJ41" s="19"/>
      <c r="BK41" s="690">
        <v>88</v>
      </c>
      <c r="BL41" s="691">
        <f>143-BK41</f>
        <v>55</v>
      </c>
      <c r="BM41" s="691">
        <f>178-SUM(BK41:BL41)</f>
        <v>35</v>
      </c>
      <c r="BN41" s="691">
        <f>0-SUM(BK41:BM41)</f>
        <v>-178</v>
      </c>
      <c r="BO41" s="695">
        <f t="shared" si="32"/>
        <v>0</v>
      </c>
      <c r="BP41" s="19"/>
      <c r="BQ41" s="690">
        <v>104</v>
      </c>
      <c r="BR41" s="691">
        <f>33-BQ41</f>
        <v>-71</v>
      </c>
      <c r="BS41" s="691">
        <f>120-SUM(BQ41:BR41)</f>
        <v>87</v>
      </c>
      <c r="BT41" s="199">
        <f>'BalSht '!BT29-'BalSht '!BS29</f>
        <v>0</v>
      </c>
      <c r="BU41" s="695">
        <f t="shared" si="33"/>
        <v>120</v>
      </c>
      <c r="BV41" s="19"/>
      <c r="BW41" s="175">
        <f>'BalSht '!BW29-'BalSht '!BU29</f>
        <v>0</v>
      </c>
      <c r="BX41" s="199">
        <f>'BalSht '!BX29-'BalSht '!BW29</f>
        <v>0</v>
      </c>
      <c r="BY41" s="199">
        <f>'BalSht '!BY29-'BalSht '!BX29</f>
        <v>0</v>
      </c>
      <c r="BZ41" s="199">
        <f>'BalSht '!BZ29-'BalSht '!BY29</f>
        <v>0</v>
      </c>
      <c r="CA41" s="695">
        <f t="shared" si="34"/>
        <v>0</v>
      </c>
      <c r="CB41" s="19"/>
      <c r="CC41" s="175">
        <f>'BalSht '!CC29-'BalSht '!CA29</f>
        <v>0</v>
      </c>
      <c r="CD41" s="199">
        <f>'BalSht '!CD29-'BalSht '!CC29</f>
        <v>0</v>
      </c>
      <c r="CE41" s="199">
        <f>'BalSht '!CE29-'BalSht '!CD29</f>
        <v>0</v>
      </c>
      <c r="CF41" s="199">
        <f>'BalSht '!CF29-'BalSht '!CE29</f>
        <v>0</v>
      </c>
      <c r="CG41" s="695">
        <f t="shared" si="35"/>
        <v>0</v>
      </c>
      <c r="CH41" s="19"/>
      <c r="CI41" s="175">
        <f>'BalSht '!CI29-'BalSht '!CG29</f>
        <v>0</v>
      </c>
      <c r="CJ41" s="199">
        <f>'BalSht '!CJ29-'BalSht '!CI29</f>
        <v>0</v>
      </c>
      <c r="CK41" s="199">
        <f>'BalSht '!CK29-'BalSht '!CJ29</f>
        <v>0</v>
      </c>
      <c r="CL41" s="199">
        <f>'BalSht '!CL29-'BalSht '!CK29</f>
        <v>0</v>
      </c>
      <c r="CM41" s="695">
        <f t="shared" si="36"/>
        <v>0</v>
      </c>
      <c r="CN41" s="19"/>
      <c r="CO41" s="14"/>
      <c r="CP41" s="14"/>
      <c r="CW41" s="873"/>
      <c r="CX41" s="11"/>
      <c r="CY41" s="11"/>
      <c r="CZ41" s="11"/>
      <c r="DA41" s="11"/>
      <c r="DB41" s="11"/>
      <c r="DC41" s="11"/>
      <c r="DD41" s="11"/>
      <c r="DE41" s="11"/>
      <c r="DF41" s="11"/>
      <c r="DG41" s="11"/>
      <c r="DH41" s="11"/>
      <c r="DI41" s="11"/>
      <c r="DJ41" s="11"/>
      <c r="DK41" s="11"/>
      <c r="DL41" s="11"/>
      <c r="DM41" s="11"/>
      <c r="DN41" s="11"/>
      <c r="DO41" s="11"/>
      <c r="DP41" s="11"/>
      <c r="DQ41" s="11"/>
    </row>
    <row r="42" spans="1:121" ht="11.25" customHeight="1" x14ac:dyDescent="0.2">
      <c r="A42" s="70"/>
      <c r="B42" s="262" t="s">
        <v>324</v>
      </c>
      <c r="C42" s="677">
        <v>4.1180000000000003</v>
      </c>
      <c r="D42" s="193">
        <f>7.698-C42</f>
        <v>3.58</v>
      </c>
      <c r="E42" s="200">
        <f>20.317-D42-C42</f>
        <v>12.619000000000002</v>
      </c>
      <c r="F42" s="200">
        <f>19.205-E42-D42-C42</f>
        <v>-1.1120000000000037</v>
      </c>
      <c r="G42" s="695">
        <f t="shared" si="22"/>
        <v>19.204999999999998</v>
      </c>
      <c r="H42" s="19"/>
      <c r="I42" s="677">
        <v>3.4870000000000001</v>
      </c>
      <c r="J42" s="193">
        <f>6.598-I42</f>
        <v>3.1109999999999998</v>
      </c>
      <c r="K42" s="200">
        <f>10.306-J42-I42</f>
        <v>3.7079999999999993</v>
      </c>
      <c r="L42" s="200">
        <f>13.107-K42-J42-I42</f>
        <v>2.801000000000001</v>
      </c>
      <c r="M42" s="695">
        <f t="shared" si="23"/>
        <v>13.106999999999999</v>
      </c>
      <c r="N42" s="19"/>
      <c r="O42" s="677">
        <v>2.359</v>
      </c>
      <c r="P42" s="193">
        <f>5.363-O42</f>
        <v>3.0040000000000004</v>
      </c>
      <c r="Q42" s="200">
        <f>10.275-P42-O42</f>
        <v>4.9119999999999999</v>
      </c>
      <c r="R42" s="200">
        <f>12.244-Q42-P42-O42</f>
        <v>1.9689999999999994</v>
      </c>
      <c r="S42" s="695">
        <f t="shared" si="24"/>
        <v>12.244</v>
      </c>
      <c r="T42" s="19"/>
      <c r="U42" s="677">
        <v>3.12</v>
      </c>
      <c r="V42" s="193">
        <f>5.62-U42</f>
        <v>2.5</v>
      </c>
      <c r="W42" s="200">
        <f>9.995-V42-U42</f>
        <v>4.3749999999999991</v>
      </c>
      <c r="X42" s="200">
        <f>12.184-W42-V42-U42</f>
        <v>2.1890000000000001</v>
      </c>
      <c r="Y42" s="695">
        <f t="shared" si="25"/>
        <v>12.183999999999999</v>
      </c>
      <c r="Z42" s="19"/>
      <c r="AA42" s="677">
        <v>5.5019999999999998</v>
      </c>
      <c r="AB42" s="193">
        <f>7.735-AA42</f>
        <v>2.2330000000000005</v>
      </c>
      <c r="AC42" s="200">
        <f>9.417-AB42-AA42</f>
        <v>1.6819999999999995</v>
      </c>
      <c r="AD42" s="200">
        <f>11.94-AC42-AB42-AA42</f>
        <v>2.5229999999999988</v>
      </c>
      <c r="AE42" s="695">
        <f t="shared" si="26"/>
        <v>11.939999999999998</v>
      </c>
      <c r="AF42" s="19"/>
      <c r="AG42" s="677">
        <v>4.2469999999999999</v>
      </c>
      <c r="AH42" s="193">
        <f>6.667-AG42</f>
        <v>2.42</v>
      </c>
      <c r="AI42" s="193">
        <f>10.496-AH42-AG42</f>
        <v>3.8290000000000006</v>
      </c>
      <c r="AJ42" s="193">
        <f>13.621-AI42-AH42-AG42</f>
        <v>3.125</v>
      </c>
      <c r="AK42" s="695">
        <f t="shared" si="27"/>
        <v>13.621</v>
      </c>
      <c r="AL42" s="19"/>
      <c r="AM42" s="677">
        <v>4.1870000000000003</v>
      </c>
      <c r="AN42" s="193">
        <f>5.621-AM42</f>
        <v>1.4340000000000002</v>
      </c>
      <c r="AO42" s="193">
        <f>9.875-AN42-AM42</f>
        <v>4.2539999999999987</v>
      </c>
      <c r="AP42" s="193">
        <f>13.131-AO42-AN42-AM42</f>
        <v>3.256000000000002</v>
      </c>
      <c r="AQ42" s="695">
        <f t="shared" si="28"/>
        <v>13.131000000000002</v>
      </c>
      <c r="AR42" s="19"/>
      <c r="AS42" s="677">
        <v>0</v>
      </c>
      <c r="AT42" s="193">
        <f>8.647-AS42</f>
        <v>8.6470000000000002</v>
      </c>
      <c r="AU42" s="193">
        <f>14.108-AT42-AS42</f>
        <v>5.4610000000000003</v>
      </c>
      <c r="AV42" s="193">
        <f>20.217-AU42-AT42-AS42</f>
        <v>6.1089999999999982</v>
      </c>
      <c r="AW42" s="695">
        <f t="shared" si="29"/>
        <v>20.216999999999999</v>
      </c>
      <c r="AX42" s="19"/>
      <c r="AY42" s="677">
        <v>0</v>
      </c>
      <c r="AZ42" s="193">
        <f t="shared" si="37"/>
        <v>0</v>
      </c>
      <c r="BA42" s="193">
        <f t="shared" si="38"/>
        <v>0</v>
      </c>
      <c r="BB42" s="200">
        <f>7.3-BA42-AZ42-AY42</f>
        <v>7.3</v>
      </c>
      <c r="BC42" s="695">
        <f t="shared" si="30"/>
        <v>7.3</v>
      </c>
      <c r="BD42" s="19"/>
      <c r="BE42" s="690">
        <v>0</v>
      </c>
      <c r="BF42" s="691">
        <v>0</v>
      </c>
      <c r="BG42" s="691">
        <v>0</v>
      </c>
      <c r="BH42" s="691">
        <f>4.825-BG42-BF42-BE42</f>
        <v>4.8250000000000002</v>
      </c>
      <c r="BI42" s="695">
        <f t="shared" si="31"/>
        <v>4.8250000000000002</v>
      </c>
      <c r="BJ42" s="19"/>
      <c r="BK42" s="690">
        <v>0</v>
      </c>
      <c r="BL42" s="691">
        <v>0</v>
      </c>
      <c r="BM42" s="691">
        <f t="shared" si="39"/>
        <v>0</v>
      </c>
      <c r="BN42" s="691">
        <f>8.721-SUM(BK42:BM42)</f>
        <v>8.7210000000000001</v>
      </c>
      <c r="BO42" s="695">
        <f t="shared" si="32"/>
        <v>8.7210000000000001</v>
      </c>
      <c r="BP42" s="19"/>
      <c r="BQ42" s="690">
        <v>0</v>
      </c>
      <c r="BR42" s="691">
        <f t="shared" ref="BR42:BR44" si="41">0-BQ42</f>
        <v>0</v>
      </c>
      <c r="BS42" s="691">
        <f t="shared" si="40"/>
        <v>0</v>
      </c>
      <c r="BT42" s="848">
        <v>0</v>
      </c>
      <c r="BU42" s="695">
        <f t="shared" si="33"/>
        <v>0</v>
      </c>
      <c r="BV42" s="19"/>
      <c r="BW42" s="854">
        <v>0</v>
      </c>
      <c r="BX42" s="848">
        <v>0</v>
      </c>
      <c r="BY42" s="848">
        <v>0</v>
      </c>
      <c r="BZ42" s="848">
        <v>0</v>
      </c>
      <c r="CA42" s="695">
        <f t="shared" si="34"/>
        <v>0</v>
      </c>
      <c r="CB42" s="19"/>
      <c r="CC42" s="854">
        <v>0</v>
      </c>
      <c r="CD42" s="848">
        <v>0</v>
      </c>
      <c r="CE42" s="848">
        <v>0</v>
      </c>
      <c r="CF42" s="848">
        <v>0</v>
      </c>
      <c r="CG42" s="695">
        <f t="shared" si="35"/>
        <v>0</v>
      </c>
      <c r="CH42" s="19"/>
      <c r="CI42" s="854">
        <v>0</v>
      </c>
      <c r="CJ42" s="848">
        <v>0</v>
      </c>
      <c r="CK42" s="848">
        <v>0</v>
      </c>
      <c r="CL42" s="848">
        <v>0</v>
      </c>
      <c r="CM42" s="695">
        <f t="shared" si="36"/>
        <v>0</v>
      </c>
      <c r="CN42" s="19"/>
      <c r="CO42" s="14"/>
      <c r="CP42" s="14"/>
      <c r="CW42" s="873"/>
      <c r="CX42" s="11"/>
      <c r="CY42" s="11"/>
      <c r="CZ42" s="11"/>
      <c r="DA42" s="11"/>
      <c r="DB42" s="11"/>
      <c r="DC42" s="11"/>
      <c r="DD42" s="11"/>
      <c r="DE42" s="11"/>
      <c r="DF42" s="11"/>
      <c r="DG42" s="11"/>
      <c r="DH42" s="11"/>
      <c r="DI42" s="11"/>
      <c r="DJ42" s="11"/>
      <c r="DK42" s="11"/>
      <c r="DL42" s="11"/>
      <c r="DM42" s="11"/>
      <c r="DN42" s="11"/>
      <c r="DO42" s="11"/>
      <c r="DP42" s="11"/>
      <c r="DQ42" s="11"/>
    </row>
    <row r="43" spans="1:121" ht="11.25" customHeight="1" x14ac:dyDescent="0.2">
      <c r="A43" s="70"/>
      <c r="B43" s="262" t="s">
        <v>325</v>
      </c>
      <c r="C43" s="677">
        <v>0</v>
      </c>
      <c r="D43" s="193">
        <f>-105-C43</f>
        <v>-105</v>
      </c>
      <c r="E43" s="200">
        <f>-105-D43-C43</f>
        <v>0</v>
      </c>
      <c r="F43" s="200">
        <f>1.202-105-E43-D43-C43</f>
        <v>1.2019999999999982</v>
      </c>
      <c r="G43" s="695">
        <f t="shared" si="22"/>
        <v>-103.798</v>
      </c>
      <c r="H43" s="19"/>
      <c r="I43" s="677">
        <v>0</v>
      </c>
      <c r="J43" s="193">
        <f>0-I43</f>
        <v>0</v>
      </c>
      <c r="K43" s="200">
        <f>0-J43-I43</f>
        <v>0</v>
      </c>
      <c r="L43" s="200">
        <f>1.8-K43-J43-I43</f>
        <v>1.8</v>
      </c>
      <c r="M43" s="695">
        <f t="shared" si="23"/>
        <v>1.8</v>
      </c>
      <c r="N43" s="19"/>
      <c r="O43" s="677">
        <v>0</v>
      </c>
      <c r="P43" s="193">
        <f>0-O43</f>
        <v>0</v>
      </c>
      <c r="Q43" s="200">
        <f>0-P43-O43</f>
        <v>0</v>
      </c>
      <c r="R43" s="200">
        <f>1.801-Q43-P43-O43</f>
        <v>1.8009999999999999</v>
      </c>
      <c r="S43" s="695">
        <f t="shared" si="24"/>
        <v>1.8009999999999999</v>
      </c>
      <c r="T43" s="19"/>
      <c r="U43" s="677">
        <v>0</v>
      </c>
      <c r="V43" s="193">
        <f>0-U43</f>
        <v>0</v>
      </c>
      <c r="W43" s="200">
        <f>0-V43-U43</f>
        <v>0</v>
      </c>
      <c r="X43" s="200">
        <f>1.36-W43-V43-U43</f>
        <v>1.36</v>
      </c>
      <c r="Y43" s="695">
        <f t="shared" si="25"/>
        <v>1.36</v>
      </c>
      <c r="Z43" s="19"/>
      <c r="AA43" s="677">
        <v>1.611</v>
      </c>
      <c r="AB43" s="193">
        <f>1.246-AA43</f>
        <v>-0.36499999999999999</v>
      </c>
      <c r="AC43" s="200">
        <f>0.881-AB43-AA43</f>
        <v>-0.36499999999999999</v>
      </c>
      <c r="AD43" s="200">
        <f>0-AC43-AB43-AA43</f>
        <v>-0.88100000000000001</v>
      </c>
      <c r="AE43" s="695">
        <f t="shared" si="26"/>
        <v>0</v>
      </c>
      <c r="AF43" s="19"/>
      <c r="AG43" s="677">
        <v>-0.436</v>
      </c>
      <c r="AH43" s="193">
        <f>-0.871-AG43</f>
        <v>-0.435</v>
      </c>
      <c r="AI43" s="193">
        <f>-1.307-AH43-AG43</f>
        <v>-0.43599999999999989</v>
      </c>
      <c r="AJ43" s="193">
        <f>0.931-AI43-AH43-AG43</f>
        <v>2.238</v>
      </c>
      <c r="AK43" s="695">
        <f t="shared" si="27"/>
        <v>0.93100000000000005</v>
      </c>
      <c r="AL43" s="19"/>
      <c r="AM43" s="677">
        <v>-0.505</v>
      </c>
      <c r="AN43" s="193">
        <f>-1.01-AM43</f>
        <v>-0.505</v>
      </c>
      <c r="AO43" s="193">
        <f>-1.514-AN43-AM43</f>
        <v>-0.50399999999999989</v>
      </c>
      <c r="AP43" s="193">
        <f>1.576-AO43-AN43-AM43</f>
        <v>3.09</v>
      </c>
      <c r="AQ43" s="695">
        <f t="shared" si="28"/>
        <v>1.5760000000000001</v>
      </c>
      <c r="AR43" s="19"/>
      <c r="AS43" s="677">
        <v>0</v>
      </c>
      <c r="AT43" s="193">
        <f>-0.965-AS43</f>
        <v>-0.96499999999999997</v>
      </c>
      <c r="AU43" s="193">
        <f>-1.448-AT43-AS43</f>
        <v>-0.48299999999999998</v>
      </c>
      <c r="AV43" s="193">
        <f>0.435-AU43-AT43-AS43</f>
        <v>1.883</v>
      </c>
      <c r="AW43" s="695">
        <f t="shared" si="29"/>
        <v>0.43500000000000005</v>
      </c>
      <c r="AX43" s="19"/>
      <c r="AY43" s="677">
        <v>0</v>
      </c>
      <c r="AZ43" s="193">
        <f t="shared" si="37"/>
        <v>0</v>
      </c>
      <c r="BA43" s="193">
        <f t="shared" si="38"/>
        <v>0</v>
      </c>
      <c r="BB43" s="200">
        <f>-0.188-BA43-AZ43-AY43</f>
        <v>-0.188</v>
      </c>
      <c r="BC43" s="695">
        <f t="shared" si="30"/>
        <v>-0.188</v>
      </c>
      <c r="BD43" s="19"/>
      <c r="BE43" s="690">
        <v>0</v>
      </c>
      <c r="BF43" s="691">
        <v>0</v>
      </c>
      <c r="BG43" s="691">
        <v>0</v>
      </c>
      <c r="BH43" s="691">
        <f>-0.133-BG43-BF43-BE43</f>
        <v>-0.13300000000000001</v>
      </c>
      <c r="BI43" s="695">
        <f t="shared" si="31"/>
        <v>-0.13300000000000001</v>
      </c>
      <c r="BJ43" s="19"/>
      <c r="BK43" s="690">
        <v>0</v>
      </c>
      <c r="BL43" s="691">
        <v>0</v>
      </c>
      <c r="BM43" s="691">
        <f t="shared" si="39"/>
        <v>0</v>
      </c>
      <c r="BN43" s="691">
        <f>-1.086-SUM(BK43:BM43)</f>
        <v>-1.0860000000000001</v>
      </c>
      <c r="BO43" s="695">
        <f t="shared" si="32"/>
        <v>-1.0860000000000001</v>
      </c>
      <c r="BP43" s="19"/>
      <c r="BQ43" s="690">
        <v>0</v>
      </c>
      <c r="BR43" s="691">
        <f t="shared" si="41"/>
        <v>0</v>
      </c>
      <c r="BS43" s="691">
        <f t="shared" si="40"/>
        <v>0</v>
      </c>
      <c r="BT43" s="199">
        <f>BT82</f>
        <v>1.1431640259075009E-3</v>
      </c>
      <c r="BU43" s="695">
        <f t="shared" si="33"/>
        <v>1.1431640259075009E-3</v>
      </c>
      <c r="BV43" s="19"/>
      <c r="BW43" s="175">
        <f>BW82</f>
        <v>9.5796263037483266E-4</v>
      </c>
      <c r="BX43" s="199">
        <f>BX82</f>
        <v>1.0617255158906506E-3</v>
      </c>
      <c r="BY43" s="199">
        <f>BY82</f>
        <v>1.1629618309300616E-3</v>
      </c>
      <c r="BZ43" s="199">
        <f>BZ82</f>
        <v>1.2617330961258101E-3</v>
      </c>
      <c r="CA43" s="695">
        <f t="shared" si="34"/>
        <v>4.4443830733213556E-3</v>
      </c>
      <c r="CB43" s="19"/>
      <c r="CC43" s="175">
        <f>CC82</f>
        <v>1.1222067260136419E-3</v>
      </c>
      <c r="CD43" s="199">
        <f>CD82</f>
        <v>1.2101163620472761E-3</v>
      </c>
      <c r="CE43" s="199">
        <f>CE82</f>
        <v>1.2962747574863178E-3</v>
      </c>
      <c r="CF43" s="199">
        <f>CF82</f>
        <v>1.38071679864993E-3</v>
      </c>
      <c r="CG43" s="695">
        <f t="shared" si="35"/>
        <v>5.0093146441971652E-3</v>
      </c>
      <c r="CH43" s="19"/>
      <c r="CI43" s="175">
        <f>CI82</f>
        <v>1.2648519476597844E-3</v>
      </c>
      <c r="CJ43" s="199">
        <f>CJ82</f>
        <v>1.34335503473366E-3</v>
      </c>
      <c r="CK43" s="199">
        <f>CK82</f>
        <v>1.4205198985182054E-3</v>
      </c>
      <c r="CL43" s="199">
        <f>CL82</f>
        <v>1.4963693513847403E-3</v>
      </c>
      <c r="CM43" s="695">
        <f t="shared" si="36"/>
        <v>5.5250962322963906E-3</v>
      </c>
      <c r="CN43" s="19"/>
      <c r="CO43" s="14"/>
      <c r="CP43" s="14"/>
      <c r="CW43" s="873"/>
      <c r="CX43" s="11"/>
      <c r="CY43" s="11"/>
      <c r="CZ43" s="11"/>
      <c r="DA43" s="11"/>
      <c r="DB43" s="11"/>
      <c r="DC43" s="11"/>
      <c r="DD43" s="11"/>
      <c r="DE43" s="11"/>
      <c r="DF43" s="11"/>
      <c r="DG43" s="11"/>
      <c r="DH43" s="11"/>
      <c r="DI43" s="11"/>
      <c r="DJ43" s="11"/>
      <c r="DK43" s="11"/>
      <c r="DL43" s="11"/>
      <c r="DM43" s="11"/>
      <c r="DN43" s="11"/>
      <c r="DO43" s="11"/>
      <c r="DP43" s="11"/>
      <c r="DQ43" s="11"/>
    </row>
    <row r="44" spans="1:121" ht="11.25" customHeight="1" x14ac:dyDescent="0.2">
      <c r="A44" s="70"/>
      <c r="B44" s="262" t="s">
        <v>315</v>
      </c>
      <c r="C44" s="677">
        <v>0.48899999999999999</v>
      </c>
      <c r="D44" s="193">
        <f>0.504-C44</f>
        <v>1.5000000000000013E-2</v>
      </c>
      <c r="E44" s="200">
        <f>0.607-D44-C44</f>
        <v>0.10299999999999998</v>
      </c>
      <c r="F44" s="200">
        <f>0.658-E44-D44-C44</f>
        <v>5.1000000000000045E-2</v>
      </c>
      <c r="G44" s="695">
        <f t="shared" si="22"/>
        <v>0.65800000000000003</v>
      </c>
      <c r="H44" s="19"/>
      <c r="I44" s="677">
        <v>0.248</v>
      </c>
      <c r="J44" s="193">
        <f>0.529-I44</f>
        <v>0.28100000000000003</v>
      </c>
      <c r="K44" s="200">
        <f>0.585-J44-I44</f>
        <v>5.5999999999999939E-2</v>
      </c>
      <c r="L44" s="200">
        <f>0.778-K44-J44-I44</f>
        <v>0.19300000000000006</v>
      </c>
      <c r="M44" s="695">
        <f t="shared" si="23"/>
        <v>0.77800000000000002</v>
      </c>
      <c r="N44" s="19"/>
      <c r="O44" s="677">
        <v>0.05</v>
      </c>
      <c r="P44" s="193">
        <f>0.291-O44</f>
        <v>0.24099999999999999</v>
      </c>
      <c r="Q44" s="200">
        <f>0.317-P44-O44</f>
        <v>2.6000000000000009E-2</v>
      </c>
      <c r="R44" s="200">
        <f>0.346-Q44-P44-O44</f>
        <v>2.8999999999999956E-2</v>
      </c>
      <c r="S44" s="695">
        <f t="shared" si="24"/>
        <v>0.34599999999999997</v>
      </c>
      <c r="T44" s="19"/>
      <c r="U44" s="677">
        <v>0.105</v>
      </c>
      <c r="V44" s="193">
        <f>0.255-U44</f>
        <v>0.15000000000000002</v>
      </c>
      <c r="W44" s="200">
        <f>0.381-V44-U44</f>
        <v>0.126</v>
      </c>
      <c r="X44" s="200">
        <f>0.387-W44-V44-U44</f>
        <v>5.9999999999999915E-3</v>
      </c>
      <c r="Y44" s="695">
        <f t="shared" si="25"/>
        <v>0.38700000000000001</v>
      </c>
      <c r="Z44" s="19"/>
      <c r="AA44" s="677">
        <v>0.875</v>
      </c>
      <c r="AB44" s="193">
        <f>1.031-AA44</f>
        <v>0.15599999999999992</v>
      </c>
      <c r="AC44" s="200">
        <f>1.276-AB44-AA44</f>
        <v>0.24500000000000011</v>
      </c>
      <c r="AD44" s="200">
        <f>1.276-AC44-AB44-AA44</f>
        <v>0</v>
      </c>
      <c r="AE44" s="695">
        <f t="shared" si="26"/>
        <v>1.276</v>
      </c>
      <c r="AF44" s="19"/>
      <c r="AG44" s="677">
        <v>0.38800000000000001</v>
      </c>
      <c r="AH44" s="193">
        <f>0.544-AG44</f>
        <v>0.15600000000000003</v>
      </c>
      <c r="AI44" s="193">
        <f>0.608-AH44-AG44</f>
        <v>6.3999999999999946E-2</v>
      </c>
      <c r="AJ44" s="193">
        <f>1.371-AI44-AH44-AG44</f>
        <v>0.76299999999999979</v>
      </c>
      <c r="AK44" s="695">
        <f t="shared" si="27"/>
        <v>1.3709999999999998</v>
      </c>
      <c r="AL44" s="19"/>
      <c r="AM44" s="677">
        <v>0.434</v>
      </c>
      <c r="AN44" s="193">
        <f>0.656-AM44</f>
        <v>0.22200000000000003</v>
      </c>
      <c r="AO44" s="193">
        <f>0.849-AN44-AM44</f>
        <v>0.193</v>
      </c>
      <c r="AP44" s="193">
        <f>2.487-AO44-AN44-AM44</f>
        <v>1.6380000000000001</v>
      </c>
      <c r="AQ44" s="695">
        <f t="shared" si="28"/>
        <v>2.4870000000000001</v>
      </c>
      <c r="AR44" s="19"/>
      <c r="AS44" s="677">
        <v>0</v>
      </c>
      <c r="AT44" s="193">
        <f>0.832-AS44</f>
        <v>0.83199999999999996</v>
      </c>
      <c r="AU44" s="193">
        <f>1.096-AT44-AS44</f>
        <v>0.26400000000000012</v>
      </c>
      <c r="AV44" s="193">
        <f>1.29-AU44-AT44-AS44</f>
        <v>0.19399999999999984</v>
      </c>
      <c r="AW44" s="695">
        <f t="shared" si="29"/>
        <v>1.29</v>
      </c>
      <c r="AX44" s="19"/>
      <c r="AY44" s="677">
        <v>0</v>
      </c>
      <c r="AZ44" s="193">
        <f t="shared" si="37"/>
        <v>0</v>
      </c>
      <c r="BA44" s="193">
        <f t="shared" si="38"/>
        <v>0</v>
      </c>
      <c r="BB44" s="200">
        <f>0.255-BA44-AZ44-AY44</f>
        <v>0.255</v>
      </c>
      <c r="BC44" s="695">
        <f t="shared" si="30"/>
        <v>0.255</v>
      </c>
      <c r="BD44" s="19"/>
      <c r="BE44" s="690">
        <v>0</v>
      </c>
      <c r="BF44" s="691">
        <v>0</v>
      </c>
      <c r="BG44" s="691">
        <v>0</v>
      </c>
      <c r="BH44" s="691">
        <f>2.749-BG44-BF44-BE44</f>
        <v>2.7490000000000001</v>
      </c>
      <c r="BI44" s="695">
        <f t="shared" si="31"/>
        <v>2.7490000000000001</v>
      </c>
      <c r="BJ44" s="19"/>
      <c r="BK44" s="690">
        <v>0</v>
      </c>
      <c r="BL44" s="691">
        <v>0</v>
      </c>
      <c r="BM44" s="691">
        <f t="shared" si="39"/>
        <v>0</v>
      </c>
      <c r="BN44" s="691">
        <f>0-SUM(BK44:BM44)</f>
        <v>0</v>
      </c>
      <c r="BO44" s="695">
        <f t="shared" si="32"/>
        <v>0</v>
      </c>
      <c r="BP44" s="19"/>
      <c r="BQ44" s="690">
        <v>0</v>
      </c>
      <c r="BR44" s="691">
        <f t="shared" si="41"/>
        <v>0</v>
      </c>
      <c r="BS44" s="691">
        <f t="shared" si="40"/>
        <v>0</v>
      </c>
      <c r="BT44" s="848">
        <v>0</v>
      </c>
      <c r="BU44" s="695">
        <f t="shared" si="33"/>
        <v>0</v>
      </c>
      <c r="BV44" s="19"/>
      <c r="BW44" s="854">
        <v>0</v>
      </c>
      <c r="BX44" s="848">
        <v>0</v>
      </c>
      <c r="BY44" s="848">
        <v>0</v>
      </c>
      <c r="BZ44" s="848">
        <v>0</v>
      </c>
      <c r="CA44" s="695">
        <f t="shared" si="34"/>
        <v>0</v>
      </c>
      <c r="CB44" s="19"/>
      <c r="CC44" s="854">
        <v>0</v>
      </c>
      <c r="CD44" s="848">
        <v>0</v>
      </c>
      <c r="CE44" s="848">
        <v>0</v>
      </c>
      <c r="CF44" s="848">
        <v>0</v>
      </c>
      <c r="CG44" s="695">
        <f t="shared" si="35"/>
        <v>0</v>
      </c>
      <c r="CH44" s="19"/>
      <c r="CI44" s="854">
        <v>0</v>
      </c>
      <c r="CJ44" s="848">
        <v>0</v>
      </c>
      <c r="CK44" s="848">
        <v>0</v>
      </c>
      <c r="CL44" s="848">
        <v>0</v>
      </c>
      <c r="CM44" s="695">
        <f t="shared" si="36"/>
        <v>0</v>
      </c>
      <c r="CN44" s="19"/>
      <c r="CO44" s="14"/>
      <c r="CP44" s="14"/>
      <c r="CW44" s="873"/>
      <c r="CX44" s="11"/>
      <c r="CY44" s="11"/>
      <c r="CZ44" s="11"/>
      <c r="DA44" s="11"/>
      <c r="DB44" s="11"/>
      <c r="DC44" s="11"/>
      <c r="DD44" s="11"/>
      <c r="DE44" s="11"/>
      <c r="DF44" s="11"/>
      <c r="DG44" s="11"/>
      <c r="DH44" s="11"/>
      <c r="DI44" s="11"/>
      <c r="DJ44" s="11"/>
      <c r="DK44" s="11"/>
      <c r="DL44" s="11"/>
      <c r="DM44" s="11"/>
      <c r="DN44" s="11"/>
      <c r="DO44" s="11"/>
      <c r="DP44" s="11"/>
      <c r="DQ44" s="11"/>
    </row>
    <row r="45" spans="1:121" ht="11.25" customHeight="1" x14ac:dyDescent="0.2">
      <c r="A45" s="70"/>
      <c r="B45" s="831" t="s">
        <v>143</v>
      </c>
      <c r="C45" s="677">
        <v>0</v>
      </c>
      <c r="D45" s="193">
        <f>0-C45</f>
        <v>0</v>
      </c>
      <c r="E45" s="193">
        <f>0-D45-C45</f>
        <v>0</v>
      </c>
      <c r="F45" s="200">
        <f>0-E45-D45-C45</f>
        <v>0</v>
      </c>
      <c r="G45" s="695">
        <f t="shared" si="22"/>
        <v>0</v>
      </c>
      <c r="H45" s="200"/>
      <c r="I45" s="677">
        <v>0</v>
      </c>
      <c r="J45" s="193">
        <f>0-I45</f>
        <v>0</v>
      </c>
      <c r="K45" s="193">
        <f>0-J45-I45</f>
        <v>0</v>
      </c>
      <c r="L45" s="200">
        <f>0-K45-J45-I45</f>
        <v>0</v>
      </c>
      <c r="M45" s="695">
        <f t="shared" si="23"/>
        <v>0</v>
      </c>
      <c r="N45" s="200"/>
      <c r="O45" s="677">
        <v>0</v>
      </c>
      <c r="P45" s="193">
        <f>0-O45</f>
        <v>0</v>
      </c>
      <c r="Q45" s="193">
        <f>0-P45-O45</f>
        <v>0</v>
      </c>
      <c r="R45" s="200">
        <f>0-Q45-P45-O45</f>
        <v>0</v>
      </c>
      <c r="S45" s="695">
        <f t="shared" si="24"/>
        <v>0</v>
      </c>
      <c r="T45" s="200"/>
      <c r="U45" s="677">
        <v>0</v>
      </c>
      <c r="V45" s="193">
        <f>0-U45</f>
        <v>0</v>
      </c>
      <c r="W45" s="193">
        <f>0-V45-U45</f>
        <v>0</v>
      </c>
      <c r="X45" s="200">
        <f>0-W45-V45-U45</f>
        <v>0</v>
      </c>
      <c r="Y45" s="695">
        <f t="shared" si="25"/>
        <v>0</v>
      </c>
      <c r="Z45" s="200"/>
      <c r="AA45" s="677">
        <v>0</v>
      </c>
      <c r="AB45" s="193">
        <f>122.348-AA45</f>
        <v>122.348</v>
      </c>
      <c r="AC45" s="193">
        <f>0-AB45-AA45</f>
        <v>-122.348</v>
      </c>
      <c r="AD45" s="200">
        <f>0.707-AC45-AB45-AA45</f>
        <v>0.70699999999999363</v>
      </c>
      <c r="AE45" s="695">
        <f t="shared" si="26"/>
        <v>0.70699999999999363</v>
      </c>
      <c r="AF45" s="200"/>
      <c r="AG45" s="677">
        <v>0</v>
      </c>
      <c r="AH45" s="193">
        <f>0-AG45</f>
        <v>0</v>
      </c>
      <c r="AI45" s="193">
        <f>0-AH45-AG45</f>
        <v>0</v>
      </c>
      <c r="AJ45" s="193">
        <f>0-AI45-AH45-AG45</f>
        <v>0</v>
      </c>
      <c r="AK45" s="695">
        <f t="shared" si="27"/>
        <v>0</v>
      </c>
      <c r="AL45" s="200"/>
      <c r="AM45" s="677">
        <v>0</v>
      </c>
      <c r="AN45" s="193">
        <f>0-AM45</f>
        <v>0</v>
      </c>
      <c r="AO45" s="193">
        <f>0-AN45-AM45</f>
        <v>0</v>
      </c>
      <c r="AP45" s="193">
        <f>0-AO45-AN45-AM45</f>
        <v>0</v>
      </c>
      <c r="AQ45" s="695">
        <f t="shared" si="28"/>
        <v>0</v>
      </c>
      <c r="AR45" s="200"/>
      <c r="AS45" s="677">
        <v>1.732</v>
      </c>
      <c r="AT45" s="193">
        <f>0-AS45</f>
        <v>-1.732</v>
      </c>
      <c r="AU45" s="193">
        <f>0-AT45-AS45</f>
        <v>0</v>
      </c>
      <c r="AV45" s="193">
        <f>0-AU45-AT45-AS45</f>
        <v>0</v>
      </c>
      <c r="AW45" s="695">
        <f t="shared" si="29"/>
        <v>0</v>
      </c>
      <c r="AX45" s="200"/>
      <c r="AY45" s="677">
        <v>-0.81100000000000005</v>
      </c>
      <c r="AZ45" s="193">
        <f>0.844-AY45</f>
        <v>1.655</v>
      </c>
      <c r="BA45" s="193">
        <f>6.484-AZ45-AY45</f>
        <v>5.64</v>
      </c>
      <c r="BB45" s="200">
        <f>-29.003-BA45-AZ45-AY45</f>
        <v>-35.487000000000002</v>
      </c>
      <c r="BC45" s="695">
        <f t="shared" si="30"/>
        <v>-29.003</v>
      </c>
      <c r="BD45" s="200"/>
      <c r="BE45" s="690">
        <v>-0.745</v>
      </c>
      <c r="BF45" s="691">
        <f>2.894-BE45</f>
        <v>3.6390000000000002</v>
      </c>
      <c r="BG45" s="691">
        <f>5.523-BF45-BE45</f>
        <v>2.6289999999999996</v>
      </c>
      <c r="BH45" s="691">
        <f>0-BG45-BF45-BE45</f>
        <v>-5.5229999999999997</v>
      </c>
      <c r="BI45" s="695">
        <f t="shared" si="31"/>
        <v>0</v>
      </c>
      <c r="BJ45" s="200"/>
      <c r="BK45" s="690">
        <v>-0.50600000000000001</v>
      </c>
      <c r="BL45" s="691">
        <f>0.974-BK45</f>
        <v>1.48</v>
      </c>
      <c r="BM45" s="691">
        <f>-1.266+5.495-SUM(BK45:BL45)</f>
        <v>3.2549999999999999</v>
      </c>
      <c r="BN45" s="691">
        <f>0-SUM(BK45:BM45)</f>
        <v>-4.2290000000000001</v>
      </c>
      <c r="BO45" s="695">
        <f t="shared" si="32"/>
        <v>0</v>
      </c>
      <c r="BP45" s="200"/>
      <c r="BQ45" s="690">
        <v>1.9159999999999999</v>
      </c>
      <c r="BR45" s="691">
        <f>3.561-BQ45</f>
        <v>1.645</v>
      </c>
      <c r="BS45" s="691">
        <f>7.546-SUM(BQ45:BR45)</f>
        <v>3.9850000000000003</v>
      </c>
      <c r="BT45" s="848">
        <v>0</v>
      </c>
      <c r="BU45" s="695">
        <f t="shared" si="33"/>
        <v>7.5460000000000003</v>
      </c>
      <c r="BV45" s="200"/>
      <c r="BW45" s="854">
        <v>0</v>
      </c>
      <c r="BX45" s="848">
        <v>0</v>
      </c>
      <c r="BY45" s="848">
        <v>0</v>
      </c>
      <c r="BZ45" s="848">
        <v>0</v>
      </c>
      <c r="CA45" s="695">
        <f t="shared" si="34"/>
        <v>0</v>
      </c>
      <c r="CB45" s="200"/>
      <c r="CC45" s="854">
        <v>0</v>
      </c>
      <c r="CD45" s="848">
        <v>0</v>
      </c>
      <c r="CE45" s="848">
        <v>0</v>
      </c>
      <c r="CF45" s="848">
        <v>0</v>
      </c>
      <c r="CG45" s="695">
        <f t="shared" si="35"/>
        <v>0</v>
      </c>
      <c r="CH45" s="200"/>
      <c r="CI45" s="854">
        <v>0</v>
      </c>
      <c r="CJ45" s="848">
        <v>0</v>
      </c>
      <c r="CK45" s="848">
        <v>0</v>
      </c>
      <c r="CL45" s="848">
        <v>0</v>
      </c>
      <c r="CM45" s="695">
        <f t="shared" si="36"/>
        <v>0</v>
      </c>
      <c r="CN45" s="200"/>
      <c r="CO45" s="14"/>
      <c r="CP45" s="14"/>
      <c r="CW45" s="873"/>
      <c r="CX45" s="11"/>
      <c r="CY45" s="11"/>
      <c r="CZ45" s="11"/>
      <c r="DA45" s="11"/>
      <c r="DB45" s="11"/>
      <c r="DC45" s="11"/>
      <c r="DD45" s="11"/>
      <c r="DE45" s="11"/>
      <c r="DF45" s="11"/>
      <c r="DG45" s="11"/>
      <c r="DH45" s="11"/>
      <c r="DI45" s="11"/>
      <c r="DJ45" s="11"/>
      <c r="DK45" s="11"/>
      <c r="DL45" s="11"/>
      <c r="DM45" s="11"/>
      <c r="DN45" s="11"/>
      <c r="DO45" s="11"/>
      <c r="DP45" s="11"/>
      <c r="DQ45" s="11"/>
    </row>
    <row r="46" spans="1:121" ht="11.25" customHeight="1" x14ac:dyDescent="0.2">
      <c r="A46" s="70"/>
      <c r="B46" s="543" t="s">
        <v>204</v>
      </c>
      <c r="C46" s="839">
        <f>SUM(C36:C45)</f>
        <v>-0.39499999999999946</v>
      </c>
      <c r="D46" s="206">
        <f>SUM(D36:D45)</f>
        <v>-106.416</v>
      </c>
      <c r="E46" s="206">
        <f>SUM(E36:E45)</f>
        <v>-62.278000000000013</v>
      </c>
      <c r="F46" s="206">
        <f>SUM(F36:F45)</f>
        <v>-34.862999999999978</v>
      </c>
      <c r="G46" s="672">
        <f>SUM(G36:G45)</f>
        <v>-203.95200000000003</v>
      </c>
      <c r="H46" s="19"/>
      <c r="I46" s="839">
        <f>SUM(I36:I45)</f>
        <v>3.7270000000000003</v>
      </c>
      <c r="J46" s="206">
        <f>SUM(J36:J45)</f>
        <v>3.3839999999999999</v>
      </c>
      <c r="K46" s="206">
        <f>SUM(K36:K45)</f>
        <v>-222.976</v>
      </c>
      <c r="L46" s="206">
        <f>SUM(L36:L45)</f>
        <v>68.62</v>
      </c>
      <c r="M46" s="672">
        <f>SUM(M36:M45)</f>
        <v>-147.24499999999995</v>
      </c>
      <c r="N46" s="19"/>
      <c r="O46" s="839">
        <f>SUM(O36:O45)</f>
        <v>2.407</v>
      </c>
      <c r="P46" s="206">
        <f>SUM(P36:P45)</f>
        <v>3.2430000000000008</v>
      </c>
      <c r="Q46" s="206">
        <f>SUM(Q36:Q45)</f>
        <v>-62.065999999999988</v>
      </c>
      <c r="R46" s="206">
        <f>SUM(R36:R45)</f>
        <v>-37.226999999999997</v>
      </c>
      <c r="S46" s="672">
        <f>SUM(S36:S45)</f>
        <v>-93.642999999999986</v>
      </c>
      <c r="T46" s="19"/>
      <c r="U46" s="839">
        <f>SUM(U36:U45)</f>
        <v>-4.7749999999999995</v>
      </c>
      <c r="V46" s="206">
        <f>SUM(V36:V45)</f>
        <v>-11.35</v>
      </c>
      <c r="W46" s="206">
        <f>SUM(W36:W45)</f>
        <v>4.5009999999999994</v>
      </c>
      <c r="X46" s="206">
        <f>SUM(X36:X45)</f>
        <v>-8.3309999999999995</v>
      </c>
      <c r="Y46" s="672">
        <f>SUM(Y36:Y45)</f>
        <v>-19.954999999999998</v>
      </c>
      <c r="Z46" s="19"/>
      <c r="AA46" s="839">
        <f>SUM(AA36:AA45)</f>
        <v>-3.9280000000000008</v>
      </c>
      <c r="AB46" s="206">
        <f>SUM(AB36:AB45)</f>
        <v>75.606999999999999</v>
      </c>
      <c r="AC46" s="206">
        <f>SUM(AC36:AC45)</f>
        <v>-132.595</v>
      </c>
      <c r="AD46" s="206">
        <f>SUM(AD36:AD45)</f>
        <v>-72.306000000000012</v>
      </c>
      <c r="AE46" s="672">
        <f>SUM(AE36:AE45)</f>
        <v>-133.22200000000001</v>
      </c>
      <c r="AF46" s="19"/>
      <c r="AG46" s="839">
        <f>SUM(AG36:AG45)</f>
        <v>-69.515000000000001</v>
      </c>
      <c r="AH46" s="206">
        <f>SUM(AH36:AH45)</f>
        <v>-150.21600000000001</v>
      </c>
      <c r="AI46" s="206">
        <f>SUM(AI36:AI45)</f>
        <v>189.34699999999998</v>
      </c>
      <c r="AJ46" s="206">
        <f>SUM(AJ36:AJ45)</f>
        <v>-47.675000000000033</v>
      </c>
      <c r="AK46" s="672">
        <f>SUM(AK36:AK45)</f>
        <v>-78.059000000000012</v>
      </c>
      <c r="AL46" s="19"/>
      <c r="AM46" s="839">
        <f>SUM(AM36:AM45)</f>
        <v>-45.173000000000009</v>
      </c>
      <c r="AN46" s="206">
        <f>SUM(AN36:AN45)</f>
        <v>-139.07999999999998</v>
      </c>
      <c r="AO46" s="206">
        <f>SUM(AO36:AO45)</f>
        <v>-65.749999999999986</v>
      </c>
      <c r="AP46" s="206">
        <f>SUM(AP36:AP45)</f>
        <v>-81.095000000000027</v>
      </c>
      <c r="AQ46" s="672">
        <f>SUM(AQ36:AQ45)</f>
        <v>-331.09799999999996</v>
      </c>
      <c r="AR46" s="19"/>
      <c r="AS46" s="839">
        <f>SUM(AS36:AS45)</f>
        <v>84.759999999999991</v>
      </c>
      <c r="AT46" s="206">
        <f>SUM(AT36:AT45)</f>
        <v>-11.832999999999997</v>
      </c>
      <c r="AU46" s="206">
        <f>SUM(AU36:AU45)</f>
        <v>-32.238</v>
      </c>
      <c r="AV46" s="206">
        <f>SUM(AV36:AV45)</f>
        <v>-200.89000000000001</v>
      </c>
      <c r="AW46" s="672">
        <f>SUM(AW36:AW45)</f>
        <v>-160.20100000000005</v>
      </c>
      <c r="AX46" s="19"/>
      <c r="AY46" s="839">
        <f>SUM(AY36:AY45)</f>
        <v>-63.750000000000007</v>
      </c>
      <c r="AZ46" s="206">
        <f>SUM(AZ36:AZ45)</f>
        <v>-23.118999999999996</v>
      </c>
      <c r="BA46" s="206">
        <f>SUM(BA36:BA45)</f>
        <v>-14.526000000000007</v>
      </c>
      <c r="BB46" s="206">
        <f>SUM(BB36:BB45)</f>
        <v>-49.539999999999992</v>
      </c>
      <c r="BC46" s="672">
        <f>SUM(BC36:BC45)</f>
        <v>-150.935</v>
      </c>
      <c r="BD46" s="19"/>
      <c r="BE46" s="839">
        <f>SUM(BE36:BE45)</f>
        <v>964.52699999999993</v>
      </c>
      <c r="BF46" s="206">
        <f>SUM(BF36:BF45)</f>
        <v>-773.29300000000001</v>
      </c>
      <c r="BG46" s="206">
        <f>SUM(BG36:BG45)</f>
        <v>55.429000000000009</v>
      </c>
      <c r="BH46" s="206">
        <f>SUM(BH36:BH45)</f>
        <v>-203.79400000000001</v>
      </c>
      <c r="BI46" s="672">
        <f>SUM(BI36:BI45)</f>
        <v>42.869</v>
      </c>
      <c r="BJ46" s="19"/>
      <c r="BK46" s="839">
        <f>SUM(BK36:BK45)</f>
        <v>34.171999999999997</v>
      </c>
      <c r="BL46" s="206">
        <f>SUM(BL36:BL45)</f>
        <v>3.8970000000000016</v>
      </c>
      <c r="BM46" s="206">
        <f>SUM(BM36:BM45)</f>
        <v>-33.987999999999992</v>
      </c>
      <c r="BN46" s="206">
        <f>SUM(BN36:BN45)</f>
        <v>-206.24400000000003</v>
      </c>
      <c r="BO46" s="672">
        <f>SUM(BO36:BO45)</f>
        <v>-202.16299999999998</v>
      </c>
      <c r="BP46" s="19"/>
      <c r="BQ46" s="839">
        <f>SUM(BQ36:BQ45)</f>
        <v>43.205999999999996</v>
      </c>
      <c r="BR46" s="206">
        <f>SUM(BR36:BR45)</f>
        <v>-135.24499999999998</v>
      </c>
      <c r="BS46" s="206">
        <f>SUM(BS36:BS45)</f>
        <v>50.067</v>
      </c>
      <c r="BT46" s="206">
        <f>SUM(BT36:BT45)</f>
        <v>-59.374449116692091</v>
      </c>
      <c r="BU46" s="672">
        <f>SUM(BU36:BU45)</f>
        <v>-101.34644911669209</v>
      </c>
      <c r="BV46" s="19"/>
      <c r="BW46" s="839">
        <f>SUM(BW36:BW45)</f>
        <v>-50.713256461743136</v>
      </c>
      <c r="BX46" s="206">
        <f>SUM(BX36:BX45)</f>
        <v>-50.523790665420613</v>
      </c>
      <c r="BY46" s="206">
        <f>SUM(BY36:BY45)</f>
        <v>-50.334327395668552</v>
      </c>
      <c r="BZ46" s="206">
        <f>SUM(BZ36:BZ45)</f>
        <v>-52.240797350222437</v>
      </c>
      <c r="CA46" s="672">
        <f>SUM(CA36:CA45)</f>
        <v>-203.81217187305472</v>
      </c>
      <c r="CB46" s="19"/>
      <c r="CC46" s="839">
        <f>SUM(CC36:CC45)</f>
        <v>-52.035794673702441</v>
      </c>
      <c r="CD46" s="206">
        <f>SUM(CD36:CD45)</f>
        <v>-51.830564561176317</v>
      </c>
      <c r="CE46" s="206">
        <f>SUM(CE36:CE45)</f>
        <v>-51.625336199890775</v>
      </c>
      <c r="CF46" s="206">
        <f>SUM(CF36:CF45)</f>
        <v>-53.622320476523583</v>
      </c>
      <c r="CG46" s="672">
        <f>SUM(CG36:CG45)</f>
        <v>-209.11401591129314</v>
      </c>
      <c r="CH46" s="19"/>
      <c r="CI46" s="839">
        <f>SUM(CI36:CI45)</f>
        <v>-53.400198954910287</v>
      </c>
      <c r="CJ46" s="206">
        <f>SUM(CJ36:CJ45)</f>
        <v>-53.177883065358941</v>
      </c>
      <c r="CK46" s="206">
        <f>SUM(CK36:CK45)</f>
        <v>-52.955568514030887</v>
      </c>
      <c r="CL46" s="206">
        <f>SUM(CL36:CL45)</f>
        <v>-55.044904647653397</v>
      </c>
      <c r="CM46" s="672">
        <f>SUM(CM36:CM45)</f>
        <v>-214.5785551819535</v>
      </c>
      <c r="CN46" s="19"/>
      <c r="CO46" s="14"/>
      <c r="CP46" s="14"/>
      <c r="CW46" s="873"/>
      <c r="CX46" s="11"/>
      <c r="CY46" s="11"/>
      <c r="CZ46" s="11"/>
      <c r="DA46" s="11"/>
      <c r="DB46" s="11"/>
      <c r="DC46" s="11"/>
      <c r="DD46" s="11"/>
      <c r="DE46" s="11"/>
      <c r="DF46" s="11"/>
      <c r="DG46" s="11"/>
      <c r="DH46" s="11"/>
      <c r="DI46" s="11"/>
      <c r="DJ46" s="11"/>
      <c r="DK46" s="11"/>
      <c r="DL46" s="11"/>
      <c r="DM46" s="11"/>
      <c r="DN46" s="11"/>
      <c r="DO46" s="11"/>
      <c r="DP46" s="11"/>
      <c r="DQ46" s="11"/>
    </row>
    <row r="47" spans="1:121" ht="11.25" customHeight="1" x14ac:dyDescent="0.2">
      <c r="A47" s="70"/>
      <c r="B47" s="262"/>
      <c r="C47" s="840"/>
      <c r="D47" s="216"/>
      <c r="E47" s="216"/>
      <c r="F47" s="216"/>
      <c r="G47" s="669"/>
      <c r="H47" s="19"/>
      <c r="I47" s="840"/>
      <c r="J47" s="216"/>
      <c r="K47" s="216"/>
      <c r="L47" s="216"/>
      <c r="M47" s="669"/>
      <c r="N47" s="19"/>
      <c r="O47" s="840"/>
      <c r="P47" s="216"/>
      <c r="Q47" s="216"/>
      <c r="R47" s="216"/>
      <c r="S47" s="669"/>
      <c r="T47" s="19"/>
      <c r="U47" s="840"/>
      <c r="V47" s="216"/>
      <c r="W47" s="216"/>
      <c r="X47" s="216"/>
      <c r="Y47" s="669"/>
      <c r="Z47" s="19"/>
      <c r="AA47" s="840"/>
      <c r="AB47" s="216"/>
      <c r="AC47" s="216"/>
      <c r="AD47" s="216"/>
      <c r="AE47" s="669"/>
      <c r="AF47" s="19"/>
      <c r="AG47" s="840"/>
      <c r="AH47" s="216"/>
      <c r="AI47" s="216"/>
      <c r="AJ47" s="216"/>
      <c r="AK47" s="695"/>
      <c r="AL47" s="19"/>
      <c r="AM47" s="840"/>
      <c r="AN47" s="216"/>
      <c r="AO47" s="216"/>
      <c r="AP47" s="216"/>
      <c r="AQ47" s="695"/>
      <c r="AR47" s="19"/>
      <c r="AS47" s="840"/>
      <c r="AT47" s="216"/>
      <c r="AU47" s="216"/>
      <c r="AV47" s="216"/>
      <c r="AW47" s="695"/>
      <c r="AX47" s="19"/>
      <c r="AY47" s="840"/>
      <c r="AZ47" s="216"/>
      <c r="BA47" s="216"/>
      <c r="BB47" s="199"/>
      <c r="BC47" s="695"/>
      <c r="BD47" s="19"/>
      <c r="BE47" s="840"/>
      <c r="BF47" s="216"/>
      <c r="BG47" s="216"/>
      <c r="BH47" s="216"/>
      <c r="BI47" s="695"/>
      <c r="BJ47" s="19"/>
      <c r="BK47" s="840"/>
      <c r="BL47" s="216"/>
      <c r="BM47" s="216"/>
      <c r="BN47" s="216"/>
      <c r="BO47" s="695"/>
      <c r="BP47" s="19"/>
      <c r="BQ47" s="840"/>
      <c r="BR47" s="216"/>
      <c r="BS47" s="216"/>
      <c r="BT47" s="216"/>
      <c r="BU47" s="695"/>
      <c r="BV47" s="19"/>
      <c r="BW47" s="840"/>
      <c r="BX47" s="216"/>
      <c r="BY47" s="216"/>
      <c r="BZ47" s="216"/>
      <c r="CA47" s="695"/>
      <c r="CB47" s="19"/>
      <c r="CC47" s="840"/>
      <c r="CD47" s="216"/>
      <c r="CE47" s="216"/>
      <c r="CF47" s="216"/>
      <c r="CG47" s="695"/>
      <c r="CH47" s="19"/>
      <c r="CI47" s="840"/>
      <c r="CJ47" s="216"/>
      <c r="CK47" s="216"/>
      <c r="CL47" s="216"/>
      <c r="CM47" s="695"/>
      <c r="CN47" s="19"/>
      <c r="CO47" s="14"/>
      <c r="CP47" s="14"/>
      <c r="CW47" s="873"/>
      <c r="CX47" s="11"/>
      <c r="CY47" s="11"/>
      <c r="CZ47" s="11"/>
      <c r="DA47" s="11"/>
      <c r="DB47" s="11"/>
      <c r="DC47" s="11"/>
      <c r="DD47" s="11"/>
      <c r="DE47" s="11"/>
      <c r="DF47" s="11"/>
      <c r="DG47" s="11"/>
      <c r="DH47" s="11"/>
      <c r="DI47" s="11"/>
      <c r="DJ47" s="11"/>
      <c r="DK47" s="11"/>
      <c r="DL47" s="11"/>
      <c r="DM47" s="11"/>
      <c r="DN47" s="11"/>
      <c r="DO47" s="11"/>
      <c r="DP47" s="11"/>
      <c r="DQ47" s="11"/>
    </row>
    <row r="48" spans="1:121" ht="11.25" customHeight="1" x14ac:dyDescent="0.2">
      <c r="A48" s="70"/>
      <c r="B48" s="262" t="s">
        <v>95</v>
      </c>
      <c r="C48" s="677">
        <v>-0.56599999999999995</v>
      </c>
      <c r="D48" s="193">
        <f>-0.107-C48</f>
        <v>0.45899999999999996</v>
      </c>
      <c r="E48" s="200">
        <f>-1.519-D48-C48</f>
        <v>-1.4119999999999999</v>
      </c>
      <c r="F48" s="200">
        <f>0.855-E48-D48-C48</f>
        <v>2.3739999999999997</v>
      </c>
      <c r="G48" s="695">
        <f>SUM(C48:F48)</f>
        <v>0.85499999999999976</v>
      </c>
      <c r="H48" s="19"/>
      <c r="I48" s="677">
        <v>3.4089999999999998</v>
      </c>
      <c r="J48" s="193">
        <f>8.12-I48</f>
        <v>4.7109999999999994</v>
      </c>
      <c r="K48" s="200">
        <f>6.48-J48-I48</f>
        <v>-1.6399999999999988</v>
      </c>
      <c r="L48" s="200">
        <f>6.924-K48-J48-I48</f>
        <v>0.44400000000000084</v>
      </c>
      <c r="M48" s="695">
        <f>SUM(I48:L48)</f>
        <v>6.9240000000000013</v>
      </c>
      <c r="N48" s="19"/>
      <c r="O48" s="677">
        <v>-2.5000000000000001E-2</v>
      </c>
      <c r="P48" s="193">
        <f>-27.629-O48</f>
        <v>-27.604000000000003</v>
      </c>
      <c r="Q48" s="200">
        <f>-29.618-P48-O48</f>
        <v>-1.9889999999999959</v>
      </c>
      <c r="R48" s="200">
        <f>-23.367-Q48-P48-O48</f>
        <v>6.2509999999999994</v>
      </c>
      <c r="S48" s="695">
        <f>SUM(O48:R48)</f>
        <v>-23.366999999999997</v>
      </c>
      <c r="T48" s="19"/>
      <c r="U48" s="677">
        <v>11.372</v>
      </c>
      <c r="V48" s="193">
        <f>14.043-U48</f>
        <v>2.6709999999999994</v>
      </c>
      <c r="W48" s="200">
        <f>13.871-V48-U48</f>
        <v>-0.17199999999999882</v>
      </c>
      <c r="X48" s="200">
        <f>20.472-W48-V48-U48</f>
        <v>6.6009999999999991</v>
      </c>
      <c r="Y48" s="695">
        <f>SUM(U48:X48)</f>
        <v>20.472000000000001</v>
      </c>
      <c r="Z48" s="19"/>
      <c r="AA48" s="677">
        <v>-5.1820000000000004</v>
      </c>
      <c r="AB48" s="193">
        <f>-2.355-AA48</f>
        <v>2.8270000000000004</v>
      </c>
      <c r="AC48" s="200">
        <f>-1.549-AB48-AA48</f>
        <v>0.80600000000000005</v>
      </c>
      <c r="AD48" s="200">
        <f>7.693-AC48-AB48-AA48</f>
        <v>9.2419999999999991</v>
      </c>
      <c r="AE48" s="695">
        <f>SUM(AA48:AD48)</f>
        <v>7.6929999999999996</v>
      </c>
      <c r="AF48" s="19"/>
      <c r="AG48" s="677">
        <v>-1.843</v>
      </c>
      <c r="AH48" s="193">
        <f>-6.845-AG48</f>
        <v>-5.0019999999999998</v>
      </c>
      <c r="AI48" s="193">
        <f>-9.607-AH48-AG48</f>
        <v>-2.7619999999999996</v>
      </c>
      <c r="AJ48" s="193">
        <f>-5.713-AI48-AH48-AG48</f>
        <v>3.8939999999999992</v>
      </c>
      <c r="AK48" s="695">
        <f>SUM(AG48:AJ48)</f>
        <v>-5.7130000000000001</v>
      </c>
      <c r="AL48" s="19"/>
      <c r="AM48" s="677">
        <v>-4.407</v>
      </c>
      <c r="AN48" s="193">
        <f>-2.998-AM48</f>
        <v>1.4089999999999998</v>
      </c>
      <c r="AO48" s="193">
        <f>-1.756-AN48-AM48</f>
        <v>1.242</v>
      </c>
      <c r="AP48" s="193">
        <f>-6.612-AO48-AN48-AM48</f>
        <v>-4.8559999999999999</v>
      </c>
      <c r="AQ48" s="695">
        <f>SUM(AM48:AP48)</f>
        <v>-6.6120000000000001</v>
      </c>
      <c r="AR48" s="19"/>
      <c r="AS48" s="677">
        <v>-2.1800000000000002</v>
      </c>
      <c r="AT48" s="193">
        <f>1.046-AS48</f>
        <v>3.226</v>
      </c>
      <c r="AU48" s="193">
        <f>-3.533-AT48-AS48</f>
        <v>-4.5790000000000006</v>
      </c>
      <c r="AV48" s="193">
        <f>7.809-AU48-AT48-AS48</f>
        <v>11.342000000000002</v>
      </c>
      <c r="AW48" s="695">
        <f>SUM(AS48:AV48)</f>
        <v>7.8090000000000011</v>
      </c>
      <c r="AX48" s="19"/>
      <c r="AY48" s="851">
        <v>2.258</v>
      </c>
      <c r="AZ48" s="846">
        <f>-7.202-AY48</f>
        <v>-9.4600000000000009</v>
      </c>
      <c r="BA48" s="846">
        <f>-24.452-AZ48-AY48</f>
        <v>-17.25</v>
      </c>
      <c r="BB48" s="691">
        <f>-19.805-BA48-AZ48-AY48</f>
        <v>4.6470000000000011</v>
      </c>
      <c r="BC48" s="695">
        <f>SUM(AY48:BB48)</f>
        <v>-19.805</v>
      </c>
      <c r="BD48" s="19"/>
      <c r="BE48" s="851">
        <v>-8.923</v>
      </c>
      <c r="BF48" s="846">
        <f>-8.058-BE48</f>
        <v>0.86500000000000021</v>
      </c>
      <c r="BG48" s="846">
        <f>-10.251-BF48-BE48</f>
        <v>-2.1929999999999996</v>
      </c>
      <c r="BH48" s="846">
        <f>-8.371-BG48-BF48-BE48</f>
        <v>1.879999999999999</v>
      </c>
      <c r="BI48" s="695">
        <f>SUM(BE48:BH48)</f>
        <v>-8.3710000000000004</v>
      </c>
      <c r="BJ48" s="19"/>
      <c r="BK48" s="851">
        <v>-3.1629999999999998</v>
      </c>
      <c r="BL48" s="846">
        <f>-3.567-BK48</f>
        <v>-0.40400000000000036</v>
      </c>
      <c r="BM48" s="846">
        <f>-5.567-SUM(BK48:BL48)</f>
        <v>-2</v>
      </c>
      <c r="BN48" s="691">
        <f>-4.243-SUM(BK48:BM48)</f>
        <v>1.3239999999999998</v>
      </c>
      <c r="BO48" s="695">
        <f>SUM(BK48:BN48)</f>
        <v>-4.2430000000000003</v>
      </c>
      <c r="BP48" s="19"/>
      <c r="BQ48" s="851">
        <v>2.125</v>
      </c>
      <c r="BR48" s="846">
        <f>1.652-BQ48</f>
        <v>-0.47300000000000009</v>
      </c>
      <c r="BS48" s="846">
        <f>5.576-SUM(BQ48:BR48)</f>
        <v>3.9239999999999995</v>
      </c>
      <c r="BT48" s="848">
        <v>0</v>
      </c>
      <c r="BU48" s="695">
        <f>SUM(BQ48:BT48)</f>
        <v>5.5759999999999996</v>
      </c>
      <c r="BV48" s="19"/>
      <c r="BW48" s="854">
        <v>0</v>
      </c>
      <c r="BX48" s="848">
        <v>0</v>
      </c>
      <c r="BY48" s="848">
        <v>0</v>
      </c>
      <c r="BZ48" s="848">
        <v>0</v>
      </c>
      <c r="CA48" s="695">
        <f>SUM(BW48:BZ48)</f>
        <v>0</v>
      </c>
      <c r="CB48" s="19"/>
      <c r="CC48" s="854">
        <v>0</v>
      </c>
      <c r="CD48" s="848">
        <v>0</v>
      </c>
      <c r="CE48" s="848">
        <v>0</v>
      </c>
      <c r="CF48" s="848">
        <v>0</v>
      </c>
      <c r="CG48" s="695">
        <f>SUM(CC48:CF48)</f>
        <v>0</v>
      </c>
      <c r="CH48" s="19"/>
      <c r="CI48" s="854">
        <v>0</v>
      </c>
      <c r="CJ48" s="848">
        <v>0</v>
      </c>
      <c r="CK48" s="848">
        <v>0</v>
      </c>
      <c r="CL48" s="848">
        <v>0</v>
      </c>
      <c r="CM48" s="695">
        <f>SUM(CI48:CL48)</f>
        <v>0</v>
      </c>
      <c r="CN48" s="19"/>
      <c r="CO48" s="14"/>
      <c r="CP48" s="14"/>
      <c r="CW48" s="873"/>
      <c r="CX48" s="11"/>
      <c r="CY48" s="11"/>
      <c r="CZ48" s="11"/>
      <c r="DA48" s="11"/>
      <c r="DB48" s="11"/>
      <c r="DC48" s="11"/>
      <c r="DD48" s="11"/>
      <c r="DE48" s="11"/>
      <c r="DF48" s="11"/>
      <c r="DG48" s="11"/>
      <c r="DH48" s="11"/>
      <c r="DI48" s="11"/>
      <c r="DJ48" s="11"/>
      <c r="DK48" s="11"/>
      <c r="DL48" s="11"/>
      <c r="DM48" s="11"/>
      <c r="DN48" s="11"/>
      <c r="DO48" s="11"/>
      <c r="DP48" s="11"/>
      <c r="DQ48" s="11"/>
    </row>
    <row r="49" spans="1:121" ht="11.25" customHeight="1" x14ac:dyDescent="0.2">
      <c r="A49" s="70"/>
      <c r="B49" s="832"/>
      <c r="C49" s="680"/>
      <c r="D49" s="838"/>
      <c r="E49" s="838"/>
      <c r="F49" s="838"/>
      <c r="G49" s="669"/>
      <c r="H49" s="19"/>
      <c r="I49" s="680"/>
      <c r="J49" s="838"/>
      <c r="K49" s="838"/>
      <c r="L49" s="838"/>
      <c r="M49" s="669"/>
      <c r="N49" s="19"/>
      <c r="O49" s="680"/>
      <c r="P49" s="838"/>
      <c r="Q49" s="838"/>
      <c r="R49" s="838"/>
      <c r="S49" s="669"/>
      <c r="T49" s="19"/>
      <c r="U49" s="680"/>
      <c r="V49" s="838"/>
      <c r="W49" s="838"/>
      <c r="X49" s="838"/>
      <c r="Y49" s="669"/>
      <c r="Z49" s="19"/>
      <c r="AA49" s="680"/>
      <c r="AB49" s="838"/>
      <c r="AC49" s="838"/>
      <c r="AD49" s="838"/>
      <c r="AE49" s="669"/>
      <c r="AF49" s="19"/>
      <c r="AG49" s="680"/>
      <c r="AH49" s="838"/>
      <c r="AI49" s="838"/>
      <c r="AJ49" s="838"/>
      <c r="AK49" s="695"/>
      <c r="AL49" s="19"/>
      <c r="AM49" s="680"/>
      <c r="AN49" s="838"/>
      <c r="AO49" s="838"/>
      <c r="AP49" s="838"/>
      <c r="AQ49" s="695"/>
      <c r="AR49" s="19"/>
      <c r="AS49" s="680"/>
      <c r="AT49" s="838"/>
      <c r="AU49" s="838"/>
      <c r="AV49" s="838"/>
      <c r="AW49" s="695"/>
      <c r="AX49" s="19"/>
      <c r="AY49" s="680"/>
      <c r="AZ49" s="838"/>
      <c r="BA49" s="838"/>
      <c r="BB49" s="199"/>
      <c r="BC49" s="695"/>
      <c r="BD49" s="19"/>
      <c r="BE49" s="680"/>
      <c r="BF49" s="838"/>
      <c r="BG49" s="838"/>
      <c r="BH49" s="838"/>
      <c r="BI49" s="695"/>
      <c r="BJ49" s="19"/>
      <c r="BK49" s="680"/>
      <c r="BL49" s="838"/>
      <c r="BM49" s="838"/>
      <c r="BN49" s="838"/>
      <c r="BO49" s="695"/>
      <c r="BP49" s="19"/>
      <c r="BQ49" s="680"/>
      <c r="BR49" s="838"/>
      <c r="BS49" s="838"/>
      <c r="BT49" s="838"/>
      <c r="BU49" s="695"/>
      <c r="BV49" s="19"/>
      <c r="BW49" s="680"/>
      <c r="BX49" s="838"/>
      <c r="BY49" s="838"/>
      <c r="BZ49" s="838"/>
      <c r="CA49" s="695"/>
      <c r="CB49" s="19"/>
      <c r="CC49" s="680"/>
      <c r="CD49" s="838"/>
      <c r="CE49" s="838"/>
      <c r="CF49" s="838"/>
      <c r="CG49" s="695"/>
      <c r="CH49" s="19"/>
      <c r="CI49" s="680"/>
      <c r="CJ49" s="838"/>
      <c r="CK49" s="838"/>
      <c r="CL49" s="838"/>
      <c r="CM49" s="695"/>
      <c r="CN49" s="19"/>
      <c r="CO49" s="14"/>
      <c r="CP49" s="14"/>
      <c r="CW49" s="873"/>
      <c r="CX49" s="11"/>
      <c r="CY49" s="11"/>
      <c r="CZ49" s="11"/>
      <c r="DA49" s="11"/>
      <c r="DB49" s="11"/>
      <c r="DC49" s="11"/>
      <c r="DD49" s="11"/>
      <c r="DE49" s="11"/>
      <c r="DF49" s="11"/>
      <c r="DG49" s="11"/>
      <c r="DH49" s="11"/>
      <c r="DI49" s="11"/>
      <c r="DJ49" s="11"/>
      <c r="DK49" s="11"/>
      <c r="DL49" s="11"/>
      <c r="DM49" s="11"/>
      <c r="DN49" s="11"/>
      <c r="DO49" s="11"/>
      <c r="DP49" s="11"/>
      <c r="DQ49" s="11"/>
    </row>
    <row r="50" spans="1:121" ht="11.25" customHeight="1" thickBot="1" x14ac:dyDescent="0.25">
      <c r="A50" s="70"/>
      <c r="B50" s="833" t="s">
        <v>207</v>
      </c>
      <c r="C50" s="681">
        <f>C48+C46+C33+C25</f>
        <v>40.832000000000008</v>
      </c>
      <c r="D50" s="213">
        <f>D48+D46+D33+D25</f>
        <v>-83.666000000000011</v>
      </c>
      <c r="E50" s="213">
        <f>E48+E46+E33+E25</f>
        <v>-29.093999999999994</v>
      </c>
      <c r="F50" s="213">
        <f>F48+F46+F33+F25</f>
        <v>89.327000000000027</v>
      </c>
      <c r="G50" s="675">
        <f>G48+G46+G33+G25</f>
        <v>17.399000000000001</v>
      </c>
      <c r="H50" s="19"/>
      <c r="I50" s="681">
        <f>I48+I46+I33+I25</f>
        <v>52.441000000000003</v>
      </c>
      <c r="J50" s="213">
        <f>J48+J46+J33+J25</f>
        <v>50.91</v>
      </c>
      <c r="K50" s="213">
        <f>K48+K46+K33+K25</f>
        <v>-173.91399999999999</v>
      </c>
      <c r="L50" s="213">
        <f>L48+L46+L33+L25</f>
        <v>136.93600000000004</v>
      </c>
      <c r="M50" s="675">
        <f>M48+M46+M33+M25</f>
        <v>66.373000000000076</v>
      </c>
      <c r="N50" s="19"/>
      <c r="O50" s="681">
        <f>O48+O46+O33+O25</f>
        <v>22.986000000000004</v>
      </c>
      <c r="P50" s="213">
        <f>P48+P46+P33+P25</f>
        <v>-74.506999999999991</v>
      </c>
      <c r="Q50" s="213">
        <f>Q48+Q46+Q33+Q25</f>
        <v>-94.758999999999986</v>
      </c>
      <c r="R50" s="213">
        <f>R48+R46+R33+R25</f>
        <v>-3.8190000000000097</v>
      </c>
      <c r="S50" s="675">
        <f>S48+S46+S33+S25</f>
        <v>-150.09899999999999</v>
      </c>
      <c r="T50" s="19"/>
      <c r="U50" s="681">
        <f>U48+U46+U33+U25</f>
        <v>17.312000000000005</v>
      </c>
      <c r="V50" s="213">
        <f>V48+V46+V33+V25</f>
        <v>-5.2259999999999938</v>
      </c>
      <c r="W50" s="213">
        <f>W48+W46+W33+W25</f>
        <v>97.630999999999986</v>
      </c>
      <c r="X50" s="213">
        <f>X48+X46+X33+X25</f>
        <v>72.808999999999969</v>
      </c>
      <c r="Y50" s="675">
        <f>Y48+Y46+Y33+Y25</f>
        <v>182.52600000000001</v>
      </c>
      <c r="Z50" s="19"/>
      <c r="AA50" s="681">
        <f>AA48+AA46+AA33+AA25</f>
        <v>-42.164000000000009</v>
      </c>
      <c r="AB50" s="213">
        <f>AB48+AB46+AB33+AB25</f>
        <v>30.316999999999993</v>
      </c>
      <c r="AC50" s="213">
        <f>AC48+AC46+AC33+AC25</f>
        <v>59.295000000000016</v>
      </c>
      <c r="AD50" s="213">
        <f>AD48+AD46+AD33+AD25</f>
        <v>0.62599999999997635</v>
      </c>
      <c r="AE50" s="675">
        <f>AE48+AE46+AE33+AE25</f>
        <v>48.073999999999955</v>
      </c>
      <c r="AF50" s="19"/>
      <c r="AG50" s="681">
        <f>AG48+AG46+AG33+AG25</f>
        <v>-14.88900000000001</v>
      </c>
      <c r="AH50" s="213">
        <f>AH48+AH46+AH33+AH25</f>
        <v>-123.70800000000003</v>
      </c>
      <c r="AI50" s="213">
        <f>AI48+AI46+AI33+AI25</f>
        <v>288.024</v>
      </c>
      <c r="AJ50" s="213">
        <f>AJ48+AJ46+AJ33+AJ25</f>
        <v>35.688999999999957</v>
      </c>
      <c r="AK50" s="675">
        <f>AK48+AK46+AK33+AK25</f>
        <v>185.11600000000001</v>
      </c>
      <c r="AL50" s="19"/>
      <c r="AM50" s="681">
        <f>AM48+AM46+AM33+AM25</f>
        <v>6.97199999999998</v>
      </c>
      <c r="AN50" s="213">
        <f>AN48+AN46+AN33+AN25</f>
        <v>-80.378999999999991</v>
      </c>
      <c r="AO50" s="213">
        <f>AO48+AO46+AO33+AO25</f>
        <v>-27.924999999999969</v>
      </c>
      <c r="AP50" s="213">
        <f>AP48+AP46+AP33+AP25</f>
        <v>32.778999999999968</v>
      </c>
      <c r="AQ50" s="675">
        <f>AQ48+AQ46+AQ33+AQ25</f>
        <v>-68.552999999999997</v>
      </c>
      <c r="AR50" s="19"/>
      <c r="AS50" s="681">
        <f>AS48+AS46+AS33+AS25</f>
        <v>98.140999999999991</v>
      </c>
      <c r="AT50" s="213">
        <f>AT48+AT46+AT33+AT25</f>
        <v>-87.31099999999995</v>
      </c>
      <c r="AU50" s="213">
        <f>AU48+AU46+AU33+AU25</f>
        <v>-92.08299999999997</v>
      </c>
      <c r="AV50" s="213">
        <f>AV48+AV46+AV33+AV25</f>
        <v>-159.06700000000001</v>
      </c>
      <c r="AW50" s="675">
        <f>AW48+AW46+AW33+AW25</f>
        <v>-240.32000000000011</v>
      </c>
      <c r="AX50" s="19"/>
      <c r="AY50" s="681">
        <f>AY48+AY46+AY33+AY25</f>
        <v>-4.1680000000000064</v>
      </c>
      <c r="AZ50" s="213">
        <f>AZ48+AZ46+AZ33+AZ25</f>
        <v>24.132000000000012</v>
      </c>
      <c r="BA50" s="213">
        <f>BA48+BA46+BA33+BA25</f>
        <v>4.8499999999999943</v>
      </c>
      <c r="BB50" s="213">
        <f>BB48+BB46+BB33+BB25</f>
        <v>57.538000000000004</v>
      </c>
      <c r="BC50" s="675">
        <f>BC48+BC46+BC33+BC25</f>
        <v>82.351999999999947</v>
      </c>
      <c r="BD50" s="19"/>
      <c r="BE50" s="681">
        <f>BE48+BE46+BE33+BE25</f>
        <v>-160.82000000000025</v>
      </c>
      <c r="BF50" s="213">
        <f>BF48+BF46+BF33+BF25</f>
        <v>-90.989000000000075</v>
      </c>
      <c r="BG50" s="213">
        <f>BG48+BG46+BG33+BG25</f>
        <v>2.25</v>
      </c>
      <c r="BH50" s="213">
        <f>BH48+BH46+BH33+BH25</f>
        <v>39.752000000000123</v>
      </c>
      <c r="BI50" s="675">
        <f>BI48+BI46+BI33+BI25</f>
        <v>-209.80700000000002</v>
      </c>
      <c r="BJ50" s="19"/>
      <c r="BK50" s="681">
        <f>BK48+BK46+BK33+BK25</f>
        <v>-47.475000000000087</v>
      </c>
      <c r="BL50" s="213">
        <f>BL48+BL46+BL33+BL25</f>
        <v>20.409000000000027</v>
      </c>
      <c r="BM50" s="213">
        <f>BM48+BM46+BM33+BM25</f>
        <v>11.35199999999999</v>
      </c>
      <c r="BN50" s="213">
        <f>BN48+BN46+BN33+BN25</f>
        <v>-26.78</v>
      </c>
      <c r="BO50" s="675">
        <f>BO48+BO46+BO33+BO25</f>
        <v>-42.494000000000113</v>
      </c>
      <c r="BP50" s="19"/>
      <c r="BQ50" s="681">
        <f>BQ48+BQ46+BQ33+BQ25</f>
        <v>4.819999999999979</v>
      </c>
      <c r="BR50" s="213">
        <f>BR48+BR46+BR33+BR25</f>
        <v>1.6769999999999783</v>
      </c>
      <c r="BS50" s="213">
        <f>BS48+BS46+BS33+BS25</f>
        <v>16.548999999999999</v>
      </c>
      <c r="BT50" s="213">
        <f>BT48+BT46+BT33+BT25</f>
        <v>43.786129347881769</v>
      </c>
      <c r="BU50" s="675">
        <f>BU48+BU46+BU33+BU25</f>
        <v>66.832129347881704</v>
      </c>
      <c r="BV50" s="19"/>
      <c r="BW50" s="681">
        <f>BW48+BW46+BW33+BW25</f>
        <v>35.757274909013731</v>
      </c>
      <c r="BX50" s="213">
        <f>BX48+BX46+BX33+BX25</f>
        <v>-57.606640174620175</v>
      </c>
      <c r="BY50" s="213">
        <f>BY48+BY46+BY33+BY25</f>
        <v>15.583538418353747</v>
      </c>
      <c r="BZ50" s="213">
        <f>BZ48+BZ46+BZ33+BZ25</f>
        <v>20.621105607896382</v>
      </c>
      <c r="CA50" s="675">
        <f>CA48+CA46+CA33+CA25</f>
        <v>14.355278760643671</v>
      </c>
      <c r="CB50" s="19"/>
      <c r="CC50" s="681">
        <f>CC48+CC46+CC33+CC25</f>
        <v>9.1217567743457977</v>
      </c>
      <c r="CD50" s="213">
        <f>CD48+CD46+CD33+CD25</f>
        <v>-60.556428686866056</v>
      </c>
      <c r="CE50" s="213">
        <f>CE48+CE46+CE33+CE25</f>
        <v>14.200265714905754</v>
      </c>
      <c r="CF50" s="213">
        <f>CF48+CF46+CF33+CF25</f>
        <v>21.991706974298751</v>
      </c>
      <c r="CG50" s="675">
        <f>CG48+CG46+CG33+CG25</f>
        <v>-15.242699223315839</v>
      </c>
      <c r="CH50" s="19"/>
      <c r="CI50" s="681">
        <f>CI48+CI46+CI33+CI25</f>
        <v>5.1655060856763555</v>
      </c>
      <c r="CJ50" s="213">
        <f>CJ48+CJ46+CJ33+CJ25</f>
        <v>-66.95908554392885</v>
      </c>
      <c r="CK50" s="213">
        <f>CK48+CK46+CK33+CK25</f>
        <v>11.404100839238851</v>
      </c>
      <c r="CL50" s="213">
        <f>CL48+CL46+CL33+CL25</f>
        <v>18.569145161587443</v>
      </c>
      <c r="CM50" s="675">
        <f>CM48+CM46+CM33+CM25</f>
        <v>-31.820333457426273</v>
      </c>
      <c r="CN50" s="19"/>
      <c r="CO50" s="14"/>
      <c r="CP50" s="14"/>
      <c r="CW50" s="873"/>
      <c r="CX50" s="11"/>
      <c r="CY50" s="11"/>
      <c r="CZ50" s="11"/>
      <c r="DA50" s="11"/>
      <c r="DB50" s="11"/>
      <c r="DC50" s="11"/>
      <c r="DD50" s="11"/>
      <c r="DE50" s="11"/>
      <c r="DF50" s="11"/>
      <c r="DG50" s="11"/>
      <c r="DH50" s="11"/>
      <c r="DI50" s="11"/>
      <c r="DJ50" s="11"/>
      <c r="DK50" s="11"/>
      <c r="DL50" s="11"/>
      <c r="DM50" s="11"/>
      <c r="DN50" s="11"/>
      <c r="DO50" s="11"/>
      <c r="DP50" s="11"/>
      <c r="DQ50" s="11"/>
    </row>
    <row r="51" spans="1:121" ht="11.25" customHeight="1" thickTop="1" x14ac:dyDescent="0.2">
      <c r="A51" s="70"/>
      <c r="B51" s="832"/>
      <c r="C51" s="682"/>
      <c r="D51" s="203"/>
      <c r="E51" s="203"/>
      <c r="F51" s="203"/>
      <c r="G51" s="671"/>
      <c r="H51" s="19"/>
      <c r="I51" s="682"/>
      <c r="J51" s="203"/>
      <c r="K51" s="203"/>
      <c r="L51" s="203"/>
      <c r="M51" s="671"/>
      <c r="N51" s="19"/>
      <c r="O51" s="682"/>
      <c r="P51" s="203"/>
      <c r="Q51" s="203"/>
      <c r="R51" s="203"/>
      <c r="S51" s="671"/>
      <c r="T51" s="19"/>
      <c r="U51" s="682"/>
      <c r="V51" s="203"/>
      <c r="W51" s="203"/>
      <c r="X51" s="203"/>
      <c r="Y51" s="671"/>
      <c r="Z51" s="19"/>
      <c r="AA51" s="682"/>
      <c r="AB51" s="203"/>
      <c r="AC51" s="203"/>
      <c r="AD51" s="203"/>
      <c r="AE51" s="671"/>
      <c r="AF51" s="19"/>
      <c r="AG51" s="682"/>
      <c r="AH51" s="203"/>
      <c r="AI51" s="203"/>
      <c r="AJ51" s="203"/>
      <c r="AK51" s="671"/>
      <c r="AL51" s="19"/>
      <c r="AM51" s="682"/>
      <c r="AN51" s="203"/>
      <c r="AO51" s="203"/>
      <c r="AP51" s="203"/>
      <c r="AQ51" s="671"/>
      <c r="AR51" s="19"/>
      <c r="AS51" s="682"/>
      <c r="AT51" s="203"/>
      <c r="AU51" s="203"/>
      <c r="AV51" s="203"/>
      <c r="AW51" s="671"/>
      <c r="AX51" s="19"/>
      <c r="AY51" s="682"/>
      <c r="AZ51" s="203"/>
      <c r="BA51" s="203"/>
      <c r="BB51" s="203"/>
      <c r="BC51" s="671"/>
      <c r="BD51" s="19"/>
      <c r="BE51" s="682"/>
      <c r="BF51" s="203"/>
      <c r="BG51" s="203"/>
      <c r="BH51" s="203"/>
      <c r="BI51" s="671"/>
      <c r="BJ51" s="19"/>
      <c r="BK51" s="682"/>
      <c r="BL51" s="203"/>
      <c r="BM51" s="203"/>
      <c r="BN51" s="203"/>
      <c r="BO51" s="671"/>
      <c r="BP51" s="19"/>
      <c r="BQ51" s="682"/>
      <c r="BR51" s="203"/>
      <c r="BS51" s="203"/>
      <c r="BT51" s="203"/>
      <c r="BU51" s="671"/>
      <c r="BV51" s="19"/>
      <c r="BW51" s="682"/>
      <c r="BX51" s="203"/>
      <c r="BY51" s="203"/>
      <c r="BZ51" s="203"/>
      <c r="CA51" s="671"/>
      <c r="CB51" s="19"/>
      <c r="CC51" s="682"/>
      <c r="CD51" s="203"/>
      <c r="CE51" s="203"/>
      <c r="CF51" s="203"/>
      <c r="CG51" s="671"/>
      <c r="CH51" s="19"/>
      <c r="CI51" s="682"/>
      <c r="CJ51" s="203"/>
      <c r="CK51" s="203"/>
      <c r="CL51" s="203"/>
      <c r="CM51" s="671"/>
      <c r="CN51" s="19"/>
      <c r="CO51" s="14"/>
      <c r="CP51" s="14"/>
      <c r="CW51" s="873"/>
      <c r="CX51" s="11"/>
      <c r="CY51" s="11"/>
      <c r="CZ51" s="11"/>
      <c r="DA51" s="11"/>
      <c r="DB51" s="11"/>
      <c r="DC51" s="11"/>
      <c r="DD51" s="11"/>
      <c r="DE51" s="11"/>
      <c r="DF51" s="11"/>
      <c r="DG51" s="11"/>
      <c r="DH51" s="11"/>
      <c r="DI51" s="11"/>
      <c r="DJ51" s="11"/>
      <c r="DK51" s="11"/>
      <c r="DL51" s="11"/>
      <c r="DM51" s="11"/>
      <c r="DN51" s="11"/>
      <c r="DO51" s="11"/>
      <c r="DP51" s="11"/>
      <c r="DQ51" s="11"/>
    </row>
    <row r="52" spans="1:121" ht="11.25" customHeight="1" x14ac:dyDescent="0.2">
      <c r="A52" s="70"/>
      <c r="B52" s="832" t="s">
        <v>96</v>
      </c>
      <c r="C52" s="677">
        <v>224.392</v>
      </c>
      <c r="D52" s="838">
        <f>C53</f>
        <v>265.22399999999999</v>
      </c>
      <c r="E52" s="838">
        <f>D53</f>
        <v>181.55799999999999</v>
      </c>
      <c r="F52" s="838">
        <f>E53</f>
        <v>152.464</v>
      </c>
      <c r="G52" s="695">
        <f>C52</f>
        <v>224.392</v>
      </c>
      <c r="H52" s="19"/>
      <c r="I52" s="680">
        <f>G53</f>
        <v>241.791</v>
      </c>
      <c r="J52" s="838">
        <f>I53</f>
        <v>294.23199999999997</v>
      </c>
      <c r="K52" s="838">
        <f>J53</f>
        <v>345.14199999999994</v>
      </c>
      <c r="L52" s="838">
        <f>K53</f>
        <v>171.22799999999995</v>
      </c>
      <c r="M52" s="695">
        <f>I52</f>
        <v>241.791</v>
      </c>
      <c r="N52" s="19"/>
      <c r="O52" s="680">
        <f>M53</f>
        <v>308.1640000000001</v>
      </c>
      <c r="P52" s="838">
        <f>O53</f>
        <v>331.15000000000009</v>
      </c>
      <c r="Q52" s="838">
        <f>P53</f>
        <v>256.64300000000009</v>
      </c>
      <c r="R52" s="838">
        <f>Q53</f>
        <v>161.8840000000001</v>
      </c>
      <c r="S52" s="695">
        <f>O52</f>
        <v>308.1640000000001</v>
      </c>
      <c r="T52" s="19"/>
      <c r="U52" s="680">
        <f>S53</f>
        <v>158.06500000000011</v>
      </c>
      <c r="V52" s="838">
        <f>U53</f>
        <v>175.37700000000012</v>
      </c>
      <c r="W52" s="838">
        <f>V53</f>
        <v>170.15100000000012</v>
      </c>
      <c r="X52" s="838">
        <f>W53</f>
        <v>267.7820000000001</v>
      </c>
      <c r="Y52" s="695">
        <f>U52</f>
        <v>158.06500000000011</v>
      </c>
      <c r="Z52" s="19"/>
      <c r="AA52" s="680">
        <f>Y53</f>
        <v>340.59100000000012</v>
      </c>
      <c r="AB52" s="838">
        <f>AA53</f>
        <v>298.42700000000013</v>
      </c>
      <c r="AC52" s="838">
        <f>AB53</f>
        <v>328.74400000000014</v>
      </c>
      <c r="AD52" s="838">
        <f>AC53</f>
        <v>388.03900000000016</v>
      </c>
      <c r="AE52" s="695">
        <f>AA52</f>
        <v>340.59100000000012</v>
      </c>
      <c r="AF52" s="19"/>
      <c r="AG52" s="680">
        <f>AE53</f>
        <v>388.66500000000008</v>
      </c>
      <c r="AH52" s="838">
        <f>AG53</f>
        <v>373.77600000000007</v>
      </c>
      <c r="AI52" s="838">
        <f>AH53</f>
        <v>250.06800000000004</v>
      </c>
      <c r="AJ52" s="838">
        <f>AI53</f>
        <v>538.0920000000001</v>
      </c>
      <c r="AK52" s="695">
        <f>AG52</f>
        <v>388.66500000000008</v>
      </c>
      <c r="AL52" s="19"/>
      <c r="AM52" s="680">
        <f>AK53</f>
        <v>573.78100000000006</v>
      </c>
      <c r="AN52" s="838">
        <f>AM53</f>
        <v>580.75300000000004</v>
      </c>
      <c r="AO52" s="838">
        <f>AN53</f>
        <v>500.37400000000002</v>
      </c>
      <c r="AP52" s="838">
        <f>AO53</f>
        <v>472.44900000000007</v>
      </c>
      <c r="AQ52" s="695">
        <f>AM52</f>
        <v>573.78100000000006</v>
      </c>
      <c r="AR52" s="19"/>
      <c r="AS52" s="680">
        <f>AQ53</f>
        <v>505.22800000000007</v>
      </c>
      <c r="AT52" s="838">
        <f>AS53</f>
        <v>603.36900000000003</v>
      </c>
      <c r="AU52" s="838">
        <f>AT53</f>
        <v>516.05800000000011</v>
      </c>
      <c r="AV52" s="838">
        <f>AU53</f>
        <v>423.97500000000014</v>
      </c>
      <c r="AW52" s="695">
        <f>AS52</f>
        <v>505.22800000000007</v>
      </c>
      <c r="AX52" s="19"/>
      <c r="AY52" s="680">
        <f>AW53</f>
        <v>264.90799999999996</v>
      </c>
      <c r="AZ52" s="838">
        <f>AY53</f>
        <v>260.73999999999995</v>
      </c>
      <c r="BA52" s="838">
        <f>AZ53</f>
        <v>284.87199999999996</v>
      </c>
      <c r="BB52" s="838">
        <f>BA53</f>
        <v>289.72199999999998</v>
      </c>
      <c r="BC52" s="695">
        <f>AY52</f>
        <v>264.90799999999996</v>
      </c>
      <c r="BD52" s="19"/>
      <c r="BE52" s="680">
        <f>BC53</f>
        <v>347.25999999999988</v>
      </c>
      <c r="BF52" s="838">
        <f>BE53</f>
        <v>186.43999999999963</v>
      </c>
      <c r="BG52" s="838">
        <f>BF53</f>
        <v>95.450999999999553</v>
      </c>
      <c r="BH52" s="838">
        <f>BG53</f>
        <v>97.700999999999553</v>
      </c>
      <c r="BI52" s="695">
        <f>BE52</f>
        <v>347.25999999999988</v>
      </c>
      <c r="BJ52" s="19"/>
      <c r="BK52" s="680">
        <v>137.453</v>
      </c>
      <c r="BL52" s="838">
        <f>BK53</f>
        <v>89.977999999999923</v>
      </c>
      <c r="BM52" s="838">
        <f>BL53</f>
        <v>110.38699999999994</v>
      </c>
      <c r="BN52" s="838">
        <f>BM53</f>
        <v>121.73899999999993</v>
      </c>
      <c r="BO52" s="695">
        <f>BK52</f>
        <v>137.453</v>
      </c>
      <c r="BP52" s="19"/>
      <c r="BQ52" s="680">
        <f>+BN53</f>
        <v>94.958999999999932</v>
      </c>
      <c r="BR52" s="838">
        <f>BQ53</f>
        <v>99.778999999999911</v>
      </c>
      <c r="BS52" s="838">
        <f>BR53</f>
        <v>101.45599999999989</v>
      </c>
      <c r="BT52" s="838">
        <f>BS53</f>
        <v>118.00499999999988</v>
      </c>
      <c r="BU52" s="695">
        <f>BQ52</f>
        <v>94.958999999999932</v>
      </c>
      <c r="BV52" s="19"/>
      <c r="BW52" s="680">
        <f>BU53</f>
        <v>161.79112934788162</v>
      </c>
      <c r="BX52" s="838">
        <f>BW53</f>
        <v>197.54840425689537</v>
      </c>
      <c r="BY52" s="838">
        <f>BX53</f>
        <v>139.9417640822752</v>
      </c>
      <c r="BZ52" s="838">
        <f>BY53</f>
        <v>155.52530250062895</v>
      </c>
      <c r="CA52" s="695">
        <f>BW52</f>
        <v>161.79112934788162</v>
      </c>
      <c r="CB52" s="19"/>
      <c r="CC52" s="680">
        <f>CA53</f>
        <v>176.14640810852529</v>
      </c>
      <c r="CD52" s="838">
        <f>CC53</f>
        <v>185.26816488287108</v>
      </c>
      <c r="CE52" s="838">
        <f>CD53</f>
        <v>124.71173619600502</v>
      </c>
      <c r="CF52" s="838">
        <f>CE53</f>
        <v>138.91200191091076</v>
      </c>
      <c r="CG52" s="695">
        <f>CC52</f>
        <v>176.14640810852529</v>
      </c>
      <c r="CH52" s="19"/>
      <c r="CI52" s="680">
        <f>CG53</f>
        <v>160.90370888520945</v>
      </c>
      <c r="CJ52" s="838">
        <f>CI53</f>
        <v>166.06921497088581</v>
      </c>
      <c r="CK52" s="838">
        <f>CJ53</f>
        <v>99.110129426956959</v>
      </c>
      <c r="CL52" s="838">
        <f>CK53</f>
        <v>110.51423026619581</v>
      </c>
      <c r="CM52" s="695">
        <f>CI52</f>
        <v>160.90370888520945</v>
      </c>
      <c r="CN52" s="19"/>
      <c r="CO52" s="14"/>
      <c r="CP52" s="14"/>
      <c r="CW52" s="874"/>
      <c r="CX52" s="11"/>
      <c r="CY52" s="11"/>
      <c r="CZ52" s="11"/>
      <c r="DA52" s="11"/>
      <c r="DB52" s="11"/>
      <c r="DC52" s="11"/>
      <c r="DD52" s="11"/>
      <c r="DE52" s="11"/>
      <c r="DF52" s="11"/>
      <c r="DG52" s="11"/>
      <c r="DH52" s="11"/>
      <c r="DI52" s="11"/>
      <c r="DJ52" s="11"/>
      <c r="DK52" s="11"/>
      <c r="DL52" s="11"/>
      <c r="DM52" s="11"/>
      <c r="DN52" s="11"/>
      <c r="DO52" s="11"/>
      <c r="DP52" s="11"/>
      <c r="DQ52" s="11"/>
    </row>
    <row r="53" spans="1:121" ht="11.25" customHeight="1" x14ac:dyDescent="0.2">
      <c r="A53" s="70"/>
      <c r="B53" s="751" t="s">
        <v>97</v>
      </c>
      <c r="C53" s="841">
        <f t="shared" ref="C53:AH53" si="42">C50+C52</f>
        <v>265.22399999999999</v>
      </c>
      <c r="D53" s="81">
        <f t="shared" si="42"/>
        <v>181.55799999999999</v>
      </c>
      <c r="E53" s="81">
        <f t="shared" si="42"/>
        <v>152.464</v>
      </c>
      <c r="F53" s="81">
        <f t="shared" si="42"/>
        <v>241.79100000000003</v>
      </c>
      <c r="G53" s="843">
        <f t="shared" si="42"/>
        <v>241.791</v>
      </c>
      <c r="H53" s="19"/>
      <c r="I53" s="841">
        <f t="shared" si="42"/>
        <v>294.23199999999997</v>
      </c>
      <c r="J53" s="81">
        <f t="shared" si="42"/>
        <v>345.14199999999994</v>
      </c>
      <c r="K53" s="81">
        <f t="shared" si="42"/>
        <v>171.22799999999995</v>
      </c>
      <c r="L53" s="81">
        <f t="shared" si="42"/>
        <v>308.16399999999999</v>
      </c>
      <c r="M53" s="843">
        <f t="shared" si="42"/>
        <v>308.1640000000001</v>
      </c>
      <c r="N53" s="19"/>
      <c r="O53" s="841">
        <f t="shared" si="42"/>
        <v>331.15000000000009</v>
      </c>
      <c r="P53" s="81">
        <f t="shared" si="42"/>
        <v>256.64300000000009</v>
      </c>
      <c r="Q53" s="81">
        <f t="shared" si="42"/>
        <v>161.8840000000001</v>
      </c>
      <c r="R53" s="81">
        <f t="shared" si="42"/>
        <v>158.06500000000008</v>
      </c>
      <c r="S53" s="843">
        <f t="shared" si="42"/>
        <v>158.06500000000011</v>
      </c>
      <c r="T53" s="19"/>
      <c r="U53" s="841">
        <f t="shared" si="42"/>
        <v>175.37700000000012</v>
      </c>
      <c r="V53" s="81">
        <f t="shared" si="42"/>
        <v>170.15100000000012</v>
      </c>
      <c r="W53" s="81">
        <f t="shared" si="42"/>
        <v>267.7820000000001</v>
      </c>
      <c r="X53" s="81">
        <f t="shared" si="42"/>
        <v>340.59100000000007</v>
      </c>
      <c r="Y53" s="843">
        <f t="shared" si="42"/>
        <v>340.59100000000012</v>
      </c>
      <c r="Z53" s="19"/>
      <c r="AA53" s="841">
        <f t="shared" si="42"/>
        <v>298.42700000000013</v>
      </c>
      <c r="AB53" s="81">
        <f t="shared" si="42"/>
        <v>328.74400000000014</v>
      </c>
      <c r="AC53" s="81">
        <f t="shared" si="42"/>
        <v>388.03900000000016</v>
      </c>
      <c r="AD53" s="81">
        <f t="shared" si="42"/>
        <v>388.66500000000013</v>
      </c>
      <c r="AE53" s="843">
        <f t="shared" si="42"/>
        <v>388.66500000000008</v>
      </c>
      <c r="AF53" s="19"/>
      <c r="AG53" s="841">
        <f t="shared" si="42"/>
        <v>373.77600000000007</v>
      </c>
      <c r="AH53" s="81">
        <f t="shared" si="42"/>
        <v>250.06800000000004</v>
      </c>
      <c r="AI53" s="81">
        <f t="shared" ref="AI53:BI53" si="43">AI50+AI52</f>
        <v>538.0920000000001</v>
      </c>
      <c r="AJ53" s="81">
        <f t="shared" si="43"/>
        <v>573.78100000000006</v>
      </c>
      <c r="AK53" s="843">
        <f t="shared" si="43"/>
        <v>573.78100000000006</v>
      </c>
      <c r="AL53" s="19"/>
      <c r="AM53" s="841">
        <f t="shared" si="43"/>
        <v>580.75300000000004</v>
      </c>
      <c r="AN53" s="81">
        <f t="shared" si="43"/>
        <v>500.37400000000002</v>
      </c>
      <c r="AO53" s="81">
        <f t="shared" si="43"/>
        <v>472.44900000000007</v>
      </c>
      <c r="AP53" s="81">
        <f t="shared" si="43"/>
        <v>505.22800000000007</v>
      </c>
      <c r="AQ53" s="843">
        <f t="shared" si="43"/>
        <v>505.22800000000007</v>
      </c>
      <c r="AR53" s="19"/>
      <c r="AS53" s="841">
        <f t="shared" si="43"/>
        <v>603.36900000000003</v>
      </c>
      <c r="AT53" s="81">
        <f t="shared" si="43"/>
        <v>516.05800000000011</v>
      </c>
      <c r="AU53" s="81">
        <f t="shared" si="43"/>
        <v>423.97500000000014</v>
      </c>
      <c r="AV53" s="81">
        <f t="shared" si="43"/>
        <v>264.90800000000013</v>
      </c>
      <c r="AW53" s="843">
        <f t="shared" si="43"/>
        <v>264.90799999999996</v>
      </c>
      <c r="AX53" s="19"/>
      <c r="AY53" s="841">
        <f t="shared" si="43"/>
        <v>260.73999999999995</v>
      </c>
      <c r="AZ53" s="81">
        <f t="shared" si="43"/>
        <v>284.87199999999996</v>
      </c>
      <c r="BA53" s="81">
        <f t="shared" si="43"/>
        <v>289.72199999999998</v>
      </c>
      <c r="BB53" s="81">
        <f t="shared" si="43"/>
        <v>347.26</v>
      </c>
      <c r="BC53" s="843">
        <f t="shared" si="43"/>
        <v>347.25999999999988</v>
      </c>
      <c r="BD53" s="19"/>
      <c r="BE53" s="841">
        <f t="shared" si="43"/>
        <v>186.43999999999963</v>
      </c>
      <c r="BF53" s="81">
        <f t="shared" si="43"/>
        <v>95.450999999999553</v>
      </c>
      <c r="BG53" s="81">
        <f t="shared" si="43"/>
        <v>97.700999999999553</v>
      </c>
      <c r="BH53" s="81">
        <f t="shared" si="43"/>
        <v>137.45299999999969</v>
      </c>
      <c r="BI53" s="843">
        <f t="shared" si="43"/>
        <v>137.45299999999986</v>
      </c>
      <c r="BJ53" s="19"/>
      <c r="BK53" s="841">
        <f>BK50+BK52</f>
        <v>89.977999999999923</v>
      </c>
      <c r="BL53" s="81">
        <f>BL50+BL52</f>
        <v>110.38699999999994</v>
      </c>
      <c r="BM53" s="81">
        <f>BM50+BM52</f>
        <v>121.73899999999993</v>
      </c>
      <c r="BN53" s="81">
        <f>BN50+BN52</f>
        <v>94.958999999999932</v>
      </c>
      <c r="BO53" s="843">
        <f>BO50+BO52</f>
        <v>94.958999999999889</v>
      </c>
      <c r="BP53" s="19"/>
      <c r="BQ53" s="841">
        <f>BQ50+BQ52</f>
        <v>99.778999999999911</v>
      </c>
      <c r="BR53" s="81">
        <f>BR50+BR52</f>
        <v>101.45599999999989</v>
      </c>
      <c r="BS53" s="81">
        <f t="shared" ref="BS53:CG53" si="44">BS50+BS52</f>
        <v>118.00499999999988</v>
      </c>
      <c r="BT53" s="81">
        <f t="shared" si="44"/>
        <v>161.79112934788165</v>
      </c>
      <c r="BU53" s="843">
        <f t="shared" si="44"/>
        <v>161.79112934788162</v>
      </c>
      <c r="BV53" s="19"/>
      <c r="BW53" s="841">
        <f t="shared" si="44"/>
        <v>197.54840425689537</v>
      </c>
      <c r="BX53" s="81">
        <f t="shared" si="44"/>
        <v>139.9417640822752</v>
      </c>
      <c r="BY53" s="81">
        <f t="shared" si="44"/>
        <v>155.52530250062895</v>
      </c>
      <c r="BZ53" s="81">
        <f t="shared" si="44"/>
        <v>176.14640810852535</v>
      </c>
      <c r="CA53" s="843">
        <f t="shared" si="44"/>
        <v>176.14640810852529</v>
      </c>
      <c r="CB53" s="19"/>
      <c r="CC53" s="841">
        <f t="shared" si="44"/>
        <v>185.26816488287108</v>
      </c>
      <c r="CD53" s="81">
        <f t="shared" si="44"/>
        <v>124.71173619600502</v>
      </c>
      <c r="CE53" s="81">
        <f t="shared" si="44"/>
        <v>138.91200191091076</v>
      </c>
      <c r="CF53" s="81">
        <f t="shared" si="44"/>
        <v>160.90370888520951</v>
      </c>
      <c r="CG53" s="843">
        <f t="shared" si="44"/>
        <v>160.90370888520945</v>
      </c>
      <c r="CH53" s="19"/>
      <c r="CI53" s="841">
        <f t="shared" ref="CI53:CM53" si="45">CI50+CI52</f>
        <v>166.06921497088581</v>
      </c>
      <c r="CJ53" s="81">
        <f t="shared" si="45"/>
        <v>99.110129426956959</v>
      </c>
      <c r="CK53" s="81">
        <f t="shared" si="45"/>
        <v>110.51423026619581</v>
      </c>
      <c r="CL53" s="81">
        <f t="shared" si="45"/>
        <v>129.08337542778327</v>
      </c>
      <c r="CM53" s="843">
        <f t="shared" si="45"/>
        <v>129.08337542778318</v>
      </c>
      <c r="CN53" s="19"/>
      <c r="CO53" s="14"/>
      <c r="CP53" s="14"/>
      <c r="CX53" s="11"/>
      <c r="CY53" s="11"/>
      <c r="CZ53" s="11"/>
      <c r="DA53" s="11"/>
      <c r="DB53" s="11"/>
      <c r="DC53" s="11"/>
      <c r="DD53" s="11"/>
      <c r="DE53" s="11"/>
      <c r="DF53" s="11"/>
      <c r="DG53" s="11"/>
      <c r="DH53" s="11"/>
      <c r="DI53" s="11"/>
      <c r="DJ53" s="11"/>
      <c r="DK53" s="11"/>
      <c r="DL53" s="11"/>
      <c r="DM53" s="11"/>
      <c r="DN53" s="11"/>
      <c r="DO53" s="11"/>
      <c r="DP53" s="11"/>
      <c r="DQ53" s="11"/>
    </row>
    <row r="54" spans="1:121" s="876" customFormat="1" ht="11.25" customHeight="1" outlineLevel="1" x14ac:dyDescent="0.2">
      <c r="A54" s="78"/>
      <c r="B54" s="821" t="s">
        <v>44</v>
      </c>
      <c r="C54" s="822">
        <f>ROUND(C53-'BalSht '!C9,3)</f>
        <v>0</v>
      </c>
      <c r="D54" s="822">
        <f>ROUND(D53-'BalSht '!D9,3)</f>
        <v>0</v>
      </c>
      <c r="E54" s="822">
        <f>ROUND(E53-'BalSht '!E9,3)</f>
        <v>0</v>
      </c>
      <c r="F54" s="822">
        <f>ROUND(F53-'BalSht '!F9,3)</f>
        <v>0</v>
      </c>
      <c r="G54" s="822">
        <f>ROUND(G53-'BalSht '!G9,3)</f>
        <v>0</v>
      </c>
      <c r="H54" s="820"/>
      <c r="I54" s="822">
        <f>ROUND(I53-'BalSht '!I9,3)</f>
        <v>0</v>
      </c>
      <c r="J54" s="822">
        <f>ROUND(J53-'BalSht '!J9,3)</f>
        <v>0</v>
      </c>
      <c r="K54" s="822">
        <f>ROUND(K53-'BalSht '!K9,3)</f>
        <v>0</v>
      </c>
      <c r="L54" s="822">
        <f>ROUND(L53-'BalSht '!L9,3)</f>
        <v>0</v>
      </c>
      <c r="M54" s="822">
        <f>ROUND(M53-'BalSht '!M9,3)</f>
        <v>0</v>
      </c>
      <c r="N54" s="820"/>
      <c r="O54" s="822">
        <f>ROUND(O53-'BalSht '!O9,3)</f>
        <v>0</v>
      </c>
      <c r="P54" s="822">
        <f>ROUND(P53-'BalSht '!P9,3)</f>
        <v>0</v>
      </c>
      <c r="Q54" s="822">
        <f>ROUND(Q53-'BalSht '!Q9,3)</f>
        <v>0</v>
      </c>
      <c r="R54" s="822">
        <f>ROUND(R53-'BalSht '!R9,3)</f>
        <v>0</v>
      </c>
      <c r="S54" s="822">
        <f>ROUND(S53-'BalSht '!S9,3)</f>
        <v>0</v>
      </c>
      <c r="T54" s="820"/>
      <c r="U54" s="822">
        <f>ROUND(U53-'BalSht '!U9,3)</f>
        <v>0</v>
      </c>
      <c r="V54" s="822">
        <f>ROUND(V53-'BalSht '!V9,3)</f>
        <v>0</v>
      </c>
      <c r="W54" s="822">
        <f>ROUND(W53-'BalSht '!W9,3)</f>
        <v>0</v>
      </c>
      <c r="X54" s="822">
        <f>ROUND(X53-'BalSht '!X9,3)</f>
        <v>0</v>
      </c>
      <c r="Y54" s="822">
        <f>ROUND(Y53-'BalSht '!Y9,3)</f>
        <v>0</v>
      </c>
      <c r="Z54" s="820"/>
      <c r="AA54" s="822">
        <f>ROUND(AA53-'BalSht '!AA9,3)</f>
        <v>0</v>
      </c>
      <c r="AB54" s="822">
        <f>ROUND(AB53-'BalSht '!AB9,3)</f>
        <v>0</v>
      </c>
      <c r="AC54" s="822">
        <f>ROUND(AC53-'BalSht '!AC9,3)</f>
        <v>0</v>
      </c>
      <c r="AD54" s="822">
        <f>ROUND(AD53-'BalSht '!AD9,3)</f>
        <v>0</v>
      </c>
      <c r="AE54" s="822">
        <f>ROUND(AE53-'BalSht '!AE9,3)</f>
        <v>0</v>
      </c>
      <c r="AF54" s="820"/>
      <c r="AG54" s="822">
        <f>ROUND(AG53-'BalSht '!AG9,3)</f>
        <v>0</v>
      </c>
      <c r="AH54" s="822">
        <f>ROUND(AH53-'BalSht '!AH9,3)</f>
        <v>0</v>
      </c>
      <c r="AI54" s="822">
        <f>ROUND(AI53-'BalSht '!AI9,3)</f>
        <v>0</v>
      </c>
      <c r="AJ54" s="822">
        <f>ROUND(AJ53-'BalSht '!AJ9,3)</f>
        <v>0</v>
      </c>
      <c r="AK54" s="822">
        <f>ROUND(AK53-'BalSht '!AK9,3)</f>
        <v>0</v>
      </c>
      <c r="AL54" s="820"/>
      <c r="AM54" s="822">
        <f>ROUND(AM53-'BalSht '!AM9,3)</f>
        <v>0</v>
      </c>
      <c r="AN54" s="822">
        <f>ROUND(AN53-'BalSht '!AN9,3)</f>
        <v>0</v>
      </c>
      <c r="AO54" s="822">
        <f>ROUND(AO53-'BalSht '!AO9,3)</f>
        <v>0</v>
      </c>
      <c r="AP54" s="822">
        <f>ROUND(AP53-'BalSht '!AP9,3)</f>
        <v>0</v>
      </c>
      <c r="AQ54" s="822">
        <f>ROUND(AQ53-'BalSht '!AQ9,3)</f>
        <v>0</v>
      </c>
      <c r="AR54" s="820"/>
      <c r="AS54" s="822">
        <f>ROUND(AS53-'BalSht '!AS9,3)</f>
        <v>0</v>
      </c>
      <c r="AT54" s="822">
        <f>ROUND(AT53-'BalSht '!AT9,3)</f>
        <v>0</v>
      </c>
      <c r="AU54" s="822">
        <f>ROUND(AU53-'BalSht '!AU9,3)</f>
        <v>0</v>
      </c>
      <c r="AV54" s="822">
        <f>ROUND(AV53-'BalSht '!AV9,3)</f>
        <v>0</v>
      </c>
      <c r="AW54" s="822">
        <f>ROUND(AW53-'BalSht '!AW9,3)</f>
        <v>0</v>
      </c>
      <c r="AX54" s="820"/>
      <c r="AY54" s="822">
        <f>ROUND(AY53-'BalSht '!AY9,3)</f>
        <v>0</v>
      </c>
      <c r="AZ54" s="822">
        <f>ROUND(AZ53-'BalSht '!AZ9,3)</f>
        <v>0</v>
      </c>
      <c r="BA54" s="822">
        <f>ROUND(BA53-'BalSht '!BA9,3)</f>
        <v>0</v>
      </c>
      <c r="BB54" s="822">
        <f>ROUND(BB53-'BalSht '!BB9,3)</f>
        <v>0</v>
      </c>
      <c r="BC54" s="822">
        <f>ROUND(BC53-'BalSht '!BC9,3)</f>
        <v>0</v>
      </c>
      <c r="BD54" s="820"/>
      <c r="BE54" s="822">
        <f>ROUND(BE53-'BalSht '!BE9,3)</f>
        <v>0</v>
      </c>
      <c r="BF54" s="822">
        <f>ROUND(BF53-'BalSht '!BF9,3)</f>
        <v>0</v>
      </c>
      <c r="BG54" s="822">
        <f>ROUND(BG53-'BalSht '!BG9,3)</f>
        <v>0</v>
      </c>
      <c r="BH54" s="822">
        <f>BH53-'BalSht '!BH9</f>
        <v>-3.1263880373444408E-13</v>
      </c>
      <c r="BI54" s="822">
        <f>BI53-'BalSht '!BI9</f>
        <v>0</v>
      </c>
      <c r="BJ54" s="820"/>
      <c r="BK54" s="822">
        <f>ROUND(BK53-'BalSht '!BK9,3)</f>
        <v>0</v>
      </c>
      <c r="BL54" s="822">
        <f>ROUND(BL53-'BalSht '!BL9,3)</f>
        <v>0</v>
      </c>
      <c r="BM54" s="822">
        <f>ROUND(BM53-'BalSht '!BM9,3)</f>
        <v>0</v>
      </c>
      <c r="BN54" s="822">
        <f>ROUND(BN53-'BalSht '!BN9,3)</f>
        <v>0</v>
      </c>
      <c r="BO54" s="822">
        <f>BO53-'BalSht '!BO9</f>
        <v>-1.1368683772161603E-13</v>
      </c>
      <c r="BP54" s="820"/>
      <c r="BQ54" s="822">
        <f>ROUND(BQ53-'BalSht '!BQ9,3)</f>
        <v>0</v>
      </c>
      <c r="BR54" s="822">
        <f>ROUND(BR53-'BalSht '!BR9,3)</f>
        <v>0</v>
      </c>
      <c r="BS54" s="822">
        <f>ROUND(BS53-'BalSht '!BS9,3)</f>
        <v>0</v>
      </c>
      <c r="BT54" s="822">
        <f>ROUND(BT53-'BalSht '!BT9,3)</f>
        <v>0</v>
      </c>
      <c r="BU54" s="822">
        <f>BU53-'BalSht '!BU9</f>
        <v>0</v>
      </c>
      <c r="BV54" s="820"/>
      <c r="BW54" s="822">
        <f>ROUND(BW53-'BalSht '!BW9,3)</f>
        <v>0</v>
      </c>
      <c r="BX54" s="822">
        <f>ROUND(BX53-'BalSht '!BX9,3)</f>
        <v>0</v>
      </c>
      <c r="BY54" s="822">
        <f>ROUND(BY53-'BalSht '!BY9,3)</f>
        <v>0</v>
      </c>
      <c r="BZ54" s="822">
        <f>ROUND(BZ53-'BalSht '!BZ9,3)</f>
        <v>0</v>
      </c>
      <c r="CA54" s="822">
        <f>CA53-'BalSht '!CA9</f>
        <v>0</v>
      </c>
      <c r="CB54" s="820"/>
      <c r="CC54" s="822">
        <f>ROUND(CC53-'BalSht '!CC9,3)</f>
        <v>0</v>
      </c>
      <c r="CD54" s="822">
        <f>ROUND(CD53-'BalSht '!CD9,3)</f>
        <v>0</v>
      </c>
      <c r="CE54" s="822">
        <f>ROUND(CE53-'BalSht '!CE9,3)</f>
        <v>0</v>
      </c>
      <c r="CF54" s="822">
        <f>ROUND(CF53-'BalSht '!CF9,3)</f>
        <v>0</v>
      </c>
      <c r="CG54" s="822">
        <f>CG53-'BalSht '!CG9</f>
        <v>0</v>
      </c>
      <c r="CH54" s="820"/>
      <c r="CI54" s="822">
        <f>ROUND(CI53-'BalSht '!CI9,3)</f>
        <v>0</v>
      </c>
      <c r="CJ54" s="822">
        <f>ROUND(CJ53-'BalSht '!CJ9,3)</f>
        <v>0</v>
      </c>
      <c r="CK54" s="822">
        <f>ROUND(CK53-'BalSht '!CK9,3)</f>
        <v>0</v>
      </c>
      <c r="CL54" s="822">
        <f>ROUND(CL53-'BalSht '!CL9,3)</f>
        <v>0</v>
      </c>
      <c r="CM54" s="822">
        <f>CM53-'BalSht '!CM9</f>
        <v>0</v>
      </c>
      <c r="CN54" s="820"/>
      <c r="CO54" s="458"/>
      <c r="CP54" s="458"/>
      <c r="CQ54"/>
      <c r="CR54"/>
      <c r="CS54"/>
      <c r="CT54"/>
      <c r="CU54"/>
      <c r="CV54"/>
      <c r="CW54" s="240"/>
      <c r="CX54" s="875"/>
      <c r="CY54" s="875"/>
      <c r="CZ54" s="875"/>
      <c r="DA54" s="875"/>
      <c r="DB54" s="875"/>
      <c r="DC54" s="875"/>
      <c r="DD54" s="875"/>
      <c r="DE54" s="875"/>
      <c r="DF54" s="875"/>
      <c r="DG54" s="875"/>
      <c r="DH54" s="875"/>
      <c r="DI54" s="875"/>
      <c r="DJ54" s="875"/>
      <c r="DK54" s="875"/>
      <c r="DL54" s="875"/>
      <c r="DM54" s="875"/>
      <c r="DN54" s="875"/>
      <c r="DO54" s="875"/>
      <c r="DP54" s="875"/>
      <c r="DQ54" s="875"/>
    </row>
    <row r="55" spans="1:121" ht="11.25" customHeight="1" x14ac:dyDescent="0.2">
      <c r="A55" s="70"/>
      <c r="B55" s="163"/>
      <c r="C55" s="80"/>
      <c r="D55" s="25"/>
      <c r="E55" s="80"/>
      <c r="F55" s="80"/>
      <c r="G55" s="80"/>
      <c r="H55" s="19"/>
      <c r="I55" s="80"/>
      <c r="J55" s="25"/>
      <c r="K55" s="80"/>
      <c r="L55" s="80"/>
      <c r="M55" s="80"/>
      <c r="N55" s="19"/>
      <c r="O55" s="80"/>
      <c r="P55" s="25"/>
      <c r="Q55" s="80"/>
      <c r="R55" s="80"/>
      <c r="S55" s="80"/>
      <c r="T55" s="19"/>
      <c r="U55" s="80"/>
      <c r="V55" s="25"/>
      <c r="W55" s="80"/>
      <c r="X55" s="80"/>
      <c r="Y55" s="80"/>
      <c r="Z55" s="19"/>
      <c r="AA55" s="80"/>
      <c r="AB55" s="25"/>
      <c r="AC55" s="80"/>
      <c r="AD55" s="80"/>
      <c r="AE55" s="80"/>
      <c r="AF55" s="19"/>
      <c r="AG55" s="80"/>
      <c r="AH55" s="25"/>
      <c r="AI55" s="80"/>
      <c r="AJ55" s="80"/>
      <c r="AK55" s="80"/>
      <c r="AL55" s="19"/>
      <c r="AM55" s="80"/>
      <c r="AN55" s="25"/>
      <c r="AO55" s="80"/>
      <c r="AP55" s="80"/>
      <c r="AQ55" s="80"/>
      <c r="AR55" s="19"/>
      <c r="AS55" s="80"/>
      <c r="AT55" s="80"/>
      <c r="AU55" s="80"/>
      <c r="AV55" s="80"/>
      <c r="AW55" s="80"/>
      <c r="AX55" s="19"/>
      <c r="AY55" s="80"/>
      <c r="AZ55" s="80"/>
      <c r="BA55" s="80"/>
      <c r="BB55" s="80"/>
      <c r="BC55" s="472"/>
      <c r="BD55" s="19"/>
      <c r="BE55" s="80"/>
      <c r="BF55" s="80"/>
      <c r="BG55" s="80"/>
      <c r="BH55" s="80"/>
      <c r="BI55" s="80"/>
      <c r="BJ55" s="19"/>
      <c r="BK55" s="80"/>
      <c r="BL55" s="80"/>
      <c r="BM55" s="80"/>
      <c r="BN55" s="80"/>
      <c r="BO55" s="80"/>
      <c r="BP55" s="19"/>
      <c r="BQ55" s="80"/>
      <c r="BR55" s="80"/>
      <c r="BS55" s="80"/>
      <c r="BT55" s="80"/>
      <c r="BU55" s="80"/>
      <c r="BV55" s="19"/>
      <c r="BW55" s="80"/>
      <c r="BX55" s="80"/>
      <c r="BY55" s="80"/>
      <c r="BZ55" s="80"/>
      <c r="CA55" s="80"/>
      <c r="CB55" s="19"/>
      <c r="CC55" s="80"/>
      <c r="CD55" s="80"/>
      <c r="CE55" s="80"/>
      <c r="CF55" s="80"/>
      <c r="CG55" s="80"/>
      <c r="CH55" s="19"/>
      <c r="CI55" s="80"/>
      <c r="CJ55" s="80"/>
      <c r="CK55" s="80"/>
      <c r="CL55" s="80"/>
      <c r="CM55" s="80"/>
      <c r="CN55" s="19"/>
      <c r="CO55" s="14"/>
      <c r="CP55" s="14"/>
      <c r="CW55" s="240"/>
      <c r="CX55" s="11"/>
      <c r="CY55" s="11"/>
      <c r="CZ55" s="11"/>
      <c r="DA55" s="11"/>
      <c r="DB55" s="11"/>
      <c r="DC55" s="11"/>
      <c r="DD55" s="11"/>
      <c r="DE55" s="11"/>
      <c r="DF55" s="11"/>
      <c r="DG55" s="11"/>
      <c r="DH55" s="11"/>
      <c r="DI55" s="11"/>
      <c r="DJ55" s="11"/>
      <c r="DK55" s="11"/>
      <c r="DL55" s="11"/>
      <c r="DM55" s="11"/>
      <c r="DN55" s="11"/>
      <c r="DO55" s="11"/>
      <c r="DP55" s="11"/>
      <c r="DQ55" s="11"/>
    </row>
    <row r="56" spans="1:121" ht="11.25" customHeight="1" x14ac:dyDescent="0.2">
      <c r="A56" s="77"/>
      <c r="B56" s="1033" t="s">
        <v>45</v>
      </c>
      <c r="C56" s="1034"/>
      <c r="D56" s="1034"/>
      <c r="E56" s="1034"/>
      <c r="F56" s="1034"/>
      <c r="G56" s="1034"/>
      <c r="H56" s="1033"/>
      <c r="I56" s="1034"/>
      <c r="J56" s="1034"/>
      <c r="K56" s="1034"/>
      <c r="L56" s="1034"/>
      <c r="M56" s="1034"/>
      <c r="N56" s="1033"/>
      <c r="O56" s="1034"/>
      <c r="P56" s="1034"/>
      <c r="Q56" s="1034"/>
      <c r="R56" s="1034"/>
      <c r="S56" s="1034"/>
      <c r="T56" s="1033"/>
      <c r="U56" s="1034"/>
      <c r="V56" s="1034"/>
      <c r="W56" s="1034"/>
      <c r="X56" s="1034"/>
      <c r="Y56" s="1034"/>
      <c r="Z56" s="1033"/>
      <c r="AA56" s="1034"/>
      <c r="AB56" s="1034"/>
      <c r="AC56" s="1034"/>
      <c r="AD56" s="1034"/>
      <c r="AE56" s="1034"/>
      <c r="AF56" s="1033"/>
      <c r="AG56" s="1034"/>
      <c r="AH56" s="1034"/>
      <c r="AI56" s="1034"/>
      <c r="AJ56" s="1034"/>
      <c r="AK56" s="1034"/>
      <c r="AL56" s="1033"/>
      <c r="AM56" s="1034"/>
      <c r="AN56" s="1034"/>
      <c r="AO56" s="1034"/>
      <c r="AP56" s="1034"/>
      <c r="AQ56" s="1034"/>
      <c r="AR56" s="1033"/>
      <c r="AS56" s="1034"/>
      <c r="AT56" s="1034"/>
      <c r="AU56" s="1034"/>
      <c r="AV56" s="1034"/>
      <c r="AW56" s="1034"/>
      <c r="AX56" s="1033"/>
      <c r="AY56" s="1034"/>
      <c r="AZ56" s="1034"/>
      <c r="BA56" s="1034"/>
      <c r="BB56" s="1034"/>
      <c r="BC56" s="1034"/>
      <c r="BD56" s="1033"/>
      <c r="BE56" s="1034"/>
      <c r="BF56" s="1034"/>
      <c r="BG56" s="1034"/>
      <c r="BH56" s="1034"/>
      <c r="BI56" s="1034"/>
      <c r="BJ56" s="1033"/>
      <c r="BK56" s="1034"/>
      <c r="BL56" s="1034"/>
      <c r="BM56" s="1034"/>
      <c r="BN56" s="1034"/>
      <c r="BO56" s="1034"/>
      <c r="BP56" s="1033"/>
      <c r="BQ56" s="1034"/>
      <c r="BR56" s="1034"/>
      <c r="BS56" s="1034"/>
      <c r="BT56" s="1034"/>
      <c r="BU56" s="1034"/>
      <c r="BV56" s="1033"/>
      <c r="BW56" s="1034"/>
      <c r="BX56" s="1034"/>
      <c r="BY56" s="1034"/>
      <c r="BZ56" s="1034"/>
      <c r="CA56" s="1034"/>
      <c r="CB56" s="1033"/>
      <c r="CC56" s="1034"/>
      <c r="CD56" s="1034"/>
      <c r="CE56" s="1034"/>
      <c r="CF56" s="1034"/>
      <c r="CG56" s="1034"/>
      <c r="CH56" s="1033"/>
      <c r="CI56" s="1034"/>
      <c r="CJ56" s="1034"/>
      <c r="CK56" s="1034"/>
      <c r="CL56" s="1034"/>
      <c r="CM56" s="1034"/>
      <c r="CN56" s="19"/>
      <c r="CO56" s="14"/>
      <c r="CP56" s="14"/>
      <c r="CX56" s="11"/>
      <c r="CY56" s="11"/>
      <c r="CZ56" s="11"/>
      <c r="DA56" s="11"/>
      <c r="DB56" s="11"/>
      <c r="DC56" s="11"/>
      <c r="DD56" s="11"/>
      <c r="DE56" s="11"/>
      <c r="DF56" s="11"/>
      <c r="DG56" s="11"/>
      <c r="DH56" s="11"/>
      <c r="DI56" s="11"/>
      <c r="DJ56" s="11"/>
      <c r="DK56" s="11"/>
      <c r="DL56" s="11"/>
      <c r="DM56" s="11"/>
      <c r="DN56" s="11"/>
      <c r="DO56" s="11"/>
      <c r="DP56" s="11"/>
      <c r="DQ56" s="11"/>
    </row>
    <row r="57" spans="1:121" ht="11.25" customHeight="1" x14ac:dyDescent="0.2">
      <c r="A57" s="77"/>
      <c r="B57" s="750" t="s">
        <v>125</v>
      </c>
      <c r="C57" s="722">
        <f>+C25+C28</f>
        <v>45.857000000000006</v>
      </c>
      <c r="D57" s="723">
        <f>+D25+D28</f>
        <v>26.891999999999985</v>
      </c>
      <c r="E57" s="723">
        <f>+E25+E28</f>
        <v>29.433000000000018</v>
      </c>
      <c r="F57" s="723">
        <f>+F25+F28</f>
        <v>121.816</v>
      </c>
      <c r="G57" s="730">
        <f>+G25+G28</f>
        <v>223.99800000000002</v>
      </c>
      <c r="H57" s="199"/>
      <c r="I57" s="722">
        <f>+I25+I28</f>
        <v>48.133000000000003</v>
      </c>
      <c r="J57" s="723">
        <f>+J25+J28</f>
        <v>51.525999999999996</v>
      </c>
      <c r="K57" s="723">
        <f>+K25+K28</f>
        <v>52.13000000000001</v>
      </c>
      <c r="L57" s="723">
        <f>+L25+L28</f>
        <v>77.599000000000018</v>
      </c>
      <c r="M57" s="730">
        <f>+M25+M28</f>
        <v>229.38800000000003</v>
      </c>
      <c r="N57" s="199"/>
      <c r="O57" s="722">
        <f>+O25+O28</f>
        <v>21.117000000000004</v>
      </c>
      <c r="P57" s="723">
        <f>+P25+P28</f>
        <v>19.218000000000007</v>
      </c>
      <c r="Q57" s="723">
        <f>+Q25+Q28</f>
        <v>9.3610000000000007</v>
      </c>
      <c r="R57" s="723">
        <f>+R25+R28</f>
        <v>41.990999999999985</v>
      </c>
      <c r="S57" s="730">
        <f>+S25+S28</f>
        <v>91.686999999999998</v>
      </c>
      <c r="T57" s="199"/>
      <c r="U57" s="722">
        <f>+U25+U28</f>
        <v>38.828000000000003</v>
      </c>
      <c r="V57" s="723">
        <f>+V25+V28</f>
        <v>3.4910000000000068</v>
      </c>
      <c r="W57" s="723">
        <f>+W25+W28</f>
        <v>93.301999999999978</v>
      </c>
      <c r="X57" s="723">
        <f>+X25+X28</f>
        <v>100.05999999999997</v>
      </c>
      <c r="Y57" s="730">
        <f>+Y25+Y28</f>
        <v>235.68100000000001</v>
      </c>
      <c r="Z57" s="199"/>
      <c r="AA57" s="722">
        <f>+AA25+AA28</f>
        <v>13.628000000000002</v>
      </c>
      <c r="AB57" s="723">
        <f>+AB25+AB28</f>
        <v>-48.117000000000004</v>
      </c>
      <c r="AC57" s="723">
        <f>+AC25+AC28</f>
        <v>196.745</v>
      </c>
      <c r="AD57" s="723">
        <f>+AD25+AD28</f>
        <v>63.533999999999992</v>
      </c>
      <c r="AE57" s="730">
        <f>+AE25+AE28</f>
        <v>225.78999999999996</v>
      </c>
      <c r="AF57" s="199"/>
      <c r="AG57" s="722">
        <f>+AG25+AG28</f>
        <v>56.468999999999994</v>
      </c>
      <c r="AH57" s="723">
        <f>+AH25+AH28</f>
        <v>40.23599999999999</v>
      </c>
      <c r="AI57" s="723">
        <f>+AI25+AI28</f>
        <v>106.90600000000002</v>
      </c>
      <c r="AJ57" s="723">
        <f>+AJ25+AJ28</f>
        <v>87.896999999999991</v>
      </c>
      <c r="AK57" s="730">
        <f>+AK25+AK28</f>
        <v>291.50800000000004</v>
      </c>
      <c r="AL57" s="199"/>
      <c r="AM57" s="722">
        <f>+AM25+AM28</f>
        <v>56.551999999999992</v>
      </c>
      <c r="AN57" s="723">
        <f>+AN25+AN28</f>
        <v>67.88300000000001</v>
      </c>
      <c r="AO57" s="723">
        <f>+AO25+AO28</f>
        <v>40.64200000000001</v>
      </c>
      <c r="AP57" s="723">
        <f>+AP25+AP28</f>
        <v>112.13499999999999</v>
      </c>
      <c r="AQ57" s="730">
        <f>+AQ25+AQ28</f>
        <v>277.21199999999999</v>
      </c>
      <c r="AR57" s="199"/>
      <c r="AS57" s="722">
        <f>+AS25+AS28</f>
        <v>15.561</v>
      </c>
      <c r="AT57" s="723">
        <f>+AT25+AT28</f>
        <v>60.149000000000029</v>
      </c>
      <c r="AU57" s="723">
        <f>+AU25+AU28</f>
        <v>43.777000000000022</v>
      </c>
      <c r="AV57" s="723">
        <f>+AV25+AV28</f>
        <v>35.961999999999975</v>
      </c>
      <c r="AW57" s="730">
        <f>+AW25+AW28</f>
        <v>155.44899999999996</v>
      </c>
      <c r="AX57" s="199"/>
      <c r="AY57" s="722">
        <f>+AY25+AY28</f>
        <v>52.596999999999994</v>
      </c>
      <c r="AZ57" s="723">
        <f>+AZ25+AZ28</f>
        <v>16.608000000000004</v>
      </c>
      <c r="BA57" s="723">
        <f>+BA25+BA28</f>
        <v>45.697999999999993</v>
      </c>
      <c r="BB57" s="723">
        <f>+BB25+BB28</f>
        <v>87.125999999999991</v>
      </c>
      <c r="BC57" s="730">
        <f>+BC25+BC28</f>
        <v>202.02899999999997</v>
      </c>
      <c r="BD57" s="199"/>
      <c r="BE57" s="722">
        <f>+BE25+BE28</f>
        <v>-11.639999999999997</v>
      </c>
      <c r="BF57" s="723">
        <f>+BF25+BF28</f>
        <v>-82.29000000000002</v>
      </c>
      <c r="BG57" s="723">
        <f>+BG25+BG28</f>
        <v>-48.881999999999998</v>
      </c>
      <c r="BH57" s="723">
        <f>+BH25+BH28</f>
        <v>219.78700000000003</v>
      </c>
      <c r="BI57" s="730">
        <f>+BI25+BI28</f>
        <v>76.975000000000023</v>
      </c>
      <c r="BJ57" s="199"/>
      <c r="BK57" s="722">
        <f>+BK25+BK28</f>
        <v>-87.821000000000083</v>
      </c>
      <c r="BL57" s="723">
        <f>+BL25+BL28</f>
        <v>3.1380000000000283</v>
      </c>
      <c r="BM57" s="723">
        <f>+BM25+BM28</f>
        <v>34.585999999999984</v>
      </c>
      <c r="BN57" s="723">
        <f>+BN25+BN28</f>
        <v>165.79700000000003</v>
      </c>
      <c r="BO57" s="730">
        <f>+BO25+BO28</f>
        <v>115.69999999999985</v>
      </c>
      <c r="BP57" s="199"/>
      <c r="BQ57" s="722">
        <f>+BQ25+BQ28</f>
        <v>-52.702000000000019</v>
      </c>
      <c r="BR57" s="723">
        <f>+BR25+BR28</f>
        <v>113.37899999999996</v>
      </c>
      <c r="BS57" s="723">
        <f>+BS25+BS28</f>
        <v>-48.902999999999999</v>
      </c>
      <c r="BT57" s="723">
        <f>+BT25+BT28</f>
        <v>103.16057846457386</v>
      </c>
      <c r="BU57" s="730">
        <f>+BU25+BU28</f>
        <v>114.9345784645738</v>
      </c>
      <c r="BV57" s="199"/>
      <c r="BW57" s="722">
        <f>+BW25+BW28</f>
        <v>86.470531370756859</v>
      </c>
      <c r="BX57" s="723">
        <f>+BX25+BX28</f>
        <v>-7.082849509199562</v>
      </c>
      <c r="BY57" s="723">
        <f>+BY25+BY28</f>
        <v>65.917865814022292</v>
      </c>
      <c r="BZ57" s="723">
        <f>+BZ25+BZ28</f>
        <v>72.861902958118819</v>
      </c>
      <c r="CA57" s="730">
        <f>+CA25+CA28</f>
        <v>218.16745063369842</v>
      </c>
      <c r="CB57" s="199"/>
      <c r="CC57" s="722">
        <f>+CC25+CC28</f>
        <v>61.157551448048238</v>
      </c>
      <c r="CD57" s="723">
        <f>+CD25+CD28</f>
        <v>-8.7258641256897373</v>
      </c>
      <c r="CE57" s="723">
        <f>+CE25+CE28</f>
        <v>65.825601914796536</v>
      </c>
      <c r="CF57" s="723">
        <f>+CF25+CF28</f>
        <v>75.614027450822334</v>
      </c>
      <c r="CG57" s="730">
        <f>+CG25+CG28</f>
        <v>193.8713166879773</v>
      </c>
      <c r="CH57" s="199"/>
      <c r="CI57" s="722">
        <f>+CI25+CI28</f>
        <v>58.565705040586643</v>
      </c>
      <c r="CJ57" s="723">
        <f>+CJ25+CJ28</f>
        <v>-13.781202478569906</v>
      </c>
      <c r="CK57" s="723">
        <f>+CK25+CK28</f>
        <v>64.359669353269737</v>
      </c>
      <c r="CL57" s="723">
        <f>+CL25+CL28</f>
        <v>73.614049809240839</v>
      </c>
      <c r="CM57" s="730">
        <f>+CM25+CM28</f>
        <v>182.75822172452726</v>
      </c>
      <c r="CN57" s="199"/>
      <c r="CO57" s="163"/>
      <c r="CP57" s="14"/>
      <c r="CX57" s="11"/>
      <c r="CY57" s="11"/>
      <c r="CZ57" s="11"/>
      <c r="DA57" s="11"/>
      <c r="DB57" s="11"/>
      <c r="DC57" s="11"/>
      <c r="DD57" s="11"/>
      <c r="DE57" s="11"/>
      <c r="DF57" s="11"/>
      <c r="DG57" s="11"/>
      <c r="DH57" s="11"/>
      <c r="DI57" s="11"/>
      <c r="DJ57" s="11"/>
      <c r="DK57" s="11"/>
      <c r="DL57" s="11"/>
      <c r="DM57" s="11"/>
      <c r="DN57" s="11"/>
      <c r="DO57" s="11"/>
      <c r="DP57" s="11"/>
      <c r="DQ57" s="11"/>
    </row>
    <row r="58" spans="1:121" ht="11.25" customHeight="1" x14ac:dyDescent="0.2">
      <c r="A58" s="6"/>
      <c r="B58" s="529" t="s">
        <v>126</v>
      </c>
      <c r="C58" s="881">
        <f>C57/'P&amp;L'!C26</f>
        <v>0.32950822028052429</v>
      </c>
      <c r="D58" s="60">
        <f>D57/'P&amp;L'!D26</f>
        <v>0.19384695230955526</v>
      </c>
      <c r="E58" s="60">
        <f>E57/'P&amp;L'!E26</f>
        <v>0.21552058696464019</v>
      </c>
      <c r="F58" s="60">
        <f>F57/'P&amp;L'!F26</f>
        <v>0.89169326267092208</v>
      </c>
      <c r="G58" s="889">
        <f>G57/'P&amp;L'!G26</f>
        <v>1.6258955207630164</v>
      </c>
      <c r="H58" s="60"/>
      <c r="I58" s="881">
        <f>I57/'P&amp;L'!I26</f>
        <v>0.35199093202676518</v>
      </c>
      <c r="J58" s="60">
        <f>J57/'P&amp;L'!J26</f>
        <v>0.37631369455825536</v>
      </c>
      <c r="K58" s="60">
        <f>K57/'P&amp;L'!K26</f>
        <v>0.38633416089228151</v>
      </c>
      <c r="L58" s="60">
        <f>L57/'P&amp;L'!L26</f>
        <v>0.63070670947291441</v>
      </c>
      <c r="M58" s="889">
        <f>M57/'P&amp;L'!M26</f>
        <v>1.7260195635816404</v>
      </c>
      <c r="N58" s="60"/>
      <c r="O58" s="881">
        <f>O57/'P&amp;L'!O26</f>
        <v>0.17788429139429884</v>
      </c>
      <c r="P58" s="60">
        <f>P57/'P&amp;L'!P26</f>
        <v>0.16241295382327095</v>
      </c>
      <c r="Q58" s="60">
        <f>Q57/'P&amp;L'!Q26</f>
        <v>7.924052347334383E-2</v>
      </c>
      <c r="R58" s="60">
        <f>R57/'P&amp;L'!R26</f>
        <v>0.35511260327957567</v>
      </c>
      <c r="S58" s="889">
        <f>S57/'P&amp;L'!S26</f>
        <v>0.77467787588188075</v>
      </c>
      <c r="T58" s="60"/>
      <c r="U58" s="881">
        <f>U57/'P&amp;L'!U26</f>
        <v>0.32726751683622296</v>
      </c>
      <c r="V58" s="60">
        <f>V57/'P&amp;L'!V26</f>
        <v>2.9282982150047033E-2</v>
      </c>
      <c r="W58" s="60">
        <f>W57/'P&amp;L'!W26</f>
        <v>0.78120133295376515</v>
      </c>
      <c r="X58" s="60">
        <f>X57/'P&amp;L'!X26</f>
        <v>0.83719607088472003</v>
      </c>
      <c r="Y58" s="889">
        <f>Y57/'P&amp;L'!Y26</f>
        <v>1.9771564235499406</v>
      </c>
      <c r="Z58" s="60"/>
      <c r="AA58" s="881">
        <f>AA57/'P&amp;L'!AA26</f>
        <v>0.11377145528618181</v>
      </c>
      <c r="AB58" s="60">
        <f>AB57/'P&amp;L'!AB26</f>
        <v>-0.40308109874092135</v>
      </c>
      <c r="AC58" s="60">
        <f>AC57/'P&amp;L'!AC26</f>
        <v>1.6555870646347517</v>
      </c>
      <c r="AD58" s="60">
        <f>AD57/'P&amp;L'!AD26</f>
        <v>0.53719909697384771</v>
      </c>
      <c r="AE58" s="889">
        <f>AE57/'P&amp;L'!AE26</f>
        <v>1.8963432046092079</v>
      </c>
      <c r="AF58" s="60"/>
      <c r="AG58" s="881">
        <f>AG57/'P&amp;L'!AG26</f>
        <v>0.48560863395966802</v>
      </c>
      <c r="AH58" s="60">
        <f>AH57/'P&amp;L'!AH26</f>
        <v>0.3554856607707666</v>
      </c>
      <c r="AI58" s="60">
        <f>AI57/'P&amp;L'!AI26</f>
        <v>0.99720164916142773</v>
      </c>
      <c r="AJ58" s="60">
        <f>AJ57/'P&amp;L'!AJ26</f>
        <v>0.82371518536567079</v>
      </c>
      <c r="AK58" s="889">
        <f>AK57/'P&amp;L'!AK26</f>
        <v>2.6298468144993956</v>
      </c>
      <c r="AL58" s="60"/>
      <c r="AM58" s="881">
        <f>AM57/'P&amp;L'!AM26</f>
        <v>0.53460385884310324</v>
      </c>
      <c r="AN58" s="60">
        <f>AN57/'P&amp;L'!AN26</f>
        <v>0.65012689747641628</v>
      </c>
      <c r="AO58" s="60">
        <f>AO57/'P&amp;L'!AO26</f>
        <v>0.39498134038252225</v>
      </c>
      <c r="AP58" s="60">
        <f>AP57/'P&amp;L'!AP26</f>
        <v>1.0979203791097969</v>
      </c>
      <c r="AQ58" s="889">
        <f>AQ57/'P&amp;L'!AQ26</f>
        <v>2.6704557496122612</v>
      </c>
      <c r="AR58" s="60"/>
      <c r="AS58" s="881">
        <f>AS57/'P&amp;L'!AS26</f>
        <v>0.15268006946692964</v>
      </c>
      <c r="AT58" s="60">
        <f>AT57/'P&amp;L'!AT26</f>
        <v>0.58988113918091978</v>
      </c>
      <c r="AU58" s="60">
        <f>AU57/'P&amp;L'!AU26</f>
        <v>0.42919048225963025</v>
      </c>
      <c r="AV58" s="60">
        <f>AV57/'P&amp;L'!AV26</f>
        <v>0.35717690993603729</v>
      </c>
      <c r="AW58" s="889">
        <f>AW57/'P&amp;L'!AW26</f>
        <v>1.5293625729268121</v>
      </c>
      <c r="AX58" s="60"/>
      <c r="AY58" s="881">
        <f>AY57/'P&amp;L'!AY26</f>
        <v>0.52501447365794252</v>
      </c>
      <c r="AZ58" s="60">
        <f>AZ57/'P&amp;L'!AZ26</f>
        <v>0.16712284656255036</v>
      </c>
      <c r="BA58" s="60">
        <f>BA57/'P&amp;L'!BA26</f>
        <v>0.45909182238296153</v>
      </c>
      <c r="BB58" s="60">
        <f>BB57/'P&amp;L'!BB26</f>
        <v>0.87408328902354593</v>
      </c>
      <c r="BC58" s="889">
        <f>BC57/'P&amp;L'!BC26</f>
        <v>2.0264910626517141</v>
      </c>
      <c r="BD58" s="60"/>
      <c r="BE58" s="881">
        <f>BE57/'P&amp;L'!BE26</f>
        <v>-0.1162117369860825</v>
      </c>
      <c r="BF58" s="60">
        <f>BF57/'P&amp;L'!BF26</f>
        <v>-0.82966174320713837</v>
      </c>
      <c r="BG58" s="60">
        <f>BG57/'P&amp;L'!BG26</f>
        <v>-0.50955905347649322</v>
      </c>
      <c r="BH58" s="60">
        <f>BH57/'P&amp;L'!BH26</f>
        <v>2.2865658909083346</v>
      </c>
      <c r="BI58" s="889">
        <f>BI57/'P&amp;L'!BI26</f>
        <v>0.78624542910257222</v>
      </c>
      <c r="BJ58" s="60"/>
      <c r="BK58" s="881">
        <f>BK57/'P&amp;L'!BK26</f>
        <v>-0.91394525965241002</v>
      </c>
      <c r="BL58" s="60">
        <f>BL57/'P&amp;L'!BL26</f>
        <v>3.2720220220220517E-2</v>
      </c>
      <c r="BM58" s="60">
        <f>BM57/'P&amp;L'!BM26</f>
        <v>0.3626925617928039</v>
      </c>
      <c r="BN58" s="60">
        <f>BN57/'P&amp;L'!BN26</f>
        <v>1.7544099129128179</v>
      </c>
      <c r="BO58" s="889">
        <f>BO57/'P&amp;L'!BO26</f>
        <v>1.2106689547647185</v>
      </c>
      <c r="BP58" s="60"/>
      <c r="BQ58" s="881">
        <f>BQ57/'P&amp;L'!BQ26</f>
        <v>-0.56054627256192913</v>
      </c>
      <c r="BR58" s="60">
        <f>BR57/'P&amp;L'!BR26</f>
        <v>1.214545103962464</v>
      </c>
      <c r="BS58" s="60">
        <f>BS57/'P&amp;L'!BS26</f>
        <v>-0.52805882797568271</v>
      </c>
      <c r="BT58" s="60">
        <f>BT57/'P&amp;L'!BT26</f>
        <v>1.1197520448905565</v>
      </c>
      <c r="BU58" s="889">
        <f>BU57/'P&amp;L'!BU26</f>
        <v>1.2355001259556024</v>
      </c>
      <c r="BV58" s="60"/>
      <c r="BW58" s="881">
        <f>BW57/'P&amp;L'!BW26</f>
        <v>0.9469895662186929</v>
      </c>
      <c r="BX58" s="60">
        <f>BX57/'P&amp;L'!BX26</f>
        <v>-7.8143790021071149E-2</v>
      </c>
      <c r="BY58" s="60">
        <f>BY57/'P&amp;L'!BY26</f>
        <v>0.73269441085250087</v>
      </c>
      <c r="BZ58" s="60">
        <f>BZ57/'P&amp;L'!BZ26</f>
        <v>0.81597675410516335</v>
      </c>
      <c r="CA58" s="889">
        <f>CA57/'P&amp;L'!CA26</f>
        <v>2.4159617071654935</v>
      </c>
      <c r="CB58" s="60"/>
      <c r="CC58" s="881">
        <f>CC57/'P&amp;L'!CC26</f>
        <v>0.69009601765972217</v>
      </c>
      <c r="CD58" s="60">
        <f>CD57/'P&amp;L'!CD26</f>
        <v>-9.9214472276922594E-2</v>
      </c>
      <c r="CE58" s="60">
        <f>CE57/'P&amp;L'!CE26</f>
        <v>0.75421288145798571</v>
      </c>
      <c r="CF58" s="60">
        <f>CF57/'P&amp;L'!CF26</f>
        <v>0.87309152568860993</v>
      </c>
      <c r="CG58" s="889">
        <f>CG57/'P&amp;L'!CG26</f>
        <v>2.2128053203268809</v>
      </c>
      <c r="CH58" s="60"/>
      <c r="CI58" s="881">
        <f>CI57/'P&amp;L'!CI26</f>
        <v>0.68153042012008114</v>
      </c>
      <c r="CJ58" s="60">
        <f>CJ57/'P&amp;L'!CJ26</f>
        <v>-0.16163672139003796</v>
      </c>
      <c r="CK58" s="60">
        <f>CK57/'P&amp;L'!CK26</f>
        <v>0.7608600412152482</v>
      </c>
      <c r="CL58" s="60">
        <f>CL57/'P&amp;L'!CL26</f>
        <v>0.8772374632338602</v>
      </c>
      <c r="CM58" s="889">
        <f>CM57/'P&amp;L'!CM26</f>
        <v>2.1520158574729766</v>
      </c>
      <c r="CN58" s="60"/>
      <c r="CO58" s="14"/>
      <c r="CP58" s="14"/>
      <c r="CW58" s="877"/>
      <c r="CX58" s="11"/>
      <c r="CY58" s="11"/>
      <c r="CZ58" s="11"/>
      <c r="DA58" s="11"/>
      <c r="DB58" s="11"/>
      <c r="DC58" s="11"/>
      <c r="DD58" s="11"/>
      <c r="DE58" s="11"/>
      <c r="DF58" s="11"/>
      <c r="DG58" s="11"/>
      <c r="DH58" s="11"/>
      <c r="DI58" s="11"/>
      <c r="DJ58" s="11"/>
      <c r="DK58" s="11"/>
      <c r="DL58" s="11"/>
      <c r="DM58" s="11"/>
      <c r="DN58" s="11"/>
      <c r="DO58" s="11"/>
      <c r="DP58" s="11"/>
      <c r="DQ58" s="11"/>
    </row>
    <row r="59" spans="1:121" ht="11.25" customHeight="1" x14ac:dyDescent="0.2">
      <c r="A59" s="6"/>
      <c r="B59" s="878" t="s">
        <v>127</v>
      </c>
      <c r="C59" s="736">
        <f>C58/$BN$60</f>
        <v>6.9766720364286324E-3</v>
      </c>
      <c r="D59" s="737">
        <f>D58/$BN$60</f>
        <v>4.1043182788387733E-3</v>
      </c>
      <c r="E59" s="737">
        <f>E58/$BN$60</f>
        <v>4.5632137828634381E-3</v>
      </c>
      <c r="F59" s="737">
        <f>F58/$BN$60</f>
        <v>1.887980653548427E-2</v>
      </c>
      <c r="G59" s="757">
        <f>G58/$BN$60</f>
        <v>3.4425058665319003E-2</v>
      </c>
      <c r="H59" s="212"/>
      <c r="I59" s="736">
        <f>I58/$BN$60</f>
        <v>7.4526981161711879E-3</v>
      </c>
      <c r="J59" s="737">
        <f>J58/$BN$60</f>
        <v>7.9676835604119284E-3</v>
      </c>
      <c r="K59" s="737">
        <f>K58/$BN$60</f>
        <v>8.179846726493363E-3</v>
      </c>
      <c r="L59" s="737">
        <f>L58/$BN$60</f>
        <v>1.3353942610055356E-2</v>
      </c>
      <c r="M59" s="757">
        <f>M58/$BN$60</f>
        <v>3.6544983349177232E-2</v>
      </c>
      <c r="N59" s="212"/>
      <c r="O59" s="736">
        <f>O58/$BN$60</f>
        <v>3.7663411262819999E-3</v>
      </c>
      <c r="P59" s="737">
        <f>P58/$BN$60</f>
        <v>3.4387667546743801E-3</v>
      </c>
      <c r="Q59" s="737">
        <f>Q58/$BN$60</f>
        <v>1.6777582780720694E-3</v>
      </c>
      <c r="R59" s="737">
        <f>R58/$BN$60</f>
        <v>7.5187932093918209E-3</v>
      </c>
      <c r="S59" s="757">
        <f>S58/$BN$60</f>
        <v>1.6402241708276113E-2</v>
      </c>
      <c r="T59" s="212"/>
      <c r="U59" s="736">
        <f>U58/$BN$60</f>
        <v>6.9292296598819176E-3</v>
      </c>
      <c r="V59" s="737">
        <f>V58/$BN$60</f>
        <v>6.2000809125655376E-4</v>
      </c>
      <c r="W59" s="737">
        <f>W58/$BN$60</f>
        <v>1.6540362755743495E-2</v>
      </c>
      <c r="X59" s="737">
        <f>X58/$BN$60</f>
        <v>1.772593840535084E-2</v>
      </c>
      <c r="Y59" s="757">
        <f>Y58/$BN$60</f>
        <v>4.1862299884605984E-2</v>
      </c>
      <c r="Z59" s="212"/>
      <c r="AA59" s="736">
        <f>AA58/$BN$60</f>
        <v>2.4088811197582431E-3</v>
      </c>
      <c r="AB59" s="737">
        <f>AB58/$BN$60</f>
        <v>-8.5344293614423323E-3</v>
      </c>
      <c r="AC59" s="737">
        <f>AC58/$BN$60</f>
        <v>3.5053717227074989E-2</v>
      </c>
      <c r="AD59" s="737">
        <f>AD58/$BN$60</f>
        <v>1.1374107494682357E-2</v>
      </c>
      <c r="AE59" s="757">
        <f>AE58/$BN$60</f>
        <v>4.0151242951708827E-2</v>
      </c>
      <c r="AF59" s="212"/>
      <c r="AG59" s="736">
        <f>AG58/$BN$60</f>
        <v>1.02817834842191E-2</v>
      </c>
      <c r="AH59" s="737">
        <f>AH58/$BN$60</f>
        <v>7.5266919494128013E-3</v>
      </c>
      <c r="AI59" s="737">
        <f>AI58/$BN$60</f>
        <v>2.1113733837845178E-2</v>
      </c>
      <c r="AJ59" s="737">
        <f>AJ58/$BN$60</f>
        <v>1.7440507841746153E-2</v>
      </c>
      <c r="AK59" s="757">
        <f>AK58/$BN$60</f>
        <v>5.5681702614850642E-2</v>
      </c>
      <c r="AL59" s="212"/>
      <c r="AM59" s="736">
        <f>AM58/$BN$60</f>
        <v>1.1319158561149763E-2</v>
      </c>
      <c r="AN59" s="737">
        <f>AN58/$BN$60</f>
        <v>1.3765125925818682E-2</v>
      </c>
      <c r="AO59" s="737">
        <f>AO58/$BN$60</f>
        <v>8.3629333132018268E-3</v>
      </c>
      <c r="AP59" s="737">
        <f>AP58/$BN$60</f>
        <v>2.3246249822354372E-2</v>
      </c>
      <c r="AQ59" s="757">
        <f>AQ58/$BN$60</f>
        <v>5.6541514918743624E-2</v>
      </c>
      <c r="AR59" s="212"/>
      <c r="AS59" s="736">
        <f>AS58/$BN$60</f>
        <v>3.2326925569961815E-3</v>
      </c>
      <c r="AT59" s="737">
        <f>AT58/$BN$60</f>
        <v>1.2489543493138256E-2</v>
      </c>
      <c r="AU59" s="737">
        <f>AU58/$BN$60</f>
        <v>9.0872429019612597E-3</v>
      </c>
      <c r="AV59" s="737">
        <f>AV58/$BN$60</f>
        <v>7.5625007397001334E-3</v>
      </c>
      <c r="AW59" s="757">
        <f>AW58/$BN$60</f>
        <v>3.2381168175456533E-2</v>
      </c>
      <c r="AX59" s="212"/>
      <c r="AY59" s="736">
        <f>AY58/$BN$60</f>
        <v>1.111612266902271E-2</v>
      </c>
      <c r="AZ59" s="737">
        <f>AZ58/$BN$60</f>
        <v>3.5384892348623836E-3</v>
      </c>
      <c r="BA59" s="737">
        <f>BA58/$BN$60</f>
        <v>9.7203434762430981E-3</v>
      </c>
      <c r="BB59" s="737">
        <f>BB58/$BN$60</f>
        <v>1.850695085800436E-2</v>
      </c>
      <c r="BC59" s="757">
        <f>BC58/$BN$60</f>
        <v>4.290686137310426E-2</v>
      </c>
      <c r="BD59" s="212"/>
      <c r="BE59" s="736">
        <f>BE58/$BN$60</f>
        <v>-2.4605491633724859E-3</v>
      </c>
      <c r="BF59" s="737">
        <f>BF58/$BN$60</f>
        <v>-1.7566414211457514E-2</v>
      </c>
      <c r="BG59" s="737">
        <f>BG58/$BN$60</f>
        <v>-1.0788885316038391E-2</v>
      </c>
      <c r="BH59" s="737">
        <f>BH58/$BN$60</f>
        <v>4.8413421361599297E-2</v>
      </c>
      <c r="BI59" s="757">
        <f>BI58/$BN$60</f>
        <v>1.6647161319131319E-2</v>
      </c>
      <c r="BJ59" s="212"/>
      <c r="BK59" s="736">
        <f>BK58/$BN$60</f>
        <v>-1.9350947695371799E-2</v>
      </c>
      <c r="BL59" s="737">
        <f>BL58/$BN$60</f>
        <v>6.927846754228355E-4</v>
      </c>
      <c r="BM59" s="737">
        <f>BM58/$BN$60</f>
        <v>7.6792835442050372E-3</v>
      </c>
      <c r="BN59" s="737">
        <f>BN58/$BN$60</f>
        <v>3.7146091740690619E-2</v>
      </c>
      <c r="BO59" s="757">
        <f>BO58/$BN$60</f>
        <v>2.5633473528789297E-2</v>
      </c>
      <c r="BP59" s="212"/>
      <c r="BQ59" s="736">
        <f>BQ58/$BN$60</f>
        <v>-1.1868436852888612E-2</v>
      </c>
      <c r="BR59" s="737">
        <f>BR58/$BN$60</f>
        <v>2.5715543170918145E-2</v>
      </c>
      <c r="BS59" s="737">
        <f>BS58/$BN$60</f>
        <v>-1.1180580732070353E-2</v>
      </c>
      <c r="BT59" s="737">
        <f>BT58/$BN$60</f>
        <v>2.3708491316759613E-2</v>
      </c>
      <c r="BU59" s="757">
        <f>BU58/$BN$60</f>
        <v>2.6159223501071405E-2</v>
      </c>
      <c r="BV59" s="212"/>
      <c r="BW59" s="736">
        <f>BW58/$BN$60</f>
        <v>2.0050594245578934E-2</v>
      </c>
      <c r="BX59" s="737">
        <f>BX58/$BN$60</f>
        <v>-1.6545371590317838E-3</v>
      </c>
      <c r="BY59" s="737">
        <f>BY58/$BN$60</f>
        <v>1.5513326505452063E-2</v>
      </c>
      <c r="BZ59" s="737">
        <f>BZ58/$BN$60</f>
        <v>1.7276662166105513E-2</v>
      </c>
      <c r="CA59" s="757">
        <f>CA58/$BN$60</f>
        <v>5.1153116814852712E-2</v>
      </c>
      <c r="CB59" s="212"/>
      <c r="CC59" s="736">
        <f>CC58/$BN$60</f>
        <v>1.4611391438910062E-2</v>
      </c>
      <c r="CD59" s="737">
        <f>CD58/$BN$60</f>
        <v>-2.1006663619928564E-3</v>
      </c>
      <c r="CE59" s="737">
        <f>CE58/$BN$60</f>
        <v>1.5968936723649921E-2</v>
      </c>
      <c r="CF59" s="737">
        <f>CF58/$BN$60</f>
        <v>1.8485952269502646E-2</v>
      </c>
      <c r="CG59" s="757">
        <f>CG58/$BN$60</f>
        <v>4.6851690034445927E-2</v>
      </c>
      <c r="CH59" s="212"/>
      <c r="CI59" s="736">
        <f>CI58/$BN$60</f>
        <v>1.4430032185477053E-2</v>
      </c>
      <c r="CJ59" s="737">
        <f>CJ58/$BN$60</f>
        <v>-3.4223315983493113E-3</v>
      </c>
      <c r="CK59" s="737">
        <f>CK58/$BN$60</f>
        <v>1.6109676926005678E-2</v>
      </c>
      <c r="CL59" s="737">
        <f>CL58/$BN$60</f>
        <v>1.8573734135800556E-2</v>
      </c>
      <c r="CM59" s="757">
        <f>CM58/$BN$60</f>
        <v>4.5564595754244694E-2</v>
      </c>
      <c r="CN59" s="212"/>
      <c r="CO59" s="14"/>
      <c r="CP59" s="14"/>
      <c r="CX59" s="11"/>
      <c r="CY59" s="11"/>
      <c r="CZ59" s="11"/>
      <c r="DA59" s="11"/>
      <c r="DB59" s="11"/>
      <c r="DC59" s="11"/>
      <c r="DD59" s="11"/>
      <c r="DE59" s="11"/>
      <c r="DF59" s="11"/>
      <c r="DG59" s="11"/>
      <c r="DH59" s="11"/>
      <c r="DI59" s="11"/>
      <c r="DJ59" s="11"/>
      <c r="DK59" s="11"/>
      <c r="DL59" s="11"/>
      <c r="DM59" s="11"/>
      <c r="DN59" s="11"/>
      <c r="DO59" s="11"/>
      <c r="DP59" s="11"/>
      <c r="DQ59" s="11"/>
    </row>
    <row r="60" spans="1:121" ht="11.25" customHeight="1" outlineLevel="1" thickBot="1" x14ac:dyDescent="0.25">
      <c r="A60" s="112"/>
      <c r="B60" s="261" t="s">
        <v>128</v>
      </c>
      <c r="C60" s="53"/>
      <c r="D60" s="53"/>
      <c r="E60" s="53"/>
      <c r="F60" s="14"/>
      <c r="G60" s="53"/>
      <c r="H60" s="19"/>
      <c r="I60" s="53"/>
      <c r="J60" s="53"/>
      <c r="K60" s="53"/>
      <c r="L60" s="14"/>
      <c r="M60" s="53"/>
      <c r="N60" s="19"/>
      <c r="O60" s="53"/>
      <c r="P60" s="53"/>
      <c r="Q60" s="53"/>
      <c r="R60" s="14"/>
      <c r="S60" s="53"/>
      <c r="T60" s="19"/>
      <c r="U60" s="53"/>
      <c r="V60" s="53"/>
      <c r="W60" s="53"/>
      <c r="X60" s="14"/>
      <c r="Y60" s="53"/>
      <c r="Z60" s="19"/>
      <c r="AA60" s="53"/>
      <c r="AB60" s="53"/>
      <c r="AC60" s="53"/>
      <c r="AD60" s="14"/>
      <c r="AE60" s="53"/>
      <c r="AF60" s="19"/>
      <c r="AG60" s="53"/>
      <c r="AH60" s="53"/>
      <c r="AI60" s="53"/>
      <c r="AJ60" s="14"/>
      <c r="AK60" s="53"/>
      <c r="AL60" s="19"/>
      <c r="AM60" s="53"/>
      <c r="AN60" s="53"/>
      <c r="AO60" s="53"/>
      <c r="AP60" s="14"/>
      <c r="AQ60" s="53"/>
      <c r="AR60" s="19"/>
      <c r="AS60" s="53"/>
      <c r="AT60" s="53"/>
      <c r="AU60" s="53"/>
      <c r="AV60" s="53"/>
      <c r="AW60" s="53"/>
      <c r="AX60" s="19"/>
      <c r="AY60" s="53"/>
      <c r="AZ60" s="53"/>
      <c r="BA60" s="14"/>
      <c r="BB60" s="14"/>
      <c r="BC60" s="53"/>
      <c r="BD60" s="19"/>
      <c r="BE60" s="53"/>
      <c r="BF60" s="14"/>
      <c r="BG60" s="207"/>
      <c r="BH60" s="53"/>
      <c r="BI60" s="53"/>
      <c r="BJ60" s="19"/>
      <c r="BK60" s="53"/>
      <c r="BN60" s="992">
        <v>47.23</v>
      </c>
      <c r="BO60" s="53"/>
      <c r="BP60" s="19"/>
      <c r="BQ60" s="53"/>
      <c r="BR60" s="53"/>
      <c r="BS60" s="53"/>
      <c r="BT60" s="53"/>
      <c r="BU60" s="449">
        <f>+(BU58/BI58)^(1/2)-1</f>
        <v>0.2535519308778833</v>
      </c>
      <c r="BV60" s="19"/>
      <c r="BW60" s="53"/>
      <c r="BX60" s="53"/>
      <c r="BY60" s="53"/>
      <c r="BZ60" s="53"/>
      <c r="CA60" s="449">
        <f>+CA58/BU58-1</f>
        <v>0.9554524167262699</v>
      </c>
      <c r="CB60" s="19"/>
      <c r="CC60" s="53"/>
      <c r="CD60" s="53"/>
      <c r="CE60" s="53"/>
      <c r="CF60" s="53"/>
      <c r="CG60" s="449">
        <f>+CG58/CA58-1</f>
        <v>-8.4089241247521263E-2</v>
      </c>
      <c r="CH60" s="19"/>
      <c r="CI60" s="53"/>
      <c r="CJ60" s="53"/>
      <c r="CK60" s="53"/>
      <c r="CL60" s="53"/>
      <c r="CM60" s="449">
        <f>+(CM58/CA58)^(1/2)-1</f>
        <v>-5.6204917136824517E-2</v>
      </c>
      <c r="CN60" s="19"/>
      <c r="CO60" s="14"/>
      <c r="CP60" s="14"/>
      <c r="CX60" s="11"/>
      <c r="CY60" s="11"/>
      <c r="CZ60" s="11"/>
      <c r="DA60" s="11"/>
      <c r="DB60" s="11"/>
      <c r="DC60" s="11"/>
      <c r="DD60" s="11"/>
      <c r="DE60" s="11"/>
      <c r="DF60" s="11"/>
      <c r="DG60" s="11"/>
      <c r="DH60" s="11"/>
      <c r="DI60" s="11"/>
      <c r="DJ60" s="11"/>
      <c r="DK60" s="11"/>
      <c r="DL60" s="11"/>
      <c r="DM60" s="11"/>
      <c r="DN60" s="11"/>
      <c r="DO60" s="11"/>
      <c r="DP60" s="11"/>
      <c r="DQ60" s="11"/>
    </row>
    <row r="61" spans="1:121" ht="11.25" customHeight="1" x14ac:dyDescent="0.2">
      <c r="A61" s="112"/>
      <c r="B61" s="261" t="s">
        <v>497</v>
      </c>
      <c r="C61" s="53"/>
      <c r="D61" s="53"/>
      <c r="E61" s="53"/>
      <c r="F61" s="53"/>
      <c r="G61" s="53"/>
      <c r="H61" s="473"/>
      <c r="I61" s="53"/>
      <c r="J61" s="53"/>
      <c r="K61" s="53"/>
      <c r="L61" s="53"/>
      <c r="M61" s="53"/>
      <c r="N61" s="473"/>
      <c r="O61" s="53"/>
      <c r="P61" s="53"/>
      <c r="Q61" s="53"/>
      <c r="R61" s="53"/>
      <c r="S61" s="53"/>
      <c r="T61" s="473"/>
      <c r="U61" s="53"/>
      <c r="V61" s="53"/>
      <c r="W61" s="53"/>
      <c r="X61" s="53"/>
      <c r="Y61" s="449">
        <f>+Y57/Y8</f>
        <v>1.1103724782571824</v>
      </c>
      <c r="Z61" s="1298"/>
      <c r="AA61" s="449"/>
      <c r="AB61" s="449"/>
      <c r="AC61" s="449"/>
      <c r="AD61" s="449"/>
      <c r="AE61" s="449">
        <f>+AE57/AE8</f>
        <v>1.0017969252612196</v>
      </c>
      <c r="AF61" s="1298"/>
      <c r="AG61" s="449"/>
      <c r="AH61" s="449"/>
      <c r="AI61" s="449"/>
      <c r="AJ61" s="449"/>
      <c r="AK61" s="449">
        <f>+AK57/AK8</f>
        <v>1.3697718675845219</v>
      </c>
      <c r="AL61" s="1298"/>
      <c r="AM61" s="449"/>
      <c r="AN61" s="449"/>
      <c r="AO61" s="449"/>
      <c r="AP61" s="449"/>
      <c r="AQ61" s="449">
        <f>+AQ57/AQ8</f>
        <v>1.3183495662760616</v>
      </c>
      <c r="AR61" s="1298"/>
      <c r="AS61" s="449"/>
      <c r="AT61" s="449"/>
      <c r="AU61" s="449"/>
      <c r="AV61" s="449"/>
      <c r="AW61" s="449">
        <f>+AW57/AW8</f>
        <v>0.77487388590911788</v>
      </c>
      <c r="AX61" s="1298"/>
      <c r="AY61" s="449"/>
      <c r="AZ61" s="449"/>
      <c r="BA61" s="449"/>
      <c r="BB61" s="449"/>
      <c r="BC61" s="449">
        <f>+BC57/BC8</f>
        <v>0.90490054241448348</v>
      </c>
      <c r="BD61" s="1298"/>
      <c r="BE61" s="449"/>
      <c r="BF61" s="449"/>
      <c r="BG61" s="449"/>
      <c r="BH61" s="449"/>
      <c r="BI61" s="449">
        <f>+BI57/BI8</f>
        <v>0.41122638687067281</v>
      </c>
      <c r="BJ61" s="1298"/>
      <c r="BK61" s="449"/>
      <c r="BL61" s="449"/>
      <c r="BM61" s="449"/>
      <c r="BN61" s="449"/>
      <c r="BO61" s="449">
        <f>+BO57/BO8</f>
        <v>0.67426992942602493</v>
      </c>
      <c r="BP61" s="1298"/>
      <c r="BQ61" s="449"/>
      <c r="BR61" s="449">
        <f>+BR57/BR8</f>
        <v>2.8172895338435553</v>
      </c>
      <c r="BS61" s="449"/>
      <c r="BT61" s="449"/>
      <c r="BU61" s="449">
        <f>+BU57/BU8</f>
        <v>0.55796864422978221</v>
      </c>
      <c r="BV61" s="1298"/>
      <c r="BW61" s="449"/>
      <c r="BX61" s="449"/>
      <c r="BY61" s="449"/>
      <c r="BZ61" s="449"/>
      <c r="CA61" s="449">
        <f>+CA57/CA8</f>
        <v>1.4896021252865206</v>
      </c>
      <c r="CB61" s="1298"/>
      <c r="CC61" s="449"/>
      <c r="CD61" s="449"/>
      <c r="CE61" s="449"/>
      <c r="CF61" s="449"/>
      <c r="CG61" s="449">
        <f>+CG57/CG8</f>
        <v>1.2384299891123935</v>
      </c>
      <c r="CH61" s="1298"/>
      <c r="CI61" s="449"/>
      <c r="CJ61" s="449"/>
      <c r="CK61" s="449"/>
      <c r="CL61" s="449"/>
      <c r="CM61" s="449">
        <f>+CM57/CM8</f>
        <v>1.2710993184294168</v>
      </c>
      <c r="CN61" s="473"/>
      <c r="CO61" s="14"/>
      <c r="CP61" s="14"/>
      <c r="CX61" s="11"/>
      <c r="CY61" s="11"/>
      <c r="CZ61" s="11"/>
      <c r="DA61" s="11"/>
      <c r="DB61" s="11"/>
      <c r="DC61" s="11"/>
      <c r="DD61" s="11"/>
      <c r="DE61" s="11"/>
      <c r="DF61" s="11"/>
      <c r="DG61" s="11"/>
      <c r="DH61" s="11"/>
      <c r="DI61" s="11"/>
      <c r="DJ61" s="11"/>
      <c r="DK61" s="11"/>
      <c r="DL61" s="11"/>
      <c r="DM61" s="11"/>
      <c r="DN61" s="11"/>
      <c r="DO61" s="11"/>
      <c r="DP61" s="11"/>
      <c r="DQ61" s="11"/>
    </row>
    <row r="62" spans="1:121" ht="11.25" customHeight="1" x14ac:dyDescent="0.2">
      <c r="B62" s="1033" t="s">
        <v>108</v>
      </c>
      <c r="C62" s="1034"/>
      <c r="D62" s="1034"/>
      <c r="E62" s="1034"/>
      <c r="F62" s="1034"/>
      <c r="G62" s="1034"/>
      <c r="H62" s="1033"/>
      <c r="I62" s="1034"/>
      <c r="J62" s="1034"/>
      <c r="K62" s="1034"/>
      <c r="L62" s="1034"/>
      <c r="M62" s="1034"/>
      <c r="N62" s="1033"/>
      <c r="O62" s="1034"/>
      <c r="P62" s="1034"/>
      <c r="Q62" s="1034"/>
      <c r="R62" s="1034"/>
      <c r="S62" s="1034"/>
      <c r="T62" s="1033"/>
      <c r="U62" s="1034"/>
      <c r="V62" s="1034"/>
      <c r="W62" s="1034"/>
      <c r="X62" s="1034"/>
      <c r="Y62" s="1034"/>
      <c r="Z62" s="1033"/>
      <c r="AA62" s="1034"/>
      <c r="AB62" s="1034"/>
      <c r="AC62" s="1034"/>
      <c r="AD62" s="1034"/>
      <c r="AE62" s="1034"/>
      <c r="AF62" s="1033"/>
      <c r="AG62" s="1034"/>
      <c r="AH62" s="1034"/>
      <c r="AI62" s="1034"/>
      <c r="AJ62" s="1034"/>
      <c r="AK62" s="1034"/>
      <c r="AL62" s="1033"/>
      <c r="AM62" s="1034"/>
      <c r="AN62" s="1034"/>
      <c r="AO62" s="1034"/>
      <c r="AP62" s="1034"/>
      <c r="AQ62" s="1034"/>
      <c r="AR62" s="1033"/>
      <c r="AS62" s="1034"/>
      <c r="AT62" s="1034"/>
      <c r="AU62" s="1034"/>
      <c r="AV62" s="1034"/>
      <c r="AW62" s="1034"/>
      <c r="AX62" s="1033"/>
      <c r="AY62" s="1034"/>
      <c r="AZ62" s="1034"/>
      <c r="BA62" s="1034"/>
      <c r="BB62" s="1034"/>
      <c r="BC62" s="1034"/>
      <c r="BD62" s="1033"/>
      <c r="BE62" s="1034"/>
      <c r="BF62" s="1034"/>
      <c r="BG62" s="1034"/>
      <c r="BH62" s="1034"/>
      <c r="BI62" s="1034"/>
      <c r="BJ62" s="1033"/>
      <c r="BK62" s="1034"/>
      <c r="BL62" s="1034"/>
      <c r="BM62" s="1034"/>
      <c r="BN62" s="1034"/>
      <c r="BO62" s="1034"/>
      <c r="BP62" s="1033"/>
      <c r="BQ62" s="1034"/>
      <c r="BR62" s="1034"/>
      <c r="BS62" s="1034"/>
      <c r="BT62" s="1034"/>
      <c r="BU62" s="1034"/>
      <c r="BV62" s="1033"/>
      <c r="BW62" s="1034"/>
      <c r="BX62" s="1034"/>
      <c r="BY62" s="1034"/>
      <c r="BZ62" s="1034"/>
      <c r="CA62" s="1034"/>
      <c r="CB62" s="1033"/>
      <c r="CC62" s="1034"/>
      <c r="CD62" s="1034"/>
      <c r="CE62" s="1034"/>
      <c r="CF62" s="1034"/>
      <c r="CG62" s="1034"/>
      <c r="CH62" s="1033"/>
      <c r="CI62" s="1034"/>
      <c r="CJ62" s="1034"/>
      <c r="CK62" s="1034"/>
      <c r="CL62" s="1034"/>
      <c r="CM62" s="1034"/>
      <c r="CN62" s="19"/>
      <c r="CO62" s="14"/>
      <c r="CP62" s="14"/>
      <c r="CX62" s="11"/>
      <c r="CY62" s="11"/>
      <c r="CZ62" s="11"/>
      <c r="DA62" s="11"/>
      <c r="DB62" s="11"/>
      <c r="DC62" s="11"/>
      <c r="DD62" s="11"/>
      <c r="DE62" s="11"/>
      <c r="DF62" s="11"/>
      <c r="DG62" s="11"/>
      <c r="DH62" s="11"/>
      <c r="DI62" s="11"/>
      <c r="DJ62" s="11"/>
      <c r="DK62" s="11"/>
      <c r="DL62" s="11"/>
      <c r="DM62" s="11"/>
      <c r="DN62" s="11"/>
      <c r="DO62" s="11"/>
      <c r="DP62" s="11"/>
      <c r="DQ62" s="11"/>
    </row>
    <row r="63" spans="1:121" ht="11.25" customHeight="1" x14ac:dyDescent="0.2">
      <c r="A63" s="21"/>
      <c r="B63" s="538" t="s">
        <v>109</v>
      </c>
      <c r="C63" s="882">
        <v>0</v>
      </c>
      <c r="D63" s="883">
        <v>0</v>
      </c>
      <c r="E63" s="883">
        <v>0</v>
      </c>
      <c r="F63" s="883">
        <v>0</v>
      </c>
      <c r="G63" s="892">
        <f>+SUM(C63:F63)</f>
        <v>0</v>
      </c>
      <c r="H63" s="19"/>
      <c r="I63" s="882">
        <v>0</v>
      </c>
      <c r="J63" s="883">
        <v>0</v>
      </c>
      <c r="K63" s="883">
        <v>0</v>
      </c>
      <c r="L63" s="883">
        <v>0</v>
      </c>
      <c r="M63" s="892">
        <f>+SUM(I63:L63)</f>
        <v>0</v>
      </c>
      <c r="N63" s="19"/>
      <c r="O63" s="882">
        <v>0</v>
      </c>
      <c r="P63" s="883">
        <v>0</v>
      </c>
      <c r="Q63" s="883">
        <v>0</v>
      </c>
      <c r="R63" s="883">
        <v>0</v>
      </c>
      <c r="S63" s="892">
        <f>+SUM(O63:R63)</f>
        <v>0</v>
      </c>
      <c r="T63" s="19"/>
      <c r="U63" s="882">
        <v>0</v>
      </c>
      <c r="V63" s="883">
        <v>0</v>
      </c>
      <c r="W63" s="883">
        <v>0</v>
      </c>
      <c r="X63" s="883">
        <v>0.1</v>
      </c>
      <c r="Y63" s="892">
        <f>+SUM(U63:X63)</f>
        <v>0.1</v>
      </c>
      <c r="Z63" s="19"/>
      <c r="AA63" s="882">
        <v>0.1</v>
      </c>
      <c r="AB63" s="883">
        <v>0.1</v>
      </c>
      <c r="AC63" s="883">
        <v>0.1</v>
      </c>
      <c r="AD63" s="883">
        <v>0.12</v>
      </c>
      <c r="AE63" s="892">
        <f>+SUM(AA63:AD63)</f>
        <v>0.42000000000000004</v>
      </c>
      <c r="AF63" s="19"/>
      <c r="AG63" s="882">
        <v>0.12</v>
      </c>
      <c r="AH63" s="883">
        <v>0.12</v>
      </c>
      <c r="AI63" s="883">
        <v>0.12</v>
      </c>
      <c r="AJ63" s="883">
        <v>0.14000000000000001</v>
      </c>
      <c r="AK63" s="892">
        <f>+SUM(AG63:AJ63)</f>
        <v>0.5</v>
      </c>
      <c r="AL63" s="19"/>
      <c r="AM63" s="882">
        <v>0.14000000000000001</v>
      </c>
      <c r="AN63" s="883">
        <v>0.14000000000000001</v>
      </c>
      <c r="AO63" s="883">
        <v>0.14000000000000001</v>
      </c>
      <c r="AP63" s="883">
        <v>0.14000000000000001</v>
      </c>
      <c r="AQ63" s="892">
        <f>+SUM(AM63:AP63)</f>
        <v>0.56000000000000005</v>
      </c>
      <c r="AR63" s="19"/>
      <c r="AS63" s="882">
        <v>0.16</v>
      </c>
      <c r="AT63" s="883">
        <v>0.16</v>
      </c>
      <c r="AU63" s="883">
        <v>0.16</v>
      </c>
      <c r="AV63" s="883">
        <v>0.2</v>
      </c>
      <c r="AW63" s="892">
        <f>+SUM(AS63:AV63)</f>
        <v>0.67999999999999994</v>
      </c>
      <c r="AX63" s="19"/>
      <c r="AY63" s="882">
        <v>0.2</v>
      </c>
      <c r="AZ63" s="883">
        <v>0.2</v>
      </c>
      <c r="BA63" s="883">
        <v>0.2</v>
      </c>
      <c r="BB63" s="883">
        <v>0.22</v>
      </c>
      <c r="BC63" s="892">
        <f>+SUM(AY63:BB63)</f>
        <v>0.82000000000000006</v>
      </c>
      <c r="BD63" s="19"/>
      <c r="BE63" s="882">
        <v>0.22</v>
      </c>
      <c r="BF63" s="883">
        <v>0.22</v>
      </c>
      <c r="BG63" s="883">
        <v>0.22</v>
      </c>
      <c r="BH63" s="883">
        <v>0.24</v>
      </c>
      <c r="BI63" s="892">
        <f>+SUM(BE63:BH63)</f>
        <v>0.9</v>
      </c>
      <c r="BJ63" s="19"/>
      <c r="BK63" s="882">
        <v>0.24</v>
      </c>
      <c r="BL63" s="883">
        <v>0.24</v>
      </c>
      <c r="BM63" s="883">
        <v>0.24</v>
      </c>
      <c r="BN63" s="883">
        <v>0.26</v>
      </c>
      <c r="BO63" s="892">
        <f>+SUM(BK63:BN63)</f>
        <v>0.98</v>
      </c>
      <c r="BP63" s="19"/>
      <c r="BQ63" s="882">
        <v>0.26</v>
      </c>
      <c r="BR63" s="883">
        <v>0.26</v>
      </c>
      <c r="BS63" s="887">
        <f>BM63*(1+BS64)</f>
        <v>0.26</v>
      </c>
      <c r="BT63" s="887">
        <f>BN63*(1+BT64)</f>
        <v>0.28166666666666673</v>
      </c>
      <c r="BU63" s="890">
        <f>SUM(BQ63:BT63)</f>
        <v>1.0616666666666668</v>
      </c>
      <c r="BV63" s="19"/>
      <c r="BW63" s="888">
        <f>BQ63*(1+BW64)</f>
        <v>0.28166666666666673</v>
      </c>
      <c r="BX63" s="887">
        <f>BR63*(1+BX64)</f>
        <v>0.28166666666666673</v>
      </c>
      <c r="BY63" s="887">
        <f>BS63*(1+BY64)</f>
        <v>0.28166666666666673</v>
      </c>
      <c r="BZ63" s="887">
        <f>BT63*(1+BZ64)</f>
        <v>0.30513888888888901</v>
      </c>
      <c r="CA63" s="890">
        <f>SUM(BW63:BZ63)</f>
        <v>1.1501388888888893</v>
      </c>
      <c r="CB63" s="19"/>
      <c r="CC63" s="888">
        <f>BW63*(1+CC64)</f>
        <v>0.30513888888888901</v>
      </c>
      <c r="CD63" s="887">
        <f>BX63*(1+CD64)</f>
        <v>0.30513888888888901</v>
      </c>
      <c r="CE63" s="887">
        <f>BY63*(1+CE64)</f>
        <v>0.30513888888888901</v>
      </c>
      <c r="CF63" s="887">
        <f>BZ63*(1+CF64)</f>
        <v>0.33056712962962981</v>
      </c>
      <c r="CG63" s="890">
        <f>SUM(CC63:CF63)</f>
        <v>1.2459837962962967</v>
      </c>
      <c r="CH63" s="19"/>
      <c r="CI63" s="888">
        <f>CC63*(1+CI64)</f>
        <v>0.33056712962962981</v>
      </c>
      <c r="CJ63" s="887">
        <f>CD63*(1+CJ64)</f>
        <v>0.33056712962962981</v>
      </c>
      <c r="CK63" s="887">
        <f>CE63*(1+CK64)</f>
        <v>0.33056712962962981</v>
      </c>
      <c r="CL63" s="887">
        <f>CF63*(1+CL64)</f>
        <v>0.35811439043209903</v>
      </c>
      <c r="CM63" s="890">
        <f>SUM(CI63:CL63)</f>
        <v>1.3498157793209886</v>
      </c>
      <c r="CN63" s="19"/>
      <c r="CO63" s="14"/>
      <c r="CP63" s="14"/>
      <c r="CX63" s="11"/>
      <c r="CY63" s="11"/>
      <c r="CZ63" s="11"/>
      <c r="DA63" s="11"/>
      <c r="DB63" s="11"/>
      <c r="DC63" s="11"/>
      <c r="DD63" s="11"/>
      <c r="DE63" s="11"/>
      <c r="DF63" s="11"/>
      <c r="DG63" s="11"/>
      <c r="DH63" s="11"/>
      <c r="DI63" s="11"/>
      <c r="DJ63" s="11"/>
      <c r="DK63" s="11"/>
      <c r="DL63" s="11"/>
      <c r="DM63" s="11"/>
      <c r="DN63" s="11"/>
      <c r="DO63" s="11"/>
      <c r="DP63" s="11"/>
      <c r="DQ63" s="11"/>
    </row>
    <row r="64" spans="1:121" ht="11.25" customHeight="1" x14ac:dyDescent="0.2">
      <c r="B64" s="879" t="s">
        <v>101</v>
      </c>
      <c r="C64" s="884"/>
      <c r="D64" s="168"/>
      <c r="E64" s="168"/>
      <c r="F64" s="168"/>
      <c r="G64" s="893"/>
      <c r="H64" s="183"/>
      <c r="I64" s="884" t="str">
        <f>IF(ISERROR(I63/C63-1),"NM",I63/C63-1)</f>
        <v>NM</v>
      </c>
      <c r="J64" s="168" t="str">
        <f>IF(ISERROR(J63/D63-1),"NM",J63/D63-1)</f>
        <v>NM</v>
      </c>
      <c r="K64" s="168" t="str">
        <f>IF(ISERROR(K63/E63-1),"NM",K63/E63-1)</f>
        <v>NM</v>
      </c>
      <c r="L64" s="168" t="str">
        <f>IF(ISERROR(L63/F63-1),"NM",L63/F63-1)</f>
        <v>NM</v>
      </c>
      <c r="M64" s="893" t="str">
        <f>IF(ISERROR(M63/G63-1),"NM",M63/G63-1)</f>
        <v>NM</v>
      </c>
      <c r="N64" s="183"/>
      <c r="O64" s="884" t="str">
        <f>IF(ISERROR(O63/I63-1),"NM",O63/I63-1)</f>
        <v>NM</v>
      </c>
      <c r="P64" s="168" t="str">
        <f>IF(ISERROR(P63/J63-1),"NM",P63/J63-1)</f>
        <v>NM</v>
      </c>
      <c r="Q64" s="168" t="str">
        <f>IF(ISERROR(Q63/K63-1),"NM",Q63/K63-1)</f>
        <v>NM</v>
      </c>
      <c r="R64" s="168" t="str">
        <f>IF(ISERROR(R63/L63-1),"NM",R63/L63-1)</f>
        <v>NM</v>
      </c>
      <c r="S64" s="893" t="str">
        <f>IF(ISERROR(S63/M63-1),"NM",S63/M63-1)</f>
        <v>NM</v>
      </c>
      <c r="T64" s="183"/>
      <c r="U64" s="884" t="str">
        <f>IF(ISERROR(U63/O63-1),"NM",U63/O63-1)</f>
        <v>NM</v>
      </c>
      <c r="V64" s="168" t="str">
        <f>IF(ISERROR(V63/P63-1),"NM",V63/P63-1)</f>
        <v>NM</v>
      </c>
      <c r="W64" s="168" t="str">
        <f>IF(ISERROR(W63/Q63-1),"NM",W63/Q63-1)</f>
        <v>NM</v>
      </c>
      <c r="X64" s="168" t="str">
        <f>IF(ISERROR(X63/R63-1),"NM",X63/R63-1)</f>
        <v>NM</v>
      </c>
      <c r="Y64" s="893" t="str">
        <f>IF(ISERROR(Y63/S63-1),"NM",Y63/S63-1)</f>
        <v>NM</v>
      </c>
      <c r="Z64" s="183"/>
      <c r="AA64" s="884" t="str">
        <f>IF(ISERROR(AA63/U63-1),"NM",AA63/U63-1)</f>
        <v>NM</v>
      </c>
      <c r="AB64" s="168" t="str">
        <f>IF(ISERROR(AB63/V63-1),"NM",AB63/V63-1)</f>
        <v>NM</v>
      </c>
      <c r="AC64" s="168" t="str">
        <f>IF(ISERROR(AC63/W63-1),"NM",AC63/W63-1)</f>
        <v>NM</v>
      </c>
      <c r="AD64" s="168">
        <f>IF(ISERROR(AD63/X63-1),"NM",AD63/X63-1)</f>
        <v>0.19999999999999996</v>
      </c>
      <c r="AE64" s="893">
        <f>IF(ISERROR(AE63/Y63-1),"NM",AE63/Y63-1)</f>
        <v>3.2</v>
      </c>
      <c r="AF64" s="183"/>
      <c r="AG64" s="884">
        <f>IF(ISERROR(AG63/AA63-1),"NM",AG63/AA63-1)</f>
        <v>0.19999999999999996</v>
      </c>
      <c r="AH64" s="168">
        <f>IF(ISERROR(AH63/AB63-1),"NM",AH63/AB63-1)</f>
        <v>0.19999999999999996</v>
      </c>
      <c r="AI64" s="168">
        <f>IF(ISERROR(AI63/AC63-1),"NM",AI63/AC63-1)</f>
        <v>0.19999999999999996</v>
      </c>
      <c r="AJ64" s="168">
        <f>IF(ISERROR(AJ63/AD63-1),"NM",AJ63/AD63-1)</f>
        <v>0.16666666666666674</v>
      </c>
      <c r="AK64" s="893">
        <f>AK63/AE63-1</f>
        <v>0.19047619047619047</v>
      </c>
      <c r="AL64" s="183"/>
      <c r="AM64" s="884">
        <f>AM63/AG63-1</f>
        <v>0.16666666666666674</v>
      </c>
      <c r="AN64" s="168">
        <f>AN63/AH63-1</f>
        <v>0.16666666666666674</v>
      </c>
      <c r="AO64" s="168">
        <f>AO63/AI63-1</f>
        <v>0.16666666666666674</v>
      </c>
      <c r="AP64" s="168">
        <f>AP63/AJ63-1</f>
        <v>0</v>
      </c>
      <c r="AQ64" s="893">
        <f>AQ63/AK63-1</f>
        <v>0.12000000000000011</v>
      </c>
      <c r="AR64" s="183"/>
      <c r="AS64" s="884">
        <f>AS63/AM63-1</f>
        <v>0.14285714285714279</v>
      </c>
      <c r="AT64" s="168">
        <f>AT63/AN63-1</f>
        <v>0.14285714285714279</v>
      </c>
      <c r="AU64" s="168">
        <f>AU63/AO63-1</f>
        <v>0.14285714285714279</v>
      </c>
      <c r="AV64" s="168">
        <f>AV63/AP63-1</f>
        <v>0.4285714285714286</v>
      </c>
      <c r="AW64" s="893">
        <f>AW63/AQ63-1</f>
        <v>0.21428571428571397</v>
      </c>
      <c r="AX64" s="183"/>
      <c r="AY64" s="884">
        <f>AY63/AS63-1</f>
        <v>0.25</v>
      </c>
      <c r="AZ64" s="168">
        <f>AZ63/AT63-1</f>
        <v>0.25</v>
      </c>
      <c r="BA64" s="168">
        <f>BA63/AU63-1</f>
        <v>0.25</v>
      </c>
      <c r="BB64" s="168">
        <f>BB63/AV63-1</f>
        <v>9.9999999999999867E-2</v>
      </c>
      <c r="BC64" s="893">
        <f>BC63/AW63-1</f>
        <v>0.20588235294117663</v>
      </c>
      <c r="BD64" s="183"/>
      <c r="BE64" s="884">
        <f>BE63/AY63-1</f>
        <v>9.9999999999999867E-2</v>
      </c>
      <c r="BF64" s="168">
        <f>BF63/AZ63-1</f>
        <v>9.9999999999999867E-2</v>
      </c>
      <c r="BG64" s="168">
        <f>BG63/BA63-1</f>
        <v>9.9999999999999867E-2</v>
      </c>
      <c r="BH64" s="168">
        <f>BH63/BB63-1</f>
        <v>9.0909090909090828E-2</v>
      </c>
      <c r="BI64" s="893">
        <f>BI63/BC63-1</f>
        <v>9.7560975609755962E-2</v>
      </c>
      <c r="BJ64" s="183"/>
      <c r="BK64" s="884">
        <f>BK63/BE63-1</f>
        <v>9.0909090909090828E-2</v>
      </c>
      <c r="BL64" s="168">
        <f>BL63/BF63-1</f>
        <v>9.0909090909090828E-2</v>
      </c>
      <c r="BM64" s="168">
        <f>BM63/BG63-1</f>
        <v>9.0909090909090828E-2</v>
      </c>
      <c r="BN64" s="168">
        <f>BN63/BH63-1</f>
        <v>8.3333333333333481E-2</v>
      </c>
      <c r="BO64" s="893">
        <f>BO63/BI63-1</f>
        <v>8.8888888888888795E-2</v>
      </c>
      <c r="BP64" s="183"/>
      <c r="BQ64" s="884">
        <f>BQ63/BK63-1</f>
        <v>8.3333333333333481E-2</v>
      </c>
      <c r="BR64" s="168">
        <f>BR63/BL63-1</f>
        <v>8.3333333333333481E-2</v>
      </c>
      <c r="BS64" s="789">
        <f>+BR64</f>
        <v>8.3333333333333481E-2</v>
      </c>
      <c r="BT64" s="789">
        <f>+BS64</f>
        <v>8.3333333333333481E-2</v>
      </c>
      <c r="BU64" s="794">
        <f>BU63/BO63-1</f>
        <v>8.3333333333333481E-2</v>
      </c>
      <c r="BV64" s="183"/>
      <c r="BW64" s="791">
        <f>+BT64</f>
        <v>8.3333333333333481E-2</v>
      </c>
      <c r="BX64" s="789">
        <f>+BW64</f>
        <v>8.3333333333333481E-2</v>
      </c>
      <c r="BY64" s="789">
        <f>+BX64</f>
        <v>8.3333333333333481E-2</v>
      </c>
      <c r="BZ64" s="789">
        <f>+BY64</f>
        <v>8.3333333333333481E-2</v>
      </c>
      <c r="CA64" s="794">
        <f>CA63/BU63-1</f>
        <v>8.3333333333333703E-2</v>
      </c>
      <c r="CB64" s="183"/>
      <c r="CC64" s="791">
        <f>+BW64</f>
        <v>8.3333333333333481E-2</v>
      </c>
      <c r="CD64" s="789">
        <f t="shared" ref="CD64:CF64" si="46">+CC64</f>
        <v>8.3333333333333481E-2</v>
      </c>
      <c r="CE64" s="789">
        <f t="shared" si="46"/>
        <v>8.3333333333333481E-2</v>
      </c>
      <c r="CF64" s="789">
        <f t="shared" si="46"/>
        <v>8.3333333333333481E-2</v>
      </c>
      <c r="CG64" s="794">
        <f t="shared" ref="CG64" si="47">CG63/CA63-1</f>
        <v>8.3333333333333259E-2</v>
      </c>
      <c r="CH64" s="183"/>
      <c r="CI64" s="791">
        <f t="shared" ref="CI64" si="48">+CC64</f>
        <v>8.3333333333333481E-2</v>
      </c>
      <c r="CJ64" s="789">
        <f t="shared" ref="CJ64" si="49">+CI64</f>
        <v>8.3333333333333481E-2</v>
      </c>
      <c r="CK64" s="789">
        <f t="shared" ref="CK64" si="50">+CJ64</f>
        <v>8.3333333333333481E-2</v>
      </c>
      <c r="CL64" s="789">
        <f t="shared" ref="CL64" si="51">+CK64</f>
        <v>8.3333333333333481E-2</v>
      </c>
      <c r="CM64" s="794">
        <f t="shared" ref="CM64" si="52">CM63/CG63-1</f>
        <v>8.3333333333333703E-2</v>
      </c>
      <c r="CN64" s="183"/>
      <c r="CO64" s="14"/>
      <c r="CP64" s="14"/>
      <c r="CX64" s="11"/>
      <c r="CY64" s="11"/>
      <c r="CZ64" s="11"/>
      <c r="DA64" s="11"/>
      <c r="DB64" s="11"/>
      <c r="DC64" s="11"/>
      <c r="DD64" s="11"/>
      <c r="DE64" s="11"/>
      <c r="DF64" s="11"/>
      <c r="DG64" s="11"/>
      <c r="DH64" s="11"/>
      <c r="DI64" s="11"/>
      <c r="DJ64" s="11"/>
      <c r="DK64" s="11"/>
      <c r="DL64" s="11"/>
      <c r="DM64" s="11"/>
      <c r="DN64" s="11"/>
      <c r="DO64" s="11"/>
      <c r="DP64" s="11"/>
      <c r="DQ64" s="11"/>
    </row>
    <row r="65" spans="1:121" ht="11.25" customHeight="1" x14ac:dyDescent="0.2">
      <c r="A65" s="30"/>
      <c r="B65" s="880" t="s">
        <v>110</v>
      </c>
      <c r="C65" s="885">
        <f>C63/'P&amp;L'!C29</f>
        <v>0</v>
      </c>
      <c r="D65" s="886">
        <f>D63/'P&amp;L'!D29</f>
        <v>0</v>
      </c>
      <c r="E65" s="886">
        <f>E63/'P&amp;L'!E29</f>
        <v>0</v>
      </c>
      <c r="F65" s="886">
        <f>F63/'P&amp;L'!F29</f>
        <v>0</v>
      </c>
      <c r="G65" s="891">
        <f>G63/'P&amp;L'!G29</f>
        <v>0</v>
      </c>
      <c r="H65" s="169"/>
      <c r="I65" s="885">
        <f>I63/'P&amp;L'!I29</f>
        <v>0</v>
      </c>
      <c r="J65" s="886">
        <f>J63/'P&amp;L'!J29</f>
        <v>0</v>
      </c>
      <c r="K65" s="886">
        <f>K63/'P&amp;L'!K29</f>
        <v>0</v>
      </c>
      <c r="L65" s="886">
        <f>L63/'P&amp;L'!L29</f>
        <v>0</v>
      </c>
      <c r="M65" s="891">
        <f>M63/'P&amp;L'!M29</f>
        <v>0</v>
      </c>
      <c r="N65" s="169"/>
      <c r="O65" s="885">
        <f>O63/'P&amp;L'!O29</f>
        <v>0</v>
      </c>
      <c r="P65" s="886">
        <f>P63/'P&amp;L'!P29</f>
        <v>0</v>
      </c>
      <c r="Q65" s="886">
        <f>Q63/'P&amp;L'!Q29</f>
        <v>0</v>
      </c>
      <c r="R65" s="886">
        <f>R63/'P&amp;L'!R29</f>
        <v>0</v>
      </c>
      <c r="S65" s="891">
        <f>S63/'P&amp;L'!S29</f>
        <v>0</v>
      </c>
      <c r="T65" s="169"/>
      <c r="U65" s="885">
        <f>U63/'P&amp;L'!U29</f>
        <v>0</v>
      </c>
      <c r="V65" s="886">
        <f>V63/'P&amp;L'!V29</f>
        <v>0</v>
      </c>
      <c r="W65" s="886">
        <f>W63/'P&amp;L'!W29</f>
        <v>0</v>
      </c>
      <c r="X65" s="886">
        <f>X63/'P&amp;L'!X29</f>
        <v>0.19337917644203545</v>
      </c>
      <c r="Y65" s="891">
        <f>Y63/'P&amp;L'!Y29</f>
        <v>5.6160072366127273E-2</v>
      </c>
      <c r="Z65" s="169"/>
      <c r="AA65" s="885">
        <f>AA63/'P&amp;L'!AA29</f>
        <v>0.22213073713490938</v>
      </c>
      <c r="AB65" s="886">
        <f>AB63/'P&amp;L'!AB29</f>
        <v>0.22372509698821144</v>
      </c>
      <c r="AC65" s="886">
        <f>AC63/'P&amp;L'!AC29</f>
        <v>0.21452270922088246</v>
      </c>
      <c r="AD65" s="886">
        <f>AD63/'P&amp;L'!AD29</f>
        <v>0.2263268853557017</v>
      </c>
      <c r="AE65" s="891">
        <f>AE63/'P&amp;L'!AE29</f>
        <v>0.22187687734321249</v>
      </c>
      <c r="AF65" s="169"/>
      <c r="AG65" s="885">
        <f>AG63/'P&amp;L'!AG29</f>
        <v>0.28706439004320056</v>
      </c>
      <c r="AH65" s="886">
        <f>AH63/'P&amp;L'!AH29</f>
        <v>0.27745066797401668</v>
      </c>
      <c r="AI65" s="886">
        <f>AI63/'P&amp;L'!AI29</f>
        <v>0.24223695111847554</v>
      </c>
      <c r="AJ65" s="886">
        <f>AJ63/'P&amp;L'!AJ29</f>
        <v>0.24039907954234588</v>
      </c>
      <c r="AK65" s="891">
        <f>AK63/'P&amp;L'!AK29</f>
        <v>0.26042807132955842</v>
      </c>
      <c r="AL65" s="169"/>
      <c r="AM65" s="885">
        <f>AM63/'P&amp;L'!AM29</f>
        <v>0.31153224788590222</v>
      </c>
      <c r="AN65" s="886">
        <f>AN63/'P&amp;L'!AN29</f>
        <v>0.32098063326160514</v>
      </c>
      <c r="AO65" s="886">
        <f>AO63/'P&amp;L'!AO29</f>
        <v>0.26860786873018833</v>
      </c>
      <c r="AP65" s="886">
        <f>AP63/'P&amp;L'!AP29</f>
        <v>0.22495767911645323</v>
      </c>
      <c r="AQ65" s="891">
        <f>AQ63/'P&amp;L'!AQ29</f>
        <v>0.27646058438593851</v>
      </c>
      <c r="AR65" s="169"/>
      <c r="AS65" s="885">
        <f>AS63/'P&amp;L'!AS29</f>
        <v>0.35533513466399341</v>
      </c>
      <c r="AT65" s="886">
        <f>AT63/'P&amp;L'!AT29</f>
        <v>0.33515920949915839</v>
      </c>
      <c r="AU65" s="886">
        <f>AU63/'P&amp;L'!AU29</f>
        <v>0.28168251721697712</v>
      </c>
      <c r="AV65" s="886">
        <f>AV63/'P&amp;L'!AV29</f>
        <v>0.32811588535301728</v>
      </c>
      <c r="AW65" s="891">
        <f>AW63/'P&amp;L'!AW29</f>
        <v>0.32316198954544206</v>
      </c>
      <c r="AX65" s="169"/>
      <c r="AY65" s="885">
        <f>AY63/'P&amp;L'!AY29</f>
        <v>0.4978606038017151</v>
      </c>
      <c r="AZ65" s="886">
        <f>AZ63/'P&amp;L'!AZ29</f>
        <v>0.45395824768169529</v>
      </c>
      <c r="BA65" s="886">
        <f>BA63/'P&amp;L'!BA29</f>
        <v>0.41162848399636104</v>
      </c>
      <c r="BB65" s="886">
        <f>BB63/'P&amp;L'!BB29</f>
        <v>0.38921815374239038</v>
      </c>
      <c r="BC65" s="891">
        <f>BC63/'P&amp;L'!BC29</f>
        <v>0.43314901553525631</v>
      </c>
      <c r="BD65" s="169"/>
      <c r="BE65" s="885">
        <f>BE63/'P&amp;L'!BE29</f>
        <v>0.46988314568406775</v>
      </c>
      <c r="BF65" s="886">
        <f>BF63/'P&amp;L'!BF29</f>
        <v>0.39475188595618355</v>
      </c>
      <c r="BG65" s="886">
        <f>BG63/'P&amp;L'!BG29</f>
        <v>0.32398335917471316</v>
      </c>
      <c r="BH65" s="886">
        <f>BH63/'P&amp;L'!BH29</f>
        <v>0.31044745589363332</v>
      </c>
      <c r="BI65" s="891">
        <f>BI63/'P&amp;L'!BI29</f>
        <v>0.36466644317800945</v>
      </c>
      <c r="BJ65" s="169"/>
      <c r="BK65" s="885">
        <f>BK63/'P&amp;L'!BK29</f>
        <v>0.47266094156709326</v>
      </c>
      <c r="BL65" s="886">
        <f>BL63/'P&amp;L'!BL29</f>
        <v>0.43003064046035389</v>
      </c>
      <c r="BM65" s="886">
        <f>BM63/'P&amp;L'!BM29</f>
        <v>0.41296595030585181</v>
      </c>
      <c r="BN65" s="886">
        <f>BN63/'P&amp;L'!BN29</f>
        <v>0.37447465479928066</v>
      </c>
      <c r="BO65" s="891">
        <f>BO63/'P&amp;L'!BO29</f>
        <v>0.4193261636549242</v>
      </c>
      <c r="BP65" s="169"/>
      <c r="BQ65" s="885">
        <f>BQ63/'P&amp;L'!BQ29</f>
        <v>0.59007265792840435</v>
      </c>
      <c r="BR65" s="886">
        <f>BR63/'P&amp;L'!BR29</f>
        <v>0.50981473701898872</v>
      </c>
      <c r="BS65" s="886">
        <f>BS63/'P&amp;L'!BS29</f>
        <v>0.60877680016181213</v>
      </c>
      <c r="BT65" s="886">
        <f>BT63/'P&amp;L'!BT29</f>
        <v>0.72823006854331707</v>
      </c>
      <c r="BU65" s="891">
        <f>BU63/'P&amp;L'!BU29</f>
        <v>0.60140726019552537</v>
      </c>
      <c r="BV65" s="169"/>
      <c r="BW65" s="885">
        <f>BW63/'P&amp;L'!BW29</f>
        <v>0.79958533196270876</v>
      </c>
      <c r="BX65" s="886">
        <f>BX63/'P&amp;L'!BX29</f>
        <v>0.71306268180437704</v>
      </c>
      <c r="BY65" s="886">
        <f>BY63/'P&amp;L'!BY29</f>
        <v>0.66676214258140265</v>
      </c>
      <c r="BZ65" s="886">
        <f>BZ63/'P&amp;L'!BZ29</f>
        <v>0.6730010825268431</v>
      </c>
      <c r="CA65" s="891">
        <f>CA63/'P&amp;L'!CA29</f>
        <v>0.70913761926865282</v>
      </c>
      <c r="CB65" s="169"/>
      <c r="CC65" s="885">
        <f>CC63/'P&amp;L'!CC29</f>
        <v>0.77759595236823442</v>
      </c>
      <c r="CD65" s="886">
        <f>CD63/'P&amp;L'!CD29</f>
        <v>0.69758807905587938</v>
      </c>
      <c r="CE65" s="886">
        <f>CE63/'P&amp;L'!CE29</f>
        <v>0.66105052640969009</v>
      </c>
      <c r="CF65" s="886">
        <f>CF63/'P&amp;L'!CF29</f>
        <v>0.66560010124299418</v>
      </c>
      <c r="CG65" s="891">
        <f>CG63/'P&amp;L'!CG29</f>
        <v>0.6973336900028303</v>
      </c>
      <c r="CH65" s="169"/>
      <c r="CI65" s="885">
        <f>CI63/'P&amp;L'!CI29</f>
        <v>0.89840224960831772</v>
      </c>
      <c r="CJ65" s="886">
        <f>CJ63/'P&amp;L'!CJ29</f>
        <v>0.80401007183936912</v>
      </c>
      <c r="CK65" s="886">
        <f>CK63/'P&amp;L'!CK29</f>
        <v>0.75006241554149389</v>
      </c>
      <c r="CL65" s="886">
        <f>CL63/'P&amp;L'!CL29</f>
        <v>0.75455863437092907</v>
      </c>
      <c r="CM65" s="891">
        <f>CM63/'P&amp;L'!CM29</f>
        <v>0.79727568509412283</v>
      </c>
      <c r="CN65" s="169"/>
      <c r="CO65" s="14"/>
      <c r="CP65" s="14"/>
      <c r="CX65" s="11"/>
      <c r="CY65" s="11"/>
      <c r="CZ65" s="11"/>
      <c r="DA65" s="11"/>
      <c r="DB65" s="11"/>
      <c r="DC65" s="11"/>
      <c r="DD65" s="11"/>
      <c r="DE65" s="11"/>
      <c r="DF65" s="11"/>
      <c r="DG65" s="11"/>
      <c r="DH65" s="11"/>
      <c r="DI65" s="11"/>
      <c r="DJ65" s="11"/>
      <c r="DK65" s="11"/>
      <c r="DL65" s="11"/>
      <c r="DM65" s="11"/>
      <c r="DN65" s="11"/>
      <c r="DO65" s="11"/>
      <c r="DP65" s="11"/>
      <c r="DQ65" s="11"/>
    </row>
    <row r="66" spans="1:121" ht="11.25" customHeight="1" x14ac:dyDescent="0.2">
      <c r="B66" s="17"/>
      <c r="C66" s="53"/>
      <c r="D66" s="53"/>
      <c r="E66" s="53"/>
      <c r="F66" s="53"/>
      <c r="G66" s="53"/>
      <c r="H66" s="26"/>
      <c r="I66" s="53"/>
      <c r="J66" s="53"/>
      <c r="K66" s="53"/>
      <c r="L66" s="53"/>
      <c r="M66" s="53"/>
      <c r="N66" s="26"/>
      <c r="O66" s="53"/>
      <c r="P66" s="53"/>
      <c r="Q66" s="53"/>
      <c r="R66" s="53"/>
      <c r="S66" s="53"/>
      <c r="T66" s="26"/>
      <c r="U66" s="53"/>
      <c r="V66" s="53"/>
      <c r="W66" s="53"/>
      <c r="X66" s="53"/>
      <c r="Y66" s="53"/>
      <c r="Z66" s="26"/>
      <c r="AA66" s="53"/>
      <c r="AB66" s="53"/>
      <c r="AC66" s="53"/>
      <c r="AD66" s="53"/>
      <c r="AE66" s="53"/>
      <c r="AF66" s="26"/>
      <c r="AG66" s="53"/>
      <c r="AH66" s="53"/>
      <c r="AI66" s="53"/>
      <c r="AJ66" s="53"/>
      <c r="AK66" s="53"/>
      <c r="AL66" s="26"/>
      <c r="AM66" s="53"/>
      <c r="AN66" s="53"/>
      <c r="AO66" s="53"/>
      <c r="AP66" s="53"/>
      <c r="AQ66" s="53"/>
      <c r="AR66" s="26"/>
      <c r="AS66" s="53"/>
      <c r="AT66" s="53"/>
      <c r="AU66" s="53"/>
      <c r="AV66" s="53"/>
      <c r="AW66" s="53"/>
      <c r="AX66" s="26"/>
      <c r="AY66" s="53"/>
      <c r="AZ66" s="53"/>
      <c r="BA66" s="53"/>
      <c r="BB66" s="53"/>
      <c r="BC66" s="53"/>
      <c r="BD66" s="26"/>
      <c r="BE66" s="53"/>
      <c r="BF66" s="53"/>
      <c r="BG66" s="53"/>
      <c r="BH66" s="53"/>
      <c r="BI66" s="53"/>
      <c r="BJ66" s="26"/>
      <c r="BK66" s="53"/>
      <c r="BL66" s="53"/>
      <c r="BM66" s="53"/>
      <c r="BN66" s="53"/>
      <c r="BO66" s="53"/>
      <c r="BP66" s="26"/>
      <c r="BQ66" s="53"/>
      <c r="BR66" s="53"/>
      <c r="BS66" s="53"/>
      <c r="BT66" s="53"/>
      <c r="BU66" s="53"/>
      <c r="BV66" s="26"/>
      <c r="BW66" s="53"/>
      <c r="BX66" s="53"/>
      <c r="BY66" s="53"/>
      <c r="BZ66" s="53"/>
      <c r="CA66" s="53"/>
      <c r="CB66" s="26"/>
      <c r="CC66" s="53"/>
      <c r="CD66" s="53"/>
      <c r="CE66" s="53"/>
      <c r="CF66" s="53"/>
      <c r="CG66" s="53"/>
      <c r="CH66" s="26"/>
      <c r="CI66" s="53"/>
      <c r="CJ66" s="53"/>
      <c r="CK66" s="53"/>
      <c r="CL66" s="53"/>
      <c r="CM66" s="53"/>
      <c r="CN66" s="26"/>
      <c r="CO66" s="14"/>
      <c r="CP66" s="14"/>
      <c r="CX66" s="11"/>
      <c r="CY66" s="11"/>
      <c r="CZ66" s="11"/>
      <c r="DA66" s="11"/>
      <c r="DB66" s="11"/>
      <c r="DC66" s="11"/>
      <c r="DD66" s="11"/>
      <c r="DE66" s="11"/>
      <c r="DF66" s="11"/>
      <c r="DG66" s="11"/>
      <c r="DH66" s="11"/>
      <c r="DI66" s="11"/>
      <c r="DJ66" s="11"/>
      <c r="DK66" s="11"/>
      <c r="DL66" s="11"/>
      <c r="DM66" s="11"/>
      <c r="DN66" s="11"/>
      <c r="DO66" s="11"/>
      <c r="DP66" s="11"/>
      <c r="DQ66" s="11"/>
    </row>
    <row r="67" spans="1:121" ht="11.25" customHeight="1" x14ac:dyDescent="0.2">
      <c r="B67" s="1033" t="s">
        <v>111</v>
      </c>
      <c r="C67" s="1034"/>
      <c r="D67" s="1034"/>
      <c r="E67" s="1034"/>
      <c r="F67" s="1034"/>
      <c r="G67" s="1034"/>
      <c r="H67" s="1033"/>
      <c r="I67" s="1034"/>
      <c r="J67" s="1034"/>
      <c r="K67" s="1034"/>
      <c r="L67" s="1034"/>
      <c r="M67" s="1034"/>
      <c r="N67" s="1033"/>
      <c r="O67" s="1034"/>
      <c r="P67" s="1034"/>
      <c r="Q67" s="1034"/>
      <c r="R67" s="1034"/>
      <c r="S67" s="1034"/>
      <c r="T67" s="1033"/>
      <c r="U67" s="1034"/>
      <c r="V67" s="1034"/>
      <c r="W67" s="1034"/>
      <c r="X67" s="1034"/>
      <c r="Y67" s="1034"/>
      <c r="Z67" s="1033"/>
      <c r="AA67" s="1034"/>
      <c r="AB67" s="1034"/>
      <c r="AC67" s="1034"/>
      <c r="AD67" s="1034"/>
      <c r="AE67" s="1034"/>
      <c r="AF67" s="1033"/>
      <c r="AG67" s="1034"/>
      <c r="AH67" s="1034"/>
      <c r="AI67" s="1034"/>
      <c r="AJ67" s="1034"/>
      <c r="AK67" s="1034"/>
      <c r="AL67" s="1033"/>
      <c r="AM67" s="1034"/>
      <c r="AN67" s="1034"/>
      <c r="AO67" s="1034"/>
      <c r="AP67" s="1034"/>
      <c r="AQ67" s="1034"/>
      <c r="AR67" s="1033"/>
      <c r="AS67" s="1034"/>
      <c r="AT67" s="1034"/>
      <c r="AU67" s="1034"/>
      <c r="AV67" s="1034"/>
      <c r="AW67" s="1034"/>
      <c r="AX67" s="1033"/>
      <c r="AY67" s="1034"/>
      <c r="AZ67" s="1034"/>
      <c r="BA67" s="1034"/>
      <c r="BB67" s="1034"/>
      <c r="BC67" s="1034"/>
      <c r="BD67" s="1033"/>
      <c r="BE67" s="1034"/>
      <c r="BF67" s="1034"/>
      <c r="BG67" s="1034"/>
      <c r="BH67" s="1034"/>
      <c r="BI67" s="1034"/>
      <c r="BJ67" s="1033"/>
      <c r="BK67" s="1034"/>
      <c r="BL67" s="1034"/>
      <c r="BM67" s="1034"/>
      <c r="BN67" s="1034"/>
      <c r="BO67" s="1034"/>
      <c r="BP67" s="1033"/>
      <c r="BQ67" s="1034"/>
      <c r="BR67" s="1034"/>
      <c r="BS67" s="1034"/>
      <c r="BT67" s="1034"/>
      <c r="BU67" s="1034"/>
      <c r="BV67" s="1033"/>
      <c r="BW67" s="1034"/>
      <c r="BX67" s="1034"/>
      <c r="BY67" s="1034"/>
      <c r="BZ67" s="1034"/>
      <c r="CA67" s="1034"/>
      <c r="CB67" s="1033"/>
      <c r="CC67" s="1034"/>
      <c r="CD67" s="1034"/>
      <c r="CE67" s="1034"/>
      <c r="CF67" s="1034"/>
      <c r="CG67" s="1034"/>
      <c r="CH67" s="1033"/>
      <c r="CI67" s="1034"/>
      <c r="CJ67" s="1034"/>
      <c r="CK67" s="1034"/>
      <c r="CL67" s="1034"/>
      <c r="CM67" s="1034"/>
      <c r="CN67" s="19"/>
      <c r="CO67" s="14"/>
      <c r="CP67" s="14"/>
      <c r="CX67" s="11"/>
      <c r="CY67" s="11"/>
      <c r="CZ67" s="11"/>
      <c r="DA67" s="11"/>
      <c r="DB67" s="11"/>
      <c r="DC67" s="11"/>
      <c r="DD67" s="11"/>
      <c r="DE67" s="11"/>
      <c r="DF67" s="11"/>
      <c r="DG67" s="11"/>
      <c r="DH67" s="11"/>
      <c r="DI67" s="11"/>
      <c r="DJ67" s="11"/>
      <c r="DK67" s="11"/>
      <c r="DL67" s="11"/>
      <c r="DM67" s="11"/>
      <c r="DN67" s="11"/>
      <c r="DO67" s="11"/>
      <c r="DP67" s="11"/>
      <c r="DQ67" s="11"/>
    </row>
    <row r="68" spans="1:121" ht="11.25" customHeight="1" x14ac:dyDescent="0.2">
      <c r="B68" s="855" t="s">
        <v>368</v>
      </c>
      <c r="C68" s="856"/>
      <c r="D68" s="857"/>
      <c r="E68" s="857"/>
      <c r="F68" s="857"/>
      <c r="G68" s="858"/>
      <c r="H68" s="26"/>
      <c r="I68" s="859"/>
      <c r="J68" s="860"/>
      <c r="K68" s="860"/>
      <c r="L68" s="860"/>
      <c r="M68" s="861"/>
      <c r="N68" s="26"/>
      <c r="O68" s="859"/>
      <c r="P68" s="860"/>
      <c r="Q68" s="860"/>
      <c r="R68" s="860"/>
      <c r="S68" s="861"/>
      <c r="T68" s="26"/>
      <c r="U68" s="859"/>
      <c r="V68" s="860"/>
      <c r="W68" s="860"/>
      <c r="X68" s="860"/>
      <c r="Y68" s="861"/>
      <c r="Z68" s="26"/>
      <c r="AA68" s="859"/>
      <c r="AB68" s="860"/>
      <c r="AC68" s="860"/>
      <c r="AD68" s="860"/>
      <c r="AE68" s="861"/>
      <c r="AF68" s="26"/>
      <c r="AG68" s="859"/>
      <c r="AH68" s="860"/>
      <c r="AI68" s="860"/>
      <c r="AJ68" s="860"/>
      <c r="AK68" s="861"/>
      <c r="AL68" s="26"/>
      <c r="AM68" s="859"/>
      <c r="AN68" s="860"/>
      <c r="AO68" s="860"/>
      <c r="AP68" s="860"/>
      <c r="AQ68" s="861"/>
      <c r="AR68" s="26"/>
      <c r="AS68" s="859"/>
      <c r="AT68" s="860"/>
      <c r="AU68" s="860"/>
      <c r="AV68" s="860"/>
      <c r="AW68" s="861"/>
      <c r="AX68" s="26"/>
      <c r="AY68" s="859"/>
      <c r="AZ68" s="860"/>
      <c r="BA68" s="860"/>
      <c r="BB68" s="860"/>
      <c r="BC68" s="861"/>
      <c r="BD68" s="26"/>
      <c r="BE68" s="859"/>
      <c r="BF68" s="860"/>
      <c r="BG68" s="860"/>
      <c r="BH68" s="860"/>
      <c r="BI68" s="861"/>
      <c r="BJ68" s="26"/>
      <c r="BK68" s="859"/>
      <c r="BL68" s="860"/>
      <c r="BM68" s="860"/>
      <c r="BN68" s="860"/>
      <c r="BO68" s="861"/>
      <c r="BP68" s="26"/>
      <c r="BQ68" s="859"/>
      <c r="BR68" s="860"/>
      <c r="BS68" s="860"/>
      <c r="BT68" s="860"/>
      <c r="BU68" s="861"/>
      <c r="BV68" s="26"/>
      <c r="BW68" s="859"/>
      <c r="BX68" s="860"/>
      <c r="BY68" s="860"/>
      <c r="BZ68" s="860"/>
      <c r="CA68" s="861"/>
      <c r="CB68" s="26"/>
      <c r="CC68" s="859"/>
      <c r="CD68" s="860"/>
      <c r="CE68" s="860"/>
      <c r="CF68" s="860"/>
      <c r="CG68" s="861"/>
      <c r="CH68" s="26"/>
      <c r="CI68" s="859"/>
      <c r="CJ68" s="860"/>
      <c r="CK68" s="860"/>
      <c r="CL68" s="860"/>
      <c r="CM68" s="861"/>
      <c r="CN68" s="26"/>
      <c r="CO68" s="14"/>
      <c r="CP68" s="14"/>
      <c r="CX68" s="11"/>
      <c r="CY68" s="11"/>
      <c r="CZ68" s="11"/>
      <c r="DA68" s="11"/>
      <c r="DB68" s="11"/>
      <c r="DC68" s="11"/>
      <c r="DD68" s="11"/>
      <c r="DE68" s="11"/>
      <c r="DF68" s="11"/>
      <c r="DG68" s="11"/>
      <c r="DH68" s="11"/>
      <c r="DI68" s="11"/>
      <c r="DJ68" s="11"/>
      <c r="DK68" s="11"/>
      <c r="DL68" s="11"/>
      <c r="DM68" s="11"/>
      <c r="DN68" s="11"/>
      <c r="DO68" s="11"/>
      <c r="DP68" s="11"/>
      <c r="DQ68" s="11"/>
    </row>
    <row r="69" spans="1:121" ht="11.25" customHeight="1" x14ac:dyDescent="0.2">
      <c r="B69" s="566" t="s">
        <v>183</v>
      </c>
      <c r="C69" s="692"/>
      <c r="D69" s="19"/>
      <c r="E69" s="19"/>
      <c r="F69" s="19"/>
      <c r="G69" s="899">
        <v>2.9060000000000002E-3</v>
      </c>
      <c r="H69" s="19"/>
      <c r="I69" s="175">
        <f>G73</f>
        <v>2.5509999999999999E-3</v>
      </c>
      <c r="J69" s="199">
        <f>I73</f>
        <v>2.3847548029556648E-3</v>
      </c>
      <c r="K69" s="199">
        <f>I73</f>
        <v>2.3847548029556648E-3</v>
      </c>
      <c r="L69" s="199">
        <f>J73</f>
        <v>2.2299952654608215E-3</v>
      </c>
      <c r="M69" s="669">
        <f>G73</f>
        <v>2.5509999999999999E-3</v>
      </c>
      <c r="N69" s="19"/>
      <c r="O69" s="175">
        <f>M73</f>
        <v>2.0300000000000001E-3</v>
      </c>
      <c r="P69" s="199">
        <f>O73</f>
        <v>1.9938008429926241E-3</v>
      </c>
      <c r="Q69" s="199">
        <f>O73</f>
        <v>1.9938008429926241E-3</v>
      </c>
      <c r="R69" s="199">
        <f>P73</f>
        <v>1.9584790101276816E-3</v>
      </c>
      <c r="S69" s="669">
        <f>M73</f>
        <v>2.0300000000000001E-3</v>
      </c>
      <c r="T69" s="19"/>
      <c r="U69" s="175">
        <f>S73</f>
        <v>1.8980000000000002E-3</v>
      </c>
      <c r="V69" s="199">
        <f>U73</f>
        <v>1.8227572815533984E-3</v>
      </c>
      <c r="W69" s="199">
        <f>U73</f>
        <v>1.8227572815533984E-3</v>
      </c>
      <c r="X69" s="199">
        <f>V73</f>
        <v>1.7513497502120844E-3</v>
      </c>
      <c r="Y69" s="669">
        <f>S73</f>
        <v>1.8980000000000002E-3</v>
      </c>
      <c r="Z69" s="19"/>
      <c r="AA69" s="175">
        <f>Y73</f>
        <v>1.6480000000000002E-3</v>
      </c>
      <c r="AB69" s="199">
        <f>AA73</f>
        <v>1.5228772584446192E-3</v>
      </c>
      <c r="AC69" s="199">
        <f>AA73</f>
        <v>1.5228772584446192E-3</v>
      </c>
      <c r="AD69" s="199">
        <f>AB73</f>
        <v>1.4082223660452854E-3</v>
      </c>
      <c r="AE69" s="669">
        <f>Y73</f>
        <v>1.6480000000000002E-3</v>
      </c>
      <c r="AF69" s="19"/>
      <c r="AG69" s="175">
        <f>AE73</f>
        <v>1.2730000000000003E-3</v>
      </c>
      <c r="AH69" s="199">
        <f>AG73</f>
        <v>1.1757081643002031E-3</v>
      </c>
      <c r="AI69" s="199">
        <f>AG73</f>
        <v>1.1757081643002031E-3</v>
      </c>
      <c r="AJ69" s="199">
        <f>AH73</f>
        <v>1.0870749072846425E-3</v>
      </c>
      <c r="AK69" s="669">
        <f>AE73</f>
        <v>1.2730000000000003E-3</v>
      </c>
      <c r="AL69" s="19"/>
      <c r="AM69" s="175">
        <f>AK73</f>
        <v>9.8600000000000033E-4</v>
      </c>
      <c r="AN69" s="199">
        <f>AM73</f>
        <v>8.9025450762829437E-4</v>
      </c>
      <c r="AO69" s="199">
        <f>AM73</f>
        <v>8.9025450762829437E-4</v>
      </c>
      <c r="AP69" s="199">
        <f>AN73</f>
        <v>8.0516584710517284E-4</v>
      </c>
      <c r="AQ69" s="669">
        <f>AK73</f>
        <v>9.8600000000000033E-4</v>
      </c>
      <c r="AR69" s="19"/>
      <c r="AS69" s="175">
        <f>AQ73</f>
        <v>7.2100000000000039E-4</v>
      </c>
      <c r="AT69" s="199">
        <f>AS73</f>
        <v>5.5500000000000059E-4</v>
      </c>
      <c r="AU69" s="199">
        <f>AS73</f>
        <v>5.5500000000000059E-4</v>
      </c>
      <c r="AV69" s="199">
        <f>AT73</f>
        <v>4.3050000000000065E-4</v>
      </c>
      <c r="AW69" s="669">
        <f>AQ73</f>
        <v>7.2100000000000039E-4</v>
      </c>
      <c r="AX69" s="19"/>
      <c r="AY69" s="175">
        <f>AW73</f>
        <v>3.890000000000004E-4</v>
      </c>
      <c r="AZ69" s="199">
        <f>AY73</f>
        <v>3.7153476331360993E-4</v>
      </c>
      <c r="BA69" s="199">
        <f>AY73</f>
        <v>3.7153476331360993E-4</v>
      </c>
      <c r="BB69" s="199">
        <f>AZ73</f>
        <v>3.5568428593624218E-4</v>
      </c>
      <c r="BC69" s="669">
        <f>AW73</f>
        <v>3.890000000000004E-4</v>
      </c>
      <c r="BD69" s="19"/>
      <c r="BE69" s="175">
        <f>BC73</f>
        <v>3.3800000000000041E-4</v>
      </c>
      <c r="BF69" s="199">
        <f>BE73</f>
        <v>5.5725495495495536E-4</v>
      </c>
      <c r="BG69" s="199">
        <f>BE73</f>
        <v>5.5725495495495536E-4</v>
      </c>
      <c r="BH69" s="199">
        <f>BF73</f>
        <v>7.6905326617157741E-4</v>
      </c>
      <c r="BI69" s="669">
        <f>BC73</f>
        <v>3.3800000000000041E-4</v>
      </c>
      <c r="BJ69" s="19"/>
      <c r="BK69" s="175">
        <f>BI73</f>
        <v>1.1100000000000003E-3</v>
      </c>
      <c r="BL69" s="199">
        <f>BK73</f>
        <v>1.3145375000000003E-3</v>
      </c>
      <c r="BM69" s="199">
        <f>BL73</f>
        <v>1.5121188823198201E-3</v>
      </c>
      <c r="BN69" s="199">
        <f>BM73</f>
        <v>1.7029807176283127E-3</v>
      </c>
      <c r="BO69" s="669">
        <f>BI73</f>
        <v>1.1100000000000003E-3</v>
      </c>
      <c r="BP69" s="19"/>
      <c r="BQ69" s="175">
        <f>BO73</f>
        <v>1.1920000000000004E-3</v>
      </c>
      <c r="BR69" s="199">
        <f>BQ73</f>
        <v>1.4076618750000003E-3</v>
      </c>
      <c r="BS69" s="199">
        <f>BR73</f>
        <v>1.6163147390625002E-3</v>
      </c>
      <c r="BT69" s="199">
        <f>BS73</f>
        <v>1.8181863850429689E-3</v>
      </c>
      <c r="BU69" s="695">
        <f>BQ69</f>
        <v>1.1920000000000004E-3</v>
      </c>
      <c r="BV69" s="19"/>
      <c r="BW69" s="175">
        <f>BU73</f>
        <v>2.0134972025290724E-3</v>
      </c>
      <c r="BX69" s="199">
        <f>BW73</f>
        <v>2.2315915969113405E-3</v>
      </c>
      <c r="BY69" s="199">
        <f>BX73</f>
        <v>2.4443755100442026E-3</v>
      </c>
      <c r="BZ69" s="199">
        <f>BY73</f>
        <v>2.6519782492910146E-3</v>
      </c>
      <c r="CA69" s="695">
        <f>BW69</f>
        <v>2.0134972025290724E-3</v>
      </c>
      <c r="CB69" s="19"/>
      <c r="CC69" s="175">
        <f>CA73</f>
        <v>2.8545259734503543E-3</v>
      </c>
      <c r="CD69" s="199">
        <f>CC73</f>
        <v>3.0781392646181752E-3</v>
      </c>
      <c r="CE69" s="199">
        <f>CD73</f>
        <v>3.2972979738919968E-3</v>
      </c>
      <c r="CF69" s="199">
        <f>CE73</f>
        <v>3.5120908406296044E-3</v>
      </c>
      <c r="CG69" s="695">
        <f>CC69</f>
        <v>2.8545259734503543E-3</v>
      </c>
      <c r="CH69" s="19"/>
      <c r="CI69" s="175">
        <f>CG73</f>
        <v>3.7226048364193678E-3</v>
      </c>
      <c r="CJ69" s="199">
        <f>CI73</f>
        <v>3.9536484555209965E-3</v>
      </c>
      <c r="CK69" s="199">
        <f>CJ73</f>
        <v>4.1807535294843684E-3</v>
      </c>
      <c r="CL69" s="199">
        <f>CK73</f>
        <v>4.4039871977434404E-3</v>
      </c>
      <c r="CM69" s="695">
        <f>CI69</f>
        <v>3.7226048364193678E-3</v>
      </c>
      <c r="CN69" s="19"/>
      <c r="CO69" s="14"/>
      <c r="CP69" s="14"/>
      <c r="CX69" s="11"/>
      <c r="CY69" s="11"/>
      <c r="CZ69" s="11"/>
      <c r="DA69" s="11"/>
      <c r="DB69" s="11"/>
      <c r="DC69" s="11"/>
      <c r="DD69" s="11"/>
      <c r="DE69" s="11"/>
      <c r="DF69" s="11"/>
      <c r="DG69" s="11"/>
      <c r="DH69" s="11"/>
      <c r="DI69" s="11"/>
      <c r="DJ69" s="11"/>
      <c r="DK69" s="11"/>
      <c r="DL69" s="11"/>
      <c r="DM69" s="11"/>
      <c r="DN69" s="11"/>
      <c r="DO69" s="11"/>
      <c r="DP69" s="11"/>
      <c r="DQ69" s="11"/>
    </row>
    <row r="70" spans="1:121" ht="11.25" customHeight="1" x14ac:dyDescent="0.2">
      <c r="B70" s="658" t="s">
        <v>112</v>
      </c>
      <c r="C70" s="692"/>
      <c r="D70" s="19"/>
      <c r="E70" s="19"/>
      <c r="F70" s="19"/>
      <c r="G70" s="899">
        <v>7.7000000000000001E-5</v>
      </c>
      <c r="H70" s="19"/>
      <c r="I70" s="175">
        <f>M70/4</f>
        <v>1.0000000000000001E-5</v>
      </c>
      <c r="J70" s="199">
        <f>M70/4</f>
        <v>1.0000000000000001E-5</v>
      </c>
      <c r="K70" s="199">
        <f>M70/4</f>
        <v>1.0000000000000001E-5</v>
      </c>
      <c r="L70" s="199">
        <f>M70/4</f>
        <v>1.0000000000000001E-5</v>
      </c>
      <c r="M70" s="899">
        <v>4.0000000000000003E-5</v>
      </c>
      <c r="N70" s="19"/>
      <c r="O70" s="175">
        <f>+I70*(1+O79)</f>
        <v>1.2999999999999999E-5</v>
      </c>
      <c r="P70" s="199">
        <f>+J70*(1+P79)</f>
        <v>1.2999999999999999E-5</v>
      </c>
      <c r="Q70" s="199">
        <f>+K70*(1+Q79)</f>
        <v>1.2999999999999999E-5</v>
      </c>
      <c r="R70" s="199">
        <f>+L70*(1+R79)</f>
        <v>1.2999999999999999E-5</v>
      </c>
      <c r="S70" s="899">
        <v>5.1999999999999997E-5</v>
      </c>
      <c r="T70" s="19"/>
      <c r="U70" s="175">
        <f>+O70*(1+U79)</f>
        <v>2.1500000000000001E-5</v>
      </c>
      <c r="V70" s="199">
        <f>+P70*(1+V79)</f>
        <v>2.1500000000000001E-5</v>
      </c>
      <c r="W70" s="199">
        <f>+Q70*(1+W79)</f>
        <v>2.1500000000000001E-5</v>
      </c>
      <c r="X70" s="199">
        <f>+R70*(1+X79)</f>
        <v>2.1500000000000001E-5</v>
      </c>
      <c r="Y70" s="899">
        <v>8.6000000000000003E-5</v>
      </c>
      <c r="Z70" s="19"/>
      <c r="AA70" s="175">
        <f>+U70*(1+AA79)</f>
        <v>1.275E-5</v>
      </c>
      <c r="AB70" s="199">
        <f>+V70*(1+AB79)</f>
        <v>1.275E-5</v>
      </c>
      <c r="AC70" s="199">
        <f>+W70*(1+AC79)</f>
        <v>1.275E-5</v>
      </c>
      <c r="AD70" s="199">
        <f>+X70*(1+AD79)</f>
        <v>1.275E-5</v>
      </c>
      <c r="AE70" s="899">
        <v>5.1E-5</v>
      </c>
      <c r="AF70" s="19"/>
      <c r="AG70" s="175">
        <f>+AA70*(1+AG79)</f>
        <v>1.5999999999999999E-5</v>
      </c>
      <c r="AH70" s="199">
        <f>+AB70*(1+AH79)</f>
        <v>1.5999999999999999E-5</v>
      </c>
      <c r="AI70" s="199">
        <f>+AC70*(1+AI79)</f>
        <v>1.5999999999999999E-5</v>
      </c>
      <c r="AJ70" s="199">
        <f>+AD70*(1+AJ79)</f>
        <v>1.5999999999999999E-5</v>
      </c>
      <c r="AK70" s="899">
        <v>6.3999999999999997E-5</v>
      </c>
      <c r="AL70" s="19"/>
      <c r="AM70" s="175">
        <f>+AG70*(1+AM79)</f>
        <v>1.4E-5</v>
      </c>
      <c r="AN70" s="199">
        <f>+AH70*(1+AN79)</f>
        <v>1.4E-5</v>
      </c>
      <c r="AO70" s="199">
        <f>+AI70*(1+AO79)</f>
        <v>1.4E-5</v>
      </c>
      <c r="AP70" s="199">
        <f>+AJ70*(1+AP79)</f>
        <v>1.4E-5</v>
      </c>
      <c r="AQ70" s="899">
        <v>5.5999999999999999E-5</v>
      </c>
      <c r="AR70" s="19"/>
      <c r="AS70" s="175">
        <f>+AM70*(1+AS79)</f>
        <v>1.4250000000000002E-5</v>
      </c>
      <c r="AT70" s="199">
        <f>+AN70*(1+AT79)</f>
        <v>1.4250000000000002E-5</v>
      </c>
      <c r="AU70" s="199">
        <f>+AO70*(1+AU79)</f>
        <v>1.4250000000000002E-5</v>
      </c>
      <c r="AV70" s="199">
        <f>+AP70*(1+AV79)</f>
        <v>1.4250000000000002E-5</v>
      </c>
      <c r="AW70" s="899">
        <v>5.7000000000000003E-5</v>
      </c>
      <c r="AX70" s="19"/>
      <c r="AY70" s="175">
        <f>+AS70*(1+AY79)</f>
        <v>1.8499999999999999E-5</v>
      </c>
      <c r="AZ70" s="199">
        <f>+AT70*(1+AZ79)</f>
        <v>1.8499999999999999E-5</v>
      </c>
      <c r="BA70" s="199">
        <f>+AU70*(1+BA79)</f>
        <v>1.8499999999999999E-5</v>
      </c>
      <c r="BB70" s="199">
        <f>+AV70*(1+BB79)</f>
        <v>1.8499999999999999E-5</v>
      </c>
      <c r="BC70" s="899">
        <v>7.3999999999999996E-5</v>
      </c>
      <c r="BD70" s="19"/>
      <c r="BE70" s="175">
        <f>+AY70*(1+BE79)</f>
        <v>2.3075E-4</v>
      </c>
      <c r="BF70" s="199">
        <f>+AZ70*(1+BF79)</f>
        <v>2.3075E-4</v>
      </c>
      <c r="BG70" s="199">
        <f>+BA70*(1+BG79)</f>
        <v>2.3075E-4</v>
      </c>
      <c r="BH70" s="199">
        <f>+BB70*(1+BH79)</f>
        <v>2.3075E-4</v>
      </c>
      <c r="BI70" s="899">
        <v>9.2299999999999999E-4</v>
      </c>
      <c r="BJ70" s="19"/>
      <c r="BK70" s="175">
        <f>+BE70*(1+BK79)</f>
        <v>2.422875E-4</v>
      </c>
      <c r="BL70" s="199">
        <f>+BF70*(1+BL79)</f>
        <v>2.422875E-4</v>
      </c>
      <c r="BM70" s="199">
        <f>+BG70*(1+BM79)</f>
        <v>2.422875E-4</v>
      </c>
      <c r="BN70" s="199">
        <f>+BH70*(1+BN79)</f>
        <v>2.422875E-4</v>
      </c>
      <c r="BO70" s="899">
        <v>1.8900000000000001E-4</v>
      </c>
      <c r="BP70" s="19"/>
      <c r="BQ70" s="175">
        <f>+BK70*(1+BQ79)</f>
        <v>2.5440187499999999E-4</v>
      </c>
      <c r="BR70" s="199">
        <f>+BL70*(1+BR79)</f>
        <v>2.5440187499999999E-4</v>
      </c>
      <c r="BS70" s="199">
        <f>+BM70*(1+BS79)</f>
        <v>2.5440187499999999E-4</v>
      </c>
      <c r="BT70" s="199">
        <f>+BN70*(1+BT79)</f>
        <v>2.5440187499999999E-4</v>
      </c>
      <c r="BU70" s="695">
        <f>SUM(BQ70:BT70)</f>
        <v>1.0176075E-3</v>
      </c>
      <c r="BV70" s="19"/>
      <c r="BW70" s="175">
        <f>+BQ70*(1+BW79)</f>
        <v>2.6712196875000002E-4</v>
      </c>
      <c r="BX70" s="199">
        <f>+BR70*(1+BX79)</f>
        <v>2.6712196875000002E-4</v>
      </c>
      <c r="BY70" s="199">
        <f>+BS70*(1+BY79)</f>
        <v>2.6712196875000002E-4</v>
      </c>
      <c r="BZ70" s="199">
        <f>+BT70*(1+BZ79)</f>
        <v>2.6712196875000002E-4</v>
      </c>
      <c r="CA70" s="695">
        <f>SUM(BW70:BZ70)</f>
        <v>1.0684878750000001E-3</v>
      </c>
      <c r="CB70" s="19"/>
      <c r="CC70" s="175">
        <f>+BW70*(1+CC79)</f>
        <v>2.8047806718750005E-4</v>
      </c>
      <c r="CD70" s="199">
        <f>+BX70*(1+CD79)</f>
        <v>2.8047806718750005E-4</v>
      </c>
      <c r="CE70" s="199">
        <f>+BY70*(1+CE79)</f>
        <v>2.8047806718750005E-4</v>
      </c>
      <c r="CF70" s="199">
        <f>+BZ70*(1+CF79)</f>
        <v>2.8047806718750005E-4</v>
      </c>
      <c r="CG70" s="695">
        <f>SUM(CC70:CF70)</f>
        <v>1.1219122687500002E-3</v>
      </c>
      <c r="CH70" s="19"/>
      <c r="CI70" s="175">
        <f>+CC70*(1+CI79)</f>
        <v>2.9450197054687509E-4</v>
      </c>
      <c r="CJ70" s="199">
        <f>+CD70*(1+CJ79)</f>
        <v>2.9450197054687509E-4</v>
      </c>
      <c r="CK70" s="199">
        <f>+CE70*(1+CK79)</f>
        <v>2.9450197054687509E-4</v>
      </c>
      <c r="CL70" s="199">
        <f>+CF70*(1+CL79)</f>
        <v>2.9450197054687509E-4</v>
      </c>
      <c r="CM70" s="695">
        <f>SUM(CI70:CL70)</f>
        <v>1.1780078821875004E-3</v>
      </c>
      <c r="CN70" s="19"/>
      <c r="CO70" s="14"/>
      <c r="CP70" s="14"/>
      <c r="CX70" s="11"/>
      <c r="CY70" s="11"/>
      <c r="CZ70" s="11"/>
      <c r="DA70" s="11"/>
      <c r="DB70" s="11"/>
      <c r="DC70" s="11"/>
      <c r="DD70" s="11"/>
      <c r="DE70" s="11"/>
      <c r="DF70" s="11"/>
      <c r="DG70" s="11"/>
      <c r="DH70" s="11"/>
      <c r="DI70" s="11"/>
      <c r="DJ70" s="11"/>
      <c r="DK70" s="11"/>
      <c r="DL70" s="11"/>
      <c r="DM70" s="11"/>
      <c r="DN70" s="11"/>
      <c r="DO70" s="11"/>
      <c r="DP70" s="11"/>
      <c r="DQ70" s="11"/>
    </row>
    <row r="71" spans="1:121" ht="11.25" customHeight="1" x14ac:dyDescent="0.2">
      <c r="B71" s="658" t="s">
        <v>184</v>
      </c>
      <c r="C71" s="692"/>
      <c r="D71" s="19"/>
      <c r="E71" s="19"/>
      <c r="F71" s="19"/>
      <c r="G71" s="899">
        <v>-2.7300000000000002E-4</v>
      </c>
      <c r="H71" s="19"/>
      <c r="I71" s="175">
        <f>-I69*I77/4</f>
        <v>-6.7859113300492593E-5</v>
      </c>
      <c r="J71" s="199">
        <f>-J69*J77/4</f>
        <v>-6.3436827270741813E-5</v>
      </c>
      <c r="K71" s="199">
        <f>-K69*K77/4</f>
        <v>-6.3436827270741813E-5</v>
      </c>
      <c r="L71" s="199">
        <f>-L69*L77/4</f>
        <v>-5.9320071100928247E-5</v>
      </c>
      <c r="M71" s="899">
        <v>-2.1599999999999999E-4</v>
      </c>
      <c r="N71" s="19"/>
      <c r="O71" s="175">
        <f>-O69*O77/4</f>
        <v>-3.796891464699684E-5</v>
      </c>
      <c r="P71" s="199">
        <f>-P69*P77/4</f>
        <v>-3.729184927620556E-5</v>
      </c>
      <c r="Q71" s="199">
        <f>-Q69*Q77/4</f>
        <v>-3.729184927620556E-5</v>
      </c>
      <c r="R71" s="199">
        <f>-R69*R77/4</f>
        <v>-3.6631193287425028E-5</v>
      </c>
      <c r="S71" s="899">
        <v>-1.4200000000000001E-4</v>
      </c>
      <c r="T71" s="19"/>
      <c r="U71" s="175">
        <f>-U69*U77/4</f>
        <v>-8.0906856796116505E-5</v>
      </c>
      <c r="V71" s="199">
        <f>-V69*V77/4</f>
        <v>-7.7699453294372703E-5</v>
      </c>
      <c r="W71" s="199">
        <f>-W69*W77/4</f>
        <v>-7.7699453294372703E-5</v>
      </c>
      <c r="X71" s="199">
        <f>-X69*X77/4</f>
        <v>-7.4655533951698377E-5</v>
      </c>
      <c r="Y71" s="899">
        <v>-2.81E-4</v>
      </c>
      <c r="Z71" s="19"/>
      <c r="AA71" s="175">
        <f>-AA69*AA77/4</f>
        <v>-1.0809740769835035E-4</v>
      </c>
      <c r="AB71" s="199">
        <f>-AB69*AB77/4</f>
        <v>-9.98902208013556E-5</v>
      </c>
      <c r="AC71" s="199">
        <f>-AC69*AC77/4</f>
        <v>-9.98902208013556E-5</v>
      </c>
      <c r="AD71" s="199">
        <f>-AD69*AD77/4</f>
        <v>-9.2369652446803855E-5</v>
      </c>
      <c r="AE71" s="899">
        <v>-3.3399999999999999E-4</v>
      </c>
      <c r="AF71" s="19"/>
      <c r="AG71" s="175">
        <f>-AG69*AG77/4</f>
        <v>-7.4882352941176453E-5</v>
      </c>
      <c r="AH71" s="199">
        <f>-AH69*AH77/4</f>
        <v>-6.915930378236487E-5</v>
      </c>
      <c r="AI71" s="199">
        <f>-AI69*AI77/4</f>
        <v>-6.915930378236487E-5</v>
      </c>
      <c r="AJ71" s="199">
        <f>-AJ69*AJ77/4</f>
        <v>-6.3945582781449535E-5</v>
      </c>
      <c r="AK71" s="899">
        <v>-2.32E-4</v>
      </c>
      <c r="AL71" s="19"/>
      <c r="AM71" s="175">
        <f>-AM69*AM77/4</f>
        <v>-9.9147018030513149E-5</v>
      </c>
      <c r="AN71" s="199">
        <f>-AN69*AN77/4</f>
        <v>-8.951935062836519E-5</v>
      </c>
      <c r="AO71" s="199">
        <f>-AO69*AO77/4</f>
        <v>-8.951935062836519E-5</v>
      </c>
      <c r="AP71" s="199">
        <f>-AP69*AP77/4</f>
        <v>-8.096327866175451E-5</v>
      </c>
      <c r="AQ71" s="899">
        <v>-2.9E-4</v>
      </c>
      <c r="AR71" s="19"/>
      <c r="AS71" s="175">
        <f>-AS69*AS77/4</f>
        <v>-1.5986182519280197E-4</v>
      </c>
      <c r="AT71" s="199">
        <f>-AT69*AT77/4</f>
        <v>-1.2305591259640102E-4</v>
      </c>
      <c r="AU71" s="199">
        <f>-AU69*AU77/4</f>
        <v>-1.2305591259640102E-4</v>
      </c>
      <c r="AV71" s="199">
        <f>-AV69*AV77/4</f>
        <v>-9.5451478149100288E-5</v>
      </c>
      <c r="AW71" s="899">
        <v>-3.4499999999999998E-4</v>
      </c>
      <c r="AX71" s="19"/>
      <c r="AY71" s="175">
        <f>-AY69*AY77/4</f>
        <v>-1.4098372781065087E-5</v>
      </c>
      <c r="AZ71" s="199">
        <f>-AZ69*AZ77/4</f>
        <v>-1.3465387131928154E-5</v>
      </c>
      <c r="BA71" s="199">
        <f>-BA69*BA77/4</f>
        <v>-1.3465387131928154E-5</v>
      </c>
      <c r="BB71" s="199">
        <f>-BB69*BB77/4</f>
        <v>-1.2890924564257282E-5</v>
      </c>
      <c r="BC71" s="899">
        <v>-4.8999999999999998E-5</v>
      </c>
      <c r="BD71" s="19"/>
      <c r="BE71" s="175">
        <f>-BE69*BE77/4</f>
        <v>-6.6229729729729789E-6</v>
      </c>
      <c r="BF71" s="199">
        <f>-BF69*BF77/4</f>
        <v>-1.0919184928171419E-5</v>
      </c>
      <c r="BG71" s="199">
        <f>-BG69*BG77/4</f>
        <v>-1.0919184928171419E-5</v>
      </c>
      <c r="BH71" s="199">
        <f>-BH69*BH77/4</f>
        <v>-1.5069286972280904E-5</v>
      </c>
      <c r="BI71" s="899">
        <v>-8.7000000000000001E-5</v>
      </c>
      <c r="BJ71" s="19"/>
      <c r="BK71" s="175">
        <f>-BK69*BK77/4</f>
        <v>-2.175E-5</v>
      </c>
      <c r="BL71" s="199">
        <f>-BL69*BL77/4</f>
        <v>-2.5757829391891891E-5</v>
      </c>
      <c r="BM71" s="199">
        <f>-BM69*BM77/4</f>
        <v>-2.9629356477888356E-5</v>
      </c>
      <c r="BN71" s="199">
        <f>-BN69*BN77/4</f>
        <v>-3.3369216764338546E-5</v>
      </c>
      <c r="BO71" s="899">
        <v>-2.6999999999999999E-5</v>
      </c>
      <c r="BP71" s="19"/>
      <c r="BQ71" s="175">
        <f>-BQ69*BQ77/4</f>
        <v>-2.0860000000000007E-5</v>
      </c>
      <c r="BR71" s="199">
        <f>-BR69*BR77/4</f>
        <v>-2.463408281250001E-5</v>
      </c>
      <c r="BS71" s="199">
        <f>-BS69*BS77/4</f>
        <v>-2.8285507933593756E-5</v>
      </c>
      <c r="BT71" s="199">
        <f>-BT69*BT77/4</f>
        <v>-3.1818261738251962E-5</v>
      </c>
      <c r="BU71" s="695">
        <f>SUM(BQ71:BT71)</f>
        <v>-1.0559785248434574E-4</v>
      </c>
      <c r="BV71" s="19"/>
      <c r="BW71" s="175">
        <f>-BW69*BW77/4</f>
        <v>-2.6399463121086435E-5</v>
      </c>
      <c r="BX71" s="199">
        <f>-BX69*BX77/4</f>
        <v>-2.9258953024612752E-5</v>
      </c>
      <c r="BY71" s="199">
        <f>-BY69*BY77/4</f>
        <v>-3.2048815886331994E-5</v>
      </c>
      <c r="BZ71" s="199">
        <f>-BZ69*BZ77/4</f>
        <v>-3.4770747087278672E-5</v>
      </c>
      <c r="CA71" s="695">
        <f>SUM(BW71:BZ71)</f>
        <v>-1.2247797911930984E-4</v>
      </c>
      <c r="CB71" s="19"/>
      <c r="CC71" s="175">
        <f>-CC69*CC77/4</f>
        <v>-3.061949477982746E-5</v>
      </c>
      <c r="CD71" s="199">
        <f>-CD69*CD77/4</f>
        <v>-3.301811579967302E-5</v>
      </c>
      <c r="CE71" s="199">
        <f>-CE69*CE77/4</f>
        <v>-3.5368954088403772E-5</v>
      </c>
      <c r="CF71" s="199">
        <f>-CF69*CF77/4</f>
        <v>-3.7672961521857497E-5</v>
      </c>
      <c r="CG71" s="695">
        <f>SUM(CC71:CF71)</f>
        <v>-1.3667952618976175E-4</v>
      </c>
      <c r="CH71" s="19"/>
      <c r="CI71" s="175">
        <f>-CI69*CI77/4</f>
        <v>-3.4169881547440437E-5</v>
      </c>
      <c r="CJ71" s="199">
        <f>-CJ69*CJ77/4</f>
        <v>-3.6290636621886704E-5</v>
      </c>
      <c r="CK71" s="199">
        <f>-CK69*CK77/4</f>
        <v>-3.8375239693432519E-5</v>
      </c>
      <c r="CL71" s="199">
        <f>-CL69*CL77/4</f>
        <v>-4.0424307036597005E-5</v>
      </c>
      <c r="CM71" s="695">
        <f>SUM(CI71:CL71)</f>
        <v>-1.4926006489935666E-4</v>
      </c>
      <c r="CN71" s="19"/>
      <c r="CO71" s="14"/>
      <c r="CP71" s="14"/>
      <c r="CX71" s="11"/>
      <c r="CY71" s="11"/>
      <c r="CZ71" s="11"/>
      <c r="DA71" s="11"/>
      <c r="DB71" s="11"/>
      <c r="DC71" s="11"/>
      <c r="DD71" s="11"/>
      <c r="DE71" s="11"/>
      <c r="DF71" s="11"/>
      <c r="DG71" s="11"/>
      <c r="DH71" s="11"/>
      <c r="DI71" s="11"/>
      <c r="DJ71" s="11"/>
      <c r="DK71" s="11"/>
      <c r="DL71" s="11"/>
      <c r="DM71" s="11"/>
      <c r="DN71" s="11"/>
      <c r="DO71" s="11"/>
      <c r="DP71" s="11"/>
      <c r="DQ71" s="11"/>
    </row>
    <row r="72" spans="1:121" ht="11.25" customHeight="1" x14ac:dyDescent="0.2">
      <c r="B72" s="658" t="s">
        <v>371</v>
      </c>
      <c r="C72" s="692"/>
      <c r="D72" s="19"/>
      <c r="E72" s="19"/>
      <c r="F72" s="19"/>
      <c r="G72" s="899">
        <v>-1.5899999999999999E-4</v>
      </c>
      <c r="H72" s="19"/>
      <c r="I72" s="175">
        <f>-I69*I78/4</f>
        <v>-1.0838608374384235E-4</v>
      </c>
      <c r="J72" s="199">
        <f>-J69*J78/4</f>
        <v>-1.0132271022410151E-4</v>
      </c>
      <c r="K72" s="199">
        <f>-K69*K78/4</f>
        <v>-1.0132271022410151E-4</v>
      </c>
      <c r="L72" s="199">
        <f>-L69*L78/4</f>
        <v>-9.4747335786204851E-5</v>
      </c>
      <c r="M72" s="899">
        <v>-3.4499999999999998E-4</v>
      </c>
      <c r="N72" s="19"/>
      <c r="O72" s="175">
        <f>-O69*O78/4</f>
        <v>-1.1230242360379345E-5</v>
      </c>
      <c r="P72" s="199">
        <f>-P69*P78/4</f>
        <v>-1.1029983588736855E-5</v>
      </c>
      <c r="Q72" s="199">
        <f>-Q69*Q78/4</f>
        <v>-1.1029983588736855E-5</v>
      </c>
      <c r="R72" s="199">
        <f>-R69*R78/4</f>
        <v>-1.083457829628064E-5</v>
      </c>
      <c r="S72" s="899">
        <v>-4.1999999999999998E-5</v>
      </c>
      <c r="T72" s="19"/>
      <c r="U72" s="175">
        <f>-U69*U78/4</f>
        <v>-1.5835861650485439E-5</v>
      </c>
      <c r="V72" s="199">
        <f>-V69*V78/4</f>
        <v>-1.5208078046941279E-5</v>
      </c>
      <c r="W72" s="199">
        <f>-W69*W78/4</f>
        <v>-1.5208078046941279E-5</v>
      </c>
      <c r="X72" s="199">
        <f>-X69*X78/4</f>
        <v>-1.4612293122218543E-5</v>
      </c>
      <c r="Y72" s="899">
        <v>-5.5000000000000002E-5</v>
      </c>
      <c r="Z72" s="19"/>
      <c r="AA72" s="175">
        <f>-AA69*AA78/4</f>
        <v>-2.9775333857030633E-5</v>
      </c>
      <c r="AB72" s="199">
        <f>-AB69*AB78/4</f>
        <v>-2.751467159797819E-5</v>
      </c>
      <c r="AC72" s="199">
        <f>-AC69*AC78/4</f>
        <v>-2.751467159797819E-5</v>
      </c>
      <c r="AD72" s="199">
        <f>-AD69*AD78/4</f>
        <v>-2.5443137799718427E-5</v>
      </c>
      <c r="AE72" s="899">
        <v>-9.2E-5</v>
      </c>
      <c r="AF72" s="19"/>
      <c r="AG72" s="175">
        <f>-AG69*AG78/4</f>
        <v>-3.8409482758620688E-5</v>
      </c>
      <c r="AH72" s="199">
        <f>-AH69*AH78/4</f>
        <v>-3.5473953233195771E-5</v>
      </c>
      <c r="AI72" s="199">
        <f>-AI69*AI78/4</f>
        <v>-3.5473953233195771E-5</v>
      </c>
      <c r="AJ72" s="199">
        <f>-AJ69*AJ78/4</f>
        <v>-3.2799673926691791E-5</v>
      </c>
      <c r="AK72" s="899">
        <v>-1.1900000000000001E-4</v>
      </c>
      <c r="AL72" s="19"/>
      <c r="AM72" s="175">
        <f>-AM69*AM78/4</f>
        <v>-1.0598474341192787E-5</v>
      </c>
      <c r="AN72" s="199">
        <f>-AN69*AN78/4</f>
        <v>-9.5693098947562807E-6</v>
      </c>
      <c r="AO72" s="199">
        <f>-AO69*AO78/4</f>
        <v>-9.5693098947562807E-6</v>
      </c>
      <c r="AP72" s="199">
        <f>-AP69*AP78/4</f>
        <v>-8.6546953052220342E-6</v>
      </c>
      <c r="AQ72" s="899">
        <v>-3.1000000000000001E-5</v>
      </c>
      <c r="AR72" s="19"/>
      <c r="AS72" s="175">
        <f>-AS69*AS78/4</f>
        <v>-2.0388174807197934E-5</v>
      </c>
      <c r="AT72" s="199">
        <f>-AT69*AT78/4</f>
        <v>-1.5694087403598972E-5</v>
      </c>
      <c r="AU72" s="199">
        <f>-AU69*AU78/4</f>
        <v>-1.5694087403598972E-5</v>
      </c>
      <c r="AV72" s="199">
        <f>-AV69*AV78/4</f>
        <v>-1.2173521850899748E-5</v>
      </c>
      <c r="AW72" s="899">
        <v>-4.3999999999999999E-5</v>
      </c>
      <c r="AX72" s="19"/>
      <c r="AY72" s="175">
        <f>-AY69*AY78/4</f>
        <v>-2.1866863905325441E-5</v>
      </c>
      <c r="AZ72" s="199">
        <f>-AZ69*AZ78/4</f>
        <v>-2.0885090245439587E-5</v>
      </c>
      <c r="BA72" s="199">
        <f>-BA69*BA78/4</f>
        <v>-2.0885090245439587E-5</v>
      </c>
      <c r="BB72" s="199">
        <f>-BB69*BB78/4</f>
        <v>-1.9994087079256192E-5</v>
      </c>
      <c r="BC72" s="899">
        <v>-7.6000000000000004E-5</v>
      </c>
      <c r="BD72" s="19"/>
      <c r="BE72" s="175">
        <f>-BE69*BE78/4</f>
        <v>-4.8720720720720764E-6</v>
      </c>
      <c r="BF72" s="199">
        <f>-BF69*BF78/4</f>
        <v>-8.0325038552065607E-6</v>
      </c>
      <c r="BG72" s="199">
        <f>-BG69*BG78/4</f>
        <v>-8.0325038552065607E-6</v>
      </c>
      <c r="BH72" s="199">
        <f>-BH69*BH78/4</f>
        <v>-1.1085452485356067E-5</v>
      </c>
      <c r="BI72" s="899">
        <v>-6.3999999999999997E-5</v>
      </c>
      <c r="BJ72" s="19"/>
      <c r="BK72" s="175">
        <f>-BK69*BK78/4</f>
        <v>-1.5999999999999999E-5</v>
      </c>
      <c r="BL72" s="199">
        <f>-BL69*BL78/4</f>
        <v>-1.8948288288288287E-5</v>
      </c>
      <c r="BM72" s="199">
        <f>-BM69*BM78/4</f>
        <v>-2.1796308213619021E-5</v>
      </c>
      <c r="BN72" s="199">
        <f>-BN69*BN78/4</f>
        <v>-2.4547469803651345E-5</v>
      </c>
      <c r="BO72" s="899">
        <v>-8.0000000000000007E-5</v>
      </c>
      <c r="BP72" s="19"/>
      <c r="BQ72" s="175">
        <f>-BQ69*BQ78/4</f>
        <v>-1.7880000000000005E-5</v>
      </c>
      <c r="BR72" s="199">
        <f>-BR69*BR78/4</f>
        <v>-2.1114928125000003E-5</v>
      </c>
      <c r="BS72" s="199">
        <f>-BS69*BS78/4</f>
        <v>-2.4244721085937502E-5</v>
      </c>
      <c r="BT72" s="199">
        <f>-BT69*BT78/4</f>
        <v>-2.7272795775644533E-5</v>
      </c>
      <c r="BU72" s="695">
        <f>SUM(BQ72:BT72)</f>
        <v>-9.051244498658205E-5</v>
      </c>
      <c r="BV72" s="19"/>
      <c r="BW72" s="175">
        <f>-BW69*BW78/4</f>
        <v>-2.2628111246645513E-5</v>
      </c>
      <c r="BX72" s="199">
        <f>-BX69*BX78/4</f>
        <v>-2.5079102592525212E-5</v>
      </c>
      <c r="BY72" s="199">
        <f>-BY69*BY78/4</f>
        <v>-2.7470413616855995E-5</v>
      </c>
      <c r="BZ72" s="199">
        <f>-BZ69*BZ78/4</f>
        <v>-2.9803497503381721E-5</v>
      </c>
      <c r="CA72" s="695">
        <f>SUM(BW72:BZ72)</f>
        <v>-1.0498112495940845E-4</v>
      </c>
      <c r="CB72" s="19"/>
      <c r="CC72" s="175">
        <f>-CC69*CC78/4</f>
        <v>-2.6245281239852113E-5</v>
      </c>
      <c r="CD72" s="199">
        <f>-CD69*CD78/4</f>
        <v>-2.8301242114005448E-5</v>
      </c>
      <c r="CE72" s="199">
        <f>-CE69*CE78/4</f>
        <v>-3.0316246361488948E-5</v>
      </c>
      <c r="CF72" s="199">
        <f>-CF69*CF78/4</f>
        <v>-3.2291109875877859E-5</v>
      </c>
      <c r="CG72" s="695">
        <f>SUM(CC72:CF72)</f>
        <v>-1.1715387959122437E-4</v>
      </c>
      <c r="CH72" s="19"/>
      <c r="CI72" s="175">
        <f>-CI69*CI78/4</f>
        <v>-2.9288469897806092E-5</v>
      </c>
      <c r="CJ72" s="199">
        <f>-CJ69*CJ78/4</f>
        <v>-3.1106259961617178E-5</v>
      </c>
      <c r="CK72" s="199">
        <f>-CK69*CK78/4</f>
        <v>-3.2893062594370739E-5</v>
      </c>
      <c r="CL72" s="199">
        <f>-CL69*CL78/4</f>
        <v>-3.4649406031368866E-5</v>
      </c>
      <c r="CM72" s="695">
        <f>SUM(CI72:CL72)</f>
        <v>-1.2793719848516288E-4</v>
      </c>
      <c r="CN72" s="19"/>
      <c r="CO72" s="14"/>
      <c r="CP72" s="14"/>
      <c r="CX72" s="11"/>
      <c r="CY72" s="11"/>
      <c r="CZ72" s="11"/>
      <c r="DA72" s="11"/>
      <c r="DB72" s="11"/>
      <c r="DC72" s="11"/>
      <c r="DD72" s="11"/>
      <c r="DE72" s="11"/>
      <c r="DF72" s="11"/>
      <c r="DG72" s="11"/>
      <c r="DH72" s="11"/>
      <c r="DI72" s="11"/>
      <c r="DJ72" s="11"/>
      <c r="DK72" s="11"/>
      <c r="DL72" s="11"/>
      <c r="DM72" s="11"/>
      <c r="DN72" s="11"/>
      <c r="DO72" s="11"/>
      <c r="DP72" s="11"/>
      <c r="DQ72" s="11"/>
    </row>
    <row r="73" spans="1:121" ht="11.25" customHeight="1" x14ac:dyDescent="0.2">
      <c r="B73" s="895" t="s">
        <v>185</v>
      </c>
      <c r="C73" s="692"/>
      <c r="D73" s="19"/>
      <c r="E73" s="19"/>
      <c r="F73" s="19"/>
      <c r="G73" s="669">
        <f>SUM(G69:G72)</f>
        <v>2.5509999999999999E-3</v>
      </c>
      <c r="H73" s="19"/>
      <c r="I73" s="175">
        <f>+SUM(I69:I72)</f>
        <v>2.3847548029556648E-3</v>
      </c>
      <c r="J73" s="199">
        <f>+SUM(J69:J72)</f>
        <v>2.2299952654608215E-3</v>
      </c>
      <c r="K73" s="199">
        <f>+SUM(K69:K72)</f>
        <v>2.2299952654608215E-3</v>
      </c>
      <c r="L73" s="199">
        <f>+SUM(L69:L72)</f>
        <v>2.0859278585736883E-3</v>
      </c>
      <c r="M73" s="669">
        <f>SUM(M69:M72)</f>
        <v>2.0300000000000001E-3</v>
      </c>
      <c r="N73" s="19"/>
      <c r="O73" s="175">
        <f>+SUM(O69:O72)</f>
        <v>1.9938008429926241E-3</v>
      </c>
      <c r="P73" s="199">
        <f>+SUM(P69:P72)</f>
        <v>1.9584790101276816E-3</v>
      </c>
      <c r="Q73" s="199">
        <f>+SUM(Q69:Q72)</f>
        <v>1.9584790101276816E-3</v>
      </c>
      <c r="R73" s="199">
        <f>+SUM(R69:R72)</f>
        <v>1.924013238543976E-3</v>
      </c>
      <c r="S73" s="669">
        <f>SUM(S69:S72)</f>
        <v>1.8980000000000002E-3</v>
      </c>
      <c r="T73" s="19"/>
      <c r="U73" s="175">
        <f>+SUM(U69:U72)</f>
        <v>1.8227572815533984E-3</v>
      </c>
      <c r="V73" s="199">
        <f>+SUM(V69:V72)</f>
        <v>1.7513497502120844E-3</v>
      </c>
      <c r="W73" s="199">
        <f>+SUM(W69:W72)</f>
        <v>1.7513497502120844E-3</v>
      </c>
      <c r="X73" s="199">
        <f>+SUM(X69:X72)</f>
        <v>1.6835819231381674E-3</v>
      </c>
      <c r="Y73" s="669">
        <f>SUM(Y69:Y72)</f>
        <v>1.6480000000000002E-3</v>
      </c>
      <c r="Z73" s="19"/>
      <c r="AA73" s="175">
        <f>+SUM(AA69:AA72)</f>
        <v>1.5228772584446192E-3</v>
      </c>
      <c r="AB73" s="199">
        <f>+SUM(AB69:AB72)</f>
        <v>1.4082223660452854E-3</v>
      </c>
      <c r="AC73" s="199">
        <f>+SUM(AC69:AC72)</f>
        <v>1.4082223660452854E-3</v>
      </c>
      <c r="AD73" s="199">
        <f>+SUM(AD69:AD72)</f>
        <v>1.303159575798763E-3</v>
      </c>
      <c r="AE73" s="669">
        <f>SUM(AE69:AE72)</f>
        <v>1.2730000000000003E-3</v>
      </c>
      <c r="AF73" s="19"/>
      <c r="AG73" s="175">
        <f>+SUM(AG69:AG72)</f>
        <v>1.1757081643002031E-3</v>
      </c>
      <c r="AH73" s="199">
        <f>+SUM(AH69:AH72)</f>
        <v>1.0870749072846425E-3</v>
      </c>
      <c r="AI73" s="199">
        <f>+SUM(AI69:AI72)</f>
        <v>1.0870749072846425E-3</v>
      </c>
      <c r="AJ73" s="199">
        <f>+SUM(AJ69:AJ72)</f>
        <v>1.0063296505765011E-3</v>
      </c>
      <c r="AK73" s="669">
        <f>SUM(AK69:AK72)</f>
        <v>9.8600000000000033E-4</v>
      </c>
      <c r="AL73" s="19"/>
      <c r="AM73" s="175">
        <f>+SUM(AM69:AM72)</f>
        <v>8.9025450762829437E-4</v>
      </c>
      <c r="AN73" s="199">
        <f>+SUM(AN69:AN72)</f>
        <v>8.0516584710517284E-4</v>
      </c>
      <c r="AO73" s="199">
        <f>+SUM(AO69:AO72)</f>
        <v>8.0516584710517284E-4</v>
      </c>
      <c r="AP73" s="199">
        <f>+SUM(AP69:AP72)</f>
        <v>7.2954787313819628E-4</v>
      </c>
      <c r="AQ73" s="669">
        <f>SUM(AQ69:AQ72)</f>
        <v>7.2100000000000039E-4</v>
      </c>
      <c r="AR73" s="19"/>
      <c r="AS73" s="175">
        <f>+SUM(AS69:AS72)</f>
        <v>5.5500000000000059E-4</v>
      </c>
      <c r="AT73" s="199">
        <f>+SUM(AT69:AT72)</f>
        <v>4.3050000000000065E-4</v>
      </c>
      <c r="AU73" s="199">
        <f>+SUM(AU69:AU72)</f>
        <v>4.3050000000000065E-4</v>
      </c>
      <c r="AV73" s="199">
        <f>+SUM(AV69:AV72)</f>
        <v>3.3712500000000056E-4</v>
      </c>
      <c r="AW73" s="669">
        <f>SUM(AW69:AW72)</f>
        <v>3.890000000000004E-4</v>
      </c>
      <c r="AX73" s="19"/>
      <c r="AY73" s="175">
        <f>+SUM(AY69:AY72)</f>
        <v>3.7153476331360993E-4</v>
      </c>
      <c r="AZ73" s="199">
        <f>+SUM(AZ69:AZ72)</f>
        <v>3.5568428593624218E-4</v>
      </c>
      <c r="BA73" s="199">
        <f>+SUM(BA69:BA72)</f>
        <v>3.5568428593624218E-4</v>
      </c>
      <c r="BB73" s="199">
        <f>+SUM(BB69:BB72)</f>
        <v>3.4129927429272871E-4</v>
      </c>
      <c r="BC73" s="669">
        <f>SUM(BC69:BC72)</f>
        <v>3.3800000000000041E-4</v>
      </c>
      <c r="BD73" s="19"/>
      <c r="BE73" s="175">
        <f>+SUM(BE69:BE72)</f>
        <v>5.5725495495495536E-4</v>
      </c>
      <c r="BF73" s="199">
        <f>+SUM(BF69:BF72)</f>
        <v>7.6905326617157741E-4</v>
      </c>
      <c r="BG73" s="199">
        <f>+SUM(BG69:BG72)</f>
        <v>7.6905326617157741E-4</v>
      </c>
      <c r="BH73" s="199">
        <f>+SUM(BH69:BH72)</f>
        <v>9.736485267139405E-4</v>
      </c>
      <c r="BI73" s="669">
        <f>SUM(BI69:BI72)</f>
        <v>1.1100000000000003E-3</v>
      </c>
      <c r="BJ73" s="19"/>
      <c r="BK73" s="175">
        <f>+SUM(BK69:BK72)</f>
        <v>1.3145375000000003E-3</v>
      </c>
      <c r="BL73" s="199">
        <f>+SUM(BL69:BL72)</f>
        <v>1.5121188823198201E-3</v>
      </c>
      <c r="BM73" s="199">
        <f>+SUM(BM69:BM72)</f>
        <v>1.7029807176283127E-3</v>
      </c>
      <c r="BN73" s="199">
        <f>+SUM(BN69:BN72)</f>
        <v>1.8873515310603229E-3</v>
      </c>
      <c r="BO73" s="669">
        <f>SUM(BO69:BO72)</f>
        <v>1.1920000000000004E-3</v>
      </c>
      <c r="BP73" s="19"/>
      <c r="BQ73" s="175">
        <f>+SUM(BQ69:BQ72)</f>
        <v>1.4076618750000003E-3</v>
      </c>
      <c r="BR73" s="199">
        <f>+SUM(BR69:BR72)</f>
        <v>1.6163147390625002E-3</v>
      </c>
      <c r="BS73" s="199">
        <f>+SUM(BS69:BS72)</f>
        <v>1.8181863850429689E-3</v>
      </c>
      <c r="BT73" s="199">
        <f>+SUM(BT69:BT72)</f>
        <v>2.0134972025290724E-3</v>
      </c>
      <c r="BU73" s="695">
        <f>+SUM(BU69:BU72)</f>
        <v>2.0134972025290724E-3</v>
      </c>
      <c r="BV73" s="19"/>
      <c r="BW73" s="175">
        <f>+SUM(BW69:BW72)</f>
        <v>2.2315915969113405E-3</v>
      </c>
      <c r="BX73" s="199">
        <f>+SUM(BX69:BX72)</f>
        <v>2.4443755100442026E-3</v>
      </c>
      <c r="BY73" s="199">
        <f>+SUM(BY69:BY72)</f>
        <v>2.6519782492910146E-3</v>
      </c>
      <c r="BZ73" s="199">
        <f>+SUM(BZ69:BZ72)</f>
        <v>2.8545259734503539E-3</v>
      </c>
      <c r="CA73" s="695">
        <f>+SUM(CA69:CA72)</f>
        <v>2.8545259734503543E-3</v>
      </c>
      <c r="CB73" s="19"/>
      <c r="CC73" s="175">
        <f>+SUM(CC69:CC72)</f>
        <v>3.0781392646181752E-3</v>
      </c>
      <c r="CD73" s="199">
        <f>+SUM(CD69:CD72)</f>
        <v>3.2972979738919968E-3</v>
      </c>
      <c r="CE73" s="199">
        <f>+SUM(CE69:CE72)</f>
        <v>3.5120908406296044E-3</v>
      </c>
      <c r="CF73" s="199">
        <f>+SUM(CF69:CF72)</f>
        <v>3.7226048364193691E-3</v>
      </c>
      <c r="CG73" s="695">
        <f>+SUM(CG69:CG72)</f>
        <v>3.7226048364193678E-3</v>
      </c>
      <c r="CH73" s="19"/>
      <c r="CI73" s="175">
        <f>+SUM(CI69:CI72)</f>
        <v>3.9536484555209965E-3</v>
      </c>
      <c r="CJ73" s="199">
        <f>+SUM(CJ69:CJ72)</f>
        <v>4.1807535294843684E-3</v>
      </c>
      <c r="CK73" s="199">
        <f>+SUM(CK69:CK72)</f>
        <v>4.4039871977434404E-3</v>
      </c>
      <c r="CL73" s="199">
        <f>+SUM(CL69:CL72)</f>
        <v>4.6234154552223499E-3</v>
      </c>
      <c r="CM73" s="695">
        <f>+SUM(CM69:CM72)</f>
        <v>4.6234154552223482E-3</v>
      </c>
      <c r="CN73" s="19"/>
      <c r="CO73" s="14"/>
      <c r="CP73" s="14"/>
      <c r="CX73" s="11"/>
      <c r="CY73" s="11"/>
      <c r="CZ73" s="11"/>
      <c r="DA73" s="11"/>
      <c r="DB73" s="11"/>
      <c r="DC73" s="11"/>
      <c r="DD73" s="11"/>
      <c r="DE73" s="11"/>
      <c r="DF73" s="11"/>
      <c r="DG73" s="11"/>
      <c r="DH73" s="11"/>
      <c r="DI73" s="11"/>
      <c r="DJ73" s="11"/>
      <c r="DK73" s="11"/>
      <c r="DL73" s="11"/>
      <c r="DM73" s="11"/>
      <c r="DN73" s="11"/>
      <c r="DO73" s="11"/>
      <c r="DP73" s="11"/>
      <c r="DQ73" s="11"/>
    </row>
    <row r="74" spans="1:121" ht="11.25" customHeight="1" x14ac:dyDescent="0.2">
      <c r="B74" s="566" t="s">
        <v>186</v>
      </c>
      <c r="C74" s="777"/>
      <c r="D74" s="26"/>
      <c r="E74" s="26"/>
      <c r="F74" s="26"/>
      <c r="G74" s="900">
        <v>22.88</v>
      </c>
      <c r="H74" s="26"/>
      <c r="I74" s="910">
        <f>M74</f>
        <v>24.1</v>
      </c>
      <c r="J74" s="96">
        <f>M74</f>
        <v>24.1</v>
      </c>
      <c r="K74" s="96">
        <f>M74</f>
        <v>24.1</v>
      </c>
      <c r="L74" s="96">
        <f>M74</f>
        <v>24.1</v>
      </c>
      <c r="M74" s="900">
        <v>24.1</v>
      </c>
      <c r="N74" s="26"/>
      <c r="O74" s="910">
        <f>S74</f>
        <v>25.24</v>
      </c>
      <c r="P74" s="96">
        <f>S74</f>
        <v>25.24</v>
      </c>
      <c r="Q74" s="96">
        <f>S74</f>
        <v>25.24</v>
      </c>
      <c r="R74" s="96">
        <f>S74</f>
        <v>25.24</v>
      </c>
      <c r="S74" s="900">
        <v>25.24</v>
      </c>
      <c r="T74" s="26"/>
      <c r="U74" s="910">
        <f>Y74</f>
        <v>26.94</v>
      </c>
      <c r="V74" s="96">
        <f>Y74</f>
        <v>26.94</v>
      </c>
      <c r="W74" s="96">
        <f>Y74</f>
        <v>26.94</v>
      </c>
      <c r="X74" s="96">
        <f>Y74</f>
        <v>26.94</v>
      </c>
      <c r="Y74" s="900">
        <v>26.94</v>
      </c>
      <c r="Z74" s="26"/>
      <c r="AA74" s="910">
        <f>AE74</f>
        <v>29.82</v>
      </c>
      <c r="AB74" s="96">
        <f>AE74</f>
        <v>29.82</v>
      </c>
      <c r="AC74" s="96">
        <f>AE74</f>
        <v>29.82</v>
      </c>
      <c r="AD74" s="96">
        <f>AE74</f>
        <v>29.82</v>
      </c>
      <c r="AE74" s="900">
        <v>29.82</v>
      </c>
      <c r="AF74" s="26"/>
      <c r="AG74" s="910">
        <f>AK74</f>
        <v>31.45</v>
      </c>
      <c r="AH74" s="96">
        <f>AK74</f>
        <v>31.45</v>
      </c>
      <c r="AI74" s="96">
        <f>AK74</f>
        <v>31.45</v>
      </c>
      <c r="AJ74" s="96">
        <f>AK74</f>
        <v>31.45</v>
      </c>
      <c r="AK74" s="900">
        <v>31.45</v>
      </c>
      <c r="AL74" s="26"/>
      <c r="AM74" s="910">
        <f>AQ74</f>
        <v>35.03</v>
      </c>
      <c r="AN74" s="96">
        <f>AQ74</f>
        <v>35.03</v>
      </c>
      <c r="AO74" s="96">
        <f>AQ74</f>
        <v>35.03</v>
      </c>
      <c r="AP74" s="96">
        <f>AQ74</f>
        <v>35.03</v>
      </c>
      <c r="AQ74" s="900">
        <v>35.03</v>
      </c>
      <c r="AR74" s="26"/>
      <c r="AS74" s="910">
        <f>AW74</f>
        <v>35.29</v>
      </c>
      <c r="AT74" s="96">
        <f>AW74</f>
        <v>35.29</v>
      </c>
      <c r="AU74" s="96">
        <f>AW74</f>
        <v>35.29</v>
      </c>
      <c r="AV74" s="96">
        <f>AW74</f>
        <v>35.29</v>
      </c>
      <c r="AW74" s="900">
        <v>35.29</v>
      </c>
      <c r="AX74" s="26"/>
      <c r="AY74" s="910">
        <f>BC74</f>
        <v>36.22</v>
      </c>
      <c r="AZ74" s="96">
        <f>BC74</f>
        <v>36.22</v>
      </c>
      <c r="BA74" s="96">
        <f>BC74</f>
        <v>36.22</v>
      </c>
      <c r="BB74" s="96">
        <f>BC74</f>
        <v>36.22</v>
      </c>
      <c r="BC74" s="900">
        <v>36.22</v>
      </c>
      <c r="BD74" s="26"/>
      <c r="BE74" s="910">
        <f>BI74</f>
        <v>35.22</v>
      </c>
      <c r="BF74" s="96">
        <f>BI74</f>
        <v>35.22</v>
      </c>
      <c r="BG74" s="96">
        <f>BI74</f>
        <v>35.22</v>
      </c>
      <c r="BH74" s="96">
        <f>BI74</f>
        <v>35.22</v>
      </c>
      <c r="BI74" s="900">
        <v>35.22</v>
      </c>
      <c r="BJ74" s="26"/>
      <c r="BK74" s="910">
        <f>+BE74*(1+BK75)</f>
        <v>35.572200000000002</v>
      </c>
      <c r="BL74" s="96">
        <f>+BF74*(1+BL75)</f>
        <v>35.572200000000002</v>
      </c>
      <c r="BM74" s="96">
        <f>+BG74*(1+BM75)</f>
        <v>35.572200000000002</v>
      </c>
      <c r="BN74" s="96">
        <f>+BH74*(1+BN75)</f>
        <v>35.572200000000002</v>
      </c>
      <c r="BO74" s="900">
        <v>36.78</v>
      </c>
      <c r="BP74" s="26"/>
      <c r="BQ74" s="910">
        <f>+BK74*(1+BQ75)</f>
        <v>35.927922000000002</v>
      </c>
      <c r="BR74" s="96">
        <f>+BL74*(1+BR75)</f>
        <v>35.927922000000002</v>
      </c>
      <c r="BS74" s="96">
        <f>+BM74*(1+BS75)</f>
        <v>35.927922000000002</v>
      </c>
      <c r="BT74" s="96">
        <f>+BN74*(1+BT75)</f>
        <v>35.927922000000002</v>
      </c>
      <c r="BU74" s="916">
        <f>+AVERAGE(BQ74:BT74)</f>
        <v>35.927922000000002</v>
      </c>
      <c r="BV74" s="26"/>
      <c r="BW74" s="910">
        <f>+BQ74*(1+BW75)</f>
        <v>36.28720122</v>
      </c>
      <c r="BX74" s="96">
        <f>+BR74*(1+BX75)</f>
        <v>36.28720122</v>
      </c>
      <c r="BY74" s="96">
        <f>+BS74*(1+BY75)</f>
        <v>36.28720122</v>
      </c>
      <c r="BZ74" s="96">
        <f>+BT74*(1+BZ75)</f>
        <v>36.28720122</v>
      </c>
      <c r="CA74" s="916">
        <f>+AVERAGE(BW74:BZ74)</f>
        <v>36.28720122</v>
      </c>
      <c r="CB74" s="26"/>
      <c r="CC74" s="910">
        <f>+BW74*(1+CC75)</f>
        <v>36.6500732322</v>
      </c>
      <c r="CD74" s="96">
        <f>+BX74*(1+CD75)</f>
        <v>36.6500732322</v>
      </c>
      <c r="CE74" s="96">
        <f>+BY74*(1+CE75)</f>
        <v>36.6500732322</v>
      </c>
      <c r="CF74" s="96">
        <f>+BZ74*(1+CF75)</f>
        <v>36.6500732322</v>
      </c>
      <c r="CG74" s="916">
        <f>+AVERAGE(CC74:CF74)</f>
        <v>36.6500732322</v>
      </c>
      <c r="CH74" s="26"/>
      <c r="CI74" s="910">
        <f>+CC74*(1+CI75)</f>
        <v>37.016573964522003</v>
      </c>
      <c r="CJ74" s="96">
        <f>+CD74*(1+CJ75)</f>
        <v>37.016573964522003</v>
      </c>
      <c r="CK74" s="96">
        <f>+CE74*(1+CK75)</f>
        <v>37.016573964522003</v>
      </c>
      <c r="CL74" s="96">
        <f>+CF74*(1+CL75)</f>
        <v>37.016573964522003</v>
      </c>
      <c r="CM74" s="916">
        <f>+AVERAGE(CI74:CL74)</f>
        <v>37.016573964522003</v>
      </c>
      <c r="CN74" s="26"/>
      <c r="CO74" s="14"/>
      <c r="CP74" s="14"/>
      <c r="CX74" s="11"/>
      <c r="CY74" s="11"/>
      <c r="CZ74" s="11"/>
      <c r="DA74" s="11"/>
      <c r="DB74" s="11"/>
      <c r="DC74" s="11"/>
      <c r="DD74" s="11"/>
      <c r="DE74" s="11"/>
      <c r="DF74" s="11"/>
      <c r="DG74" s="11"/>
      <c r="DH74" s="11"/>
      <c r="DI74" s="11"/>
      <c r="DJ74" s="11"/>
      <c r="DK74" s="11"/>
      <c r="DL74" s="11"/>
      <c r="DM74" s="11"/>
      <c r="DN74" s="11"/>
      <c r="DO74" s="11"/>
      <c r="DP74" s="11"/>
      <c r="DQ74" s="11"/>
    </row>
    <row r="75" spans="1:121" ht="11.25" customHeight="1" x14ac:dyDescent="0.2">
      <c r="B75" s="896" t="s">
        <v>113</v>
      </c>
      <c r="C75" s="777"/>
      <c r="D75" s="26"/>
      <c r="E75" s="26"/>
      <c r="F75" s="26"/>
      <c r="G75" s="794"/>
      <c r="H75" s="26"/>
      <c r="I75" s="911"/>
      <c r="J75" s="912"/>
      <c r="K75" s="912"/>
      <c r="L75" s="912"/>
      <c r="M75" s="794"/>
      <c r="N75" s="26"/>
      <c r="O75" s="911"/>
      <c r="P75" s="912"/>
      <c r="Q75" s="912"/>
      <c r="R75" s="912"/>
      <c r="S75" s="794"/>
      <c r="T75" s="26"/>
      <c r="U75" s="911"/>
      <c r="V75" s="912"/>
      <c r="W75" s="912"/>
      <c r="X75" s="912"/>
      <c r="Y75" s="794"/>
      <c r="Z75" s="26"/>
      <c r="AA75" s="911"/>
      <c r="AB75" s="912"/>
      <c r="AC75" s="912"/>
      <c r="AD75" s="912"/>
      <c r="AE75" s="794"/>
      <c r="AF75" s="26"/>
      <c r="AG75" s="911"/>
      <c r="AH75" s="912"/>
      <c r="AI75" s="912"/>
      <c r="AJ75" s="912"/>
      <c r="AK75" s="794"/>
      <c r="AL75" s="26"/>
      <c r="AM75" s="911"/>
      <c r="AN75" s="912"/>
      <c r="AO75" s="912"/>
      <c r="AP75" s="912"/>
      <c r="AQ75" s="794"/>
      <c r="AR75" s="26"/>
      <c r="AS75" s="911"/>
      <c r="AT75" s="912"/>
      <c r="AU75" s="912"/>
      <c r="AV75" s="912"/>
      <c r="AW75" s="794"/>
      <c r="AX75" s="26"/>
      <c r="AY75" s="911"/>
      <c r="AZ75" s="912"/>
      <c r="BA75" s="912"/>
      <c r="BB75" s="912"/>
      <c r="BC75" s="794"/>
      <c r="BD75" s="26"/>
      <c r="BE75" s="911"/>
      <c r="BF75" s="912"/>
      <c r="BG75" s="912"/>
      <c r="BH75" s="912"/>
      <c r="BI75" s="794"/>
      <c r="BJ75" s="26"/>
      <c r="BK75" s="911">
        <v>0.01</v>
      </c>
      <c r="BL75" s="912">
        <v>0.01</v>
      </c>
      <c r="BM75" s="912">
        <v>0.01</v>
      </c>
      <c r="BN75" s="912">
        <v>0.01</v>
      </c>
      <c r="BO75" s="794">
        <f>+BO74/BI74-1</f>
        <v>4.4293015332197649E-2</v>
      </c>
      <c r="BP75" s="26"/>
      <c r="BQ75" s="911">
        <v>0.01</v>
      </c>
      <c r="BR75" s="912">
        <v>0.01</v>
      </c>
      <c r="BS75" s="789">
        <v>0.01</v>
      </c>
      <c r="BT75" s="789">
        <v>0.01</v>
      </c>
      <c r="BU75" s="794">
        <f>+BU74/BO74-1</f>
        <v>-2.3166884176182623E-2</v>
      </c>
      <c r="BV75" s="26"/>
      <c r="BW75" s="791">
        <v>0.01</v>
      </c>
      <c r="BX75" s="789">
        <v>0.01</v>
      </c>
      <c r="BY75" s="789">
        <v>0.01</v>
      </c>
      <c r="BZ75" s="789">
        <v>0.01</v>
      </c>
      <c r="CA75" s="794">
        <f>+CA74/BU74-1</f>
        <v>1.0000000000000009E-2</v>
      </c>
      <c r="CB75" s="26"/>
      <c r="CC75" s="791">
        <v>0.01</v>
      </c>
      <c r="CD75" s="789">
        <v>0.01</v>
      </c>
      <c r="CE75" s="789">
        <v>0.01</v>
      </c>
      <c r="CF75" s="789">
        <v>0.01</v>
      </c>
      <c r="CG75" s="794">
        <f>+CG74/CA74-1</f>
        <v>1.0000000000000009E-2</v>
      </c>
      <c r="CH75" s="26"/>
      <c r="CI75" s="791">
        <v>0.01</v>
      </c>
      <c r="CJ75" s="789">
        <v>0.01</v>
      </c>
      <c r="CK75" s="789">
        <v>0.01</v>
      </c>
      <c r="CL75" s="789">
        <v>0.01</v>
      </c>
      <c r="CM75" s="794">
        <f>+CM74/CG74-1</f>
        <v>1.0000000000000009E-2</v>
      </c>
      <c r="CN75" s="26"/>
      <c r="CO75" s="14"/>
      <c r="CP75" s="14"/>
      <c r="CX75" s="11"/>
      <c r="CY75" s="11"/>
      <c r="CZ75" s="11"/>
      <c r="DA75" s="11"/>
      <c r="DB75" s="11"/>
      <c r="DC75" s="11"/>
      <c r="DD75" s="11"/>
      <c r="DE75" s="11"/>
      <c r="DF75" s="11"/>
      <c r="DG75" s="11"/>
      <c r="DH75" s="11"/>
      <c r="DI75" s="11"/>
      <c r="DJ75" s="11"/>
      <c r="DK75" s="11"/>
      <c r="DL75" s="11"/>
      <c r="DM75" s="11"/>
      <c r="DN75" s="11"/>
      <c r="DO75" s="11"/>
      <c r="DP75" s="11"/>
      <c r="DQ75" s="11"/>
    </row>
    <row r="76" spans="1:121" ht="11.25" customHeight="1" x14ac:dyDescent="0.2">
      <c r="B76" s="566"/>
      <c r="C76" s="777"/>
      <c r="D76" s="26"/>
      <c r="E76" s="26"/>
      <c r="F76" s="26"/>
      <c r="G76" s="796"/>
      <c r="H76" s="26"/>
      <c r="I76" s="777"/>
      <c r="J76" s="26"/>
      <c r="K76" s="26"/>
      <c r="L76" s="26"/>
      <c r="M76" s="796"/>
      <c r="N76" s="26"/>
      <c r="O76" s="777"/>
      <c r="P76" s="26"/>
      <c r="Q76" s="26"/>
      <c r="R76" s="26"/>
      <c r="S76" s="796"/>
      <c r="T76" s="26"/>
      <c r="U76" s="777"/>
      <c r="V76" s="26"/>
      <c r="W76" s="26"/>
      <c r="X76" s="26"/>
      <c r="Y76" s="796"/>
      <c r="Z76" s="26"/>
      <c r="AA76" s="777"/>
      <c r="AB76" s="26"/>
      <c r="AC76" s="26"/>
      <c r="AD76" s="26"/>
      <c r="AE76" s="796"/>
      <c r="AF76" s="26"/>
      <c r="AG76" s="777"/>
      <c r="AH76" s="26"/>
      <c r="AI76" s="26"/>
      <c r="AJ76" s="26"/>
      <c r="AK76" s="796"/>
      <c r="AL76" s="26"/>
      <c r="AM76" s="777"/>
      <c r="AN76" s="26"/>
      <c r="AO76" s="26"/>
      <c r="AP76" s="26"/>
      <c r="AQ76" s="796"/>
      <c r="AR76" s="26"/>
      <c r="AS76" s="777"/>
      <c r="AT76" s="26"/>
      <c r="AU76" s="26"/>
      <c r="AV76" s="26"/>
      <c r="AW76" s="796"/>
      <c r="AX76" s="26"/>
      <c r="AY76" s="777"/>
      <c r="AZ76" s="26"/>
      <c r="BA76" s="26"/>
      <c r="BB76" s="26"/>
      <c r="BC76" s="796"/>
      <c r="BD76" s="26"/>
      <c r="BE76" s="777"/>
      <c r="BF76" s="26"/>
      <c r="BG76" s="26"/>
      <c r="BH76" s="26"/>
      <c r="BI76" s="796"/>
      <c r="BJ76" s="26"/>
      <c r="BK76" s="777"/>
      <c r="BL76" s="26"/>
      <c r="BM76" s="26"/>
      <c r="BN76" s="26"/>
      <c r="BO76" s="796"/>
      <c r="BP76" s="26"/>
      <c r="BQ76" s="777"/>
      <c r="BR76" s="26"/>
      <c r="BS76" s="26"/>
      <c r="BT76" s="26"/>
      <c r="BU76" s="796"/>
      <c r="BV76" s="26"/>
      <c r="BW76" s="777"/>
      <c r="BX76" s="26"/>
      <c r="BY76" s="26"/>
      <c r="BZ76" s="26"/>
      <c r="CA76" s="796"/>
      <c r="CB76" s="26"/>
      <c r="CC76" s="777"/>
      <c r="CD76" s="26"/>
      <c r="CE76" s="26"/>
      <c r="CF76" s="26"/>
      <c r="CG76" s="796"/>
      <c r="CH76" s="26"/>
      <c r="CI76" s="777"/>
      <c r="CJ76" s="26"/>
      <c r="CK76" s="26"/>
      <c r="CL76" s="26"/>
      <c r="CM76" s="796"/>
      <c r="CN76" s="26"/>
      <c r="CO76" s="14"/>
      <c r="CP76" s="14"/>
      <c r="CX76" s="11"/>
      <c r="CY76" s="11"/>
      <c r="CZ76" s="11"/>
      <c r="DA76" s="11"/>
      <c r="DB76" s="11"/>
      <c r="DC76" s="11"/>
      <c r="DD76" s="11"/>
      <c r="DE76" s="11"/>
      <c r="DF76" s="11"/>
      <c r="DG76" s="11"/>
      <c r="DH76" s="11"/>
      <c r="DI76" s="11"/>
      <c r="DJ76" s="11"/>
      <c r="DK76" s="11"/>
      <c r="DL76" s="11"/>
      <c r="DM76" s="11"/>
      <c r="DN76" s="11"/>
      <c r="DO76" s="11"/>
      <c r="DP76" s="11"/>
      <c r="DQ76" s="11"/>
    </row>
    <row r="77" spans="1:121" ht="11.25" customHeight="1" x14ac:dyDescent="0.2">
      <c r="B77" s="896" t="s">
        <v>117</v>
      </c>
      <c r="C77" s="884"/>
      <c r="D77" s="168"/>
      <c r="E77" s="168"/>
      <c r="F77" s="168"/>
      <c r="G77" s="794">
        <f>-G71/G73</f>
        <v>0.1070168561348491</v>
      </c>
      <c r="H77" s="168"/>
      <c r="I77" s="911">
        <f>M77</f>
        <v>0.10640394088669949</v>
      </c>
      <c r="J77" s="912">
        <f>M77</f>
        <v>0.10640394088669949</v>
      </c>
      <c r="K77" s="912">
        <f>M77</f>
        <v>0.10640394088669949</v>
      </c>
      <c r="L77" s="912">
        <f>M77</f>
        <v>0.10640394088669949</v>
      </c>
      <c r="M77" s="794">
        <f>-M71/M73</f>
        <v>0.10640394088669949</v>
      </c>
      <c r="N77" s="168"/>
      <c r="O77" s="911">
        <f>S77</f>
        <v>7.4815595363540571E-2</v>
      </c>
      <c r="P77" s="912">
        <f>S77</f>
        <v>7.4815595363540571E-2</v>
      </c>
      <c r="Q77" s="912">
        <f>S77</f>
        <v>7.4815595363540571E-2</v>
      </c>
      <c r="R77" s="912">
        <f>S77</f>
        <v>7.4815595363540571E-2</v>
      </c>
      <c r="S77" s="794">
        <f>-S71/S73</f>
        <v>7.4815595363540571E-2</v>
      </c>
      <c r="T77" s="168"/>
      <c r="U77" s="911">
        <f>Y77</f>
        <v>0.17050970873786406</v>
      </c>
      <c r="V77" s="912">
        <f>Y77</f>
        <v>0.17050970873786406</v>
      </c>
      <c r="W77" s="912">
        <f>Y77</f>
        <v>0.17050970873786406</v>
      </c>
      <c r="X77" s="912">
        <f>Y77</f>
        <v>0.17050970873786406</v>
      </c>
      <c r="Y77" s="794">
        <f>-Y71/Y73</f>
        <v>0.17050970873786406</v>
      </c>
      <c r="Z77" s="168"/>
      <c r="AA77" s="911">
        <f>AE77</f>
        <v>0.26237234878240373</v>
      </c>
      <c r="AB77" s="912">
        <f>AE77</f>
        <v>0.26237234878240373</v>
      </c>
      <c r="AC77" s="912">
        <f>AE77</f>
        <v>0.26237234878240373</v>
      </c>
      <c r="AD77" s="912">
        <f>AE77</f>
        <v>0.26237234878240373</v>
      </c>
      <c r="AE77" s="794">
        <f>-AE71/AE73</f>
        <v>0.26237234878240373</v>
      </c>
      <c r="AF77" s="168"/>
      <c r="AG77" s="911">
        <f>AK77</f>
        <v>0.23529411764705874</v>
      </c>
      <c r="AH77" s="912">
        <f>AK77</f>
        <v>0.23529411764705874</v>
      </c>
      <c r="AI77" s="912">
        <f>AK77</f>
        <v>0.23529411764705874</v>
      </c>
      <c r="AJ77" s="912">
        <f>AK77</f>
        <v>0.23529411764705874</v>
      </c>
      <c r="AK77" s="794">
        <f>-AK71/AK73</f>
        <v>0.23529411764705874</v>
      </c>
      <c r="AL77" s="168"/>
      <c r="AM77" s="911">
        <f>AQ77</f>
        <v>0.40221914008321752</v>
      </c>
      <c r="AN77" s="912">
        <f>AQ77</f>
        <v>0.40221914008321752</v>
      </c>
      <c r="AO77" s="912">
        <f>AQ77</f>
        <v>0.40221914008321752</v>
      </c>
      <c r="AP77" s="912">
        <f>AQ77</f>
        <v>0.40221914008321752</v>
      </c>
      <c r="AQ77" s="794">
        <f>-AQ71/AQ73</f>
        <v>0.40221914008321752</v>
      </c>
      <c r="AR77" s="168"/>
      <c r="AS77" s="911">
        <f>AW77</f>
        <v>0.88688946015424064</v>
      </c>
      <c r="AT77" s="912">
        <f>AW77</f>
        <v>0.88688946015424064</v>
      </c>
      <c r="AU77" s="912">
        <f>AW77</f>
        <v>0.88688946015424064</v>
      </c>
      <c r="AV77" s="912">
        <f>AW77</f>
        <v>0.88688946015424064</v>
      </c>
      <c r="AW77" s="794">
        <f>-AW71/AW73</f>
        <v>0.88688946015424064</v>
      </c>
      <c r="AX77" s="168"/>
      <c r="AY77" s="911">
        <f>BC77</f>
        <v>0.14497041420118326</v>
      </c>
      <c r="AZ77" s="912">
        <f>BC77</f>
        <v>0.14497041420118326</v>
      </c>
      <c r="BA77" s="912">
        <f>BC77</f>
        <v>0.14497041420118326</v>
      </c>
      <c r="BB77" s="912">
        <f>BC77</f>
        <v>0.14497041420118326</v>
      </c>
      <c r="BC77" s="794">
        <f>-BC71/BC73</f>
        <v>0.14497041420118326</v>
      </c>
      <c r="BD77" s="168"/>
      <c r="BE77" s="911">
        <f>BI77</f>
        <v>7.8378378378378355E-2</v>
      </c>
      <c r="BF77" s="912">
        <f>BI77</f>
        <v>7.8378378378378355E-2</v>
      </c>
      <c r="BG77" s="912">
        <f>BI77</f>
        <v>7.8378378378378355E-2</v>
      </c>
      <c r="BH77" s="912">
        <f>BI77</f>
        <v>7.8378378378378355E-2</v>
      </c>
      <c r="BI77" s="794">
        <f>-BI71/BI73</f>
        <v>7.8378378378378355E-2</v>
      </c>
      <c r="BJ77" s="168"/>
      <c r="BK77" s="911">
        <f>BI77</f>
        <v>7.8378378378378355E-2</v>
      </c>
      <c r="BL77" s="912">
        <f>BK77</f>
        <v>7.8378378378378355E-2</v>
      </c>
      <c r="BM77" s="912">
        <f>BL77</f>
        <v>7.8378378378378355E-2</v>
      </c>
      <c r="BN77" s="912">
        <f>BM77</f>
        <v>7.8378378378378355E-2</v>
      </c>
      <c r="BO77" s="794">
        <f>-BO71/BO73</f>
        <v>2.2651006711409388E-2</v>
      </c>
      <c r="BP77" s="168"/>
      <c r="BQ77" s="911">
        <v>7.0000000000000007E-2</v>
      </c>
      <c r="BR77" s="912">
        <f t="shared" ref="BR77:BT79" si="53">BQ77</f>
        <v>7.0000000000000007E-2</v>
      </c>
      <c r="BS77" s="789">
        <f t="shared" si="53"/>
        <v>7.0000000000000007E-2</v>
      </c>
      <c r="BT77" s="789">
        <f t="shared" si="53"/>
        <v>7.0000000000000007E-2</v>
      </c>
      <c r="BU77" s="794">
        <f>-BU71/BU73</f>
        <v>5.2444995876680903E-2</v>
      </c>
      <c r="BV77" s="168"/>
      <c r="BW77" s="791">
        <f>BU77</f>
        <v>5.2444995876680903E-2</v>
      </c>
      <c r="BX77" s="789">
        <f t="shared" ref="BX77:BZ79" si="54">BW77</f>
        <v>5.2444995876680903E-2</v>
      </c>
      <c r="BY77" s="789">
        <f t="shared" si="54"/>
        <v>5.2444995876680903E-2</v>
      </c>
      <c r="BZ77" s="789">
        <f t="shared" si="54"/>
        <v>5.2444995876680903E-2</v>
      </c>
      <c r="CA77" s="794">
        <f>-CA71/CA73</f>
        <v>4.2906591237376938E-2</v>
      </c>
      <c r="CB77" s="168"/>
      <c r="CC77" s="791">
        <f>CA77</f>
        <v>4.2906591237376938E-2</v>
      </c>
      <c r="CD77" s="789">
        <f t="shared" ref="CD77:CF79" si="55">CC77</f>
        <v>4.2906591237376938E-2</v>
      </c>
      <c r="CE77" s="789">
        <f t="shared" si="55"/>
        <v>4.2906591237376938E-2</v>
      </c>
      <c r="CF77" s="789">
        <f t="shared" si="55"/>
        <v>4.2906591237376938E-2</v>
      </c>
      <c r="CG77" s="794">
        <f>-CG71/CG73</f>
        <v>3.6716098591122175E-2</v>
      </c>
      <c r="CH77" s="168"/>
      <c r="CI77" s="791">
        <f>CG77</f>
        <v>3.6716098591122175E-2</v>
      </c>
      <c r="CJ77" s="789">
        <f t="shared" ref="CJ77:CJ79" si="56">CI77</f>
        <v>3.6716098591122175E-2</v>
      </c>
      <c r="CK77" s="789">
        <f t="shared" ref="CK77:CK79" si="57">CJ77</f>
        <v>3.6716098591122175E-2</v>
      </c>
      <c r="CL77" s="789">
        <f t="shared" ref="CL77:CL79" si="58">CK77</f>
        <v>3.6716098591122175E-2</v>
      </c>
      <c r="CM77" s="794">
        <f>-CM71/CM73</f>
        <v>3.228350693225307E-2</v>
      </c>
      <c r="CN77" s="168"/>
      <c r="CO77" s="14"/>
      <c r="CP77" s="14"/>
      <c r="CX77" s="11"/>
      <c r="CY77" s="11"/>
      <c r="CZ77" s="11"/>
      <c r="DA77" s="11"/>
      <c r="DB77" s="11"/>
      <c r="DC77" s="11"/>
      <c r="DD77" s="11"/>
      <c r="DE77" s="11"/>
      <c r="DF77" s="11"/>
      <c r="DG77" s="11"/>
      <c r="DH77" s="11"/>
      <c r="DI77" s="11"/>
      <c r="DJ77" s="11"/>
      <c r="DK77" s="11"/>
      <c r="DL77" s="11"/>
      <c r="DM77" s="11"/>
      <c r="DN77" s="11"/>
      <c r="DO77" s="11"/>
      <c r="DP77" s="11"/>
      <c r="DQ77" s="11"/>
    </row>
    <row r="78" spans="1:121" ht="11.25" customHeight="1" x14ac:dyDescent="0.2">
      <c r="B78" s="896" t="s">
        <v>118</v>
      </c>
      <c r="C78" s="884"/>
      <c r="D78" s="168"/>
      <c r="E78" s="168"/>
      <c r="F78" s="168"/>
      <c r="G78" s="794">
        <f>-G72/G73</f>
        <v>6.2328498627989025E-2</v>
      </c>
      <c r="H78" s="168"/>
      <c r="I78" s="911">
        <f>M78</f>
        <v>0.16995073891625614</v>
      </c>
      <c r="J78" s="912">
        <f>M78</f>
        <v>0.16995073891625614</v>
      </c>
      <c r="K78" s="912">
        <f>M78</f>
        <v>0.16995073891625614</v>
      </c>
      <c r="L78" s="912">
        <f>M78</f>
        <v>0.16995073891625614</v>
      </c>
      <c r="M78" s="794">
        <f>-M72/M73</f>
        <v>0.16995073891625614</v>
      </c>
      <c r="N78" s="168"/>
      <c r="O78" s="911">
        <f>S78</f>
        <v>2.2128556375131715E-2</v>
      </c>
      <c r="P78" s="912">
        <f>S78</f>
        <v>2.2128556375131715E-2</v>
      </c>
      <c r="Q78" s="912">
        <f>S78</f>
        <v>2.2128556375131715E-2</v>
      </c>
      <c r="R78" s="912">
        <f>S78</f>
        <v>2.2128556375131715E-2</v>
      </c>
      <c r="S78" s="794">
        <f>-S72/S73</f>
        <v>2.2128556375131715E-2</v>
      </c>
      <c r="T78" s="168"/>
      <c r="U78" s="911">
        <f>Y78</f>
        <v>3.3373786407766989E-2</v>
      </c>
      <c r="V78" s="912">
        <f>Y78</f>
        <v>3.3373786407766989E-2</v>
      </c>
      <c r="W78" s="912">
        <f>Y78</f>
        <v>3.3373786407766989E-2</v>
      </c>
      <c r="X78" s="912">
        <f>Y78</f>
        <v>3.3373786407766989E-2</v>
      </c>
      <c r="Y78" s="794">
        <f>-Y72/Y73</f>
        <v>3.3373786407766989E-2</v>
      </c>
      <c r="Z78" s="168"/>
      <c r="AA78" s="911">
        <f>AE78</f>
        <v>7.2270227808326773E-2</v>
      </c>
      <c r="AB78" s="912">
        <f>AE78</f>
        <v>7.2270227808326773E-2</v>
      </c>
      <c r="AC78" s="912">
        <f>AE78</f>
        <v>7.2270227808326773E-2</v>
      </c>
      <c r="AD78" s="912">
        <f>AE78</f>
        <v>7.2270227808326773E-2</v>
      </c>
      <c r="AE78" s="794">
        <f>-AE72/AE73</f>
        <v>7.2270227808326773E-2</v>
      </c>
      <c r="AF78" s="168"/>
      <c r="AG78" s="911">
        <f>AK78</f>
        <v>0.12068965517241376</v>
      </c>
      <c r="AH78" s="912">
        <f>AK78</f>
        <v>0.12068965517241376</v>
      </c>
      <c r="AI78" s="912">
        <f>AK78</f>
        <v>0.12068965517241376</v>
      </c>
      <c r="AJ78" s="912">
        <f>AK78</f>
        <v>0.12068965517241376</v>
      </c>
      <c r="AK78" s="794">
        <f>-AK72/AK73</f>
        <v>0.12068965517241376</v>
      </c>
      <c r="AL78" s="168"/>
      <c r="AM78" s="911">
        <f>AQ78</f>
        <v>4.2995839112343948E-2</v>
      </c>
      <c r="AN78" s="912">
        <f>AQ78</f>
        <v>4.2995839112343948E-2</v>
      </c>
      <c r="AO78" s="912">
        <f>AQ78</f>
        <v>4.2995839112343948E-2</v>
      </c>
      <c r="AP78" s="912">
        <f>AQ78</f>
        <v>4.2995839112343948E-2</v>
      </c>
      <c r="AQ78" s="794">
        <f>-AQ72/AQ73</f>
        <v>4.2995839112343948E-2</v>
      </c>
      <c r="AR78" s="168"/>
      <c r="AS78" s="911">
        <f>AW78</f>
        <v>0.11311053984575824</v>
      </c>
      <c r="AT78" s="912">
        <f>AW78</f>
        <v>0.11311053984575824</v>
      </c>
      <c r="AU78" s="912">
        <f>AW78</f>
        <v>0.11311053984575824</v>
      </c>
      <c r="AV78" s="912">
        <f>AW78</f>
        <v>0.11311053984575824</v>
      </c>
      <c r="AW78" s="794">
        <f>-AW72/AW73</f>
        <v>0.11311053984575824</v>
      </c>
      <c r="AX78" s="168"/>
      <c r="AY78" s="911">
        <f>BC78</f>
        <v>0.22485207100591689</v>
      </c>
      <c r="AZ78" s="912">
        <f>BC78</f>
        <v>0.22485207100591689</v>
      </c>
      <c r="BA78" s="912">
        <f>BC78</f>
        <v>0.22485207100591689</v>
      </c>
      <c r="BB78" s="912">
        <f>BC78</f>
        <v>0.22485207100591689</v>
      </c>
      <c r="BC78" s="794">
        <f>-BC72/BC73</f>
        <v>0.22485207100591689</v>
      </c>
      <c r="BD78" s="168"/>
      <c r="BE78" s="911">
        <f>BI78</f>
        <v>5.7657657657657638E-2</v>
      </c>
      <c r="BF78" s="912">
        <f>BI78</f>
        <v>5.7657657657657638E-2</v>
      </c>
      <c r="BG78" s="912">
        <f>BI78</f>
        <v>5.7657657657657638E-2</v>
      </c>
      <c r="BH78" s="912">
        <f>BI78</f>
        <v>5.7657657657657638E-2</v>
      </c>
      <c r="BI78" s="794">
        <f>-BI72/BI73</f>
        <v>5.7657657657657638E-2</v>
      </c>
      <c r="BJ78" s="168"/>
      <c r="BK78" s="911">
        <f>BI78</f>
        <v>5.7657657657657638E-2</v>
      </c>
      <c r="BL78" s="912">
        <f t="shared" ref="BL78:BN79" si="59">BK78</f>
        <v>5.7657657657657638E-2</v>
      </c>
      <c r="BM78" s="912">
        <f t="shared" si="59"/>
        <v>5.7657657657657638E-2</v>
      </c>
      <c r="BN78" s="912">
        <f t="shared" si="59"/>
        <v>5.7657657657657638E-2</v>
      </c>
      <c r="BO78" s="794">
        <f>-BO72/BO73</f>
        <v>6.711409395973153E-2</v>
      </c>
      <c r="BP78" s="168"/>
      <c r="BQ78" s="911">
        <v>0.06</v>
      </c>
      <c r="BR78" s="912">
        <f t="shared" si="53"/>
        <v>0.06</v>
      </c>
      <c r="BS78" s="789">
        <f t="shared" si="53"/>
        <v>0.06</v>
      </c>
      <c r="BT78" s="789">
        <f t="shared" si="53"/>
        <v>0.06</v>
      </c>
      <c r="BU78" s="794">
        <f>-BU72/BU73</f>
        <v>4.4952853608583629E-2</v>
      </c>
      <c r="BV78" s="168"/>
      <c r="BW78" s="791">
        <f>BU78</f>
        <v>4.4952853608583629E-2</v>
      </c>
      <c r="BX78" s="789">
        <f t="shared" si="54"/>
        <v>4.4952853608583629E-2</v>
      </c>
      <c r="BY78" s="789">
        <f t="shared" si="54"/>
        <v>4.4952853608583629E-2</v>
      </c>
      <c r="BZ78" s="789">
        <f t="shared" si="54"/>
        <v>4.4952853608583629E-2</v>
      </c>
      <c r="CA78" s="794">
        <f>-CA72/CA73</f>
        <v>3.677707820346595E-2</v>
      </c>
      <c r="CB78" s="168"/>
      <c r="CC78" s="791">
        <f>CA78</f>
        <v>3.677707820346595E-2</v>
      </c>
      <c r="CD78" s="789">
        <f t="shared" si="55"/>
        <v>3.677707820346595E-2</v>
      </c>
      <c r="CE78" s="789">
        <f t="shared" si="55"/>
        <v>3.677707820346595E-2</v>
      </c>
      <c r="CF78" s="789">
        <f t="shared" si="55"/>
        <v>3.677707820346595E-2</v>
      </c>
      <c r="CG78" s="794">
        <f>-CG72/CG73</f>
        <v>3.1470941649533297E-2</v>
      </c>
      <c r="CH78" s="168"/>
      <c r="CI78" s="791">
        <f>CG78</f>
        <v>3.1470941649533297E-2</v>
      </c>
      <c r="CJ78" s="789">
        <f t="shared" si="56"/>
        <v>3.1470941649533297E-2</v>
      </c>
      <c r="CK78" s="789">
        <f t="shared" si="57"/>
        <v>3.1470941649533297E-2</v>
      </c>
      <c r="CL78" s="789">
        <f t="shared" si="58"/>
        <v>3.1470941649533297E-2</v>
      </c>
      <c r="CM78" s="794">
        <f>-CM72/CM73</f>
        <v>2.7671577370502638E-2</v>
      </c>
      <c r="CN78" s="168"/>
      <c r="CO78" s="14"/>
      <c r="CP78" s="14"/>
      <c r="CX78" s="11"/>
      <c r="CY78" s="11"/>
      <c r="CZ78" s="11"/>
      <c r="DA78" s="11"/>
      <c r="DB78" s="11"/>
      <c r="DC78" s="11"/>
      <c r="DD78" s="11"/>
      <c r="DE78" s="11"/>
      <c r="DF78" s="11"/>
      <c r="DG78" s="11"/>
      <c r="DH78" s="11"/>
      <c r="DI78" s="11"/>
      <c r="DJ78" s="11"/>
      <c r="DK78" s="11"/>
      <c r="DL78" s="11"/>
      <c r="DM78" s="11"/>
      <c r="DN78" s="11"/>
      <c r="DO78" s="11"/>
      <c r="DP78" s="11"/>
      <c r="DQ78" s="11"/>
    </row>
    <row r="79" spans="1:121" ht="11.25" customHeight="1" x14ac:dyDescent="0.2">
      <c r="B79" s="896" t="s">
        <v>119</v>
      </c>
      <c r="C79" s="884"/>
      <c r="D79" s="168"/>
      <c r="E79" s="168"/>
      <c r="F79" s="168"/>
      <c r="G79" s="893"/>
      <c r="H79" s="168"/>
      <c r="I79" s="911">
        <f>M79</f>
        <v>-0.48051948051948046</v>
      </c>
      <c r="J79" s="912">
        <f>M79</f>
        <v>-0.48051948051948046</v>
      </c>
      <c r="K79" s="912">
        <f>M79</f>
        <v>-0.48051948051948046</v>
      </c>
      <c r="L79" s="912">
        <f>M79</f>
        <v>-0.48051948051948046</v>
      </c>
      <c r="M79" s="893">
        <f>M70/G70-1</f>
        <v>-0.48051948051948046</v>
      </c>
      <c r="N79" s="168"/>
      <c r="O79" s="911">
        <f>S79</f>
        <v>0.29999999999999982</v>
      </c>
      <c r="P79" s="912">
        <f>S79</f>
        <v>0.29999999999999982</v>
      </c>
      <c r="Q79" s="912">
        <f>S79</f>
        <v>0.29999999999999982</v>
      </c>
      <c r="R79" s="912">
        <f>S79</f>
        <v>0.29999999999999982</v>
      </c>
      <c r="S79" s="893">
        <f>S70/M70-1</f>
        <v>0.29999999999999982</v>
      </c>
      <c r="T79" s="168"/>
      <c r="U79" s="911">
        <f>Y79</f>
        <v>0.65384615384615397</v>
      </c>
      <c r="V79" s="912">
        <f>Y79</f>
        <v>0.65384615384615397</v>
      </c>
      <c r="W79" s="912">
        <f>Y79</f>
        <v>0.65384615384615397</v>
      </c>
      <c r="X79" s="912">
        <f>Y79</f>
        <v>0.65384615384615397</v>
      </c>
      <c r="Y79" s="893">
        <f>Y70/S70-1</f>
        <v>0.65384615384615397</v>
      </c>
      <c r="Z79" s="168"/>
      <c r="AA79" s="911">
        <f>AE79</f>
        <v>-0.40697674418604657</v>
      </c>
      <c r="AB79" s="912">
        <f>AE79</f>
        <v>-0.40697674418604657</v>
      </c>
      <c r="AC79" s="912">
        <f>AE79</f>
        <v>-0.40697674418604657</v>
      </c>
      <c r="AD79" s="912">
        <f>AE79</f>
        <v>-0.40697674418604657</v>
      </c>
      <c r="AE79" s="893">
        <f>AE70/Y70-1</f>
        <v>-0.40697674418604657</v>
      </c>
      <c r="AF79" s="168"/>
      <c r="AG79" s="911">
        <f>AK79</f>
        <v>0.25490196078431371</v>
      </c>
      <c r="AH79" s="912">
        <f>AK79</f>
        <v>0.25490196078431371</v>
      </c>
      <c r="AI79" s="912">
        <f>AK79</f>
        <v>0.25490196078431371</v>
      </c>
      <c r="AJ79" s="912">
        <f>AK79</f>
        <v>0.25490196078431371</v>
      </c>
      <c r="AK79" s="893">
        <f>AK70/AE70-1</f>
        <v>0.25490196078431371</v>
      </c>
      <c r="AL79" s="168"/>
      <c r="AM79" s="911">
        <f>AQ79</f>
        <v>-0.125</v>
      </c>
      <c r="AN79" s="912">
        <f>AQ79</f>
        <v>-0.125</v>
      </c>
      <c r="AO79" s="912">
        <f>AQ79</f>
        <v>-0.125</v>
      </c>
      <c r="AP79" s="912">
        <f>AQ79</f>
        <v>-0.125</v>
      </c>
      <c r="AQ79" s="893">
        <f>AQ70/AK70-1</f>
        <v>-0.125</v>
      </c>
      <c r="AR79" s="168"/>
      <c r="AS79" s="911">
        <f>AW79</f>
        <v>1.7857142857143016E-2</v>
      </c>
      <c r="AT79" s="912">
        <f>AW79</f>
        <v>1.7857142857143016E-2</v>
      </c>
      <c r="AU79" s="912">
        <f>AW79</f>
        <v>1.7857142857143016E-2</v>
      </c>
      <c r="AV79" s="912">
        <f>AW79</f>
        <v>1.7857142857143016E-2</v>
      </c>
      <c r="AW79" s="893">
        <f>AW70/AQ70-1</f>
        <v>1.7857142857143016E-2</v>
      </c>
      <c r="AX79" s="168"/>
      <c r="AY79" s="911">
        <f>BC79</f>
        <v>0.29824561403508754</v>
      </c>
      <c r="AZ79" s="912">
        <f>BC79</f>
        <v>0.29824561403508754</v>
      </c>
      <c r="BA79" s="912">
        <f>BC79</f>
        <v>0.29824561403508754</v>
      </c>
      <c r="BB79" s="912">
        <f>BC79</f>
        <v>0.29824561403508754</v>
      </c>
      <c r="BC79" s="893">
        <f>BC70/AW70-1</f>
        <v>0.29824561403508754</v>
      </c>
      <c r="BD79" s="168"/>
      <c r="BE79" s="911">
        <f>BI79</f>
        <v>11.472972972972974</v>
      </c>
      <c r="BF79" s="912">
        <f>BI79</f>
        <v>11.472972972972974</v>
      </c>
      <c r="BG79" s="912">
        <f>BI79</f>
        <v>11.472972972972974</v>
      </c>
      <c r="BH79" s="912">
        <f>BI79</f>
        <v>11.472972972972974</v>
      </c>
      <c r="BI79" s="893">
        <f>BI70/BC70-1</f>
        <v>11.472972972972974</v>
      </c>
      <c r="BJ79" s="168"/>
      <c r="BK79" s="911">
        <v>0.05</v>
      </c>
      <c r="BL79" s="912">
        <f t="shared" si="59"/>
        <v>0.05</v>
      </c>
      <c r="BM79" s="912">
        <f t="shared" si="59"/>
        <v>0.05</v>
      </c>
      <c r="BN79" s="912">
        <f t="shared" si="59"/>
        <v>0.05</v>
      </c>
      <c r="BO79" s="794">
        <f>BO70/BI70-1</f>
        <v>-0.79523293607800649</v>
      </c>
      <c r="BP79" s="168"/>
      <c r="BQ79" s="911">
        <v>0.05</v>
      </c>
      <c r="BR79" s="912">
        <f t="shared" si="53"/>
        <v>0.05</v>
      </c>
      <c r="BS79" s="789">
        <f t="shared" si="53"/>
        <v>0.05</v>
      </c>
      <c r="BT79" s="789">
        <f t="shared" si="53"/>
        <v>0.05</v>
      </c>
      <c r="BU79" s="794">
        <f>BU70/BO70-1</f>
        <v>4.3841666666666663</v>
      </c>
      <c r="BV79" s="168"/>
      <c r="BW79" s="791">
        <v>0.05</v>
      </c>
      <c r="BX79" s="789">
        <f t="shared" si="54"/>
        <v>0.05</v>
      </c>
      <c r="BY79" s="789">
        <f t="shared" si="54"/>
        <v>0.05</v>
      </c>
      <c r="BZ79" s="789">
        <f t="shared" si="54"/>
        <v>0.05</v>
      </c>
      <c r="CA79" s="794">
        <f>CA70/BU70-1</f>
        <v>5.0000000000000044E-2</v>
      </c>
      <c r="CB79" s="168"/>
      <c r="CC79" s="791">
        <v>0.05</v>
      </c>
      <c r="CD79" s="789">
        <f t="shared" si="55"/>
        <v>0.05</v>
      </c>
      <c r="CE79" s="789">
        <f t="shared" si="55"/>
        <v>0.05</v>
      </c>
      <c r="CF79" s="789">
        <f t="shared" si="55"/>
        <v>0.05</v>
      </c>
      <c r="CG79" s="794">
        <f>CG70/CA70-1</f>
        <v>5.0000000000000044E-2</v>
      </c>
      <c r="CH79" s="168"/>
      <c r="CI79" s="791">
        <v>0.05</v>
      </c>
      <c r="CJ79" s="789">
        <f t="shared" si="56"/>
        <v>0.05</v>
      </c>
      <c r="CK79" s="789">
        <f t="shared" si="57"/>
        <v>0.05</v>
      </c>
      <c r="CL79" s="789">
        <f t="shared" si="58"/>
        <v>0.05</v>
      </c>
      <c r="CM79" s="794">
        <f>CM70/CG70-1</f>
        <v>5.0000000000000044E-2</v>
      </c>
      <c r="CN79" s="168"/>
      <c r="CO79" s="14"/>
      <c r="CP79" s="14"/>
      <c r="CX79" s="11"/>
      <c r="CY79" s="11"/>
      <c r="CZ79" s="11"/>
      <c r="DA79" s="11"/>
      <c r="DB79" s="11"/>
      <c r="DC79" s="11"/>
      <c r="DD79" s="11"/>
      <c r="DE79" s="11"/>
      <c r="DF79" s="11"/>
      <c r="DG79" s="11"/>
      <c r="DH79" s="11"/>
      <c r="DI79" s="11"/>
      <c r="DJ79" s="11"/>
      <c r="DK79" s="11"/>
      <c r="DL79" s="11"/>
      <c r="DM79" s="11"/>
      <c r="DN79" s="11"/>
      <c r="DO79" s="11"/>
      <c r="DP79" s="11"/>
      <c r="DQ79" s="11"/>
    </row>
    <row r="80" spans="1:121" ht="11.25" customHeight="1" x14ac:dyDescent="0.2">
      <c r="B80" s="896" t="s">
        <v>342</v>
      </c>
      <c r="C80" s="901"/>
      <c r="D80" s="170"/>
      <c r="E80" s="170"/>
      <c r="F80" s="170"/>
      <c r="G80" s="902">
        <v>1.8929999999999999E-3</v>
      </c>
      <c r="H80" s="170"/>
      <c r="I80" s="901"/>
      <c r="J80" s="170"/>
      <c r="K80" s="170"/>
      <c r="L80" s="170"/>
      <c r="M80" s="902">
        <v>1.446E-3</v>
      </c>
      <c r="N80" s="170"/>
      <c r="O80" s="901"/>
      <c r="P80" s="170"/>
      <c r="Q80" s="170"/>
      <c r="R80" s="170"/>
      <c r="S80" s="902">
        <v>1.408E-3</v>
      </c>
      <c r="T80" s="170"/>
      <c r="U80" s="901"/>
      <c r="V80" s="170"/>
      <c r="W80" s="170"/>
      <c r="X80" s="170"/>
      <c r="Y80" s="902">
        <v>1.2880000000000001E-3</v>
      </c>
      <c r="Z80" s="170"/>
      <c r="AA80" s="901"/>
      <c r="AB80" s="170"/>
      <c r="AC80" s="170"/>
      <c r="AD80" s="170"/>
      <c r="AE80" s="902">
        <v>1.085E-3</v>
      </c>
      <c r="AF80" s="170"/>
      <c r="AG80" s="901"/>
      <c r="AH80" s="170"/>
      <c r="AI80" s="170"/>
      <c r="AJ80" s="170"/>
      <c r="AK80" s="902">
        <v>8.6300000000000005E-4</v>
      </c>
      <c r="AL80" s="170"/>
      <c r="AM80" s="901"/>
      <c r="AN80" s="170"/>
      <c r="AO80" s="170"/>
      <c r="AP80" s="170"/>
      <c r="AQ80" s="902">
        <v>6.3400000000000001E-4</v>
      </c>
      <c r="AR80" s="170"/>
      <c r="AS80" s="901"/>
      <c r="AT80" s="170"/>
      <c r="AU80" s="170"/>
      <c r="AV80" s="170"/>
      <c r="AW80" s="902">
        <v>3.0600000000000001E-4</v>
      </c>
      <c r="AX80" s="170"/>
      <c r="AY80" s="901"/>
      <c r="AZ80" s="170"/>
      <c r="BA80" s="170"/>
      <c r="BB80" s="913"/>
      <c r="BC80" s="902">
        <v>2.92E-4</v>
      </c>
      <c r="BD80" s="170"/>
      <c r="BE80" s="914"/>
      <c r="BF80" s="913"/>
      <c r="BG80" s="913"/>
      <c r="BH80" s="913"/>
      <c r="BI80" s="902">
        <v>1.0460000000000001E-3</v>
      </c>
      <c r="BJ80" s="170"/>
      <c r="BK80" s="914"/>
      <c r="BL80" s="913"/>
      <c r="BM80" s="913"/>
      <c r="BN80" s="913"/>
      <c r="BO80" s="893"/>
      <c r="BP80" s="170"/>
      <c r="BQ80" s="914"/>
      <c r="BR80" s="913"/>
      <c r="BS80" s="913"/>
      <c r="BT80" s="913"/>
      <c r="BU80" s="893"/>
      <c r="BV80" s="170"/>
      <c r="BW80" s="914"/>
      <c r="BX80" s="913"/>
      <c r="BY80" s="913"/>
      <c r="BZ80" s="913"/>
      <c r="CA80" s="893"/>
      <c r="CB80" s="170"/>
      <c r="CC80" s="914"/>
      <c r="CD80" s="913"/>
      <c r="CE80" s="913"/>
      <c r="CF80" s="913"/>
      <c r="CG80" s="893"/>
      <c r="CH80" s="170"/>
      <c r="CI80" s="914"/>
      <c r="CJ80" s="913"/>
      <c r="CK80" s="913"/>
      <c r="CL80" s="913"/>
      <c r="CM80" s="893"/>
      <c r="CN80" s="170"/>
      <c r="CO80" s="14"/>
      <c r="CP80" s="14"/>
      <c r="CX80" s="11"/>
      <c r="CY80" s="11"/>
      <c r="CZ80" s="11"/>
      <c r="DA80" s="11"/>
      <c r="DB80" s="11"/>
      <c r="DC80" s="11"/>
      <c r="DD80" s="11"/>
      <c r="DE80" s="11"/>
      <c r="DF80" s="11"/>
      <c r="DG80" s="11"/>
      <c r="DH80" s="11"/>
      <c r="DI80" s="11"/>
      <c r="DJ80" s="11"/>
      <c r="DK80" s="11"/>
      <c r="DL80" s="11"/>
      <c r="DM80" s="11"/>
      <c r="DN80" s="11"/>
      <c r="DO80" s="11"/>
      <c r="DP80" s="11"/>
      <c r="DQ80" s="11"/>
    </row>
    <row r="81" spans="1:121" ht="11.25" customHeight="1" x14ac:dyDescent="0.2">
      <c r="B81" s="566"/>
      <c r="C81" s="777"/>
      <c r="D81" s="26"/>
      <c r="E81" s="26"/>
      <c r="F81" s="26"/>
      <c r="G81" s="796"/>
      <c r="H81" s="26"/>
      <c r="I81" s="777"/>
      <c r="J81" s="26"/>
      <c r="K81" s="26"/>
      <c r="L81" s="26"/>
      <c r="M81" s="796"/>
      <c r="N81" s="26"/>
      <c r="O81" s="777"/>
      <c r="P81" s="26"/>
      <c r="Q81" s="26"/>
      <c r="R81" s="26"/>
      <c r="S81" s="796"/>
      <c r="T81" s="26"/>
      <c r="U81" s="777"/>
      <c r="V81" s="26"/>
      <c r="W81" s="26"/>
      <c r="X81" s="26"/>
      <c r="Y81" s="796"/>
      <c r="Z81" s="26"/>
      <c r="AA81" s="777"/>
      <c r="AB81" s="26"/>
      <c r="AC81" s="26"/>
      <c r="AD81" s="26"/>
      <c r="AE81" s="796"/>
      <c r="AF81" s="26"/>
      <c r="AG81" s="777"/>
      <c r="AH81" s="26"/>
      <c r="AI81" s="26"/>
      <c r="AJ81" s="26"/>
      <c r="AK81" s="796"/>
      <c r="AL81" s="26"/>
      <c r="AM81" s="777"/>
      <c r="AN81" s="26"/>
      <c r="AO81" s="26"/>
      <c r="AP81" s="26"/>
      <c r="AQ81" s="796"/>
      <c r="AR81" s="26"/>
      <c r="AS81" s="777"/>
      <c r="AT81" s="26"/>
      <c r="AU81" s="26"/>
      <c r="AV81" s="26"/>
      <c r="AW81" s="796"/>
      <c r="AX81" s="26"/>
      <c r="AY81" s="777"/>
      <c r="AZ81" s="26"/>
      <c r="BA81" s="26"/>
      <c r="BB81" s="26"/>
      <c r="BC81" s="796"/>
      <c r="BD81" s="26"/>
      <c r="BE81" s="777"/>
      <c r="BF81" s="26"/>
      <c r="BG81" s="26"/>
      <c r="BH81" s="26"/>
      <c r="BI81" s="796"/>
      <c r="BJ81" s="26"/>
      <c r="BK81" s="777"/>
      <c r="BL81" s="26"/>
      <c r="BM81" s="26"/>
      <c r="BN81" s="26"/>
      <c r="BO81" s="796"/>
      <c r="BP81" s="26"/>
      <c r="BQ81" s="777"/>
      <c r="BR81" s="26"/>
      <c r="BS81" s="26"/>
      <c r="BT81" s="26"/>
      <c r="BU81" s="796"/>
      <c r="BV81" s="26"/>
      <c r="BW81" s="777"/>
      <c r="BX81" s="26"/>
      <c r="BY81" s="26"/>
      <c r="BZ81" s="26"/>
      <c r="CA81" s="796"/>
      <c r="CB81" s="26"/>
      <c r="CC81" s="777"/>
      <c r="CD81" s="26"/>
      <c r="CE81" s="26"/>
      <c r="CF81" s="26"/>
      <c r="CG81" s="796"/>
      <c r="CH81" s="26"/>
      <c r="CI81" s="777"/>
      <c r="CJ81" s="26"/>
      <c r="CK81" s="26"/>
      <c r="CL81" s="26"/>
      <c r="CM81" s="796"/>
      <c r="CN81" s="26"/>
      <c r="CO81" s="14"/>
      <c r="CP81" s="14"/>
      <c r="CX81" s="11"/>
      <c r="CY81" s="11"/>
      <c r="CZ81" s="11"/>
      <c r="DA81" s="11"/>
      <c r="DB81" s="11"/>
      <c r="DC81" s="11"/>
      <c r="DD81" s="11"/>
      <c r="DE81" s="11"/>
      <c r="DF81" s="11"/>
      <c r="DG81" s="11"/>
      <c r="DH81" s="11"/>
      <c r="DI81" s="11"/>
      <c r="DJ81" s="11"/>
      <c r="DK81" s="11"/>
      <c r="DL81" s="11"/>
      <c r="DM81" s="11"/>
      <c r="DN81" s="11"/>
      <c r="DO81" s="11"/>
      <c r="DP81" s="11"/>
      <c r="DQ81" s="11"/>
    </row>
    <row r="82" spans="1:121" ht="11.25" customHeight="1" x14ac:dyDescent="0.2">
      <c r="A82" s="112"/>
      <c r="B82" s="897" t="s">
        <v>130</v>
      </c>
      <c r="C82" s="175">
        <f t="shared" ref="C82:BI82" si="60">-C71*C74</f>
        <v>0</v>
      </c>
      <c r="D82" s="199">
        <f t="shared" si="60"/>
        <v>0</v>
      </c>
      <c r="E82" s="199">
        <f t="shared" si="60"/>
        <v>0</v>
      </c>
      <c r="F82" s="199">
        <f t="shared" si="60"/>
        <v>0</v>
      </c>
      <c r="G82" s="695">
        <f t="shared" si="60"/>
        <v>6.2462400000000001E-3</v>
      </c>
      <c r="H82" s="199"/>
      <c r="I82" s="175">
        <f t="shared" si="60"/>
        <v>1.6354046305418716E-3</v>
      </c>
      <c r="J82" s="199">
        <f t="shared" si="60"/>
        <v>1.5288275372248778E-3</v>
      </c>
      <c r="K82" s="199">
        <f t="shared" si="60"/>
        <v>1.5288275372248778E-3</v>
      </c>
      <c r="L82" s="199">
        <f t="shared" si="60"/>
        <v>1.4296137135323709E-3</v>
      </c>
      <c r="M82" s="695">
        <f t="shared" si="60"/>
        <v>5.2056000000000003E-3</v>
      </c>
      <c r="N82" s="199"/>
      <c r="O82" s="175">
        <f t="shared" si="60"/>
        <v>9.5833540569020023E-4</v>
      </c>
      <c r="P82" s="199">
        <f t="shared" si="60"/>
        <v>9.4124627573142832E-4</v>
      </c>
      <c r="Q82" s="199">
        <f t="shared" si="60"/>
        <v>9.4124627573142832E-4</v>
      </c>
      <c r="R82" s="199">
        <f t="shared" si="60"/>
        <v>9.2457131857460767E-4</v>
      </c>
      <c r="S82" s="695">
        <f t="shared" si="60"/>
        <v>3.5840799999999999E-3</v>
      </c>
      <c r="T82" s="199"/>
      <c r="U82" s="175">
        <f t="shared" si="60"/>
        <v>2.1796307220873787E-3</v>
      </c>
      <c r="V82" s="199">
        <f t="shared" si="60"/>
        <v>2.0932232717504008E-3</v>
      </c>
      <c r="W82" s="199">
        <f t="shared" si="60"/>
        <v>2.0932232717504008E-3</v>
      </c>
      <c r="X82" s="199">
        <f t="shared" si="60"/>
        <v>2.0112200846587542E-3</v>
      </c>
      <c r="Y82" s="695">
        <f t="shared" si="60"/>
        <v>7.5701400000000004E-3</v>
      </c>
      <c r="Z82" s="199"/>
      <c r="AA82" s="175">
        <f t="shared" si="60"/>
        <v>3.2234646975648072E-3</v>
      </c>
      <c r="AB82" s="199">
        <f t="shared" si="60"/>
        <v>2.9787263842964242E-3</v>
      </c>
      <c r="AC82" s="199">
        <f t="shared" si="60"/>
        <v>2.9787263842964242E-3</v>
      </c>
      <c r="AD82" s="199">
        <f t="shared" si="60"/>
        <v>2.7544630359636912E-3</v>
      </c>
      <c r="AE82" s="695">
        <f t="shared" si="60"/>
        <v>9.9598799999999991E-3</v>
      </c>
      <c r="AF82" s="199"/>
      <c r="AG82" s="175">
        <f t="shared" si="60"/>
        <v>2.3550499999999996E-3</v>
      </c>
      <c r="AH82" s="199">
        <f t="shared" si="60"/>
        <v>2.1750601039553751E-3</v>
      </c>
      <c r="AI82" s="199">
        <f t="shared" si="60"/>
        <v>2.1750601039553751E-3</v>
      </c>
      <c r="AJ82" s="199">
        <f t="shared" si="60"/>
        <v>2.0110885784765877E-3</v>
      </c>
      <c r="AK82" s="695">
        <f t="shared" si="60"/>
        <v>7.2963999999999998E-3</v>
      </c>
      <c r="AL82" s="199"/>
      <c r="AM82" s="175">
        <f t="shared" si="60"/>
        <v>3.4731200416088757E-3</v>
      </c>
      <c r="AN82" s="199">
        <f t="shared" si="60"/>
        <v>3.1358628525116326E-3</v>
      </c>
      <c r="AO82" s="199">
        <f t="shared" si="60"/>
        <v>3.1358628525116326E-3</v>
      </c>
      <c r="AP82" s="199">
        <f t="shared" si="60"/>
        <v>2.8361436515212607E-3</v>
      </c>
      <c r="AQ82" s="695">
        <f t="shared" si="60"/>
        <v>1.01587E-2</v>
      </c>
      <c r="AR82" s="199"/>
      <c r="AS82" s="175">
        <f t="shared" si="60"/>
        <v>5.6415238110539816E-3</v>
      </c>
      <c r="AT82" s="199">
        <f t="shared" si="60"/>
        <v>4.3426431555269917E-3</v>
      </c>
      <c r="AU82" s="199">
        <f t="shared" si="60"/>
        <v>4.3426431555269917E-3</v>
      </c>
      <c r="AV82" s="199">
        <f t="shared" si="60"/>
        <v>3.368482663881749E-3</v>
      </c>
      <c r="AW82" s="695">
        <f t="shared" si="60"/>
        <v>1.217505E-2</v>
      </c>
      <c r="AX82" s="199"/>
      <c r="AY82" s="175">
        <f t="shared" si="60"/>
        <v>5.1064306213017738E-4</v>
      </c>
      <c r="AZ82" s="199">
        <f t="shared" si="60"/>
        <v>4.8771632191843773E-4</v>
      </c>
      <c r="BA82" s="199">
        <f t="shared" si="60"/>
        <v>4.8771632191843773E-4</v>
      </c>
      <c r="BB82" s="199">
        <f t="shared" si="60"/>
        <v>4.6690928771739873E-4</v>
      </c>
      <c r="BC82" s="695">
        <f t="shared" si="60"/>
        <v>1.7747799999999999E-3</v>
      </c>
      <c r="BD82" s="199"/>
      <c r="BE82" s="175">
        <f t="shared" si="60"/>
        <v>2.3326110810810831E-4</v>
      </c>
      <c r="BF82" s="199">
        <f t="shared" si="60"/>
        <v>3.8457369317019738E-4</v>
      </c>
      <c r="BG82" s="199">
        <f t="shared" si="60"/>
        <v>3.8457369317019738E-4</v>
      </c>
      <c r="BH82" s="199">
        <f t="shared" si="60"/>
        <v>5.3074028716373336E-4</v>
      </c>
      <c r="BI82" s="695">
        <f t="shared" si="60"/>
        <v>3.0641399999999999E-3</v>
      </c>
      <c r="BJ82" s="199"/>
      <c r="BK82" s="175">
        <f>-BK71*BK74</f>
        <v>7.7369535000000004E-4</v>
      </c>
      <c r="BL82" s="199">
        <f>-BL71*BL74</f>
        <v>9.1626265869425674E-4</v>
      </c>
      <c r="BM82" s="199">
        <f>-BM71*BM74</f>
        <v>1.0539813945027402E-3</v>
      </c>
      <c r="BN82" s="199">
        <f>-BN71*BN74</f>
        <v>1.1870164525844037E-3</v>
      </c>
      <c r="BO82" s="695">
        <f>SUM(BK82:BN82)</f>
        <v>3.9309558557814005E-3</v>
      </c>
      <c r="BP82" s="199"/>
      <c r="BQ82" s="175">
        <f>-BQ71*BQ74</f>
        <v>7.4945645292000035E-4</v>
      </c>
      <c r="BR82" s="199">
        <f>-BR71*BR74</f>
        <v>8.8505140582904103E-4</v>
      </c>
      <c r="BS82" s="199">
        <f>-BS71*BS74</f>
        <v>1.0162395227685378E-3</v>
      </c>
      <c r="BT82" s="199">
        <f>-BT71*BT74</f>
        <v>1.1431640259075009E-3</v>
      </c>
      <c r="BU82" s="695">
        <f>SUM(BQ82:BT82)</f>
        <v>3.7939114074250799E-3</v>
      </c>
      <c r="BV82" s="199"/>
      <c r="BW82" s="175">
        <f>-BW71*BW74</f>
        <v>9.5796263037483266E-4</v>
      </c>
      <c r="BX82" s="199">
        <f>-BX71*BX74</f>
        <v>1.0617255158906506E-3</v>
      </c>
      <c r="BY82" s="199">
        <f>-BY71*BY74</f>
        <v>1.1629618309300616E-3</v>
      </c>
      <c r="BZ82" s="199">
        <f>-BZ71*BZ74</f>
        <v>1.2617330961258101E-3</v>
      </c>
      <c r="CA82" s="695">
        <f>SUM(BW82:BZ82)</f>
        <v>4.4443830733213556E-3</v>
      </c>
      <c r="CB82" s="199"/>
      <c r="CC82" s="175">
        <f>-CC71*CC74</f>
        <v>1.1222067260136419E-3</v>
      </c>
      <c r="CD82" s="199">
        <f>-CD71*CD74</f>
        <v>1.2101163620472761E-3</v>
      </c>
      <c r="CE82" s="199">
        <f>-CE71*CE74</f>
        <v>1.2962747574863178E-3</v>
      </c>
      <c r="CF82" s="199">
        <f>-CF71*CF74</f>
        <v>1.38071679864993E-3</v>
      </c>
      <c r="CG82" s="695">
        <f>SUM(CC82:CF82)</f>
        <v>5.0093146441971652E-3</v>
      </c>
      <c r="CH82" s="199"/>
      <c r="CI82" s="175">
        <f>-CI71*CI74</f>
        <v>1.2648519476597844E-3</v>
      </c>
      <c r="CJ82" s="199">
        <f>-CJ71*CJ74</f>
        <v>1.34335503473366E-3</v>
      </c>
      <c r="CK82" s="199">
        <f>-CK71*CK74</f>
        <v>1.4205198985182054E-3</v>
      </c>
      <c r="CL82" s="199">
        <f>-CL71*CL74</f>
        <v>1.4963693513847403E-3</v>
      </c>
      <c r="CM82" s="695">
        <f>SUM(CI82:CL82)</f>
        <v>5.5250962322963906E-3</v>
      </c>
      <c r="CN82" s="199"/>
      <c r="CO82" s="14"/>
      <c r="CP82" s="14"/>
      <c r="CX82" s="11"/>
      <c r="CY82" s="11"/>
      <c r="CZ82" s="11"/>
      <c r="DA82" s="11"/>
      <c r="DB82" s="11"/>
      <c r="DC82" s="11"/>
      <c r="DD82" s="11"/>
      <c r="DE82" s="11"/>
      <c r="DF82" s="11"/>
      <c r="DG82" s="11"/>
      <c r="DH82" s="11"/>
      <c r="DI82" s="11"/>
      <c r="DJ82" s="11"/>
      <c r="DK82" s="11"/>
      <c r="DL82" s="11"/>
      <c r="DM82" s="11"/>
      <c r="DN82" s="11"/>
      <c r="DO82" s="11"/>
      <c r="DP82" s="11"/>
      <c r="DQ82" s="11"/>
    </row>
    <row r="83" spans="1:121" s="6" customFormat="1" ht="11.25" customHeight="1" x14ac:dyDescent="0.2">
      <c r="B83" s="566"/>
      <c r="C83" s="777"/>
      <c r="D83" s="26"/>
      <c r="E83" s="26"/>
      <c r="F83" s="26"/>
      <c r="G83" s="796"/>
      <c r="H83" s="26"/>
      <c r="I83" s="777"/>
      <c r="J83" s="26"/>
      <c r="K83" s="26"/>
      <c r="L83" s="26"/>
      <c r="M83" s="796"/>
      <c r="N83" s="26"/>
      <c r="O83" s="777"/>
      <c r="P83" s="26"/>
      <c r="Q83" s="26"/>
      <c r="R83" s="26"/>
      <c r="S83" s="796"/>
      <c r="T83" s="26"/>
      <c r="U83" s="777"/>
      <c r="V83" s="26"/>
      <c r="W83" s="26"/>
      <c r="X83" s="26"/>
      <c r="Y83" s="796"/>
      <c r="Z83" s="26"/>
      <c r="AA83" s="777"/>
      <c r="AB83" s="26"/>
      <c r="AC83" s="26"/>
      <c r="AD83" s="26"/>
      <c r="AE83" s="796"/>
      <c r="AF83" s="26"/>
      <c r="AG83" s="777"/>
      <c r="AH83" s="26"/>
      <c r="AI83" s="26"/>
      <c r="AJ83" s="26"/>
      <c r="AK83" s="796"/>
      <c r="AL83" s="26"/>
      <c r="AM83" s="777"/>
      <c r="AN83" s="26"/>
      <c r="AO83" s="26"/>
      <c r="AP83" s="26"/>
      <c r="AQ83" s="796"/>
      <c r="AR83" s="26"/>
      <c r="AS83" s="777"/>
      <c r="AT83" s="26"/>
      <c r="AU83" s="26"/>
      <c r="AV83" s="26"/>
      <c r="AW83" s="796"/>
      <c r="AX83" s="26"/>
      <c r="AY83" s="777"/>
      <c r="AZ83" s="26"/>
      <c r="BA83" s="26"/>
      <c r="BB83" s="19"/>
      <c r="BC83" s="796"/>
      <c r="BD83" s="26"/>
      <c r="BE83" s="692"/>
      <c r="BF83" s="19"/>
      <c r="BG83" s="19"/>
      <c r="BH83" s="19"/>
      <c r="BI83" s="796"/>
      <c r="BJ83" s="26"/>
      <c r="BK83" s="917"/>
      <c r="BL83" s="869"/>
      <c r="BM83" s="870"/>
      <c r="BN83" s="871"/>
      <c r="BO83" s="918"/>
      <c r="BP83" s="26"/>
      <c r="BQ83" s="917"/>
      <c r="BR83" s="869"/>
      <c r="BS83" s="19"/>
      <c r="BT83" s="872"/>
      <c r="BU83" s="270"/>
      <c r="BV83" s="26"/>
      <c r="BW83" s="692"/>
      <c r="BX83" s="19"/>
      <c r="BY83" s="19"/>
      <c r="BZ83" s="19"/>
      <c r="CA83" s="270"/>
      <c r="CB83" s="26"/>
      <c r="CC83" s="692"/>
      <c r="CD83" s="19"/>
      <c r="CE83" s="19"/>
      <c r="CF83" s="19"/>
      <c r="CG83" s="270"/>
      <c r="CH83" s="26"/>
      <c r="CI83" s="692"/>
      <c r="CJ83" s="19"/>
      <c r="CK83" s="19"/>
      <c r="CL83" s="19"/>
      <c r="CM83" s="270"/>
      <c r="CN83" s="26"/>
      <c r="CO83" s="24"/>
      <c r="CP83" s="24"/>
      <c r="CQ83"/>
      <c r="CR83"/>
      <c r="CS83"/>
      <c r="CT83"/>
      <c r="CU83"/>
      <c r="CV83"/>
      <c r="CW83" s="17"/>
      <c r="CX83" s="17"/>
      <c r="CY83" s="17"/>
      <c r="CZ83" s="17"/>
      <c r="DA83" s="17"/>
      <c r="DB83" s="17"/>
      <c r="DC83" s="17"/>
      <c r="DD83" s="17"/>
      <c r="DE83" s="17"/>
      <c r="DF83" s="17"/>
      <c r="DG83" s="17"/>
      <c r="DH83" s="17"/>
      <c r="DI83" s="17"/>
      <c r="DJ83" s="17"/>
      <c r="DK83" s="17"/>
      <c r="DL83" s="17"/>
      <c r="DM83" s="17"/>
      <c r="DN83" s="17"/>
      <c r="DO83" s="17"/>
      <c r="DP83" s="17"/>
      <c r="DQ83" s="17"/>
    </row>
    <row r="84" spans="1:121" ht="11.25" customHeight="1" x14ac:dyDescent="0.2">
      <c r="B84" s="862" t="s">
        <v>120</v>
      </c>
      <c r="C84" s="863"/>
      <c r="D84" s="864"/>
      <c r="E84" s="864"/>
      <c r="F84" s="864"/>
      <c r="G84" s="865"/>
      <c r="H84" s="26"/>
      <c r="I84" s="866"/>
      <c r="J84" s="867"/>
      <c r="K84" s="867"/>
      <c r="L84" s="867"/>
      <c r="M84" s="868"/>
      <c r="N84" s="26"/>
      <c r="O84" s="866"/>
      <c r="P84" s="867"/>
      <c r="Q84" s="867"/>
      <c r="R84" s="867"/>
      <c r="S84" s="868"/>
      <c r="T84" s="26"/>
      <c r="U84" s="866"/>
      <c r="V84" s="867"/>
      <c r="W84" s="867"/>
      <c r="X84" s="867"/>
      <c r="Y84" s="868"/>
      <c r="Z84" s="26"/>
      <c r="AA84" s="866"/>
      <c r="AB84" s="867"/>
      <c r="AC84" s="867"/>
      <c r="AD84" s="867"/>
      <c r="AE84" s="868"/>
      <c r="AF84" s="26"/>
      <c r="AG84" s="866"/>
      <c r="AH84" s="867"/>
      <c r="AI84" s="867"/>
      <c r="AJ84" s="867"/>
      <c r="AK84" s="868"/>
      <c r="AL84" s="26"/>
      <c r="AM84" s="866"/>
      <c r="AN84" s="867"/>
      <c r="AO84" s="867"/>
      <c r="AP84" s="867"/>
      <c r="AQ84" s="868"/>
      <c r="AR84" s="26"/>
      <c r="AS84" s="866"/>
      <c r="AT84" s="867"/>
      <c r="AU84" s="867"/>
      <c r="AV84" s="867"/>
      <c r="AW84" s="868"/>
      <c r="AX84" s="26"/>
      <c r="AY84" s="866"/>
      <c r="AZ84" s="867"/>
      <c r="BA84" s="867"/>
      <c r="BB84" s="867"/>
      <c r="BC84" s="868"/>
      <c r="BD84" s="26"/>
      <c r="BE84" s="866"/>
      <c r="BF84" s="867"/>
      <c r="BG84" s="867"/>
      <c r="BH84" s="867"/>
      <c r="BI84" s="868"/>
      <c r="BJ84" s="26"/>
      <c r="BK84" s="866"/>
      <c r="BL84" s="867"/>
      <c r="BM84" s="867"/>
      <c r="BN84" s="867"/>
      <c r="BO84" s="868"/>
      <c r="BP84" s="26"/>
      <c r="BQ84" s="866"/>
      <c r="BR84" s="867"/>
      <c r="BS84" s="867"/>
      <c r="BT84" s="867"/>
      <c r="BU84" s="868"/>
      <c r="BV84" s="26"/>
      <c r="BW84" s="866"/>
      <c r="BX84" s="867"/>
      <c r="BY84" s="867"/>
      <c r="BZ84" s="867"/>
      <c r="CA84" s="868"/>
      <c r="CB84" s="26"/>
      <c r="CC84" s="866"/>
      <c r="CD84" s="867"/>
      <c r="CE84" s="867"/>
      <c r="CF84" s="867"/>
      <c r="CG84" s="868"/>
      <c r="CH84" s="26"/>
      <c r="CI84" s="866"/>
      <c r="CJ84" s="867"/>
      <c r="CK84" s="867"/>
      <c r="CL84" s="867"/>
      <c r="CM84" s="868"/>
      <c r="CN84" s="26"/>
      <c r="CO84" s="14"/>
      <c r="CP84" s="14"/>
      <c r="CX84" s="11"/>
      <c r="CY84" s="11"/>
      <c r="CZ84" s="11"/>
      <c r="DA84" s="11"/>
      <c r="DB84" s="11"/>
      <c r="DC84" s="11"/>
      <c r="DD84" s="11"/>
      <c r="DE84" s="11"/>
      <c r="DF84" s="11"/>
      <c r="DG84" s="11"/>
      <c r="DH84" s="11"/>
      <c r="DI84" s="11"/>
      <c r="DJ84" s="11"/>
      <c r="DK84" s="11"/>
      <c r="DL84" s="11"/>
      <c r="DM84" s="11"/>
      <c r="DN84" s="11"/>
      <c r="DO84" s="11"/>
      <c r="DP84" s="11"/>
      <c r="DQ84" s="11"/>
    </row>
    <row r="85" spans="1:121" ht="11.25" customHeight="1" x14ac:dyDescent="0.2">
      <c r="B85" s="566" t="s">
        <v>121</v>
      </c>
      <c r="C85" s="903">
        <v>0</v>
      </c>
      <c r="D85" s="904">
        <v>0</v>
      </c>
      <c r="E85" s="904">
        <v>0</v>
      </c>
      <c r="F85" s="904">
        <v>0</v>
      </c>
      <c r="G85" s="899">
        <v>0</v>
      </c>
      <c r="H85" s="19"/>
      <c r="I85" s="903">
        <v>0</v>
      </c>
      <c r="J85" s="904">
        <v>0</v>
      </c>
      <c r="K85" s="904">
        <v>7.9797349999999998</v>
      </c>
      <c r="L85" s="838">
        <f>M85-K85-J85-I85</f>
        <v>10.063798</v>
      </c>
      <c r="M85" s="899">
        <v>18.043533</v>
      </c>
      <c r="N85" s="19"/>
      <c r="O85" s="903">
        <v>0</v>
      </c>
      <c r="P85" s="904">
        <v>0</v>
      </c>
      <c r="Q85" s="904">
        <v>0</v>
      </c>
      <c r="R85" s="904">
        <v>0</v>
      </c>
      <c r="S85" s="899">
        <v>1.0520370000000001</v>
      </c>
      <c r="T85" s="19"/>
      <c r="U85" s="903">
        <v>0</v>
      </c>
      <c r="V85" s="904">
        <v>0</v>
      </c>
      <c r="W85" s="904">
        <v>0</v>
      </c>
      <c r="X85" s="904">
        <v>0</v>
      </c>
      <c r="Y85" s="899">
        <v>0</v>
      </c>
      <c r="Z85" s="19"/>
      <c r="AA85" s="903">
        <v>0</v>
      </c>
      <c r="AB85" s="904">
        <v>1.348373</v>
      </c>
      <c r="AC85" s="904">
        <v>0</v>
      </c>
      <c r="AD85" s="838">
        <f>AE85-AC85-AB85-AA85</f>
        <v>1.9090009999999999</v>
      </c>
      <c r="AE85" s="899">
        <v>3.257374</v>
      </c>
      <c r="AF85" s="19"/>
      <c r="AG85" s="903">
        <v>2.0185</v>
      </c>
      <c r="AH85" s="904">
        <v>5.5538970000000001</v>
      </c>
      <c r="AI85" s="904">
        <v>3.1817000000000002</v>
      </c>
      <c r="AJ85" s="838">
        <f>AK85-AI85-AH85-AG85</f>
        <v>1.200159999999999</v>
      </c>
      <c r="AK85" s="899">
        <v>11.954257</v>
      </c>
      <c r="AL85" s="19"/>
      <c r="AM85" s="903">
        <v>1.1262000000000001</v>
      </c>
      <c r="AN85" s="904">
        <v>1.5989629999999999</v>
      </c>
      <c r="AO85" s="904">
        <v>1.4428339999999999</v>
      </c>
      <c r="AP85" s="838">
        <f>AQ85-AO85-AN85-AM85</f>
        <v>1.05602</v>
      </c>
      <c r="AQ85" s="899">
        <v>5.2240169999999999</v>
      </c>
      <c r="AR85" s="19"/>
      <c r="AS85" s="903">
        <v>0.504</v>
      </c>
      <c r="AT85" s="904">
        <v>0</v>
      </c>
      <c r="AU85" s="838">
        <f>AW85-AS85-AT85-AV85</f>
        <v>0.628776</v>
      </c>
      <c r="AV85" s="904">
        <v>1.2212240000000001</v>
      </c>
      <c r="AW85" s="899">
        <v>2.3540000000000001</v>
      </c>
      <c r="AX85" s="19"/>
      <c r="AY85" s="680">
        <f>BC85-AZ85-BA85-BB85</f>
        <v>1.1039999999999999</v>
      </c>
      <c r="AZ85" s="904">
        <v>0.09</v>
      </c>
      <c r="BA85" s="904">
        <v>0</v>
      </c>
      <c r="BB85" s="904">
        <v>0</v>
      </c>
      <c r="BC85" s="899">
        <v>1.194</v>
      </c>
      <c r="BD85" s="19"/>
      <c r="BE85" s="903">
        <v>0</v>
      </c>
      <c r="BF85" s="904">
        <v>3.8733240000000002</v>
      </c>
      <c r="BG85" s="904">
        <v>0.50541000000000003</v>
      </c>
      <c r="BH85" s="838">
        <f>BI85-BG85-BF85-BE85</f>
        <v>2.6599999999943336E-4</v>
      </c>
      <c r="BI85" s="899">
        <v>4.3789999999999996</v>
      </c>
      <c r="BJ85" s="19"/>
      <c r="BK85" s="903">
        <v>0.53107400000000005</v>
      </c>
      <c r="BL85" s="904">
        <v>0.54354100000000005</v>
      </c>
      <c r="BM85" s="904">
        <v>0.91160300000000005</v>
      </c>
      <c r="BN85" s="838">
        <f>BO85-BM85-BL85-BK85</f>
        <v>0.86878199999999994</v>
      </c>
      <c r="BO85" s="899">
        <v>2.855</v>
      </c>
      <c r="BP85" s="19"/>
      <c r="BQ85" s="903">
        <v>0.82308199999999998</v>
      </c>
      <c r="BR85" s="904">
        <v>0.95503400000000005</v>
      </c>
      <c r="BS85" s="904">
        <f>+BR85</f>
        <v>0.95503400000000005</v>
      </c>
      <c r="BT85" s="904">
        <f>+BS85</f>
        <v>0.95503400000000005</v>
      </c>
      <c r="BU85" s="695">
        <f>SUM(BQ85:BT85)</f>
        <v>3.6881840000000001</v>
      </c>
      <c r="BV85" s="19"/>
      <c r="BW85" s="903">
        <v>0.66749999999999998</v>
      </c>
      <c r="BX85" s="904">
        <f>+BW85</f>
        <v>0.66749999999999998</v>
      </c>
      <c r="BY85" s="904">
        <f>+BX85</f>
        <v>0.66749999999999998</v>
      </c>
      <c r="BZ85" s="904">
        <f>+BY85</f>
        <v>0.66749999999999998</v>
      </c>
      <c r="CA85" s="695">
        <f>SUM(BW85:BZ85)</f>
        <v>2.67</v>
      </c>
      <c r="CB85" s="19"/>
      <c r="CC85" s="903">
        <f>+BW85</f>
        <v>0.66749999999999998</v>
      </c>
      <c r="CD85" s="904">
        <f t="shared" ref="CD85:CF85" si="61">+CC85</f>
        <v>0.66749999999999998</v>
      </c>
      <c r="CE85" s="904">
        <f t="shared" si="61"/>
        <v>0.66749999999999998</v>
      </c>
      <c r="CF85" s="904">
        <f t="shared" si="61"/>
        <v>0.66749999999999998</v>
      </c>
      <c r="CG85" s="695">
        <f t="shared" ref="CG85" si="62">SUM(CC85:CF85)</f>
        <v>2.67</v>
      </c>
      <c r="CH85" s="19"/>
      <c r="CI85" s="903">
        <f>+CC85</f>
        <v>0.66749999999999998</v>
      </c>
      <c r="CJ85" s="904">
        <f t="shared" ref="CJ85" si="63">+CI85</f>
        <v>0.66749999999999998</v>
      </c>
      <c r="CK85" s="904">
        <f t="shared" ref="CK85" si="64">+CJ85</f>
        <v>0.66749999999999998</v>
      </c>
      <c r="CL85" s="904">
        <f t="shared" ref="CL85" si="65">+CK85</f>
        <v>0.66749999999999998</v>
      </c>
      <c r="CM85" s="695">
        <f t="shared" ref="CM85" si="66">SUM(CI85:CL85)</f>
        <v>2.67</v>
      </c>
      <c r="CN85" s="19"/>
      <c r="CO85" s="14"/>
      <c r="CP85" s="14"/>
      <c r="CX85" s="11"/>
      <c r="CY85" s="11"/>
      <c r="CZ85" s="11"/>
      <c r="DA85" s="11"/>
      <c r="DB85" s="11"/>
      <c r="DC85" s="11"/>
      <c r="DD85" s="11"/>
      <c r="DE85" s="11"/>
      <c r="DF85" s="11"/>
      <c r="DG85" s="11"/>
      <c r="DH85" s="11"/>
      <c r="DI85" s="11"/>
      <c r="DJ85" s="11"/>
      <c r="DK85" s="11"/>
      <c r="DL85" s="11"/>
      <c r="DM85" s="11"/>
      <c r="DN85" s="11"/>
      <c r="DO85" s="11"/>
      <c r="DP85" s="11"/>
      <c r="DQ85" s="11"/>
    </row>
    <row r="86" spans="1:121" ht="11.25" customHeight="1" x14ac:dyDescent="0.2">
      <c r="A86" s="112"/>
      <c r="B86" s="897" t="s">
        <v>122</v>
      </c>
      <c r="C86" s="175">
        <f>C37*-1</f>
        <v>0</v>
      </c>
      <c r="D86" s="199">
        <f>D37*-1</f>
        <v>0</v>
      </c>
      <c r="E86" s="199">
        <f>E37*-1</f>
        <v>0</v>
      </c>
      <c r="F86" s="199">
        <f>F37*-1</f>
        <v>0</v>
      </c>
      <c r="G86" s="695">
        <f>G37*-1</f>
        <v>0</v>
      </c>
      <c r="H86" s="199"/>
      <c r="I86" s="175">
        <f>I37*-1</f>
        <v>0</v>
      </c>
      <c r="J86" s="199">
        <f>J37*-1</f>
        <v>0</v>
      </c>
      <c r="K86" s="199">
        <f>K37*-1</f>
        <v>236.732</v>
      </c>
      <c r="L86" s="199">
        <f>L37*-1</f>
        <v>399.36099999999999</v>
      </c>
      <c r="M86" s="695">
        <f>M37*-1</f>
        <v>636.09299999999996</v>
      </c>
      <c r="N86" s="199"/>
      <c r="O86" s="175">
        <f>O37*-1</f>
        <v>0</v>
      </c>
      <c r="P86" s="199">
        <f>P37*-1</f>
        <v>0</v>
      </c>
      <c r="Q86" s="199">
        <f>Q37*-1</f>
        <v>0</v>
      </c>
      <c r="R86" s="199">
        <f>R37*-1</f>
        <v>0</v>
      </c>
      <c r="S86" s="695">
        <f>S37*-1</f>
        <v>0</v>
      </c>
      <c r="T86" s="199"/>
      <c r="U86" s="175">
        <f>U37*-1</f>
        <v>0</v>
      </c>
      <c r="V86" s="199">
        <f>V37*-1</f>
        <v>0</v>
      </c>
      <c r="W86" s="199">
        <f>W37*-1</f>
        <v>0</v>
      </c>
      <c r="X86" s="199">
        <f>X37*-1</f>
        <v>0</v>
      </c>
      <c r="Y86" s="695">
        <f>Y37*-1</f>
        <v>0</v>
      </c>
      <c r="Z86" s="199"/>
      <c r="AA86" s="175">
        <f>AA37*-1</f>
        <v>0</v>
      </c>
      <c r="AB86" s="199">
        <f>AB37*-1</f>
        <v>36.947000000000003</v>
      </c>
      <c r="AC86" s="199">
        <f>AC37*-1</f>
        <v>0</v>
      </c>
      <c r="AD86" s="199">
        <f>AD37*-1</f>
        <v>60.206000000000003</v>
      </c>
      <c r="AE86" s="695">
        <f>AE37*-1</f>
        <v>97.153000000000006</v>
      </c>
      <c r="AF86" s="199"/>
      <c r="AG86" s="175">
        <f>AG37*-1</f>
        <v>59.912999999999997</v>
      </c>
      <c r="AH86" s="199">
        <f>AH37*-1</f>
        <v>158.94499999999999</v>
      </c>
      <c r="AI86" s="199">
        <f>AI37*-1</f>
        <v>104.66100000000002</v>
      </c>
      <c r="AJ86" s="199">
        <f>AJ37*-1</f>
        <v>38.860000000000028</v>
      </c>
      <c r="AK86" s="695">
        <f>AK37*-1</f>
        <v>362.37900000000002</v>
      </c>
      <c r="AL86" s="199"/>
      <c r="AM86" s="175">
        <f>AM37*-1</f>
        <v>34.472000000000001</v>
      </c>
      <c r="AN86" s="199">
        <f>AN37*-1</f>
        <v>50.702000000000005</v>
      </c>
      <c r="AO86" s="199">
        <f>AO37*-1</f>
        <v>55.29399999999999</v>
      </c>
      <c r="AP86" s="199">
        <f>AP37*-1</f>
        <v>39.057000000000023</v>
      </c>
      <c r="AQ86" s="695">
        <f>AQ37*-1</f>
        <v>179.52500000000001</v>
      </c>
      <c r="AR86" s="199"/>
      <c r="AS86" s="175">
        <f>AS37*-1</f>
        <v>22.199000000000002</v>
      </c>
      <c r="AT86" s="199">
        <f>AT37*-1</f>
        <v>0</v>
      </c>
      <c r="AU86" s="199">
        <f>AU37*-1</f>
        <v>20.535</v>
      </c>
      <c r="AV86" s="199">
        <f>AV37*-1</f>
        <v>53.75200000000001</v>
      </c>
      <c r="AW86" s="695">
        <f>AW37*-1</f>
        <v>96.486000000000018</v>
      </c>
      <c r="AX86" s="199"/>
      <c r="AY86" s="175">
        <f>AY37*-1</f>
        <v>42.877000000000002</v>
      </c>
      <c r="AZ86" s="199">
        <f>AZ37*-1</f>
        <v>4.661999999999999</v>
      </c>
      <c r="BA86" s="199">
        <f>BA37*-1</f>
        <v>0</v>
      </c>
      <c r="BB86" s="199">
        <f>BB37*-1</f>
        <v>0</v>
      </c>
      <c r="BC86" s="695">
        <f>BC37*-1</f>
        <v>47.539000000000001</v>
      </c>
      <c r="BD86" s="199"/>
      <c r="BE86" s="175">
        <f>BE37*-1</f>
        <v>0</v>
      </c>
      <c r="BF86" s="199">
        <f>BF37*-1</f>
        <v>160.57900000000001</v>
      </c>
      <c r="BG86" s="199">
        <f>BG37*-1</f>
        <v>39.420999999999992</v>
      </c>
      <c r="BH86" s="199">
        <f>BH37*-1</f>
        <v>0</v>
      </c>
      <c r="BI86" s="695">
        <f>BI37*-1</f>
        <v>200</v>
      </c>
      <c r="BJ86" s="199"/>
      <c r="BK86" s="175">
        <f>BK37*-1</f>
        <v>25</v>
      </c>
      <c r="BL86" s="199">
        <f>BL37*-1</f>
        <v>25</v>
      </c>
      <c r="BM86" s="199">
        <f>BM37*-1</f>
        <v>34.650999999999996</v>
      </c>
      <c r="BN86" s="199">
        <f>BN37*-1</f>
        <v>40.733000000000004</v>
      </c>
      <c r="BO86" s="695">
        <f>BO37*-1</f>
        <v>125.384</v>
      </c>
      <c r="BP86" s="199"/>
      <c r="BQ86" s="175">
        <f>BQ37*-1</f>
        <v>37.5</v>
      </c>
      <c r="BR86" s="199">
        <f>BR37*-1</f>
        <v>33.754000000000005</v>
      </c>
      <c r="BS86" s="199">
        <f>BS87*BS85</f>
        <v>33.426189999999998</v>
      </c>
      <c r="BT86" s="199">
        <f>BT87*BT85</f>
        <v>33.426189999999998</v>
      </c>
      <c r="BU86" s="695">
        <f>SUM(BQ86:BT86)</f>
        <v>138.10638</v>
      </c>
      <c r="BV86" s="199"/>
      <c r="BW86" s="175">
        <f>BW87*BW85</f>
        <v>24.994959212989372</v>
      </c>
      <c r="BX86" s="199">
        <f>BX87*BX85</f>
        <v>24.994959212989372</v>
      </c>
      <c r="BY86" s="199">
        <f>BY87*BY85</f>
        <v>24.994959212989372</v>
      </c>
      <c r="BZ86" s="199">
        <f>BZ87*BZ85</f>
        <v>24.994959212989372</v>
      </c>
      <c r="CA86" s="695">
        <f>SUM(BW86:BZ86)</f>
        <v>99.979836851957486</v>
      </c>
      <c r="CB86" s="199"/>
      <c r="CC86" s="175">
        <f>CC87*CC85</f>
        <v>24.994959212989372</v>
      </c>
      <c r="CD86" s="199">
        <f>CD87*CD85</f>
        <v>24.994959212989372</v>
      </c>
      <c r="CE86" s="199">
        <f>CE87*CE85</f>
        <v>24.994959212989372</v>
      </c>
      <c r="CF86" s="199">
        <f>CF87*CF85</f>
        <v>24.994959212989372</v>
      </c>
      <c r="CG86" s="695">
        <f>SUM(CC86:CF86)</f>
        <v>99.979836851957486</v>
      </c>
      <c r="CH86" s="199"/>
      <c r="CI86" s="175">
        <f>CI87*CI85</f>
        <v>24.994959212989372</v>
      </c>
      <c r="CJ86" s="199">
        <f>CJ87*CJ85</f>
        <v>24.994959212989372</v>
      </c>
      <c r="CK86" s="199">
        <f>CK87*CK85</f>
        <v>24.994959212989372</v>
      </c>
      <c r="CL86" s="199">
        <f>CL87*CL85</f>
        <v>24.994959212989372</v>
      </c>
      <c r="CM86" s="695">
        <f>SUM(CI86:CL86)</f>
        <v>99.979836851957486</v>
      </c>
      <c r="CN86" s="199"/>
      <c r="CO86" s="14"/>
      <c r="CP86" s="14"/>
      <c r="CX86" s="11"/>
      <c r="CY86" s="11"/>
      <c r="CZ86" s="11"/>
      <c r="DA86" s="11"/>
      <c r="DB86" s="11"/>
      <c r="DC86" s="11"/>
      <c r="DD86" s="11"/>
      <c r="DE86" s="11"/>
      <c r="DF86" s="11"/>
      <c r="DG86" s="11"/>
      <c r="DH86" s="11"/>
      <c r="DI86" s="11"/>
      <c r="DJ86" s="11"/>
      <c r="DK86" s="11"/>
      <c r="DL86" s="11"/>
      <c r="DM86" s="11"/>
      <c r="DN86" s="11"/>
      <c r="DO86" s="11"/>
      <c r="DP86" s="11"/>
      <c r="DQ86" s="11"/>
    </row>
    <row r="87" spans="1:121" ht="11.25" customHeight="1" x14ac:dyDescent="0.2">
      <c r="B87" s="566" t="s">
        <v>123</v>
      </c>
      <c r="C87" s="905" t="str">
        <f t="shared" ref="C87:AW87" si="67">IF((C86&gt;0),(C86/C85),"NM")</f>
        <v>NM</v>
      </c>
      <c r="D87" s="416" t="str">
        <f t="shared" si="67"/>
        <v>NM</v>
      </c>
      <c r="E87" s="416" t="str">
        <f t="shared" si="67"/>
        <v>NM</v>
      </c>
      <c r="F87" s="416" t="str">
        <f t="shared" si="67"/>
        <v>NM</v>
      </c>
      <c r="G87" s="906" t="str">
        <f t="shared" si="67"/>
        <v>NM</v>
      </c>
      <c r="H87" s="416"/>
      <c r="I87" s="905" t="str">
        <f t="shared" si="67"/>
        <v>NM</v>
      </c>
      <c r="J87" s="416" t="str">
        <f t="shared" si="67"/>
        <v>NM</v>
      </c>
      <c r="K87" s="416">
        <f t="shared" si="67"/>
        <v>29.666649331086809</v>
      </c>
      <c r="L87" s="416">
        <f t="shared" si="67"/>
        <v>39.682930837840743</v>
      </c>
      <c r="M87" s="906">
        <f t="shared" si="67"/>
        <v>35.253240038965757</v>
      </c>
      <c r="N87" s="416"/>
      <c r="O87" s="905" t="str">
        <f t="shared" si="67"/>
        <v>NM</v>
      </c>
      <c r="P87" s="416" t="str">
        <f t="shared" si="67"/>
        <v>NM</v>
      </c>
      <c r="Q87" s="416" t="str">
        <f t="shared" si="67"/>
        <v>NM</v>
      </c>
      <c r="R87" s="416" t="str">
        <f t="shared" si="67"/>
        <v>NM</v>
      </c>
      <c r="S87" s="906" t="str">
        <f t="shared" si="67"/>
        <v>NM</v>
      </c>
      <c r="T87" s="416"/>
      <c r="U87" s="905" t="str">
        <f t="shared" si="67"/>
        <v>NM</v>
      </c>
      <c r="V87" s="416" t="str">
        <f t="shared" si="67"/>
        <v>NM</v>
      </c>
      <c r="W87" s="416" t="str">
        <f t="shared" si="67"/>
        <v>NM</v>
      </c>
      <c r="X87" s="416" t="str">
        <f t="shared" si="67"/>
        <v>NM</v>
      </c>
      <c r="Y87" s="906" t="str">
        <f t="shared" si="67"/>
        <v>NM</v>
      </c>
      <c r="Z87" s="416"/>
      <c r="AA87" s="905" t="str">
        <f t="shared" si="67"/>
        <v>NM</v>
      </c>
      <c r="AB87" s="416">
        <f t="shared" si="67"/>
        <v>27.401171634258475</v>
      </c>
      <c r="AC87" s="416" t="str">
        <f t="shared" si="67"/>
        <v>NM</v>
      </c>
      <c r="AD87" s="416">
        <f t="shared" si="67"/>
        <v>31.537961478281051</v>
      </c>
      <c r="AE87" s="906">
        <f t="shared" si="67"/>
        <v>29.825558870427532</v>
      </c>
      <c r="AF87" s="416"/>
      <c r="AG87" s="905">
        <f t="shared" si="67"/>
        <v>29.68194203616547</v>
      </c>
      <c r="AH87" s="416">
        <f t="shared" si="67"/>
        <v>28.618643809923014</v>
      </c>
      <c r="AI87" s="416">
        <f t="shared" si="67"/>
        <v>32.894678945217969</v>
      </c>
      <c r="AJ87" s="416">
        <f t="shared" si="67"/>
        <v>32.37901613118256</v>
      </c>
      <c r="AK87" s="906">
        <f t="shared" si="67"/>
        <v>30.313803693529426</v>
      </c>
      <c r="AL87" s="416"/>
      <c r="AM87" s="905">
        <f t="shared" si="67"/>
        <v>30.609128041200496</v>
      </c>
      <c r="AN87" s="416">
        <f t="shared" si="67"/>
        <v>31.709301591093734</v>
      </c>
      <c r="AO87" s="416">
        <f t="shared" si="67"/>
        <v>38.323188946198933</v>
      </c>
      <c r="AP87" s="416">
        <f t="shared" si="67"/>
        <v>36.985094979261781</v>
      </c>
      <c r="AQ87" s="906">
        <f t="shared" si="67"/>
        <v>34.365316958195201</v>
      </c>
      <c r="AR87" s="416"/>
      <c r="AS87" s="905">
        <f t="shared" si="67"/>
        <v>44.045634920634924</v>
      </c>
      <c r="AT87" s="416" t="str">
        <f t="shared" si="67"/>
        <v>NM</v>
      </c>
      <c r="AU87" s="416">
        <f t="shared" si="67"/>
        <v>32.658689262948968</v>
      </c>
      <c r="AV87" s="416">
        <f t="shared" si="67"/>
        <v>44.014857225210122</v>
      </c>
      <c r="AW87" s="906">
        <f t="shared" si="67"/>
        <v>40.98810535259134</v>
      </c>
      <c r="AX87" s="416"/>
      <c r="AY87" s="905">
        <f>IF((AY86&gt;0),(AY86/AY85),"NM")</f>
        <v>38.837862318840585</v>
      </c>
      <c r="AZ87" s="416">
        <f>IF((AZ86&gt;0),(AZ86/AZ85),"NM")</f>
        <v>51.79999999999999</v>
      </c>
      <c r="BA87" s="416" t="str">
        <f>IF((BA86&gt;0),(BA86/BA85),"NM")</f>
        <v>NM</v>
      </c>
      <c r="BB87" s="416" t="str">
        <f>IF((BB86&gt;0),(BB86/BB85),"NM")</f>
        <v>NM</v>
      </c>
      <c r="BC87" s="906">
        <f>IF((BC86&gt;0),(BC86/BC85),"NM")</f>
        <v>39.814907872696821</v>
      </c>
      <c r="BD87" s="416"/>
      <c r="BE87" s="905" t="str">
        <f>IF((BE86&gt;0),(BE86/BE85),"NM")</f>
        <v>NM</v>
      </c>
      <c r="BF87" s="416">
        <f>IF((BF86&gt;0),(BF86/BF85),"NM")</f>
        <v>41.457673047749168</v>
      </c>
      <c r="BG87" s="416">
        <f>IF((BG86&gt;0),(BG86/BG85),"NM")</f>
        <v>77.998060980194282</v>
      </c>
      <c r="BH87" s="416" t="str">
        <f>IF((BH86&gt;0),(BH86/BH85),"NM")</f>
        <v>NM</v>
      </c>
      <c r="BI87" s="906">
        <f>IF((BI86&gt;0),(BI86/BI85),"NM")</f>
        <v>45.672527974423389</v>
      </c>
      <c r="BJ87" s="416"/>
      <c r="BK87" s="905">
        <f>IF((BK86&gt;0),(BK86/BK85),"NM")</f>
        <v>47.074419007520603</v>
      </c>
      <c r="BL87" s="416">
        <f>IF((BL86&gt;0),(BL86/BL85),"NM")</f>
        <v>45.994690372943346</v>
      </c>
      <c r="BM87" s="416">
        <f>IF((BM86&gt;0),(BM86/BM85),"NM")</f>
        <v>38.011064026774804</v>
      </c>
      <c r="BN87" s="416">
        <f>IF((BN86&gt;0),(BN86/BN85),"NM")</f>
        <v>46.885179481158687</v>
      </c>
      <c r="BO87" s="906">
        <f>IF((BO86&gt;0),(BO86/BO85),"NM")</f>
        <v>43.917338003502628</v>
      </c>
      <c r="BP87" s="416"/>
      <c r="BQ87" s="905">
        <f>IF((BQ86&gt;0),(BQ86/BQ85),"NM")</f>
        <v>45.560466636374017</v>
      </c>
      <c r="BR87" s="416">
        <f>IF((BR86&gt;0),(BR86/BR85),"NM")</f>
        <v>35.343244324285841</v>
      </c>
      <c r="BS87" s="919">
        <v>35</v>
      </c>
      <c r="BT87" s="919">
        <f>BS87</f>
        <v>35</v>
      </c>
      <c r="BU87" s="906">
        <f>IF((BU86&gt;0),(BU86/BU85),"NM")</f>
        <v>37.44563177975936</v>
      </c>
      <c r="BV87" s="416"/>
      <c r="BW87" s="921">
        <f>BU87</f>
        <v>37.44563177975936</v>
      </c>
      <c r="BX87" s="919">
        <f>BW87</f>
        <v>37.44563177975936</v>
      </c>
      <c r="BY87" s="919">
        <f>BX87</f>
        <v>37.44563177975936</v>
      </c>
      <c r="BZ87" s="919">
        <f>BY87</f>
        <v>37.44563177975936</v>
      </c>
      <c r="CA87" s="906">
        <f>IF((CA86&gt;0),(CA86/CA85),"NM")</f>
        <v>37.44563177975936</v>
      </c>
      <c r="CB87" s="416"/>
      <c r="CC87" s="921">
        <f>CA87</f>
        <v>37.44563177975936</v>
      </c>
      <c r="CD87" s="919">
        <f>CC87</f>
        <v>37.44563177975936</v>
      </c>
      <c r="CE87" s="919">
        <f>CD87</f>
        <v>37.44563177975936</v>
      </c>
      <c r="CF87" s="919">
        <f>CE87</f>
        <v>37.44563177975936</v>
      </c>
      <c r="CG87" s="906">
        <f>IF((CG86&gt;0),(CG86/CG85),"NM")</f>
        <v>37.44563177975936</v>
      </c>
      <c r="CH87" s="416"/>
      <c r="CI87" s="921">
        <f>CG87</f>
        <v>37.44563177975936</v>
      </c>
      <c r="CJ87" s="919">
        <f>CI87</f>
        <v>37.44563177975936</v>
      </c>
      <c r="CK87" s="919">
        <f>CJ87</f>
        <v>37.44563177975936</v>
      </c>
      <c r="CL87" s="919">
        <f>CK87</f>
        <v>37.44563177975936</v>
      </c>
      <c r="CM87" s="906">
        <f>IF((CM86&gt;0),(CM86/CM85),"NM")</f>
        <v>37.44563177975936</v>
      </c>
      <c r="CN87" s="416"/>
      <c r="CO87" s="14"/>
      <c r="CP87" s="14"/>
      <c r="CX87" s="11"/>
      <c r="CY87" s="11"/>
      <c r="CZ87" s="11"/>
      <c r="DA87" s="11"/>
      <c r="DB87" s="11"/>
      <c r="DC87" s="11"/>
      <c r="DD87" s="11"/>
      <c r="DE87" s="11"/>
      <c r="DF87" s="11"/>
      <c r="DG87" s="11"/>
      <c r="DH87" s="11"/>
      <c r="DI87" s="11"/>
      <c r="DJ87" s="11"/>
      <c r="DK87" s="11"/>
      <c r="DL87" s="11"/>
      <c r="DM87" s="11"/>
      <c r="DN87" s="11"/>
      <c r="DO87" s="11"/>
      <c r="DP87" s="11"/>
      <c r="DQ87" s="11"/>
    </row>
    <row r="88" spans="1:121" ht="11.25" customHeight="1" x14ac:dyDescent="0.2">
      <c r="B88" s="879" t="s">
        <v>124</v>
      </c>
      <c r="C88" s="884"/>
      <c r="D88" s="168"/>
      <c r="E88" s="168"/>
      <c r="F88" s="168"/>
      <c r="G88" s="893"/>
      <c r="H88" s="168"/>
      <c r="I88" s="884"/>
      <c r="J88" s="168"/>
      <c r="K88" s="168"/>
      <c r="L88" s="168"/>
      <c r="M88" s="893"/>
      <c r="N88" s="168"/>
      <c r="O88" s="884"/>
      <c r="P88" s="168"/>
      <c r="Q88" s="168"/>
      <c r="R88" s="168"/>
      <c r="S88" s="893"/>
      <c r="T88" s="168"/>
      <c r="U88" s="884"/>
      <c r="V88" s="168"/>
      <c r="W88" s="168"/>
      <c r="X88" s="168"/>
      <c r="Y88" s="893"/>
      <c r="Z88" s="168"/>
      <c r="AA88" s="884"/>
      <c r="AB88" s="168"/>
      <c r="AC88" s="168"/>
      <c r="AD88" s="168"/>
      <c r="AE88" s="893"/>
      <c r="AF88" s="168"/>
      <c r="AG88" s="884"/>
      <c r="AH88" s="168"/>
      <c r="AI88" s="168"/>
      <c r="AJ88" s="168"/>
      <c r="AK88" s="893"/>
      <c r="AL88" s="168"/>
      <c r="AM88" s="884"/>
      <c r="AN88" s="168"/>
      <c r="AO88" s="168"/>
      <c r="AP88" s="168"/>
      <c r="AQ88" s="893"/>
      <c r="AR88" s="168"/>
      <c r="AS88" s="884"/>
      <c r="AT88" s="168"/>
      <c r="AU88" s="168"/>
      <c r="AV88" s="168"/>
      <c r="AW88" s="893"/>
      <c r="AX88" s="168"/>
      <c r="AY88" s="884"/>
      <c r="AZ88" s="168"/>
      <c r="BA88" s="168"/>
      <c r="BB88" s="168"/>
      <c r="BC88" s="893"/>
      <c r="BD88" s="168"/>
      <c r="BE88" s="884"/>
      <c r="BF88" s="913"/>
      <c r="BG88" s="913"/>
      <c r="BH88" s="913"/>
      <c r="BI88" s="893"/>
      <c r="BJ88" s="168"/>
      <c r="BK88" s="884"/>
      <c r="BL88" s="168">
        <f>+BL87/BF87-1</f>
        <v>0.10943733672578859</v>
      </c>
      <c r="BM88" s="168">
        <f>+BM87/BG87-1</f>
        <v>-0.51266655158995822</v>
      </c>
      <c r="BN88" s="168" t="str">
        <f>IF(ISERROR(+BN87/BH87-1),"NM",+BN87/BH87-1)</f>
        <v>NM</v>
      </c>
      <c r="BO88" s="893"/>
      <c r="BP88" s="168"/>
      <c r="BQ88" s="884">
        <f>+BQ87/BK87-1</f>
        <v>-3.2160829662172152E-2</v>
      </c>
      <c r="BR88" s="168">
        <f>+BR87/BL87-1</f>
        <v>-0.23157990546933394</v>
      </c>
      <c r="BS88" s="168">
        <f>IF(ISERROR(+BS87/BM87-1),"NM",+BS87/BM87-1)</f>
        <v>-7.9215462757207367E-2</v>
      </c>
      <c r="BT88" s="168">
        <f>IF(ISERROR(+BT87/BN87-1),"NM",+BT87/BN87-1)</f>
        <v>-0.25349544595291296</v>
      </c>
      <c r="BU88" s="893">
        <f>IF(ISERROR(BU87/BO87-1),"NM",BU87/BO87-1)</f>
        <v>-0.14736107692199185</v>
      </c>
      <c r="BV88" s="168"/>
      <c r="BW88" s="884">
        <f>IF(ISERROR(+BW87/BQ87-1),"NM",+BW87/BQ87-1)</f>
        <v>-0.1781113200920561</v>
      </c>
      <c r="BX88" s="168">
        <f>IF(ISERROR(+BX87/BR87-1),"NM",+BX87/BR87-1)</f>
        <v>5.9484846274536318E-2</v>
      </c>
      <c r="BY88" s="168">
        <f>IF(ISERROR(+BY87/BS87-1),"NM",+BY87/BS87-1)</f>
        <v>6.9875193707410244E-2</v>
      </c>
      <c r="BZ88" s="168">
        <f>IF(ISERROR(+BZ87/BT87-1),"NM",+BZ87/BT87-1)</f>
        <v>6.9875193707410244E-2</v>
      </c>
      <c r="CA88" s="893">
        <f>IF(ISERROR(CA87/BU87-1),"NM",CA87/BU87-1)</f>
        <v>0</v>
      </c>
      <c r="CB88" s="168"/>
      <c r="CC88" s="884">
        <f>IF(ISERROR(+CC87/BW87-1),"NM",+CC87/BW87-1)</f>
        <v>0</v>
      </c>
      <c r="CD88" s="168">
        <f>IF(ISERROR(+CD87/BX87-1),"NM",+CD87/BX87-1)</f>
        <v>0</v>
      </c>
      <c r="CE88" s="168">
        <f>IF(ISERROR(+CE87/BY87-1),"NM",+CE87/BY87-1)</f>
        <v>0</v>
      </c>
      <c r="CF88" s="168">
        <f>IF(ISERROR(+CF87/BZ87-1),"NM",+CF87/BZ87-1)</f>
        <v>0</v>
      </c>
      <c r="CG88" s="893">
        <f>IF(ISERROR(CG87/CA87-1),"NM",CG87/CA87-1)</f>
        <v>0</v>
      </c>
      <c r="CH88" s="168"/>
      <c r="CI88" s="884">
        <f>IF(ISERROR(+CI87/CC87-1),"NM",+CI87/CC87-1)</f>
        <v>0</v>
      </c>
      <c r="CJ88" s="168">
        <f>IF(ISERROR(+CJ87/CD87-1),"NM",+CJ87/CD87-1)</f>
        <v>0</v>
      </c>
      <c r="CK88" s="168">
        <f>IF(ISERROR(+CK87/CE87-1),"NM",+CK87/CE87-1)</f>
        <v>0</v>
      </c>
      <c r="CL88" s="168">
        <f>IF(ISERROR(+CL87/CF87-1),"NM",+CL87/CF87-1)</f>
        <v>0</v>
      </c>
      <c r="CM88" s="893">
        <f>IF(ISERROR(CM87/CG87-1),"NM",CM87/CG87-1)</f>
        <v>0</v>
      </c>
      <c r="CN88" s="168"/>
      <c r="CO88" s="14"/>
      <c r="CP88" s="14"/>
      <c r="CX88" s="11"/>
      <c r="CY88" s="11"/>
      <c r="CZ88" s="11"/>
      <c r="DA88" s="11"/>
      <c r="DB88" s="11"/>
      <c r="DC88" s="11"/>
      <c r="DD88" s="11"/>
      <c r="DE88" s="11"/>
      <c r="DF88" s="11"/>
      <c r="DG88" s="11"/>
      <c r="DH88" s="11"/>
      <c r="DI88" s="11"/>
      <c r="DJ88" s="11"/>
      <c r="DK88" s="11"/>
      <c r="DL88" s="11"/>
      <c r="DM88" s="11"/>
      <c r="DN88" s="11"/>
      <c r="DO88" s="11"/>
      <c r="DP88" s="11"/>
      <c r="DQ88" s="11"/>
    </row>
    <row r="89" spans="1:121" ht="11.25" customHeight="1" x14ac:dyDescent="0.2">
      <c r="B89" s="566"/>
      <c r="C89" s="777"/>
      <c r="D89" s="26"/>
      <c r="E89" s="26"/>
      <c r="F89" s="26"/>
      <c r="G89" s="796"/>
      <c r="H89" s="26"/>
      <c r="I89" s="777"/>
      <c r="J89" s="26"/>
      <c r="K89" s="26"/>
      <c r="L89" s="26"/>
      <c r="M89" s="796"/>
      <c r="N89" s="26"/>
      <c r="O89" s="777"/>
      <c r="P89" s="26"/>
      <c r="Q89" s="26"/>
      <c r="R89" s="26"/>
      <c r="S89" s="796"/>
      <c r="T89" s="26"/>
      <c r="U89" s="777"/>
      <c r="V89" s="26"/>
      <c r="W89" s="26"/>
      <c r="X89" s="26"/>
      <c r="Y89" s="796"/>
      <c r="Z89" s="26"/>
      <c r="AA89" s="777"/>
      <c r="AB89" s="26"/>
      <c r="AC89" s="26"/>
      <c r="AD89" s="26"/>
      <c r="AE89" s="796"/>
      <c r="AF89" s="26"/>
      <c r="AG89" s="777"/>
      <c r="AH89" s="26"/>
      <c r="AI89" s="26"/>
      <c r="AJ89" s="26"/>
      <c r="AK89" s="796"/>
      <c r="AL89" s="26"/>
      <c r="AM89" s="777"/>
      <c r="AN89" s="26"/>
      <c r="AO89" s="26"/>
      <c r="AP89" s="26"/>
      <c r="AQ89" s="796"/>
      <c r="AR89" s="26"/>
      <c r="AS89" s="777"/>
      <c r="AT89" s="26"/>
      <c r="AU89" s="26"/>
      <c r="AV89" s="26"/>
      <c r="AW89" s="796"/>
      <c r="AX89" s="26"/>
      <c r="AY89" s="777"/>
      <c r="AZ89" s="26"/>
      <c r="BA89" s="26"/>
      <c r="BB89" s="26"/>
      <c r="BC89" s="796"/>
      <c r="BD89" s="26"/>
      <c r="BE89" s="777"/>
      <c r="BF89" s="26"/>
      <c r="BG89" s="26"/>
      <c r="BH89" s="26"/>
      <c r="BI89" s="915"/>
      <c r="BJ89" s="26"/>
      <c r="BK89" s="920"/>
      <c r="BL89" s="117"/>
      <c r="BM89" s="117"/>
      <c r="BN89" s="117"/>
      <c r="BO89" s="915"/>
      <c r="BP89" s="26"/>
      <c r="BQ89" s="920"/>
      <c r="BR89" s="117"/>
      <c r="BS89" s="117"/>
      <c r="BT89" s="117"/>
      <c r="BU89" s="915"/>
      <c r="BV89" s="26"/>
      <c r="BW89" s="777"/>
      <c r="BX89" s="26"/>
      <c r="BY89" s="26"/>
      <c r="BZ89" s="26"/>
      <c r="CA89" s="796"/>
      <c r="CB89" s="26"/>
      <c r="CC89" s="777"/>
      <c r="CD89" s="26"/>
      <c r="CE89" s="26"/>
      <c r="CF89" s="26"/>
      <c r="CG89" s="796"/>
      <c r="CH89" s="26"/>
      <c r="CI89" s="777"/>
      <c r="CJ89" s="26"/>
      <c r="CK89" s="26"/>
      <c r="CL89" s="26"/>
      <c r="CM89" s="796"/>
      <c r="CN89" s="26"/>
      <c r="CO89" s="14"/>
      <c r="CP89" s="14"/>
      <c r="CX89" s="11"/>
      <c r="CY89" s="11"/>
      <c r="CZ89" s="11"/>
      <c r="DA89" s="11"/>
      <c r="DB89" s="11"/>
      <c r="DC89" s="11"/>
      <c r="DD89" s="11"/>
      <c r="DE89" s="11"/>
      <c r="DF89" s="11"/>
      <c r="DG89" s="11"/>
      <c r="DH89" s="11"/>
      <c r="DI89" s="11"/>
      <c r="DJ89" s="11"/>
      <c r="DK89" s="11"/>
      <c r="DL89" s="11"/>
      <c r="DM89" s="11"/>
      <c r="DN89" s="11"/>
      <c r="DO89" s="11"/>
      <c r="DP89" s="11"/>
      <c r="DQ89" s="11"/>
    </row>
    <row r="90" spans="1:121" ht="11.25" customHeight="1" x14ac:dyDescent="0.2">
      <c r="B90" s="862" t="s">
        <v>132</v>
      </c>
      <c r="C90" s="863"/>
      <c r="D90" s="864"/>
      <c r="E90" s="864"/>
      <c r="F90" s="864"/>
      <c r="G90" s="865"/>
      <c r="H90" s="26"/>
      <c r="I90" s="866"/>
      <c r="J90" s="867"/>
      <c r="K90" s="867"/>
      <c r="L90" s="867"/>
      <c r="M90" s="868"/>
      <c r="N90" s="26"/>
      <c r="O90" s="866"/>
      <c r="P90" s="867"/>
      <c r="Q90" s="867"/>
      <c r="R90" s="867"/>
      <c r="S90" s="868"/>
      <c r="T90" s="26"/>
      <c r="U90" s="866"/>
      <c r="V90" s="867"/>
      <c r="W90" s="867"/>
      <c r="X90" s="867"/>
      <c r="Y90" s="868"/>
      <c r="Z90" s="26"/>
      <c r="AA90" s="866"/>
      <c r="AB90" s="867"/>
      <c r="AC90" s="867"/>
      <c r="AD90" s="867"/>
      <c r="AE90" s="868"/>
      <c r="AF90" s="26"/>
      <c r="AG90" s="866"/>
      <c r="AH90" s="867"/>
      <c r="AI90" s="867"/>
      <c r="AJ90" s="867"/>
      <c r="AK90" s="868"/>
      <c r="AL90" s="26"/>
      <c r="AM90" s="866"/>
      <c r="AN90" s="867"/>
      <c r="AO90" s="867"/>
      <c r="AP90" s="867"/>
      <c r="AQ90" s="868"/>
      <c r="AR90" s="26"/>
      <c r="AS90" s="866"/>
      <c r="AT90" s="867"/>
      <c r="AU90" s="867"/>
      <c r="AV90" s="867"/>
      <c r="AW90" s="868"/>
      <c r="AX90" s="26"/>
      <c r="AY90" s="866"/>
      <c r="AZ90" s="867"/>
      <c r="BA90" s="867"/>
      <c r="BB90" s="867"/>
      <c r="BC90" s="868"/>
      <c r="BD90" s="26"/>
      <c r="BE90" s="866"/>
      <c r="BF90" s="867"/>
      <c r="BG90" s="867"/>
      <c r="BH90" s="867"/>
      <c r="BI90" s="868"/>
      <c r="BJ90" s="26"/>
      <c r="BK90" s="866"/>
      <c r="BL90" s="867"/>
      <c r="BM90" s="867"/>
      <c r="BN90" s="867"/>
      <c r="BO90" s="868"/>
      <c r="BP90" s="26"/>
      <c r="BQ90" s="866"/>
      <c r="BR90" s="867"/>
      <c r="BS90" s="867"/>
      <c r="BT90" s="867"/>
      <c r="BU90" s="868"/>
      <c r="BV90" s="26"/>
      <c r="BW90" s="866"/>
      <c r="BX90" s="867"/>
      <c r="BY90" s="867"/>
      <c r="BZ90" s="867"/>
      <c r="CA90" s="868"/>
      <c r="CB90" s="26"/>
      <c r="CC90" s="866"/>
      <c r="CD90" s="867"/>
      <c r="CE90" s="867"/>
      <c r="CF90" s="867"/>
      <c r="CG90" s="868"/>
      <c r="CH90" s="26"/>
      <c r="CI90" s="866"/>
      <c r="CJ90" s="867"/>
      <c r="CK90" s="867"/>
      <c r="CL90" s="867"/>
      <c r="CM90" s="868"/>
      <c r="CN90" s="212"/>
      <c r="CO90" s="14"/>
      <c r="CP90" s="14"/>
      <c r="CX90" s="11"/>
      <c r="CY90" s="11"/>
      <c r="CZ90" s="11"/>
      <c r="DA90" s="11"/>
      <c r="DB90" s="11"/>
      <c r="DC90" s="11"/>
      <c r="DD90" s="11"/>
      <c r="DE90" s="11"/>
      <c r="DF90" s="11"/>
      <c r="DG90" s="11"/>
      <c r="DH90" s="11"/>
      <c r="DI90" s="11"/>
      <c r="DJ90" s="11"/>
      <c r="DK90" s="11"/>
      <c r="DL90" s="11"/>
      <c r="DM90" s="11"/>
      <c r="DN90" s="11"/>
      <c r="DO90" s="11"/>
      <c r="DP90" s="11"/>
      <c r="DQ90" s="11"/>
    </row>
    <row r="91" spans="1:121" ht="11.25" customHeight="1" x14ac:dyDescent="0.2">
      <c r="A91" s="112"/>
      <c r="B91" s="655" t="s">
        <v>36</v>
      </c>
      <c r="C91" s="175">
        <f>+'BalSht '!C$137*'BalSht '!C138</f>
        <v>-1.8288</v>
      </c>
      <c r="D91" s="199">
        <f>+'BalSht '!D$137*'BalSht '!D138</f>
        <v>-2.0704499999999997</v>
      </c>
      <c r="E91" s="199">
        <f>+'BalSht '!E$137*'BalSht '!E138</f>
        <v>-1.8</v>
      </c>
      <c r="F91" s="199">
        <f>+'BalSht '!F$137*'BalSht '!F138</f>
        <v>0</v>
      </c>
      <c r="G91" s="695">
        <f>+'BalSht '!G$137*'BalSht '!G138</f>
        <v>-5.6992500000000001</v>
      </c>
      <c r="H91" s="199"/>
      <c r="I91" s="175">
        <f>+'BalSht '!I$137*'BalSht '!I138</f>
        <v>-1.2726</v>
      </c>
      <c r="J91" s="199">
        <f>+'BalSht '!J$137*'BalSht '!J138</f>
        <v>-3.91995</v>
      </c>
      <c r="K91" s="199">
        <f>+'BalSht '!K$137*'BalSht '!K138</f>
        <v>-0.64260000000000017</v>
      </c>
      <c r="L91" s="199">
        <f>+'BalSht '!L$137*'BalSht '!L138</f>
        <v>-4.3771499999999994</v>
      </c>
      <c r="M91" s="695">
        <f>+'BalSht '!M$137*'BalSht '!M138</f>
        <v>-10.212299999999999</v>
      </c>
      <c r="N91" s="199"/>
      <c r="O91" s="175">
        <f>+'BalSht '!O$137*'BalSht '!O138</f>
        <v>-0.23085</v>
      </c>
      <c r="P91" s="199">
        <f>+'BalSht '!P$137*'BalSht '!P138</f>
        <v>-31.213799999999996</v>
      </c>
      <c r="Q91" s="199">
        <f>+'BalSht '!Q$137*'BalSht '!Q138</f>
        <v>-18.029250000000001</v>
      </c>
      <c r="R91" s="199">
        <f>+'BalSht '!R$137*'BalSht '!R138</f>
        <v>-6.6752999999999973</v>
      </c>
      <c r="S91" s="695">
        <f>+'BalSht '!S$137*'BalSht '!S138</f>
        <v>-56.1492</v>
      </c>
      <c r="T91" s="199"/>
      <c r="U91" s="175">
        <f>+'BalSht '!U$137*'BalSht '!U138</f>
        <v>-12.65085</v>
      </c>
      <c r="V91" s="199">
        <f>+'BalSht '!V$137*'BalSht '!V138</f>
        <v>-1.7100000000000115E-2</v>
      </c>
      <c r="W91" s="199">
        <f>+'BalSht '!W$137*'BalSht '!W138</f>
        <v>0</v>
      </c>
      <c r="X91" s="199">
        <f>+'BalSht '!X$137*'BalSht '!X138</f>
        <v>-11.484450000000001</v>
      </c>
      <c r="Y91" s="695">
        <f>+'BalSht '!Y$137*'BalSht '!Y138</f>
        <v>-24.1524</v>
      </c>
      <c r="Z91" s="199"/>
      <c r="AA91" s="175">
        <f>+'BalSht '!AA$137*'BalSht '!AA138</f>
        <v>-21.006900000000002</v>
      </c>
      <c r="AB91" s="199">
        <f>+'BalSht '!AB$137*'BalSht '!AB138</f>
        <v>0</v>
      </c>
      <c r="AC91" s="199">
        <f>+'BalSht '!AC$137*'BalSht '!AC138</f>
        <v>-2.5474500000000009</v>
      </c>
      <c r="AD91" s="199">
        <f>+'BalSht '!AD$137*'BalSht '!AD138</f>
        <v>7.0200000000002663E-2</v>
      </c>
      <c r="AE91" s="695">
        <f>+'BalSht '!AE$137*'BalSht '!AE138</f>
        <v>-23.48415</v>
      </c>
      <c r="AF91" s="199"/>
      <c r="AG91" s="175">
        <f>+'BalSht '!AG$137*'BalSht '!AG138</f>
        <v>0</v>
      </c>
      <c r="AH91" s="199">
        <f>+'BalSht '!AH$137*'BalSht '!AH138</f>
        <v>-3.9267000000000003</v>
      </c>
      <c r="AI91" s="199">
        <f>+'BalSht '!AI$137*'BalSht '!AI138</f>
        <v>-2.4601499999999996</v>
      </c>
      <c r="AJ91" s="199">
        <f>+'BalSht '!AJ$137*'BalSht '!AJ138</f>
        <v>-3.7921500000000008</v>
      </c>
      <c r="AK91" s="695">
        <f>+'BalSht '!AK$137*'BalSht '!AK138</f>
        <v>-10.179</v>
      </c>
      <c r="AL91" s="199"/>
      <c r="AM91" s="175">
        <f>+'BalSht '!AM$137*'BalSht '!AM138</f>
        <v>0</v>
      </c>
      <c r="AN91" s="199">
        <f>+'BalSht '!AN$137*'BalSht '!AN138</f>
        <v>-4.7659500000000001</v>
      </c>
      <c r="AO91" s="199">
        <f>+'BalSht '!AO$137*'BalSht '!AO138</f>
        <v>-1.8265500000000006</v>
      </c>
      <c r="AP91" s="199">
        <f>+'BalSht '!AP$137*'BalSht '!AP138</f>
        <v>0</v>
      </c>
      <c r="AQ91" s="695">
        <f>+'BalSht '!AQ$137*'BalSht '!AQ138</f>
        <v>-6.5925000000000002</v>
      </c>
      <c r="AR91" s="199"/>
      <c r="AS91" s="175">
        <f>+'BalSht '!AS$137*'BalSht '!AS138</f>
        <v>0</v>
      </c>
      <c r="AT91" s="199">
        <f>+'BalSht '!AT$137*'BalSht '!AT138</f>
        <v>-63.433349999999997</v>
      </c>
      <c r="AU91" s="199">
        <f>+'BalSht '!AU$137*'BalSht '!AU138</f>
        <v>8.5049999999996836E-2</v>
      </c>
      <c r="AV91" s="199">
        <f>+'BalSht '!AV$137*'BalSht '!AV138</f>
        <v>-2.2684499999999987</v>
      </c>
      <c r="AW91" s="695">
        <f>+'BalSht '!AW$137*'BalSht '!AW138</f>
        <v>-65.616749999999996</v>
      </c>
      <c r="AX91" s="199"/>
      <c r="AY91" s="175">
        <f>+'BalSht '!AY$137*'BalSht '!AY138</f>
        <v>0</v>
      </c>
      <c r="AZ91" s="199">
        <f>+'BalSht '!AZ$137*'BalSht '!AZ138</f>
        <v>0</v>
      </c>
      <c r="BA91" s="199">
        <f>+'BalSht '!BA$137*'BalSht '!BA138</f>
        <v>-3.9285000000000001</v>
      </c>
      <c r="BB91" s="199">
        <f>+'BalSht '!BB$137*'BalSht '!BB138</f>
        <v>-0.80325000000000013</v>
      </c>
      <c r="BC91" s="695">
        <f>+'BalSht '!BC$137*'BalSht '!BC138</f>
        <v>-4.7317500000000008</v>
      </c>
      <c r="BD91" s="199"/>
      <c r="BE91" s="175">
        <f>+'BalSht '!BE$137*'BalSht '!BE138</f>
        <v>-497.12850000000003</v>
      </c>
      <c r="BF91" s="199">
        <f>+'BalSht '!BF$137*'BalSht '!BF138</f>
        <v>-0.22455000000001066</v>
      </c>
      <c r="BG91" s="199">
        <f>+'BalSht '!BG$137*'BalSht '!BG138</f>
        <v>-0.60930000000001883</v>
      </c>
      <c r="BH91" s="199">
        <f>+'BalSht '!BH$137*'BalSht '!BH138</f>
        <v>0</v>
      </c>
      <c r="BI91" s="695">
        <f>+'BalSht '!BI$137*'BalSht '!BI138</f>
        <v>-497.96235000000007</v>
      </c>
      <c r="BJ91" s="199"/>
      <c r="BK91" s="175">
        <f>+'BalSht '!BK$137*'BalSht '!BK138</f>
        <v>0</v>
      </c>
      <c r="BL91" s="199">
        <f>+'BalSht '!BL$137*'BalSht '!BL138</f>
        <v>0</v>
      </c>
      <c r="BM91" s="199">
        <f>+'BalSht '!BM$137*'BalSht '!BM138</f>
        <v>0</v>
      </c>
      <c r="BN91" s="199">
        <f>+'BalSht '!BN$137*'BalSht '!BN138</f>
        <v>0</v>
      </c>
      <c r="BO91" s="695">
        <f>+'BalSht '!BO$137*'BalSht '!BO138</f>
        <v>0</v>
      </c>
      <c r="BP91" s="199"/>
      <c r="BQ91" s="175">
        <f>+'BalSht '!BQ$137*'BalSht '!BQ138</f>
        <v>0</v>
      </c>
      <c r="BR91" s="199">
        <f>+'BalSht '!BR$137*'BalSht '!BR138</f>
        <v>0</v>
      </c>
      <c r="BS91" s="199">
        <f>+'BalSht '!BS$137*'BalSht '!BS138</f>
        <v>0</v>
      </c>
      <c r="BT91" s="199">
        <f>+'BalSht '!BT$137*'BalSht '!BT138</f>
        <v>0</v>
      </c>
      <c r="BU91" s="695">
        <f>+'BalSht '!BU$137*'BalSht '!BU138</f>
        <v>0</v>
      </c>
      <c r="BV91" s="199"/>
      <c r="BW91" s="175">
        <f>+'BalSht '!BW$137*'BalSht '!BW138</f>
        <v>0</v>
      </c>
      <c r="BX91" s="199">
        <f>+'BalSht '!BX$137*'BalSht '!BX138</f>
        <v>0</v>
      </c>
      <c r="BY91" s="199">
        <f>+'BalSht '!BY$137*'BalSht '!BY138</f>
        <v>0</v>
      </c>
      <c r="BZ91" s="199">
        <f>+'BalSht '!BZ$137*'BalSht '!BZ138</f>
        <v>0</v>
      </c>
      <c r="CA91" s="695">
        <f>+'BalSht '!CA$137*'BalSht '!CA138</f>
        <v>0</v>
      </c>
      <c r="CB91" s="199"/>
      <c r="CC91" s="175">
        <f>+'BalSht '!CC$137*'BalSht '!CC138</f>
        <v>0</v>
      </c>
      <c r="CD91" s="199">
        <f>+'BalSht '!CD$137*'BalSht '!CD138</f>
        <v>0</v>
      </c>
      <c r="CE91" s="199">
        <f>+'BalSht '!CE$137*'BalSht '!CE138</f>
        <v>0</v>
      </c>
      <c r="CF91" s="199">
        <f>+'BalSht '!CF$137*'BalSht '!CF138</f>
        <v>0</v>
      </c>
      <c r="CG91" s="695">
        <f>+'BalSht '!CG$137*'BalSht '!CG138</f>
        <v>0</v>
      </c>
      <c r="CH91" s="199"/>
      <c r="CI91" s="175">
        <f>+'BalSht '!CI$137*'BalSht '!CI138</f>
        <v>0</v>
      </c>
      <c r="CJ91" s="199">
        <f>+'BalSht '!CJ$137*'BalSht '!CJ138</f>
        <v>0</v>
      </c>
      <c r="CK91" s="199">
        <f>+'BalSht '!CK$137*'BalSht '!CK138</f>
        <v>0</v>
      </c>
      <c r="CL91" s="199">
        <f>+'BalSht '!CL$137*'BalSht '!CL138</f>
        <v>0</v>
      </c>
      <c r="CM91" s="695">
        <f>+'BalSht '!CM$137*'BalSht '!CM138</f>
        <v>0</v>
      </c>
      <c r="CN91" s="199"/>
      <c r="CO91" s="14"/>
      <c r="CP91" s="14"/>
      <c r="CX91" s="11"/>
      <c r="CY91" s="11"/>
      <c r="CZ91" s="11"/>
      <c r="DA91" s="11"/>
      <c r="DB91" s="11"/>
      <c r="DC91" s="11"/>
      <c r="DD91" s="11"/>
      <c r="DE91" s="11"/>
      <c r="DF91" s="11"/>
      <c r="DG91" s="11"/>
      <c r="DH91" s="11"/>
      <c r="DI91" s="11"/>
      <c r="DJ91" s="11"/>
      <c r="DK91" s="11"/>
      <c r="DL91" s="11"/>
      <c r="DM91" s="11"/>
      <c r="DN91" s="11"/>
      <c r="DO91" s="11"/>
      <c r="DP91" s="11"/>
      <c r="DQ91" s="11"/>
    </row>
    <row r="92" spans="1:121" ht="11.25" customHeight="1" x14ac:dyDescent="0.2">
      <c r="A92" s="112"/>
      <c r="B92" s="655" t="s">
        <v>86</v>
      </c>
      <c r="C92" s="175">
        <f>+'BalSht '!C$137*'BalSht '!C139</f>
        <v>-1.2192000000000001</v>
      </c>
      <c r="D92" s="199">
        <f>+'BalSht '!D$137*'BalSht '!D139</f>
        <v>-1.3802999999999996</v>
      </c>
      <c r="E92" s="199">
        <f>+'BalSht '!E$137*'BalSht '!E139</f>
        <v>-1.2</v>
      </c>
      <c r="F92" s="199">
        <f>+'BalSht '!F$137*'BalSht '!F139</f>
        <v>0</v>
      </c>
      <c r="G92" s="695">
        <f>+'BalSht '!G$137*'BalSht '!G139</f>
        <v>-3.7994999999999997</v>
      </c>
      <c r="H92" s="199"/>
      <c r="I92" s="175">
        <f>+'BalSht '!I$137*'BalSht '!I139</f>
        <v>-0.84839999999999993</v>
      </c>
      <c r="J92" s="199">
        <f>+'BalSht '!J$137*'BalSht '!J139</f>
        <v>-2.6133000000000002</v>
      </c>
      <c r="K92" s="199">
        <f>+'BalSht '!K$137*'BalSht '!K139</f>
        <v>-0.42840000000000011</v>
      </c>
      <c r="L92" s="199">
        <f>+'BalSht '!L$137*'BalSht '!L139</f>
        <v>-2.9180999999999995</v>
      </c>
      <c r="M92" s="695">
        <f>+'BalSht '!M$137*'BalSht '!M139</f>
        <v>-6.8081999999999994</v>
      </c>
      <c r="N92" s="199"/>
      <c r="O92" s="175">
        <f>+'BalSht '!O$137*'BalSht '!O139</f>
        <v>-0.15390000000000001</v>
      </c>
      <c r="P92" s="199">
        <f>+'BalSht '!P$137*'BalSht '!P139</f>
        <v>-20.809199999999997</v>
      </c>
      <c r="Q92" s="199">
        <f>+'BalSht '!Q$137*'BalSht '!Q139</f>
        <v>-12.019500000000001</v>
      </c>
      <c r="R92" s="199">
        <f>+'BalSht '!R$137*'BalSht '!R139</f>
        <v>-4.4501999999999979</v>
      </c>
      <c r="S92" s="695">
        <f>+'BalSht '!S$137*'BalSht '!S139</f>
        <v>-37.4328</v>
      </c>
      <c r="T92" s="199"/>
      <c r="U92" s="175">
        <f>+'BalSht '!U$137*'BalSht '!U139</f>
        <v>-8.4338999999999995</v>
      </c>
      <c r="V92" s="199">
        <f>+'BalSht '!V$137*'BalSht '!V139</f>
        <v>-1.1400000000000077E-2</v>
      </c>
      <c r="W92" s="199">
        <f>+'BalSht '!W$137*'BalSht '!W139</f>
        <v>0</v>
      </c>
      <c r="X92" s="199">
        <f>+'BalSht '!X$137*'BalSht '!X139</f>
        <v>-7.6562999999999999</v>
      </c>
      <c r="Y92" s="695">
        <f>+'BalSht '!Y$137*'BalSht '!Y139</f>
        <v>-16.101599999999998</v>
      </c>
      <c r="Z92" s="199"/>
      <c r="AA92" s="175">
        <f>+'BalSht '!AA$137*'BalSht '!AA139</f>
        <v>-14.0046</v>
      </c>
      <c r="AB92" s="199">
        <f>+'BalSht '!AB$137*'BalSht '!AB139</f>
        <v>0</v>
      </c>
      <c r="AC92" s="199">
        <f>+'BalSht '!AC$137*'BalSht '!AC139</f>
        <v>-1.6983000000000004</v>
      </c>
      <c r="AD92" s="199">
        <f>+'BalSht '!AD$137*'BalSht '!AD139</f>
        <v>4.6800000000001771E-2</v>
      </c>
      <c r="AE92" s="695">
        <f>+'BalSht '!AE$137*'BalSht '!AE139</f>
        <v>-15.656099999999999</v>
      </c>
      <c r="AF92" s="199"/>
      <c r="AG92" s="175">
        <f>+'BalSht '!AG$137*'BalSht '!AG139</f>
        <v>0</v>
      </c>
      <c r="AH92" s="199">
        <f>+'BalSht '!AH$137*'BalSht '!AH139</f>
        <v>-2.6178000000000003</v>
      </c>
      <c r="AI92" s="199">
        <f>+'BalSht '!AI$137*'BalSht '!AI139</f>
        <v>-1.6400999999999997</v>
      </c>
      <c r="AJ92" s="199">
        <f>+'BalSht '!AJ$137*'BalSht '!AJ139</f>
        <v>-2.5281000000000002</v>
      </c>
      <c r="AK92" s="695">
        <f>+'BalSht '!AK$137*'BalSht '!AK139</f>
        <v>-6.7860000000000005</v>
      </c>
      <c r="AL92" s="199"/>
      <c r="AM92" s="175">
        <f>+'BalSht '!AM$137*'BalSht '!AM139</f>
        <v>0</v>
      </c>
      <c r="AN92" s="199">
        <f>+'BalSht '!AN$137*'BalSht '!AN139</f>
        <v>-3.1772999999999998</v>
      </c>
      <c r="AO92" s="199">
        <f>+'BalSht '!AO$137*'BalSht '!AO139</f>
        <v>-1.2177000000000002</v>
      </c>
      <c r="AP92" s="199">
        <f>+'BalSht '!AP$137*'BalSht '!AP139</f>
        <v>0</v>
      </c>
      <c r="AQ92" s="695">
        <f>+'BalSht '!AQ$137*'BalSht '!AQ139</f>
        <v>-4.3949999999999996</v>
      </c>
      <c r="AR92" s="199"/>
      <c r="AS92" s="175">
        <f>+'BalSht '!AS$137*'BalSht '!AS139</f>
        <v>0</v>
      </c>
      <c r="AT92" s="199">
        <f>+'BalSht '!AT$137*'BalSht '!AT139</f>
        <v>-42.288899999999998</v>
      </c>
      <c r="AU92" s="199">
        <f>+'BalSht '!AU$137*'BalSht '!AU139</f>
        <v>5.6699999999997884E-2</v>
      </c>
      <c r="AV92" s="199">
        <f>+'BalSht '!AV$137*'BalSht '!AV139</f>
        <v>-1.5122999999999991</v>
      </c>
      <c r="AW92" s="695">
        <f>+'BalSht '!AW$137*'BalSht '!AW139</f>
        <v>-43.744499999999995</v>
      </c>
      <c r="AX92" s="199"/>
      <c r="AY92" s="175">
        <f>+'BalSht '!AY$137*'BalSht '!AY139</f>
        <v>0</v>
      </c>
      <c r="AZ92" s="199">
        <f>+'BalSht '!AZ$137*'BalSht '!AZ139</f>
        <v>0</v>
      </c>
      <c r="BA92" s="199">
        <f>+'BalSht '!BA$137*'BalSht '!BA139</f>
        <v>-2.6190000000000002</v>
      </c>
      <c r="BB92" s="199">
        <f>+'BalSht '!BB$137*'BalSht '!BB139</f>
        <v>-0.53549999999999998</v>
      </c>
      <c r="BC92" s="695">
        <f>+'BalSht '!BC$137*'BalSht '!BC139</f>
        <v>-3.1545000000000001</v>
      </c>
      <c r="BD92" s="199"/>
      <c r="BE92" s="175">
        <f>+'BalSht '!BE$137*'BalSht '!BE139</f>
        <v>-331.41899999999998</v>
      </c>
      <c r="BF92" s="199">
        <f>+'BalSht '!BF$137*'BalSht '!BF139</f>
        <v>-0.14970000000000708</v>
      </c>
      <c r="BG92" s="199">
        <f>+'BalSht '!BG$137*'BalSht '!BG139</f>
        <v>-0.40620000000001255</v>
      </c>
      <c r="BH92" s="199">
        <f>+'BalSht '!BH$137*'BalSht '!BH139</f>
        <v>0</v>
      </c>
      <c r="BI92" s="695">
        <f>+'BalSht '!BI$137*'BalSht '!BI139</f>
        <v>-331.97489999999999</v>
      </c>
      <c r="BJ92" s="199"/>
      <c r="BK92" s="175">
        <f>+'BalSht '!BK$137*'BalSht '!BK139</f>
        <v>0</v>
      </c>
      <c r="BL92" s="199">
        <f>+'BalSht '!BL$137*'BalSht '!BL139</f>
        <v>0</v>
      </c>
      <c r="BM92" s="199">
        <f>+'BalSht '!BM$137*'BalSht '!BM139</f>
        <v>0</v>
      </c>
      <c r="BN92" s="199">
        <f>+'BalSht '!BN$137*'BalSht '!BN139</f>
        <v>0</v>
      </c>
      <c r="BO92" s="695">
        <f>+'BalSht '!BO$137*'BalSht '!BO139</f>
        <v>0</v>
      </c>
      <c r="BP92" s="199"/>
      <c r="BQ92" s="175">
        <f>+'BalSht '!BQ$137*'BalSht '!BQ139</f>
        <v>0</v>
      </c>
      <c r="BR92" s="199">
        <f>+'BalSht '!BR$137*'BalSht '!BR139</f>
        <v>0</v>
      </c>
      <c r="BS92" s="199">
        <f>+'BalSht '!BS$137*'BalSht '!BS139</f>
        <v>0</v>
      </c>
      <c r="BT92" s="199">
        <f>+'BalSht '!BT$137*'BalSht '!BT139</f>
        <v>0</v>
      </c>
      <c r="BU92" s="695">
        <f>+'BalSht '!BU$137*'BalSht '!BU139</f>
        <v>0</v>
      </c>
      <c r="BV92" s="199"/>
      <c r="BW92" s="175">
        <f>+'BalSht '!BW$137*'BalSht '!BW139</f>
        <v>0</v>
      </c>
      <c r="BX92" s="199">
        <f>+'BalSht '!BX$137*'BalSht '!BX139</f>
        <v>0</v>
      </c>
      <c r="BY92" s="199">
        <f>+'BalSht '!BY$137*'BalSht '!BY139</f>
        <v>0</v>
      </c>
      <c r="BZ92" s="199">
        <f>+'BalSht '!BZ$137*'BalSht '!BZ139</f>
        <v>0</v>
      </c>
      <c r="CA92" s="695">
        <f>+'BalSht '!CA$137*'BalSht '!CA139</f>
        <v>0</v>
      </c>
      <c r="CB92" s="199"/>
      <c r="CC92" s="175">
        <f>+'BalSht '!CC$137*'BalSht '!CC139</f>
        <v>0</v>
      </c>
      <c r="CD92" s="199">
        <f>+'BalSht '!CD$137*'BalSht '!CD139</f>
        <v>0</v>
      </c>
      <c r="CE92" s="199">
        <f>+'BalSht '!CE$137*'BalSht '!CE139</f>
        <v>0</v>
      </c>
      <c r="CF92" s="199">
        <f>+'BalSht '!CF$137*'BalSht '!CF139</f>
        <v>0</v>
      </c>
      <c r="CG92" s="695">
        <f>+'BalSht '!CG$137*'BalSht '!CG139</f>
        <v>0</v>
      </c>
      <c r="CH92" s="199"/>
      <c r="CI92" s="175">
        <f>+'BalSht '!CI$137*'BalSht '!CI139</f>
        <v>0</v>
      </c>
      <c r="CJ92" s="199">
        <f>+'BalSht '!CJ$137*'BalSht '!CJ139</f>
        <v>0</v>
      </c>
      <c r="CK92" s="199">
        <f>+'BalSht '!CK$137*'BalSht '!CK139</f>
        <v>0</v>
      </c>
      <c r="CL92" s="199">
        <f>+'BalSht '!CL$137*'BalSht '!CL139</f>
        <v>0</v>
      </c>
      <c r="CM92" s="695">
        <f>+'BalSht '!CM$137*'BalSht '!CM139</f>
        <v>0</v>
      </c>
      <c r="CN92" s="199"/>
      <c r="CO92" s="14"/>
      <c r="CP92" s="14"/>
      <c r="CX92" s="11"/>
      <c r="CY92" s="11"/>
      <c r="CZ92" s="11"/>
      <c r="DA92" s="11"/>
      <c r="DB92" s="11"/>
      <c r="DC92" s="11"/>
      <c r="DD92" s="11"/>
      <c r="DE92" s="11"/>
      <c r="DF92" s="11"/>
      <c r="DG92" s="11"/>
      <c r="DH92" s="11"/>
      <c r="DI92" s="11"/>
      <c r="DJ92" s="11"/>
      <c r="DK92" s="11"/>
      <c r="DL92" s="11"/>
      <c r="DM92" s="11"/>
      <c r="DN92" s="11"/>
      <c r="DO92" s="11"/>
      <c r="DP92" s="11"/>
      <c r="DQ92" s="11"/>
    </row>
    <row r="93" spans="1:121" ht="11.25" customHeight="1" x14ac:dyDescent="0.2">
      <c r="A93" s="112"/>
      <c r="B93" s="655" t="s">
        <v>76</v>
      </c>
      <c r="C93" s="175">
        <f>+'BalSht '!C$137*'BalSht '!C140</f>
        <v>-1.016</v>
      </c>
      <c r="D93" s="199">
        <f>+'BalSht '!D$137*'BalSht '!D140</f>
        <v>-1.1502499999999998</v>
      </c>
      <c r="E93" s="199">
        <f>+'BalSht '!E$137*'BalSht '!E140</f>
        <v>-1</v>
      </c>
      <c r="F93" s="199">
        <f>+'BalSht '!F$137*'BalSht '!F140</f>
        <v>0</v>
      </c>
      <c r="G93" s="695">
        <f>+'BalSht '!G$137*'BalSht '!G140</f>
        <v>-3.1662499999999998</v>
      </c>
      <c r="H93" s="199"/>
      <c r="I93" s="175">
        <f>+'BalSht '!I$137*'BalSht '!I140</f>
        <v>-0.70699999999999996</v>
      </c>
      <c r="J93" s="199">
        <f>+'BalSht '!J$137*'BalSht '!J140</f>
        <v>-2.1777500000000001</v>
      </c>
      <c r="K93" s="199">
        <f>+'BalSht '!K$137*'BalSht '!K140</f>
        <v>-0.3570000000000001</v>
      </c>
      <c r="L93" s="199">
        <f>+'BalSht '!L$137*'BalSht '!L140</f>
        <v>-2.4317499999999996</v>
      </c>
      <c r="M93" s="695">
        <f>+'BalSht '!M$137*'BalSht '!M140</f>
        <v>-5.6734999999999998</v>
      </c>
      <c r="N93" s="199"/>
      <c r="O93" s="175">
        <f>+'BalSht '!O$137*'BalSht '!O140</f>
        <v>-0.12825</v>
      </c>
      <c r="P93" s="199">
        <f>+'BalSht '!P$137*'BalSht '!P140</f>
        <v>-17.340999999999998</v>
      </c>
      <c r="Q93" s="199">
        <f>+'BalSht '!Q$137*'BalSht '!Q140</f>
        <v>-10.016250000000001</v>
      </c>
      <c r="R93" s="199">
        <f>+'BalSht '!R$137*'BalSht '!R140</f>
        <v>-3.7084999999999986</v>
      </c>
      <c r="S93" s="695">
        <f>+'BalSht '!S$137*'BalSht '!S140</f>
        <v>-31.193999999999999</v>
      </c>
      <c r="T93" s="199"/>
      <c r="U93" s="175">
        <f>+'BalSht '!U$137*'BalSht '!U140</f>
        <v>-7.0282499999999999</v>
      </c>
      <c r="V93" s="199">
        <f>+'BalSht '!V$137*'BalSht '!V140</f>
        <v>-9.5000000000000639E-3</v>
      </c>
      <c r="W93" s="199">
        <f>+'BalSht '!W$137*'BalSht '!W140</f>
        <v>0</v>
      </c>
      <c r="X93" s="199">
        <f>+'BalSht '!X$137*'BalSht '!X140</f>
        <v>-6.3802500000000002</v>
      </c>
      <c r="Y93" s="695">
        <f>+'BalSht '!Y$137*'BalSht '!Y140</f>
        <v>-13.417999999999999</v>
      </c>
      <c r="Z93" s="199"/>
      <c r="AA93" s="175">
        <f>+'BalSht '!AA$137*'BalSht '!AA140</f>
        <v>-11.670500000000001</v>
      </c>
      <c r="AB93" s="199">
        <f>+'BalSht '!AB$137*'BalSht '!AB140</f>
        <v>0</v>
      </c>
      <c r="AC93" s="199">
        <f>+'BalSht '!AC$137*'BalSht '!AC140</f>
        <v>-1.4152500000000003</v>
      </c>
      <c r="AD93" s="199">
        <f>+'BalSht '!AD$137*'BalSht '!AD140</f>
        <v>3.9000000000001478E-2</v>
      </c>
      <c r="AE93" s="695">
        <f>+'BalSht '!AE$137*'BalSht '!AE140</f>
        <v>-13.046749999999999</v>
      </c>
      <c r="AF93" s="199"/>
      <c r="AG93" s="175">
        <f>+'BalSht '!AG$137*'BalSht '!AG140</f>
        <v>0</v>
      </c>
      <c r="AH93" s="199">
        <f>+'BalSht '!AH$137*'BalSht '!AH140</f>
        <v>-2.1815000000000002</v>
      </c>
      <c r="AI93" s="199">
        <f>+'BalSht '!AI$137*'BalSht '!AI140</f>
        <v>-1.3667499999999997</v>
      </c>
      <c r="AJ93" s="199">
        <f>+'BalSht '!AJ$137*'BalSht '!AJ140</f>
        <v>-2.1067500000000003</v>
      </c>
      <c r="AK93" s="695">
        <f>+'BalSht '!AK$137*'BalSht '!AK140</f>
        <v>-5.6550000000000002</v>
      </c>
      <c r="AL93" s="199"/>
      <c r="AM93" s="175">
        <f>+'BalSht '!AM$137*'BalSht '!AM140</f>
        <v>0</v>
      </c>
      <c r="AN93" s="199">
        <f>+'BalSht '!AN$137*'BalSht '!AN140</f>
        <v>-2.6477499999999998</v>
      </c>
      <c r="AO93" s="199">
        <f>+'BalSht '!AO$137*'BalSht '!AO140</f>
        <v>-1.0147500000000003</v>
      </c>
      <c r="AP93" s="199">
        <f>+'BalSht '!AP$137*'BalSht '!AP140</f>
        <v>0</v>
      </c>
      <c r="AQ93" s="695">
        <f>+'BalSht '!AQ$137*'BalSht '!AQ140</f>
        <v>-3.6625000000000001</v>
      </c>
      <c r="AR93" s="199"/>
      <c r="AS93" s="175">
        <f>+'BalSht '!AS$137*'BalSht '!AS140</f>
        <v>0</v>
      </c>
      <c r="AT93" s="199">
        <f>+'BalSht '!AT$137*'BalSht '!AT140</f>
        <v>-35.240749999999998</v>
      </c>
      <c r="AU93" s="199">
        <f>+'BalSht '!AU$137*'BalSht '!AU140</f>
        <v>4.7249999999998238E-2</v>
      </c>
      <c r="AV93" s="199">
        <f>+'BalSht '!AV$137*'BalSht '!AV140</f>
        <v>-1.2602499999999992</v>
      </c>
      <c r="AW93" s="695">
        <f>+'BalSht '!AW$137*'BalSht '!AW140</f>
        <v>-36.453749999999999</v>
      </c>
      <c r="AX93" s="199"/>
      <c r="AY93" s="175">
        <f>+'BalSht '!AY$137*'BalSht '!AY140</f>
        <v>0</v>
      </c>
      <c r="AZ93" s="199">
        <f>+'BalSht '!AZ$137*'BalSht '!AZ140</f>
        <v>0</v>
      </c>
      <c r="BA93" s="199">
        <f>+'BalSht '!BA$137*'BalSht '!BA140</f>
        <v>-2.1825000000000001</v>
      </c>
      <c r="BB93" s="199">
        <f>+'BalSht '!BB$137*'BalSht '!BB140</f>
        <v>-0.44625000000000004</v>
      </c>
      <c r="BC93" s="695">
        <f>+'BalSht '!BC$137*'BalSht '!BC140</f>
        <v>-2.6287500000000001</v>
      </c>
      <c r="BD93" s="199"/>
      <c r="BE93" s="175">
        <f>+'BalSht '!BE$137*'BalSht '!BE140</f>
        <v>-276.1825</v>
      </c>
      <c r="BF93" s="199">
        <f>+'BalSht '!BF$137*'BalSht '!BF140</f>
        <v>-0.12475000000000591</v>
      </c>
      <c r="BG93" s="199">
        <f>+'BalSht '!BG$137*'BalSht '!BG140</f>
        <v>-0.33850000000001046</v>
      </c>
      <c r="BH93" s="199">
        <f>+'BalSht '!BH$137*'BalSht '!BH140</f>
        <v>0</v>
      </c>
      <c r="BI93" s="695">
        <f>+'BalSht '!BI$137*'BalSht '!BI140</f>
        <v>-276.64575000000002</v>
      </c>
      <c r="BJ93" s="199"/>
      <c r="BK93" s="175">
        <f>+'BalSht '!BK$137*'BalSht '!BK140</f>
        <v>0</v>
      </c>
      <c r="BL93" s="199">
        <f>+'BalSht '!BL$137*'BalSht '!BL140</f>
        <v>0</v>
      </c>
      <c r="BM93" s="199">
        <f>+'BalSht '!BM$137*'BalSht '!BM140</f>
        <v>0</v>
      </c>
      <c r="BN93" s="199">
        <f>+'BalSht '!BN$137*'BalSht '!BN140</f>
        <v>0</v>
      </c>
      <c r="BO93" s="695">
        <f>+'BalSht '!BO$137*'BalSht '!BO140</f>
        <v>0</v>
      </c>
      <c r="BP93" s="199"/>
      <c r="BQ93" s="175">
        <f>+'BalSht '!BQ$137*'BalSht '!BQ140</f>
        <v>0</v>
      </c>
      <c r="BR93" s="199">
        <f>+'BalSht '!BR$137*'BalSht '!BR140</f>
        <v>0</v>
      </c>
      <c r="BS93" s="199">
        <f>+'BalSht '!BS$137*'BalSht '!BS140</f>
        <v>0</v>
      </c>
      <c r="BT93" s="199">
        <f>+'BalSht '!BT$137*'BalSht '!BT140</f>
        <v>0</v>
      </c>
      <c r="BU93" s="695">
        <f>+'BalSht '!BU$137*'BalSht '!BU140</f>
        <v>0</v>
      </c>
      <c r="BV93" s="199"/>
      <c r="BW93" s="175">
        <f>+'BalSht '!BW$137*'BalSht '!BW140</f>
        <v>0</v>
      </c>
      <c r="BX93" s="199">
        <f>+'BalSht '!BX$137*'BalSht '!BX140</f>
        <v>0</v>
      </c>
      <c r="BY93" s="199">
        <f>+'BalSht '!BY$137*'BalSht '!BY140</f>
        <v>0</v>
      </c>
      <c r="BZ93" s="199">
        <f>+'BalSht '!BZ$137*'BalSht '!BZ140</f>
        <v>0</v>
      </c>
      <c r="CA93" s="695">
        <f>+'BalSht '!CA$137*'BalSht '!CA140</f>
        <v>0</v>
      </c>
      <c r="CB93" s="199"/>
      <c r="CC93" s="175">
        <f>+'BalSht '!CC$137*'BalSht '!CC140</f>
        <v>0</v>
      </c>
      <c r="CD93" s="199">
        <f>+'BalSht '!CD$137*'BalSht '!CD140</f>
        <v>0</v>
      </c>
      <c r="CE93" s="199">
        <f>+'BalSht '!CE$137*'BalSht '!CE140</f>
        <v>0</v>
      </c>
      <c r="CF93" s="199">
        <f>+'BalSht '!CF$137*'BalSht '!CF140</f>
        <v>0</v>
      </c>
      <c r="CG93" s="695">
        <f>+'BalSht '!CG$137*'BalSht '!CG140</f>
        <v>0</v>
      </c>
      <c r="CH93" s="199"/>
      <c r="CI93" s="175">
        <f>+'BalSht '!CI$137*'BalSht '!CI140</f>
        <v>0</v>
      </c>
      <c r="CJ93" s="199">
        <f>+'BalSht '!CJ$137*'BalSht '!CJ140</f>
        <v>0</v>
      </c>
      <c r="CK93" s="199">
        <f>+'BalSht '!CK$137*'BalSht '!CK140</f>
        <v>0</v>
      </c>
      <c r="CL93" s="199">
        <f>+'BalSht '!CL$137*'BalSht '!CL140</f>
        <v>0</v>
      </c>
      <c r="CM93" s="695">
        <f>+'BalSht '!CM$137*'BalSht '!CM140</f>
        <v>0</v>
      </c>
      <c r="CN93" s="199"/>
      <c r="CO93" s="14"/>
      <c r="CP93" s="14"/>
      <c r="CX93" s="11"/>
      <c r="CY93" s="11"/>
      <c r="CZ93" s="11"/>
      <c r="DA93" s="11"/>
      <c r="DB93" s="11"/>
      <c r="DC93" s="11"/>
      <c r="DD93" s="11"/>
      <c r="DE93" s="11"/>
      <c r="DF93" s="11"/>
      <c r="DG93" s="11"/>
      <c r="DH93" s="11"/>
      <c r="DI93" s="11"/>
      <c r="DJ93" s="11"/>
      <c r="DK93" s="11"/>
      <c r="DL93" s="11"/>
      <c r="DM93" s="11"/>
      <c r="DN93" s="11"/>
      <c r="DO93" s="11"/>
      <c r="DP93" s="11"/>
      <c r="DQ93" s="11"/>
    </row>
    <row r="94" spans="1:121" ht="11.25" customHeight="1" outlineLevel="1" x14ac:dyDescent="0.2">
      <c r="B94" s="898" t="s">
        <v>44</v>
      </c>
      <c r="C94" s="907">
        <f>+SUM('BalSht '!C138:C140)</f>
        <v>1</v>
      </c>
      <c r="D94" s="908">
        <f>+SUM('BalSht '!D138:D140)</f>
        <v>1</v>
      </c>
      <c r="E94" s="908">
        <f>+SUM('BalSht '!E138:E140)</f>
        <v>1</v>
      </c>
      <c r="F94" s="908">
        <f>+SUM('BalSht '!F138:F140)</f>
        <v>1</v>
      </c>
      <c r="G94" s="909">
        <f>+SUM('BalSht '!G138:G140)</f>
        <v>1</v>
      </c>
      <c r="H94" s="894"/>
      <c r="I94" s="907">
        <f>+SUM('BalSht '!I138:I140)</f>
        <v>1</v>
      </c>
      <c r="J94" s="908">
        <f>+SUM('BalSht '!J138:J140)</f>
        <v>1</v>
      </c>
      <c r="K94" s="908">
        <f>+SUM('BalSht '!K138:K140)</f>
        <v>1</v>
      </c>
      <c r="L94" s="908">
        <f>+SUM('BalSht '!L138:L140)</f>
        <v>1</v>
      </c>
      <c r="M94" s="909">
        <f>+SUM('BalSht '!M138:M140)</f>
        <v>1</v>
      </c>
      <c r="N94" s="894"/>
      <c r="O94" s="907">
        <f>+SUM('BalSht '!O138:O140)</f>
        <v>1</v>
      </c>
      <c r="P94" s="908">
        <f>+SUM('BalSht '!P138:P140)</f>
        <v>1</v>
      </c>
      <c r="Q94" s="908">
        <f>+SUM('BalSht '!Q138:Q140)</f>
        <v>1</v>
      </c>
      <c r="R94" s="908">
        <f>+SUM('BalSht '!R138:R140)</f>
        <v>1</v>
      </c>
      <c r="S94" s="909">
        <f>+SUM('BalSht '!S138:S140)</f>
        <v>1</v>
      </c>
      <c r="T94" s="894"/>
      <c r="U94" s="907">
        <f>+SUM('BalSht '!U138:U140)</f>
        <v>1</v>
      </c>
      <c r="V94" s="908">
        <f>+SUM('BalSht '!V138:V140)</f>
        <v>1</v>
      </c>
      <c r="W94" s="908">
        <f>+SUM('BalSht '!W138:W140)</f>
        <v>1</v>
      </c>
      <c r="X94" s="908">
        <f>+SUM('BalSht '!X138:X140)</f>
        <v>1</v>
      </c>
      <c r="Y94" s="909">
        <f>+SUM('BalSht '!Y138:Y140)</f>
        <v>1</v>
      </c>
      <c r="Z94" s="894"/>
      <c r="AA94" s="907">
        <f>+SUM('BalSht '!AA138:AA140)</f>
        <v>1</v>
      </c>
      <c r="AB94" s="908">
        <f>+SUM('BalSht '!AB138:AB140)</f>
        <v>1</v>
      </c>
      <c r="AC94" s="908">
        <f>+SUM('BalSht '!AC138:AC140)</f>
        <v>1</v>
      </c>
      <c r="AD94" s="908">
        <f>+SUM('BalSht '!AD138:AD140)</f>
        <v>1</v>
      </c>
      <c r="AE94" s="909">
        <f>+SUM('BalSht '!AE138:AE140)</f>
        <v>1</v>
      </c>
      <c r="AF94" s="894"/>
      <c r="AG94" s="907">
        <f>+SUM('BalSht '!AG138:AG140)</f>
        <v>1</v>
      </c>
      <c r="AH94" s="908">
        <f>+SUM('BalSht '!AH138:AH140)</f>
        <v>1</v>
      </c>
      <c r="AI94" s="908">
        <f>+SUM('BalSht '!AI138:AI140)</f>
        <v>1</v>
      </c>
      <c r="AJ94" s="908">
        <f>+SUM('BalSht '!AJ138:AJ140)</f>
        <v>1</v>
      </c>
      <c r="AK94" s="909">
        <f>+SUM('BalSht '!AK138:AK140)</f>
        <v>1</v>
      </c>
      <c r="AL94" s="894"/>
      <c r="AM94" s="907">
        <f>+SUM('BalSht '!AM138:AM140)</f>
        <v>1</v>
      </c>
      <c r="AN94" s="908">
        <f>+SUM('BalSht '!AN138:AN140)</f>
        <v>1</v>
      </c>
      <c r="AO94" s="908">
        <f>+SUM('BalSht '!AO138:AO140)</f>
        <v>1</v>
      </c>
      <c r="AP94" s="908">
        <f>+SUM('BalSht '!AP138:AP140)</f>
        <v>1</v>
      </c>
      <c r="AQ94" s="909">
        <f>+SUM('BalSht '!AQ138:AQ140)</f>
        <v>1</v>
      </c>
      <c r="AR94" s="894"/>
      <c r="AS94" s="907">
        <f>+SUM('BalSht '!AS138:AS140)</f>
        <v>1</v>
      </c>
      <c r="AT94" s="908">
        <f>+SUM('BalSht '!AT138:AT140)</f>
        <v>1</v>
      </c>
      <c r="AU94" s="908">
        <f>+SUM('BalSht '!AU138:AU140)</f>
        <v>1</v>
      </c>
      <c r="AV94" s="908">
        <f>+SUM('BalSht '!AV138:AV140)</f>
        <v>1</v>
      </c>
      <c r="AW94" s="909">
        <f>+SUM('BalSht '!AW138:AW140)</f>
        <v>1</v>
      </c>
      <c r="AX94" s="894"/>
      <c r="AY94" s="907">
        <f>+SUM('BalSht '!AY138:AY140)</f>
        <v>1</v>
      </c>
      <c r="AZ94" s="908">
        <f>+SUM('BalSht '!AZ138:AZ140)</f>
        <v>1</v>
      </c>
      <c r="BA94" s="908">
        <f>+SUM('BalSht '!BA138:BA140)</f>
        <v>1</v>
      </c>
      <c r="BB94" s="908">
        <f>+SUM('BalSht '!BB138:BB140)</f>
        <v>1</v>
      </c>
      <c r="BC94" s="909">
        <f>+SUM('BalSht '!BC138:BC140)</f>
        <v>1</v>
      </c>
      <c r="BD94" s="894"/>
      <c r="BE94" s="907">
        <f>+SUM('BalSht '!BE138:BE140)</f>
        <v>1</v>
      </c>
      <c r="BF94" s="908">
        <f>+SUM('BalSht '!BF138:BF140)</f>
        <v>1</v>
      </c>
      <c r="BG94" s="908">
        <f>+SUM('BalSht '!BG138:BG140)</f>
        <v>1</v>
      </c>
      <c r="BH94" s="908">
        <f>+SUM('BalSht '!BH138:BH140)</f>
        <v>1</v>
      </c>
      <c r="BI94" s="909">
        <f>+SUM('BalSht '!BI138:BI140)</f>
        <v>1</v>
      </c>
      <c r="BJ94" s="894"/>
      <c r="BK94" s="907">
        <f>+SUM('BalSht '!BK138:BK140)</f>
        <v>1</v>
      </c>
      <c r="BL94" s="908">
        <f>+SUM('BalSht '!BL138:BL140)</f>
        <v>1</v>
      </c>
      <c r="BM94" s="908">
        <f>+SUM('BalSht '!BM138:BM140)</f>
        <v>1</v>
      </c>
      <c r="BN94" s="908">
        <f>+SUM('BalSht '!BN138:BN140)</f>
        <v>1</v>
      </c>
      <c r="BO94" s="909">
        <f>+SUM('BalSht '!BO138:BO140)</f>
        <v>1</v>
      </c>
      <c r="BP94" s="894"/>
      <c r="BQ94" s="907">
        <f>+SUM('BalSht '!BQ138:BQ140)</f>
        <v>1</v>
      </c>
      <c r="BR94" s="908">
        <f>+SUM('BalSht '!BR138:BR140)</f>
        <v>1</v>
      </c>
      <c r="BS94" s="908">
        <f>+SUM('BalSht '!BS138:BS140)</f>
        <v>1</v>
      </c>
      <c r="BT94" s="908">
        <f>+SUM('BalSht '!BT138:BT140)</f>
        <v>1</v>
      </c>
      <c r="BU94" s="909">
        <f>+SUM('BalSht '!BU138:BU140)</f>
        <v>1</v>
      </c>
      <c r="BV94" s="894"/>
      <c r="BW94" s="907">
        <f>+SUM('BalSht '!BW138:BW140)</f>
        <v>1</v>
      </c>
      <c r="BX94" s="908">
        <f>+SUM('BalSht '!BX138:BX140)</f>
        <v>1</v>
      </c>
      <c r="BY94" s="908">
        <f>+SUM('BalSht '!BY138:BY140)</f>
        <v>1</v>
      </c>
      <c r="BZ94" s="908">
        <f>+SUM('BalSht '!BZ138:BZ140)</f>
        <v>1</v>
      </c>
      <c r="CA94" s="909">
        <f>+SUM('BalSht '!CA138:CA140)</f>
        <v>1</v>
      </c>
      <c r="CB94" s="894"/>
      <c r="CC94" s="907">
        <f>+SUM('BalSht '!CC138:CC140)</f>
        <v>1</v>
      </c>
      <c r="CD94" s="908">
        <f>+SUM('BalSht '!CD138:CD140)</f>
        <v>1</v>
      </c>
      <c r="CE94" s="908">
        <f>+SUM('BalSht '!CE138:CE140)</f>
        <v>1</v>
      </c>
      <c r="CF94" s="908">
        <f>+SUM('BalSht '!CF138:CF140)</f>
        <v>1</v>
      </c>
      <c r="CG94" s="909">
        <f>+SUM('BalSht '!CG138:CG140)</f>
        <v>1</v>
      </c>
      <c r="CH94" s="894"/>
      <c r="CI94" s="907">
        <f>+SUM('BalSht '!CI138:CI140)</f>
        <v>1</v>
      </c>
      <c r="CJ94" s="908">
        <f>+SUM('BalSht '!CJ138:CJ140)</f>
        <v>1</v>
      </c>
      <c r="CK94" s="908">
        <f>+SUM('BalSht '!CK138:CK140)</f>
        <v>1</v>
      </c>
      <c r="CL94" s="908">
        <f>+SUM('BalSht '!CL138:CL140)</f>
        <v>1</v>
      </c>
      <c r="CM94" s="909">
        <f>+SUM('BalSht '!CM138:CM140)</f>
        <v>1</v>
      </c>
      <c r="CN94" s="14"/>
      <c r="CO94" s="14"/>
      <c r="CP94" s="14"/>
      <c r="CX94" s="11"/>
      <c r="CY94" s="11"/>
      <c r="CZ94" s="11"/>
      <c r="DA94" s="11"/>
      <c r="DB94" s="11"/>
      <c r="DC94" s="11"/>
      <c r="DD94" s="11"/>
      <c r="DE94" s="11"/>
      <c r="DF94" s="11"/>
      <c r="DG94" s="11"/>
      <c r="DH94" s="11"/>
      <c r="DI94" s="11"/>
      <c r="DJ94" s="11"/>
      <c r="DK94" s="11"/>
      <c r="DL94" s="11"/>
      <c r="DM94" s="11"/>
      <c r="DN94" s="11"/>
      <c r="DO94" s="11"/>
      <c r="DP94" s="11"/>
      <c r="DQ94" s="11"/>
    </row>
    <row r="95" spans="1:121" ht="11.25" customHeight="1" x14ac:dyDescent="0.2">
      <c r="A95" s="112"/>
      <c r="B95" s="924"/>
      <c r="C95" s="438"/>
      <c r="D95" s="438"/>
      <c r="E95" s="438"/>
      <c r="F95" s="438"/>
      <c r="G95" s="438"/>
      <c r="H95" s="14"/>
      <c r="I95" s="438"/>
      <c r="J95" s="438"/>
      <c r="K95" s="438"/>
      <c r="L95" s="438"/>
      <c r="M95" s="438"/>
      <c r="N95" s="14"/>
      <c r="O95" s="438"/>
      <c r="P95" s="438"/>
      <c r="Q95" s="438"/>
      <c r="R95" s="438"/>
      <c r="S95" s="438"/>
      <c r="T95" s="14"/>
      <c r="U95" s="438"/>
      <c r="V95" s="438"/>
      <c r="W95" s="438"/>
      <c r="X95" s="438"/>
      <c r="Y95" s="438"/>
      <c r="Z95" s="14"/>
      <c r="AA95" s="438"/>
      <c r="AB95" s="438"/>
      <c r="AC95" s="438"/>
      <c r="AD95" s="438"/>
      <c r="AE95" s="438"/>
      <c r="AF95" s="14"/>
      <c r="AG95" s="438"/>
      <c r="AH95" s="438"/>
      <c r="AI95" s="438"/>
      <c r="AJ95" s="438"/>
      <c r="AK95" s="438"/>
      <c r="AL95" s="14"/>
      <c r="AM95" s="438"/>
      <c r="AN95" s="438"/>
      <c r="AO95" s="438"/>
      <c r="AP95" s="438"/>
      <c r="AQ95" s="438"/>
      <c r="AR95" s="14"/>
      <c r="AS95" s="438"/>
      <c r="AT95" s="438"/>
      <c r="AU95" s="438"/>
      <c r="AV95" s="438"/>
      <c r="AW95" s="438"/>
      <c r="AX95" s="14"/>
      <c r="AY95" s="438"/>
      <c r="AZ95" s="438"/>
      <c r="BA95" s="438"/>
      <c r="BB95" s="438"/>
      <c r="BC95" s="438"/>
      <c r="BD95" s="14"/>
      <c r="BE95" s="438"/>
      <c r="BF95" s="438"/>
      <c r="BG95" s="438"/>
      <c r="BH95" s="438"/>
      <c r="BI95" s="438"/>
      <c r="BJ95" s="14"/>
      <c r="BK95" s="438"/>
      <c r="BL95" s="438"/>
      <c r="BM95" s="438"/>
      <c r="BN95" s="438"/>
      <c r="BO95" s="438"/>
      <c r="BP95" s="14"/>
      <c r="BQ95" s="438"/>
      <c r="BR95" s="438"/>
      <c r="BS95" s="438"/>
      <c r="BT95" s="438"/>
      <c r="BU95" s="438"/>
      <c r="BV95" s="14"/>
      <c r="BW95" s="438"/>
      <c r="BX95" s="438"/>
      <c r="BY95" s="438"/>
      <c r="BZ95" s="438"/>
      <c r="CA95" s="438"/>
      <c r="CB95" s="14"/>
      <c r="CC95" s="438"/>
      <c r="CD95" s="438"/>
      <c r="CE95" s="438"/>
      <c r="CF95" s="438"/>
      <c r="CG95" s="438"/>
      <c r="CH95" s="14"/>
      <c r="CI95" s="438"/>
      <c r="CJ95" s="438"/>
      <c r="CK95" s="438"/>
      <c r="CL95" s="438"/>
      <c r="CM95" s="438"/>
      <c r="CN95" s="14"/>
      <c r="CO95" s="14"/>
      <c r="CP95" s="14"/>
      <c r="CX95" s="11"/>
      <c r="CY95" s="11"/>
      <c r="CZ95" s="11"/>
      <c r="DA95" s="11"/>
      <c r="DB95" s="11"/>
      <c r="DC95" s="11"/>
      <c r="DD95" s="11"/>
      <c r="DE95" s="11"/>
      <c r="DF95" s="11"/>
      <c r="DG95" s="11"/>
      <c r="DH95" s="11"/>
      <c r="DI95" s="11"/>
      <c r="DJ95" s="11"/>
      <c r="DK95" s="11"/>
      <c r="DL95" s="11"/>
      <c r="DM95" s="11"/>
      <c r="DN95" s="11"/>
      <c r="DO95" s="11"/>
      <c r="DP95" s="11"/>
      <c r="DQ95" s="11"/>
    </row>
    <row r="96" spans="1:121" ht="11.25" customHeight="1" x14ac:dyDescent="0.2">
      <c r="A96" s="112"/>
      <c r="B96" s="1039" t="s">
        <v>570</v>
      </c>
      <c r="C96" s="1288"/>
      <c r="D96" s="1288"/>
      <c r="E96" s="1288"/>
      <c r="F96" s="1288"/>
      <c r="G96" s="1289"/>
      <c r="H96" s="1043"/>
      <c r="I96" s="1288"/>
      <c r="J96" s="1288"/>
      <c r="K96" s="1288"/>
      <c r="L96" s="1288"/>
      <c r="M96" s="1289"/>
      <c r="N96" s="1043"/>
      <c r="O96" s="1288"/>
      <c r="P96" s="1288"/>
      <c r="Q96" s="1288"/>
      <c r="R96" s="1288"/>
      <c r="S96" s="1289"/>
      <c r="T96" s="1043"/>
      <c r="U96" s="1288"/>
      <c r="V96" s="1288"/>
      <c r="W96" s="1288"/>
      <c r="X96" s="1288"/>
      <c r="Y96" s="1289"/>
      <c r="Z96" s="1043"/>
      <c r="AA96" s="1288"/>
      <c r="AB96" s="1288"/>
      <c r="AC96" s="1288"/>
      <c r="AD96" s="1288"/>
      <c r="AE96" s="1289"/>
      <c r="AF96" s="1043"/>
      <c r="AG96" s="1288"/>
      <c r="AH96" s="1288"/>
      <c r="AI96" s="1288"/>
      <c r="AJ96" s="1288"/>
      <c r="AK96" s="1289"/>
      <c r="AL96" s="1043"/>
      <c r="AM96" s="1288"/>
      <c r="AN96" s="1288"/>
      <c r="AO96" s="1288"/>
      <c r="AP96" s="1288"/>
      <c r="AQ96" s="1289"/>
      <c r="AR96" s="1043"/>
      <c r="AS96" s="1288"/>
      <c r="AT96" s="1288"/>
      <c r="AU96" s="1288"/>
      <c r="AV96" s="1288"/>
      <c r="AW96" s="1289"/>
      <c r="AX96" s="1043"/>
      <c r="AY96" s="1288"/>
      <c r="AZ96" s="1288"/>
      <c r="BA96" s="1288"/>
      <c r="BB96" s="1288"/>
      <c r="BC96" s="1288"/>
      <c r="BD96" s="1043"/>
      <c r="BE96" s="1288"/>
      <c r="BF96" s="1288"/>
      <c r="BG96" s="1288"/>
      <c r="BH96" s="1288"/>
      <c r="BI96" s="1288"/>
      <c r="BJ96" s="1043"/>
      <c r="BK96" s="1288"/>
      <c r="BL96" s="1288"/>
      <c r="BM96" s="1288"/>
      <c r="BN96" s="1288"/>
      <c r="BO96" s="1288"/>
      <c r="BP96" s="1043"/>
      <c r="BQ96" s="1288"/>
      <c r="BR96" s="1288"/>
      <c r="BS96" s="1288"/>
      <c r="BT96" s="1288"/>
      <c r="BU96" s="1288"/>
      <c r="BV96" s="1043"/>
      <c r="BW96" s="1288"/>
      <c r="BX96" s="1288"/>
      <c r="BY96" s="1288"/>
      <c r="BZ96" s="1288"/>
      <c r="CA96" s="1288"/>
      <c r="CB96" s="1043"/>
      <c r="CC96" s="1288"/>
      <c r="CD96" s="1288"/>
      <c r="CE96" s="1288"/>
      <c r="CF96" s="1288"/>
      <c r="CG96" s="1288"/>
      <c r="CH96" s="1043"/>
      <c r="CI96" s="1288"/>
      <c r="CJ96" s="1288"/>
      <c r="CK96" s="1288"/>
      <c r="CL96" s="1288"/>
      <c r="CM96" s="1288"/>
      <c r="CN96" s="14"/>
      <c r="CO96" s="14"/>
      <c r="CP96" s="14"/>
      <c r="CX96" s="11"/>
      <c r="CY96" s="11"/>
      <c r="CZ96" s="11"/>
      <c r="DA96" s="11"/>
      <c r="DB96" s="11"/>
      <c r="DC96" s="11"/>
      <c r="DD96" s="11"/>
      <c r="DE96" s="11"/>
      <c r="DF96" s="11"/>
      <c r="DG96" s="11"/>
      <c r="DH96" s="11"/>
      <c r="DI96" s="11"/>
      <c r="DJ96" s="11"/>
      <c r="DK96" s="11"/>
      <c r="DL96" s="11"/>
      <c r="DM96" s="11"/>
      <c r="DN96" s="11"/>
      <c r="DO96" s="11"/>
      <c r="DP96" s="11"/>
      <c r="DQ96" s="11"/>
    </row>
    <row r="97" spans="1:121" ht="11.25" customHeight="1" x14ac:dyDescent="0.2">
      <c r="A97"/>
      <c r="B97" s="538" t="s">
        <v>133</v>
      </c>
      <c r="C97" s="1293">
        <f>+'P&amp;L'!C9</f>
        <v>433.07400000000001</v>
      </c>
      <c r="D97" s="1294">
        <f>+'P&amp;L'!D9</f>
        <v>458.64400000000001</v>
      </c>
      <c r="E97" s="1294">
        <f>+'P&amp;L'!E9</f>
        <v>459.22800000000001</v>
      </c>
      <c r="F97" s="1294">
        <f>+'P&amp;L'!F9</f>
        <v>478.58000000000004</v>
      </c>
      <c r="G97" s="1295">
        <f>+'P&amp;L'!G9</f>
        <v>1829.5260000000003</v>
      </c>
      <c r="H97" s="1296"/>
      <c r="I97" s="1293">
        <f>+'P&amp;L'!I9</f>
        <v>464.26900000000001</v>
      </c>
      <c r="J97" s="1294">
        <f>+'P&amp;L'!J9</f>
        <v>489.69299999999998</v>
      </c>
      <c r="K97" s="1294">
        <f>+'P&amp;L'!K9</f>
        <v>507.80799999999999</v>
      </c>
      <c r="L97" s="1294">
        <f>+'P&amp;L'!L9</f>
        <v>505.23400000000004</v>
      </c>
      <c r="M97" s="1295">
        <f>+'P&amp;L'!M9</f>
        <v>1967.0039999999999</v>
      </c>
      <c r="N97" s="1296"/>
      <c r="O97" s="1293">
        <f>+'P&amp;L'!O9</f>
        <v>492.12900000000002</v>
      </c>
      <c r="P97" s="1294">
        <f>+'P&amp;L'!P9</f>
        <v>505.88600000000002</v>
      </c>
      <c r="Q97" s="1294">
        <f>+'P&amp;L'!Q9</f>
        <v>541.91399999999999</v>
      </c>
      <c r="R97" s="1294">
        <f>+'P&amp;L'!R9</f>
        <v>510.774</v>
      </c>
      <c r="S97" s="1295">
        <f>+'P&amp;L'!S9</f>
        <v>2050.703</v>
      </c>
      <c r="T97" s="1296"/>
      <c r="U97" s="1293">
        <f>+'P&amp;L'!U9</f>
        <v>530.89499999999998</v>
      </c>
      <c r="V97" s="1294">
        <f>+'P&amp;L'!V9</f>
        <v>548.41399999999999</v>
      </c>
      <c r="W97" s="1294">
        <f>+'P&amp;L'!W9</f>
        <v>544.01499999999999</v>
      </c>
      <c r="X97" s="1294">
        <f>+'P&amp;L'!X9</f>
        <v>524.65099999999995</v>
      </c>
      <c r="Y97" s="1295">
        <f>+'P&amp;L'!Y9</f>
        <v>2147.9749999999999</v>
      </c>
      <c r="Z97" s="1296"/>
      <c r="AA97" s="1293">
        <f>+'P&amp;L'!AA9</f>
        <v>569.58699999999999</v>
      </c>
      <c r="AB97" s="1294">
        <f>+'P&amp;L'!AB9</f>
        <v>578.21299999999997</v>
      </c>
      <c r="AC97" s="1294">
        <f>+'P&amp;L'!AC9</f>
        <v>543.77499999999998</v>
      </c>
      <c r="AD97" s="1294">
        <f>+'P&amp;L'!AD9</f>
        <v>579.86999999999989</v>
      </c>
      <c r="AE97" s="1295">
        <f>+'P&amp;L'!AE9</f>
        <v>2271.4449999999997</v>
      </c>
      <c r="AF97" s="1296"/>
      <c r="AG97" s="1293">
        <f>+'P&amp;L'!AG9</f>
        <v>569.14599999999996</v>
      </c>
      <c r="AH97" s="1294">
        <f>+'P&amp;L'!AH9</f>
        <v>575.89200000000005</v>
      </c>
      <c r="AI97" s="1294">
        <f>+'P&amp;L'!AI9</f>
        <v>605.49599999999998</v>
      </c>
      <c r="AJ97" s="1294">
        <f>+'P&amp;L'!AJ9</f>
        <v>622.61299999999994</v>
      </c>
      <c r="AK97" s="1295">
        <f>+'P&amp;L'!AK9</f>
        <v>2373.1469999999999</v>
      </c>
      <c r="AL97" s="1296"/>
      <c r="AM97" s="1293">
        <f>+'P&amp;L'!AM9</f>
        <v>603.52500000000009</v>
      </c>
      <c r="AN97" s="1294">
        <f>+'P&amp;L'!AN9</f>
        <v>586.59400000000005</v>
      </c>
      <c r="AO97" s="1294">
        <f>+'P&amp;L'!AO9</f>
        <v>615.56799999999998</v>
      </c>
      <c r="AP97" s="1294">
        <f>+'P&amp;L'!AP9</f>
        <v>640.75599999999997</v>
      </c>
      <c r="AQ97" s="1295">
        <f>+'P&amp;L'!AQ9</f>
        <v>2446.4430000000002</v>
      </c>
      <c r="AR97" s="1296"/>
      <c r="AS97" s="1293">
        <f>+'P&amp;L'!AS9</f>
        <v>598.60699999999997</v>
      </c>
      <c r="AT97" s="1294">
        <f>+'P&amp;L'!AT9</f>
        <v>677.44031200000006</v>
      </c>
      <c r="AU97" s="1294">
        <f>+'P&amp;L'!AU9</f>
        <v>771.21800000000007</v>
      </c>
      <c r="AV97" s="1294">
        <f>+'P&amp;L'!AV9</f>
        <v>786.20900000000006</v>
      </c>
      <c r="AW97" s="1295">
        <f>+'P&amp;L'!AW9</f>
        <v>2833.4743120000003</v>
      </c>
      <c r="AX97" s="1296"/>
      <c r="AY97" s="1293">
        <f>+'P&amp;L'!AY9</f>
        <v>688.33900000000006</v>
      </c>
      <c r="AZ97" s="1294">
        <f>+'P&amp;L'!AZ9</f>
        <v>718.93299999999999</v>
      </c>
      <c r="BA97" s="1294">
        <f>+'P&amp;L'!BA9</f>
        <v>696.18600000000004</v>
      </c>
      <c r="BB97" s="1294">
        <f>+'P&amp;L'!BB9</f>
        <v>746.85799999999995</v>
      </c>
      <c r="BC97" s="1295">
        <f>+'P&amp;L'!BC9</f>
        <v>2850.3159999999998</v>
      </c>
      <c r="BD97" s="1296"/>
      <c r="BE97" s="1293">
        <f>+'P&amp;L'!BE9</f>
        <v>854.62599999999998</v>
      </c>
      <c r="BF97" s="1294">
        <f>+'P&amp;L'!BF9</f>
        <v>1058.3109999999999</v>
      </c>
      <c r="BG97" s="1294">
        <f>+'P&amp;L'!BG9</f>
        <v>1060.989</v>
      </c>
      <c r="BH97" s="1294">
        <f>+'P&amp;L'!BH9</f>
        <v>1090.029</v>
      </c>
      <c r="BI97" s="1295">
        <f>+'P&amp;L'!BI9</f>
        <v>4063.9549999999999</v>
      </c>
      <c r="BJ97" s="1296"/>
      <c r="BK97" s="1293">
        <f>+'P&amp;L'!BK9</f>
        <v>1015.258</v>
      </c>
      <c r="BL97" s="1294">
        <f>+'P&amp;L'!BL9</f>
        <v>1099.2809999999999</v>
      </c>
      <c r="BM97" s="1294">
        <f>+'P&amp;L'!BM9</f>
        <v>1067.6569999999999</v>
      </c>
      <c r="BN97" s="1294">
        <f>+'P&amp;L'!BN9</f>
        <v>1109.5339999999999</v>
      </c>
      <c r="BO97" s="1295">
        <f>+'P&amp;L'!BO9</f>
        <v>4291.7299999999996</v>
      </c>
      <c r="BP97" s="1296"/>
      <c r="BQ97" s="1293">
        <f>+'P&amp;L'!BQ9</f>
        <v>1005.067</v>
      </c>
      <c r="BR97" s="1294">
        <f>+'P&amp;L'!BR9</f>
        <v>1069.9940000000001</v>
      </c>
      <c r="BS97" s="1294">
        <f>+'P&amp;L'!BS9</f>
        <v>1080.4859999999999</v>
      </c>
      <c r="BT97" s="1294">
        <f>+'P&amp;L'!BT9</f>
        <v>1140.4172967599814</v>
      </c>
      <c r="BU97" s="1295">
        <f>+'P&amp;L'!BU9</f>
        <v>4295.9642967599812</v>
      </c>
      <c r="BV97" s="1296"/>
      <c r="BW97" s="1293">
        <f>+'P&amp;L'!BW9</f>
        <v>1028.437945832821</v>
      </c>
      <c r="BX97" s="1294">
        <f>+'P&amp;L'!BX9</f>
        <v>1131.2062398070698</v>
      </c>
      <c r="BY97" s="1294">
        <f>+'P&amp;L'!BY9</f>
        <v>1111.7133186507401</v>
      </c>
      <c r="BZ97" s="1294">
        <f>+'P&amp;L'!BZ9</f>
        <v>1179.2525285314468</v>
      </c>
      <c r="CA97" s="1295">
        <f>+'P&amp;L'!CA9</f>
        <v>4450.6100328220773</v>
      </c>
      <c r="CB97" s="1296"/>
      <c r="CC97" s="1293">
        <f>+'P&amp;L'!CC9</f>
        <v>1055.1055155090776</v>
      </c>
      <c r="CD97" s="1294">
        <f>+'P&amp;L'!CD9</f>
        <v>1160.0760695448564</v>
      </c>
      <c r="CE97" s="1294">
        <f>+'P&amp;L'!CE9</f>
        <v>1142.6618372580544</v>
      </c>
      <c r="CF97" s="1294">
        <f>+'P&amp;L'!CF9</f>
        <v>1212.1794632849815</v>
      </c>
      <c r="CG97" s="1295">
        <f>+'P&amp;L'!CG9</f>
        <v>4570.0228855969699</v>
      </c>
      <c r="CH97" s="1296"/>
      <c r="CI97" s="1293">
        <f>+'P&amp;L'!CI9</f>
        <v>1088.7400623696633</v>
      </c>
      <c r="CJ97" s="1294">
        <f>+'P&amp;L'!CJ9</f>
        <v>1197.1000211009305</v>
      </c>
      <c r="CK97" s="1294">
        <f>+'P&amp;L'!CK9</f>
        <v>1179.0010339054065</v>
      </c>
      <c r="CL97" s="1294">
        <f>+'P&amp;L'!CL9</f>
        <v>1250.8251448912235</v>
      </c>
      <c r="CM97" s="1295">
        <f>+'P&amp;L'!CM9</f>
        <v>4715.6662622672238</v>
      </c>
      <c r="CN97" s="14"/>
      <c r="CO97" s="14"/>
      <c r="CP97" s="14"/>
      <c r="CX97" s="11"/>
      <c r="CY97" s="11"/>
      <c r="CZ97" s="11"/>
      <c r="DA97" s="11"/>
      <c r="DB97" s="11"/>
      <c r="DC97" s="11"/>
      <c r="DD97" s="11"/>
      <c r="DE97" s="11"/>
      <c r="DF97" s="11"/>
      <c r="DG97" s="11"/>
      <c r="DH97" s="11"/>
      <c r="DI97" s="11"/>
      <c r="DJ97" s="11"/>
      <c r="DK97" s="11"/>
      <c r="DL97" s="11"/>
      <c r="DM97" s="11"/>
      <c r="DN97" s="11"/>
      <c r="DO97" s="11"/>
      <c r="DP97" s="11"/>
      <c r="DQ97" s="11"/>
    </row>
    <row r="98" spans="1:121" ht="11.25" customHeight="1" x14ac:dyDescent="0.2">
      <c r="B98" s="1229" t="s">
        <v>376</v>
      </c>
      <c r="C98" s="1297">
        <f>+'P&amp;L'!C11</f>
        <v>153.87700000000001</v>
      </c>
      <c r="D98" s="185">
        <f>+'P&amp;L'!D11</f>
        <v>157.608</v>
      </c>
      <c r="E98" s="185">
        <f>+'P&amp;L'!E11</f>
        <v>157.58000000000001</v>
      </c>
      <c r="F98" s="185">
        <f>+'P&amp;L'!F11</f>
        <v>164.11699999999999</v>
      </c>
      <c r="G98" s="555">
        <f>+'P&amp;L'!G11</f>
        <v>633.18200000000002</v>
      </c>
      <c r="H98" s="1296"/>
      <c r="I98" s="1297">
        <f>+'P&amp;L'!I11</f>
        <v>161.92699999999999</v>
      </c>
      <c r="J98" s="185">
        <f>+'P&amp;L'!J11</f>
        <v>166.68600000000001</v>
      </c>
      <c r="K98" s="185">
        <f>+'P&amp;L'!K11</f>
        <v>172.024</v>
      </c>
      <c r="L98" s="185">
        <f>+'P&amp;L'!L11</f>
        <v>171.88499999999999</v>
      </c>
      <c r="M98" s="555">
        <f>+'P&amp;L'!M11</f>
        <v>672.52199999999993</v>
      </c>
      <c r="N98" s="1296"/>
      <c r="O98" s="1297">
        <f>+'P&amp;L'!O11</f>
        <v>172.136</v>
      </c>
      <c r="P98" s="185">
        <f>+'P&amp;L'!P11</f>
        <v>170.97300000000001</v>
      </c>
      <c r="Q98" s="185">
        <f>+'P&amp;L'!Q11</f>
        <v>177.56700000000001</v>
      </c>
      <c r="R98" s="185">
        <f>+'P&amp;L'!R11</f>
        <v>176.62200000000001</v>
      </c>
      <c r="S98" s="555">
        <f>+'P&amp;L'!S11</f>
        <v>697.298</v>
      </c>
      <c r="T98" s="1296"/>
      <c r="U98" s="1297">
        <f>+'P&amp;L'!U11</f>
        <v>181.89400000000001</v>
      </c>
      <c r="V98" s="185">
        <f>+'P&amp;L'!V11</f>
        <v>182.05099999999999</v>
      </c>
      <c r="W98" s="185">
        <f>+'P&amp;L'!W11</f>
        <v>182.30199999999999</v>
      </c>
      <c r="X98" s="185">
        <f>+'P&amp;L'!X11</f>
        <v>187.863</v>
      </c>
      <c r="Y98" s="555">
        <f>+'P&amp;L'!Y11</f>
        <v>734.1099999999999</v>
      </c>
      <c r="Z98" s="1296"/>
      <c r="AA98" s="1297">
        <f>+'P&amp;L'!AA11</f>
        <v>191.17599999999999</v>
      </c>
      <c r="AB98" s="185">
        <f>+'P&amp;L'!AB11</f>
        <v>189.04900000000001</v>
      </c>
      <c r="AC98" s="185">
        <f>+'P&amp;L'!AC11</f>
        <v>188.16800000000001</v>
      </c>
      <c r="AD98" s="185">
        <f>+'P&amp;L'!AD11</f>
        <v>199.82400000000001</v>
      </c>
      <c r="AE98" s="555">
        <f>+'P&amp;L'!AE11</f>
        <v>768.2170000000001</v>
      </c>
      <c r="AF98" s="1296"/>
      <c r="AG98" s="1297">
        <f>+'P&amp;L'!AG11</f>
        <v>196.28299999999999</v>
      </c>
      <c r="AH98" s="185">
        <f>+'P&amp;L'!AH11</f>
        <v>197.72399999999999</v>
      </c>
      <c r="AI98" s="185">
        <f>+'P&amp;L'!AI11</f>
        <v>199.62799999999999</v>
      </c>
      <c r="AJ98" s="185">
        <f>+'P&amp;L'!AJ11</f>
        <v>210.87</v>
      </c>
      <c r="AK98" s="555">
        <f>+'P&amp;L'!AK11</f>
        <v>804.505</v>
      </c>
      <c r="AL98" s="1296"/>
      <c r="AM98" s="1297">
        <f>+'P&amp;L'!AM11</f>
        <v>203.108</v>
      </c>
      <c r="AN98" s="185">
        <f>+'P&amp;L'!AN11</f>
        <v>202.73</v>
      </c>
      <c r="AO98" s="185">
        <f>+'P&amp;L'!AO11</f>
        <v>210.755</v>
      </c>
      <c r="AP98" s="185">
        <f>+'P&amp;L'!AP11</f>
        <v>219.721</v>
      </c>
      <c r="AQ98" s="555">
        <f>+'P&amp;L'!AQ11</f>
        <v>836.31399999999996</v>
      </c>
      <c r="AR98" s="1296"/>
      <c r="AS98" s="1297">
        <f>+'P&amp;L'!AS11</f>
        <v>200.23699999999999</v>
      </c>
      <c r="AT98" s="185">
        <f>+'P&amp;L'!AT11</f>
        <v>232.18701199999998</v>
      </c>
      <c r="AU98" s="185">
        <f>+'P&amp;L'!AU11</f>
        <v>213.72732100000002</v>
      </c>
      <c r="AV98" s="185">
        <f>+'P&amp;L'!AV11</f>
        <v>216.654538</v>
      </c>
      <c r="AW98" s="555">
        <f>+'P&amp;L'!AW11</f>
        <v>862.80587100000002</v>
      </c>
      <c r="AX98" s="1296"/>
      <c r="AY98" s="1297">
        <f>+'P&amp;L'!AY11</f>
        <v>181.88800000000001</v>
      </c>
      <c r="AZ98" s="185">
        <f>+'P&amp;L'!AZ11</f>
        <v>184.411</v>
      </c>
      <c r="BA98" s="185">
        <f>+'P&amp;L'!BA11</f>
        <v>182.29400000000001</v>
      </c>
      <c r="BB98" s="185">
        <f>+'P&amp;L'!BB11</f>
        <v>194.81700000000001</v>
      </c>
      <c r="BC98" s="555">
        <f>+'P&amp;L'!BC11</f>
        <v>743.41</v>
      </c>
      <c r="BD98" s="1296"/>
      <c r="BE98" s="1297">
        <f>+'P&amp;L'!BE11</f>
        <v>205.268</v>
      </c>
      <c r="BF98" s="185">
        <f>+'P&amp;L'!BF11</f>
        <v>233.66800000000001</v>
      </c>
      <c r="BG98" s="185">
        <f>+'P&amp;L'!BG11</f>
        <v>231.527323</v>
      </c>
      <c r="BH98" s="185">
        <f>+'P&amp;L'!BH11</f>
        <v>244.09906999999998</v>
      </c>
      <c r="BI98" s="555">
        <f>+'P&amp;L'!BI11</f>
        <v>914.56239300000004</v>
      </c>
      <c r="BJ98" s="1296"/>
      <c r="BK98" s="1297">
        <f>+'P&amp;L'!BK11</f>
        <v>236.52599999999998</v>
      </c>
      <c r="BL98" s="185">
        <f>+'P&amp;L'!BL11</f>
        <v>227.21</v>
      </c>
      <c r="BM98" s="185">
        <f>+'P&amp;L'!BM11</f>
        <v>236.08299999999997</v>
      </c>
      <c r="BN98" s="185">
        <f>+'P&amp;L'!BN11</f>
        <v>229.16299999999998</v>
      </c>
      <c r="BO98" s="555">
        <f>+'P&amp;L'!BO11</f>
        <v>928.98199999999997</v>
      </c>
      <c r="BP98" s="1296"/>
      <c r="BQ98" s="1297">
        <f>+'P&amp;L'!BQ11</f>
        <v>225.679</v>
      </c>
      <c r="BR98" s="185">
        <f>+'P&amp;L'!BR11</f>
        <v>232.63600000000002</v>
      </c>
      <c r="BS98" s="185">
        <f>+'P&amp;L'!BS11</f>
        <v>234.99799999999999</v>
      </c>
      <c r="BT98" s="185">
        <f>+'P&amp;L'!BT11</f>
        <v>245.06567164904683</v>
      </c>
      <c r="BU98" s="555">
        <f>+'P&amp;L'!BU11</f>
        <v>938.37867164904696</v>
      </c>
      <c r="BV98" s="1296"/>
      <c r="BW98" s="1297">
        <f>+'P&amp;L'!BW11</f>
        <v>229.38434225</v>
      </c>
      <c r="BX98" s="185">
        <f>+'P&amp;L'!BX11</f>
        <v>243.50296460000004</v>
      </c>
      <c r="BY98" s="185">
        <f>+'P&amp;L'!BY11</f>
        <v>239.95195474239048</v>
      </c>
      <c r="BZ98" s="185">
        <f>+'P&amp;L'!BZ11</f>
        <v>252.85227681257368</v>
      </c>
      <c r="CA98" s="555">
        <f>+'P&amp;L'!CA11</f>
        <v>965.69153840496426</v>
      </c>
      <c r="CB98" s="1296"/>
      <c r="CC98" s="1297">
        <f>+'P&amp;L'!CC11</f>
        <v>233.740955028</v>
      </c>
      <c r="CD98" s="185">
        <f>+'P&amp;L'!CD11</f>
        <v>247.9811351381</v>
      </c>
      <c r="CE98" s="185">
        <f>+'P&amp;L'!CE11</f>
        <v>244.90034635037145</v>
      </c>
      <c r="CF98" s="185">
        <f>+'P&amp;L'!CF11</f>
        <v>258.09597731615582</v>
      </c>
      <c r="CG98" s="555">
        <f>+'P&amp;L'!CG11</f>
        <v>984.71841383262722</v>
      </c>
      <c r="CH98" s="1296"/>
      <c r="CI98" s="1297">
        <f>+'P&amp;L'!CI11</f>
        <v>238.67717406839799</v>
      </c>
      <c r="CJ98" s="185">
        <f>+'P&amp;L'!CJ11</f>
        <v>253.18754948390404</v>
      </c>
      <c r="CK98" s="185">
        <f>+'P&amp;L'!CK11</f>
        <v>249.96801188046413</v>
      </c>
      <c r="CL98" s="185">
        <f>+'P&amp;L'!CL11</f>
        <v>263.46649376601789</v>
      </c>
      <c r="CM98" s="555">
        <f>+'P&amp;L'!CM11</f>
        <v>1005.2992291987841</v>
      </c>
      <c r="CN98" s="14"/>
      <c r="CO98" s="14"/>
      <c r="CP98" s="14"/>
      <c r="CX98" s="11"/>
      <c r="CY98" s="11"/>
      <c r="CZ98" s="11"/>
      <c r="DA98" s="11"/>
      <c r="DB98" s="11"/>
      <c r="DC98" s="11"/>
      <c r="DD98" s="11"/>
      <c r="DE98" s="11"/>
      <c r="DF98" s="11"/>
      <c r="DG98" s="11"/>
      <c r="DH98" s="11"/>
      <c r="DI98" s="11"/>
      <c r="DJ98" s="11"/>
      <c r="DK98" s="11"/>
      <c r="DL98" s="11"/>
      <c r="DM98" s="11"/>
      <c r="DN98" s="11"/>
      <c r="DO98" s="11"/>
      <c r="DP98" s="11"/>
      <c r="DQ98" s="11"/>
    </row>
    <row r="99" spans="1:121" ht="11.25" customHeight="1" x14ac:dyDescent="0.2">
      <c r="B99" s="1229" t="s">
        <v>571</v>
      </c>
      <c r="C99" s="1290">
        <f>+C97+C98</f>
        <v>586.95100000000002</v>
      </c>
      <c r="D99" s="199">
        <f>+D97+D98</f>
        <v>616.25199999999995</v>
      </c>
      <c r="E99" s="199">
        <f t="shared" ref="E99:G99" si="68">+E97+E98</f>
        <v>616.80799999999999</v>
      </c>
      <c r="F99" s="199">
        <f t="shared" si="68"/>
        <v>642.697</v>
      </c>
      <c r="G99" s="695">
        <f t="shared" si="68"/>
        <v>2462.7080000000005</v>
      </c>
      <c r="H99" s="873"/>
      <c r="I99" s="1290">
        <f>+I97+I98</f>
        <v>626.19600000000003</v>
      </c>
      <c r="J99" s="199">
        <f t="shared" ref="J99:M99" si="69">+J97+J98</f>
        <v>656.37900000000002</v>
      </c>
      <c r="K99" s="199">
        <f t="shared" si="69"/>
        <v>679.83199999999999</v>
      </c>
      <c r="L99" s="199">
        <f t="shared" si="69"/>
        <v>677.11900000000003</v>
      </c>
      <c r="M99" s="695">
        <f t="shared" si="69"/>
        <v>2639.5259999999998</v>
      </c>
      <c r="N99" s="873"/>
      <c r="O99" s="1290">
        <f>+O97+O98</f>
        <v>664.26499999999999</v>
      </c>
      <c r="P99" s="199">
        <f t="shared" ref="P99:S99" si="70">+P97+P98</f>
        <v>676.85900000000004</v>
      </c>
      <c r="Q99" s="199">
        <f t="shared" si="70"/>
        <v>719.48099999999999</v>
      </c>
      <c r="R99" s="199">
        <f t="shared" si="70"/>
        <v>687.39599999999996</v>
      </c>
      <c r="S99" s="695">
        <f t="shared" si="70"/>
        <v>2748.0010000000002</v>
      </c>
      <c r="T99" s="873"/>
      <c r="U99" s="1290">
        <f>+U97+U98</f>
        <v>712.78899999999999</v>
      </c>
      <c r="V99" s="199">
        <f t="shared" ref="V99:Y99" si="71">+V97+V98</f>
        <v>730.46499999999992</v>
      </c>
      <c r="W99" s="199">
        <f t="shared" si="71"/>
        <v>726.31700000000001</v>
      </c>
      <c r="X99" s="199">
        <f t="shared" si="71"/>
        <v>712.5139999999999</v>
      </c>
      <c r="Y99" s="695">
        <f t="shared" si="71"/>
        <v>2882.085</v>
      </c>
      <c r="Z99" s="873"/>
      <c r="AA99" s="1290">
        <f>+AA97+AA98</f>
        <v>760.76299999999992</v>
      </c>
      <c r="AB99" s="199">
        <f t="shared" ref="AB99:AE99" si="72">+AB97+AB98</f>
        <v>767.26199999999994</v>
      </c>
      <c r="AC99" s="199">
        <f t="shared" si="72"/>
        <v>731.94299999999998</v>
      </c>
      <c r="AD99" s="199">
        <f t="shared" si="72"/>
        <v>779.69399999999996</v>
      </c>
      <c r="AE99" s="695">
        <f t="shared" si="72"/>
        <v>3039.6619999999998</v>
      </c>
      <c r="AF99" s="873"/>
      <c r="AG99" s="1290">
        <f>+AG97+AG98</f>
        <v>765.42899999999997</v>
      </c>
      <c r="AH99" s="199">
        <f t="shared" ref="AH99:AK99" si="73">+AH97+AH98</f>
        <v>773.61599999999999</v>
      </c>
      <c r="AI99" s="199">
        <f t="shared" si="73"/>
        <v>805.12400000000002</v>
      </c>
      <c r="AJ99" s="199">
        <f t="shared" si="73"/>
        <v>833.48299999999995</v>
      </c>
      <c r="AK99" s="695">
        <f t="shared" si="73"/>
        <v>3177.652</v>
      </c>
      <c r="AL99" s="873"/>
      <c r="AM99" s="1290">
        <f>+AM97+AM98</f>
        <v>806.63300000000004</v>
      </c>
      <c r="AN99" s="199">
        <f t="shared" ref="AN99:AQ99" si="74">+AN97+AN98</f>
        <v>789.32400000000007</v>
      </c>
      <c r="AO99" s="199">
        <f t="shared" si="74"/>
        <v>826.32299999999998</v>
      </c>
      <c r="AP99" s="199">
        <f t="shared" si="74"/>
        <v>860.47699999999998</v>
      </c>
      <c r="AQ99" s="695">
        <f t="shared" si="74"/>
        <v>3282.7570000000001</v>
      </c>
      <c r="AR99" s="873"/>
      <c r="AS99" s="1290">
        <f>+AS97+AS98</f>
        <v>798.84399999999994</v>
      </c>
      <c r="AT99" s="199">
        <f t="shared" ref="AT99:AW99" si="75">+AT97+AT98</f>
        <v>909.62732400000004</v>
      </c>
      <c r="AU99" s="199">
        <f t="shared" si="75"/>
        <v>984.94532100000015</v>
      </c>
      <c r="AV99" s="199">
        <f t="shared" si="75"/>
        <v>1002.8635380000001</v>
      </c>
      <c r="AW99" s="695">
        <f t="shared" si="75"/>
        <v>3696.2801830000003</v>
      </c>
      <c r="AX99" s="873"/>
      <c r="AY99" s="1290">
        <f>+AY97+AY98</f>
        <v>870.22700000000009</v>
      </c>
      <c r="AZ99" s="199">
        <f t="shared" ref="AZ99:BC99" si="76">+AZ97+AZ98</f>
        <v>903.34400000000005</v>
      </c>
      <c r="BA99" s="199">
        <f t="shared" si="76"/>
        <v>878.48</v>
      </c>
      <c r="BB99" s="199">
        <f t="shared" si="76"/>
        <v>941.67499999999995</v>
      </c>
      <c r="BC99" s="695">
        <f t="shared" si="76"/>
        <v>3593.7259999999997</v>
      </c>
      <c r="BD99" s="873"/>
      <c r="BE99" s="1290">
        <f>+BE97+BE98</f>
        <v>1059.894</v>
      </c>
      <c r="BF99" s="199">
        <f t="shared" ref="BF99:BI99" si="77">+BF97+BF98</f>
        <v>1291.9789999999998</v>
      </c>
      <c r="BG99" s="199">
        <f t="shared" si="77"/>
        <v>1292.5163230000001</v>
      </c>
      <c r="BH99" s="199">
        <f t="shared" si="77"/>
        <v>1334.12807</v>
      </c>
      <c r="BI99" s="695">
        <f t="shared" si="77"/>
        <v>4978.5173930000001</v>
      </c>
      <c r="BJ99" s="873"/>
      <c r="BK99" s="1290">
        <f>+BK97+BK98</f>
        <v>1251.7840000000001</v>
      </c>
      <c r="BL99" s="199">
        <f t="shared" ref="BL99:BO99" si="78">+BL97+BL98</f>
        <v>1326.491</v>
      </c>
      <c r="BM99" s="199">
        <f t="shared" si="78"/>
        <v>1303.7399999999998</v>
      </c>
      <c r="BN99" s="199">
        <f t="shared" si="78"/>
        <v>1338.6969999999999</v>
      </c>
      <c r="BO99" s="695">
        <f t="shared" si="78"/>
        <v>5220.7119999999995</v>
      </c>
      <c r="BP99" s="873"/>
      <c r="BQ99" s="1290">
        <f>+BQ97+BQ98</f>
        <v>1230.7460000000001</v>
      </c>
      <c r="BR99" s="199">
        <f t="shared" ref="BR99:BU99" si="79">+BR97+BR98</f>
        <v>1302.6300000000001</v>
      </c>
      <c r="BS99" s="199">
        <f t="shared" ref="BS99" si="80">+BS97+BS98</f>
        <v>1315.4839999999999</v>
      </c>
      <c r="BT99" s="199">
        <f t="shared" si="79"/>
        <v>1385.4829684090282</v>
      </c>
      <c r="BU99" s="695">
        <f t="shared" si="79"/>
        <v>5234.3429684090279</v>
      </c>
      <c r="BV99" s="873"/>
      <c r="BW99" s="1290">
        <f t="shared" ref="BW99:CA99" si="81">+BW97+BW98</f>
        <v>1257.8222880828209</v>
      </c>
      <c r="BX99" s="199">
        <f t="shared" si="81"/>
        <v>1374.7092044070698</v>
      </c>
      <c r="BY99" s="199">
        <f t="shared" si="81"/>
        <v>1351.6652733931305</v>
      </c>
      <c r="BZ99" s="199">
        <f t="shared" si="81"/>
        <v>1432.1048053440204</v>
      </c>
      <c r="CA99" s="695">
        <f t="shared" si="81"/>
        <v>5416.3015712270417</v>
      </c>
      <c r="CB99" s="873"/>
      <c r="CC99" s="1290">
        <f t="shared" ref="CC99:CG99" si="82">+CC97+CC98</f>
        <v>1288.8464705370775</v>
      </c>
      <c r="CD99" s="199">
        <f t="shared" si="82"/>
        <v>1408.0572046829564</v>
      </c>
      <c r="CE99" s="199">
        <f t="shared" si="82"/>
        <v>1387.5621836084258</v>
      </c>
      <c r="CF99" s="199">
        <f t="shared" si="82"/>
        <v>1470.2754406011372</v>
      </c>
      <c r="CG99" s="695">
        <f t="shared" si="82"/>
        <v>5554.7412994295973</v>
      </c>
      <c r="CH99" s="873"/>
      <c r="CI99" s="1290">
        <f t="shared" ref="CI99:CM99" si="83">+CI97+CI98</f>
        <v>1327.4172364380613</v>
      </c>
      <c r="CJ99" s="199">
        <f t="shared" si="83"/>
        <v>1450.2875705848346</v>
      </c>
      <c r="CK99" s="199">
        <f t="shared" si="83"/>
        <v>1428.9690457858705</v>
      </c>
      <c r="CL99" s="199">
        <f t="shared" si="83"/>
        <v>1514.2916386572415</v>
      </c>
      <c r="CM99" s="695">
        <f t="shared" si="83"/>
        <v>5720.9654914660077</v>
      </c>
      <c r="CN99" s="11"/>
      <c r="CO99" s="11"/>
      <c r="CP99" s="11"/>
      <c r="CX99" s="11"/>
      <c r="CY99" s="11"/>
      <c r="CZ99" s="11"/>
      <c r="DA99" s="11"/>
      <c r="DB99" s="11"/>
      <c r="DC99" s="11"/>
      <c r="DD99" s="11"/>
      <c r="DE99" s="11"/>
      <c r="DF99" s="11"/>
      <c r="DG99" s="11"/>
      <c r="DH99" s="11"/>
      <c r="DI99" s="11"/>
      <c r="DJ99" s="11"/>
      <c r="DK99" s="11"/>
      <c r="DL99" s="11"/>
      <c r="DM99" s="11"/>
      <c r="DN99" s="11"/>
      <c r="DO99" s="11"/>
      <c r="DP99" s="11"/>
      <c r="DQ99" s="11"/>
    </row>
    <row r="100" spans="1:121" ht="11.25" customHeight="1" x14ac:dyDescent="0.2">
      <c r="B100" s="1229" t="s">
        <v>572</v>
      </c>
      <c r="C100" s="1290">
        <f>+C14</f>
        <v>2.0680000000000001</v>
      </c>
      <c r="D100" s="199">
        <f>+D14</f>
        <v>1.9970000000000003</v>
      </c>
      <c r="E100" s="199">
        <f>+E14</f>
        <v>1.8159999999999998</v>
      </c>
      <c r="F100" s="199">
        <f>+F14</f>
        <v>1.8759999999999994</v>
      </c>
      <c r="G100" s="695">
        <f>+G14</f>
        <v>7.7569999999999997</v>
      </c>
      <c r="H100" s="873"/>
      <c r="I100" s="1290">
        <f>+I14</f>
        <v>1.9690000000000001</v>
      </c>
      <c r="J100" s="199">
        <f>+J14</f>
        <v>2.0090000000000003</v>
      </c>
      <c r="K100" s="199">
        <f>+K14</f>
        <v>1.9759999999999993</v>
      </c>
      <c r="L100" s="199">
        <f>+L14</f>
        <v>1.7690000000000003</v>
      </c>
      <c r="M100" s="695">
        <f>+M14</f>
        <v>7.7229999999999999</v>
      </c>
      <c r="N100" s="873"/>
      <c r="O100" s="1290">
        <f>+O14</f>
        <v>1.962</v>
      </c>
      <c r="P100" s="199">
        <f>+P14</f>
        <v>1.9760000000000002</v>
      </c>
      <c r="Q100" s="199">
        <f>+Q14</f>
        <v>1.8619999999999999</v>
      </c>
      <c r="R100" s="199">
        <f>+R14</f>
        <v>1.9300000000000004</v>
      </c>
      <c r="S100" s="695">
        <f>+S14</f>
        <v>7.73</v>
      </c>
      <c r="T100" s="873"/>
      <c r="U100" s="1290">
        <f>+U14</f>
        <v>2.23</v>
      </c>
      <c r="V100" s="199">
        <f>+V14</f>
        <v>2.1670000000000003</v>
      </c>
      <c r="W100" s="199">
        <f>+W14</f>
        <v>2.2210000000000005</v>
      </c>
      <c r="X100" s="199">
        <f>+X14</f>
        <v>2.2080000000000006</v>
      </c>
      <c r="Y100" s="695">
        <f>+Y14</f>
        <v>8.8260000000000005</v>
      </c>
      <c r="Z100" s="873"/>
      <c r="AA100" s="1290">
        <f>+AA14</f>
        <v>3.194</v>
      </c>
      <c r="AB100" s="199">
        <f>+AB14</f>
        <v>3.1449999999999996</v>
      </c>
      <c r="AC100" s="199">
        <f>+AC14</f>
        <v>3.1469999999999994</v>
      </c>
      <c r="AD100" s="199">
        <f>+AD14</f>
        <v>3.1079999999999997</v>
      </c>
      <c r="AE100" s="695">
        <f>+AE14</f>
        <v>12.593999999999998</v>
      </c>
      <c r="AF100" s="873"/>
      <c r="AG100" s="1290">
        <f>+AG14</f>
        <v>8.8800000000000008</v>
      </c>
      <c r="AH100" s="199">
        <f>+AH14</f>
        <v>-2.2120000000000006</v>
      </c>
      <c r="AI100" s="199">
        <f>+AI14</f>
        <v>3.3040000000000003</v>
      </c>
      <c r="AJ100" s="199">
        <f>+AJ14</f>
        <v>3.3989999999999991</v>
      </c>
      <c r="AK100" s="695">
        <f>+AK14</f>
        <v>13.371</v>
      </c>
      <c r="AL100" s="873"/>
      <c r="AM100" s="1290">
        <f>+AM14</f>
        <v>9.4380000000000006</v>
      </c>
      <c r="AN100" s="199">
        <f>+AN14</f>
        <v>9.418000000000001</v>
      </c>
      <c r="AO100" s="199">
        <f>+AO14</f>
        <v>9.229000000000001</v>
      </c>
      <c r="AP100" s="199">
        <f>+AP14</f>
        <v>7.1169999999999991</v>
      </c>
      <c r="AQ100" s="695">
        <f>+AQ14</f>
        <v>35.201999999999998</v>
      </c>
      <c r="AR100" s="873"/>
      <c r="AS100" s="1290">
        <f>+AS14</f>
        <v>4.4619999999999997</v>
      </c>
      <c r="AT100" s="199">
        <f>+AT14</f>
        <v>9.1059999999999999</v>
      </c>
      <c r="AU100" s="199">
        <f>+AU14</f>
        <v>1.2720000000000002</v>
      </c>
      <c r="AV100" s="199">
        <f>+AV14</f>
        <v>5.1780000000000026</v>
      </c>
      <c r="AW100" s="695">
        <f>+AW14</f>
        <v>20.018000000000001</v>
      </c>
      <c r="AX100" s="873"/>
      <c r="AY100" s="1290">
        <f>+AY14</f>
        <v>6.4119999999999999</v>
      </c>
      <c r="AZ100" s="199">
        <f>+AZ14</f>
        <v>5.5279999999999996</v>
      </c>
      <c r="BA100" s="199">
        <f>+BA14</f>
        <v>6.0000000000000027</v>
      </c>
      <c r="BB100" s="199">
        <f>+BB14</f>
        <v>5.1299999999999981</v>
      </c>
      <c r="BC100" s="695">
        <f>+BC14</f>
        <v>23.07</v>
      </c>
      <c r="BD100" s="873"/>
      <c r="BE100" s="1290">
        <f>+BE14</f>
        <v>6.9649999999999999</v>
      </c>
      <c r="BF100" s="199">
        <f>+BF14</f>
        <v>6.5760000000000005</v>
      </c>
      <c r="BG100" s="199">
        <f>+BG14</f>
        <v>7.0459999999999994</v>
      </c>
      <c r="BH100" s="199">
        <f>+BH14</f>
        <v>8.2639999999999993</v>
      </c>
      <c r="BI100" s="695">
        <f>+SUM(BE100:BH100)</f>
        <v>28.850999999999999</v>
      </c>
      <c r="BJ100" s="873"/>
      <c r="BK100" s="1290">
        <f>+BK14</f>
        <v>9.1839999999999993</v>
      </c>
      <c r="BL100" s="199">
        <f>+BL14</f>
        <v>5.5090000000000003</v>
      </c>
      <c r="BM100" s="199">
        <f>+BM14</f>
        <v>2.5610000000000017</v>
      </c>
      <c r="BN100" s="199">
        <f>+BN14</f>
        <v>1.7709999999999972</v>
      </c>
      <c r="BO100" s="695">
        <f>+SUM(BK100:BN100)</f>
        <v>19.024999999999999</v>
      </c>
      <c r="BP100" s="873"/>
      <c r="BQ100" s="1290">
        <f>+BQ14</f>
        <v>8.6560000000000006</v>
      </c>
      <c r="BR100" s="199">
        <f>+BR14</f>
        <v>7.979000000000001</v>
      </c>
      <c r="BS100" s="199">
        <f>+BS14</f>
        <v>6.3639999999999972</v>
      </c>
      <c r="BT100" s="199">
        <f t="shared" ref="BS100:BT100" si="84">+BT99*BT101</f>
        <v>6.7026384288634846</v>
      </c>
      <c r="BU100" s="695">
        <f>+SUM(BQ100:BT100)</f>
        <v>29.701638428863482</v>
      </c>
      <c r="BV100" s="873"/>
      <c r="BW100" s="1290">
        <f t="shared" ref="BW100:BZ100" si="85">+BW99*BW101</f>
        <v>7.546933728496926</v>
      </c>
      <c r="BX100" s="199">
        <f t="shared" si="85"/>
        <v>8.2482552264424189</v>
      </c>
      <c r="BY100" s="199">
        <f t="shared" si="85"/>
        <v>8.1099916403587837</v>
      </c>
      <c r="BZ100" s="199">
        <f t="shared" si="85"/>
        <v>8.592628832064122</v>
      </c>
      <c r="CA100" s="695">
        <f>+SUM(BW100:BZ100)</f>
        <v>32.497809427362249</v>
      </c>
      <c r="CB100" s="873"/>
      <c r="CC100" s="1290">
        <f t="shared" ref="CC100:CF100" si="86">+CC99*CC101</f>
        <v>7.7330788232224652</v>
      </c>
      <c r="CD100" s="199">
        <f t="shared" si="86"/>
        <v>8.4483432280977375</v>
      </c>
      <c r="CE100" s="199">
        <f t="shared" si="86"/>
        <v>8.3253731016505554</v>
      </c>
      <c r="CF100" s="199">
        <f t="shared" si="86"/>
        <v>8.8216526436068232</v>
      </c>
      <c r="CG100" s="695">
        <f>+SUM(CC100:CF100)</f>
        <v>33.328447796577585</v>
      </c>
      <c r="CH100" s="873"/>
      <c r="CI100" s="1290">
        <f t="shared" ref="CI100:CL100" si="87">+CI99*CI101</f>
        <v>7.9645034186283681</v>
      </c>
      <c r="CJ100" s="199">
        <f t="shared" si="87"/>
        <v>8.7017254235090071</v>
      </c>
      <c r="CK100" s="199">
        <f t="shared" si="87"/>
        <v>8.5738142747152235</v>
      </c>
      <c r="CL100" s="199">
        <f t="shared" si="87"/>
        <v>9.0857498319434491</v>
      </c>
      <c r="CM100" s="695">
        <f>+SUM(CI100:CL100)</f>
        <v>34.32579294879605</v>
      </c>
      <c r="CN100" s="11"/>
      <c r="CO100" s="11"/>
      <c r="CP100" s="11"/>
      <c r="CX100" s="11"/>
      <c r="CY100" s="11"/>
      <c r="CZ100" s="11"/>
      <c r="DA100" s="11"/>
      <c r="DB100" s="11"/>
      <c r="DC100" s="11"/>
      <c r="DD100" s="11"/>
      <c r="DE100" s="11"/>
      <c r="DF100" s="11"/>
      <c r="DG100" s="11"/>
      <c r="DH100" s="11"/>
      <c r="DI100" s="11"/>
      <c r="DJ100" s="11"/>
      <c r="DK100" s="11"/>
      <c r="DL100" s="11"/>
      <c r="DM100" s="11"/>
      <c r="DN100" s="11"/>
      <c r="DO100" s="11"/>
      <c r="DP100" s="11"/>
      <c r="DQ100" s="11"/>
    </row>
    <row r="101" spans="1:121" ht="11.25" customHeight="1" x14ac:dyDescent="0.2">
      <c r="B101" s="659" t="s">
        <v>573</v>
      </c>
      <c r="C101" s="808">
        <f>+C100/C99</f>
        <v>3.5232924043063218E-3</v>
      </c>
      <c r="D101" s="809">
        <f>+D100/D99</f>
        <v>3.24055743429636E-3</v>
      </c>
      <c r="E101" s="809">
        <f>+E100/E99</f>
        <v>2.9441900883257024E-3</v>
      </c>
      <c r="F101" s="809">
        <f>+F100/F99</f>
        <v>2.9189493649417991E-3</v>
      </c>
      <c r="G101" s="810">
        <f>+G100/G99</f>
        <v>3.1497847085403541E-3</v>
      </c>
      <c r="H101" s="873"/>
      <c r="I101" s="808">
        <f>+I100/I99</f>
        <v>3.1443829088655946E-3</v>
      </c>
      <c r="J101" s="809">
        <f t="shared" ref="J101:M101" si="88">+J100/J99</f>
        <v>3.0607316809343386E-3</v>
      </c>
      <c r="K101" s="809">
        <f t="shared" si="88"/>
        <v>2.9066004542298678E-3</v>
      </c>
      <c r="L101" s="809">
        <f t="shared" si="88"/>
        <v>2.6125393025450477E-3</v>
      </c>
      <c r="M101" s="810">
        <f t="shared" si="88"/>
        <v>2.925904120664089E-3</v>
      </c>
      <c r="N101" s="873"/>
      <c r="O101" s="808">
        <f>+O100/O99</f>
        <v>2.9536404898647377E-3</v>
      </c>
      <c r="P101" s="809">
        <f t="shared" ref="P101:S101" si="89">+P100/P99</f>
        <v>2.9193672537411782E-3</v>
      </c>
      <c r="Q101" s="809">
        <f t="shared" si="89"/>
        <v>2.5879766109181477E-3</v>
      </c>
      <c r="R101" s="809">
        <f t="shared" si="89"/>
        <v>2.8076974553241517E-3</v>
      </c>
      <c r="S101" s="810">
        <f t="shared" si="89"/>
        <v>2.8129538526368804E-3</v>
      </c>
      <c r="T101" s="873"/>
      <c r="U101" s="808">
        <f>+U100/U99</f>
        <v>3.128555575352594E-3</v>
      </c>
      <c r="V101" s="809">
        <f t="shared" ref="V101:Y101" si="90">+V100/V99</f>
        <v>2.9666034649161841E-3</v>
      </c>
      <c r="W101" s="809">
        <f t="shared" si="90"/>
        <v>3.0578934542355479E-3</v>
      </c>
      <c r="X101" s="809">
        <f t="shared" si="90"/>
        <v>3.0988864780200822E-3</v>
      </c>
      <c r="Y101" s="810">
        <f t="shared" si="90"/>
        <v>3.0623663077251366E-3</v>
      </c>
      <c r="Z101" s="873"/>
      <c r="AA101" s="808">
        <f>+AA100/AA99</f>
        <v>4.1984165896606441E-3</v>
      </c>
      <c r="AB101" s="809">
        <f t="shared" ref="AB101:AE101" si="91">+AB100/AB99</f>
        <v>4.0989909574565137E-3</v>
      </c>
      <c r="AC101" s="809">
        <f t="shared" si="91"/>
        <v>4.2995151261778575E-3</v>
      </c>
      <c r="AD101" s="809">
        <f t="shared" si="91"/>
        <v>3.9861791933758625E-3</v>
      </c>
      <c r="AE101" s="810">
        <f t="shared" si="91"/>
        <v>4.143223818964082E-3</v>
      </c>
      <c r="AF101" s="873"/>
      <c r="AG101" s="808">
        <f>+AG100/AG99</f>
        <v>1.1601337289284834E-2</v>
      </c>
      <c r="AH101" s="809">
        <f t="shared" ref="AH101:AK101" si="92">+AH100/AH99</f>
        <v>-2.8592997042460352E-3</v>
      </c>
      <c r="AI101" s="809">
        <f t="shared" si="92"/>
        <v>4.1037157009355084E-3</v>
      </c>
      <c r="AJ101" s="809">
        <f t="shared" si="92"/>
        <v>4.0780675790627998E-3</v>
      </c>
      <c r="AK101" s="810">
        <f t="shared" si="92"/>
        <v>4.2078238900924332E-3</v>
      </c>
      <c r="AL101" s="873"/>
      <c r="AM101" s="808">
        <f>+AM100/AM99</f>
        <v>1.170048832616568E-2</v>
      </c>
      <c r="AN101" s="809">
        <f t="shared" ref="AN101:AQ101" si="93">+AN100/AN99</f>
        <v>1.1931728922470367E-2</v>
      </c>
      <c r="AO101" s="809">
        <f t="shared" si="93"/>
        <v>1.1168756043338987E-2</v>
      </c>
      <c r="AP101" s="809">
        <f t="shared" si="93"/>
        <v>8.2709938789764272E-3</v>
      </c>
      <c r="AQ101" s="810">
        <f t="shared" si="93"/>
        <v>1.072330361339569E-2</v>
      </c>
      <c r="AR101" s="873"/>
      <c r="AS101" s="808">
        <f>+AS100/AS99</f>
        <v>5.5855711503122012E-3</v>
      </c>
      <c r="AT101" s="809">
        <f t="shared" ref="AT101:AW101" si="94">+AT100/AT99</f>
        <v>1.0010693126452299E-2</v>
      </c>
      <c r="AU101" s="809">
        <f t="shared" si="94"/>
        <v>1.2914422484981783E-3</v>
      </c>
      <c r="AV101" s="809">
        <f t="shared" si="94"/>
        <v>5.1632149378233773E-3</v>
      </c>
      <c r="AW101" s="810">
        <f t="shared" si="94"/>
        <v>5.4157149915385616E-3</v>
      </c>
      <c r="AX101" s="873"/>
      <c r="AY101" s="808">
        <f>+AY100/AY99</f>
        <v>7.3681924371457094E-3</v>
      </c>
      <c r="AZ101" s="809">
        <f t="shared" ref="AZ101:BC101" si="95">+AZ100/AZ99</f>
        <v>6.1194849359712351E-3</v>
      </c>
      <c r="BA101" s="809">
        <f t="shared" si="95"/>
        <v>6.829979054730902E-3</v>
      </c>
      <c r="BB101" s="809">
        <f t="shared" si="95"/>
        <v>5.4477394005362769E-3</v>
      </c>
      <c r="BC101" s="810">
        <f t="shared" si="95"/>
        <v>6.4195211321063442E-3</v>
      </c>
      <c r="BD101" s="873"/>
      <c r="BE101" s="808">
        <f>+BE100/BE99</f>
        <v>6.5714118581669482E-3</v>
      </c>
      <c r="BF101" s="809">
        <f t="shared" ref="BF101:BI101" si="96">+BF100/BF99</f>
        <v>5.0898660117540623E-3</v>
      </c>
      <c r="BG101" s="809">
        <f t="shared" si="96"/>
        <v>5.4513818314076328E-3</v>
      </c>
      <c r="BH101" s="809">
        <f t="shared" si="96"/>
        <v>6.1943078673099197E-3</v>
      </c>
      <c r="BI101" s="810">
        <f t="shared" si="96"/>
        <v>5.7950987658626418E-3</v>
      </c>
      <c r="BJ101" s="873"/>
      <c r="BK101" s="808">
        <f>+BK100/BK99</f>
        <v>7.3367290203421665E-3</v>
      </c>
      <c r="BL101" s="809">
        <f>+BL100/BL99</f>
        <v>4.1530624783733929E-3</v>
      </c>
      <c r="BM101" s="809">
        <f t="shared" ref="BM101:BO101" si="97">+BM100/BM99</f>
        <v>1.964348719836779E-3</v>
      </c>
      <c r="BN101" s="809">
        <f t="shared" si="97"/>
        <v>1.3229281906211767E-3</v>
      </c>
      <c r="BO101" s="810">
        <f t="shared" si="97"/>
        <v>3.6441389603563651E-3</v>
      </c>
      <c r="BP101" s="873"/>
      <c r="BQ101" s="808">
        <f>+BQ100/BQ99</f>
        <v>7.0331327503806631E-3</v>
      </c>
      <c r="BR101" s="809">
        <f>+BR100/BR99</f>
        <v>6.1253003538994195E-3</v>
      </c>
      <c r="BS101" s="809">
        <f>+BS100/BS99</f>
        <v>4.8377631350894406E-3</v>
      </c>
      <c r="BT101" s="1291">
        <f t="shared" ref="BS101:BT101" si="98">+BS101</f>
        <v>4.8377631350894406E-3</v>
      </c>
      <c r="BU101" s="810">
        <f t="shared" ref="BU101" si="99">+BU100/BU99</f>
        <v>5.6743775881944658E-3</v>
      </c>
      <c r="BV101" s="873"/>
      <c r="BW101" s="1292">
        <v>6.0000000000000001E-3</v>
      </c>
      <c r="BX101" s="1291">
        <f>+BW101</f>
        <v>6.0000000000000001E-3</v>
      </c>
      <c r="BY101" s="1291">
        <f t="shared" ref="BY101:BZ101" si="100">+BX101</f>
        <v>6.0000000000000001E-3</v>
      </c>
      <c r="BZ101" s="1291">
        <f t="shared" si="100"/>
        <v>6.0000000000000001E-3</v>
      </c>
      <c r="CA101" s="810">
        <f t="shared" ref="CA101" si="101">+CA100/CA99</f>
        <v>6.0000000000000001E-3</v>
      </c>
      <c r="CB101" s="873"/>
      <c r="CC101" s="1292">
        <f>+BZ101</f>
        <v>6.0000000000000001E-3</v>
      </c>
      <c r="CD101" s="1291">
        <f t="shared" ref="CD101:CF101" si="102">+CC101</f>
        <v>6.0000000000000001E-3</v>
      </c>
      <c r="CE101" s="1291">
        <f t="shared" si="102"/>
        <v>6.0000000000000001E-3</v>
      </c>
      <c r="CF101" s="1291">
        <f t="shared" si="102"/>
        <v>6.0000000000000001E-3</v>
      </c>
      <c r="CG101" s="810">
        <f t="shared" ref="CG101" si="103">+CG100/CG99</f>
        <v>6.0000000000000001E-3</v>
      </c>
      <c r="CH101" s="873"/>
      <c r="CI101" s="1292">
        <f>+CF101</f>
        <v>6.0000000000000001E-3</v>
      </c>
      <c r="CJ101" s="1291">
        <f t="shared" ref="CJ101" si="104">+CI101</f>
        <v>6.0000000000000001E-3</v>
      </c>
      <c r="CK101" s="1291">
        <f t="shared" ref="CK101" si="105">+CJ101</f>
        <v>6.0000000000000001E-3</v>
      </c>
      <c r="CL101" s="1291">
        <f t="shared" ref="CL101" si="106">+CK101</f>
        <v>6.0000000000000001E-3</v>
      </c>
      <c r="CM101" s="810">
        <f t="shared" ref="CM101" si="107">+CM100/CM99</f>
        <v>6.0000000000000001E-3</v>
      </c>
      <c r="CN101" s="11"/>
      <c r="CO101" s="11"/>
      <c r="CP101" s="11"/>
      <c r="CW101" s="241"/>
      <c r="CX101" s="11"/>
      <c r="CY101" s="11"/>
      <c r="CZ101" s="11"/>
      <c r="DA101" s="11"/>
      <c r="DB101" s="11"/>
      <c r="DC101" s="11"/>
      <c r="DD101" s="11"/>
      <c r="DE101" s="11"/>
      <c r="DF101" s="11"/>
      <c r="DG101" s="11"/>
      <c r="DH101" s="11"/>
      <c r="DI101" s="11"/>
      <c r="DJ101" s="11"/>
      <c r="DK101" s="11"/>
      <c r="DL101" s="11"/>
      <c r="DM101" s="11"/>
      <c r="DN101" s="11"/>
      <c r="DO101" s="11"/>
      <c r="DP101" s="11"/>
      <c r="DQ101" s="11"/>
    </row>
    <row r="102" spans="1:121" ht="11.25" customHeight="1" x14ac:dyDescent="0.2">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14"/>
      <c r="AX102" s="14"/>
      <c r="AY102" s="14"/>
      <c r="AZ102" s="14"/>
      <c r="BA102" s="14"/>
      <c r="BB102" s="14"/>
      <c r="BC102" s="14"/>
      <c r="BD102" s="14"/>
      <c r="BE102" s="14"/>
      <c r="BF102" s="14"/>
      <c r="BG102" s="14"/>
      <c r="BH102" s="14"/>
      <c r="BI102" s="14"/>
      <c r="BJ102" s="14"/>
      <c r="BK102" s="14"/>
      <c r="BL102" s="14"/>
      <c r="BM102" s="14"/>
      <c r="BN102" s="14"/>
      <c r="BO102" s="14"/>
      <c r="BP102" s="14"/>
      <c r="BQ102" s="14"/>
      <c r="BR102" s="14"/>
      <c r="BS102" s="14"/>
      <c r="BT102" s="14"/>
      <c r="BU102" s="14"/>
      <c r="BV102" s="14"/>
      <c r="BW102" s="14"/>
      <c r="BX102" s="14"/>
      <c r="BY102" s="14"/>
      <c r="BZ102" s="14"/>
      <c r="CA102" s="14"/>
      <c r="CB102" s="14"/>
      <c r="CC102" s="14"/>
      <c r="CD102" s="14"/>
      <c r="CE102" s="14"/>
      <c r="CF102" s="14"/>
      <c r="CG102" s="14"/>
      <c r="CH102" s="11"/>
      <c r="CI102" s="11"/>
      <c r="CJ102" s="11"/>
      <c r="CK102" s="11"/>
      <c r="CL102" s="11"/>
      <c r="CM102" s="11"/>
      <c r="CN102" s="11"/>
      <c r="CO102" s="11"/>
      <c r="CP102" s="11"/>
      <c r="CW102" s="241"/>
      <c r="CX102" s="11"/>
      <c r="CY102" s="11"/>
      <c r="CZ102" s="11"/>
      <c r="DA102" s="11"/>
      <c r="DB102" s="11"/>
      <c r="DC102" s="11"/>
      <c r="DD102" s="11"/>
      <c r="DE102" s="11"/>
      <c r="DF102" s="11"/>
      <c r="DG102" s="11"/>
      <c r="DH102" s="11"/>
      <c r="DI102" s="11"/>
      <c r="DJ102" s="11"/>
      <c r="DK102" s="11"/>
      <c r="DL102" s="11"/>
      <c r="DM102" s="11"/>
      <c r="DN102" s="11"/>
      <c r="DO102" s="11"/>
      <c r="DP102" s="11"/>
      <c r="DQ102" s="11"/>
    </row>
    <row r="103" spans="1:121" ht="11.25" customHeight="1" x14ac:dyDescent="0.2">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14"/>
      <c r="AX103" s="14"/>
      <c r="AY103" s="14"/>
      <c r="AZ103" s="14"/>
      <c r="BA103" s="14"/>
      <c r="BB103" s="14"/>
      <c r="BC103" s="14"/>
      <c r="BD103" s="14"/>
      <c r="BE103" s="14"/>
      <c r="BF103" s="14"/>
      <c r="BG103" s="14"/>
      <c r="BH103" s="14"/>
      <c r="BI103" s="14"/>
      <c r="BJ103" s="14"/>
      <c r="BK103" s="14"/>
      <c r="BL103" s="14"/>
      <c r="BM103" s="14"/>
      <c r="BN103" s="14"/>
      <c r="BO103" s="14"/>
      <c r="BP103" s="14"/>
      <c r="BQ103" s="14"/>
      <c r="BR103" s="14"/>
      <c r="BS103" s="14"/>
      <c r="BT103" s="14"/>
      <c r="BU103" s="14"/>
      <c r="BV103" s="14"/>
      <c r="BW103" s="14"/>
      <c r="BX103" s="14"/>
      <c r="BY103" s="14"/>
      <c r="BZ103" s="14"/>
      <c r="CA103" s="14"/>
      <c r="CB103" s="14"/>
      <c r="CC103" s="14"/>
      <c r="CD103" s="14"/>
      <c r="CE103" s="14"/>
      <c r="CF103" s="14"/>
      <c r="CG103" s="14"/>
      <c r="CH103" s="11"/>
      <c r="CI103" s="11"/>
      <c r="CJ103" s="11"/>
      <c r="CK103" s="11"/>
      <c r="CL103" s="11"/>
      <c r="CM103" s="11"/>
      <c r="CN103" s="11"/>
      <c r="CO103" s="11"/>
      <c r="CP103" s="11"/>
      <c r="CW103" s="241"/>
      <c r="CX103" s="11"/>
      <c r="CY103" s="11"/>
      <c r="CZ103" s="11"/>
      <c r="DA103" s="11"/>
      <c r="DB103" s="11"/>
      <c r="DC103" s="11"/>
      <c r="DD103" s="11"/>
      <c r="DE103" s="11"/>
      <c r="DF103" s="11"/>
      <c r="DG103" s="11"/>
      <c r="DH103" s="11"/>
      <c r="DI103" s="11"/>
      <c r="DJ103" s="11"/>
      <c r="DK103" s="11"/>
      <c r="DL103" s="11"/>
      <c r="DM103" s="11"/>
      <c r="DN103" s="11"/>
      <c r="DO103" s="11"/>
      <c r="DP103" s="11"/>
      <c r="DQ103" s="11"/>
    </row>
    <row r="104" spans="1:121" customFormat="1" ht="11.25" customHeight="1" x14ac:dyDescent="0.2"/>
    <row r="105" spans="1:121" ht="11.25" customHeight="1" x14ac:dyDescent="0.2">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c r="BC105" s="11"/>
      <c r="BD105" s="11"/>
      <c r="BE105" s="11"/>
      <c r="BF105" s="11"/>
      <c r="BG105" s="11"/>
      <c r="BH105" s="11"/>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1"/>
      <c r="CM105" s="11"/>
      <c r="CN105" s="11"/>
      <c r="CO105" s="11"/>
      <c r="CP105" s="11"/>
      <c r="CX105" s="11"/>
      <c r="CY105" s="11"/>
      <c r="CZ105" s="11"/>
      <c r="DA105" s="11"/>
      <c r="DB105" s="11"/>
      <c r="DC105" s="11"/>
      <c r="DD105" s="11"/>
      <c r="DE105" s="11"/>
      <c r="DF105" s="11"/>
      <c r="DG105" s="11"/>
      <c r="DH105" s="11"/>
      <c r="DI105" s="11"/>
      <c r="DJ105" s="11"/>
      <c r="DK105" s="11"/>
      <c r="DL105" s="11"/>
      <c r="DM105" s="11"/>
      <c r="DN105" s="11"/>
      <c r="DO105" s="11"/>
      <c r="DP105" s="11"/>
      <c r="DQ105" s="11"/>
    </row>
    <row r="106" spans="1:121" ht="11.25" customHeight="1" x14ac:dyDescent="0.2">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11"/>
      <c r="AR106" s="11"/>
      <c r="AS106" s="11"/>
      <c r="AT106" s="11"/>
      <c r="AU106" s="11"/>
      <c r="AV106" s="11"/>
      <c r="AW106" s="11"/>
      <c r="AX106" s="11"/>
      <c r="AY106" s="11"/>
      <c r="AZ106" s="11"/>
      <c r="BA106" s="11"/>
      <c r="BB106" s="11"/>
      <c r="BC106" s="11"/>
      <c r="BD106" s="11"/>
      <c r="BE106" s="11"/>
      <c r="BF106" s="11"/>
      <c r="BG106" s="11"/>
      <c r="BH106" s="11"/>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1"/>
      <c r="CM106" s="11"/>
      <c r="CN106" s="11"/>
      <c r="CO106" s="11"/>
      <c r="CP106" s="11"/>
      <c r="CX106" s="11"/>
      <c r="CY106" s="11"/>
      <c r="CZ106" s="11"/>
      <c r="DA106" s="11"/>
      <c r="DB106" s="11"/>
      <c r="DC106" s="11"/>
      <c r="DD106" s="11"/>
      <c r="DE106" s="11"/>
      <c r="DF106" s="11"/>
      <c r="DG106" s="11"/>
      <c r="DH106" s="11"/>
      <c r="DI106" s="11"/>
      <c r="DJ106" s="11"/>
      <c r="DK106" s="11"/>
      <c r="DL106" s="11"/>
      <c r="DM106" s="11"/>
      <c r="DN106" s="11"/>
      <c r="DO106" s="11"/>
      <c r="DP106" s="11"/>
      <c r="DQ106" s="11"/>
    </row>
    <row r="107" spans="1:121" ht="11.25" customHeight="1" x14ac:dyDescent="0.2">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c r="BC107" s="11"/>
      <c r="BD107" s="11"/>
      <c r="BE107" s="11"/>
      <c r="BF107" s="11"/>
      <c r="BG107" s="11"/>
      <c r="BH107" s="11"/>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1"/>
      <c r="CM107" s="11"/>
      <c r="CN107" s="11"/>
      <c r="CO107" s="11"/>
      <c r="CP107" s="11"/>
      <c r="CX107" s="11"/>
      <c r="CY107" s="11"/>
      <c r="CZ107" s="11"/>
      <c r="DA107" s="11"/>
      <c r="DB107" s="11"/>
      <c r="DC107" s="11"/>
      <c r="DD107" s="11"/>
      <c r="DE107" s="11"/>
      <c r="DF107" s="11"/>
      <c r="DG107" s="11"/>
      <c r="DH107" s="11"/>
      <c r="DI107" s="11"/>
      <c r="DJ107" s="11"/>
      <c r="DK107" s="11"/>
      <c r="DL107" s="11"/>
      <c r="DM107" s="11"/>
      <c r="DN107" s="11"/>
      <c r="DO107" s="11"/>
      <c r="DP107" s="11"/>
      <c r="DQ107" s="11"/>
    </row>
    <row r="108" spans="1:121" ht="11.25" customHeight="1" x14ac:dyDescent="0.2">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11"/>
      <c r="AR108" s="11"/>
      <c r="AS108" s="11"/>
      <c r="AT108" s="11"/>
      <c r="AU108" s="11"/>
      <c r="AV108" s="11"/>
      <c r="AW108" s="11"/>
      <c r="AX108" s="11"/>
      <c r="AY108" s="11"/>
      <c r="AZ108" s="11"/>
      <c r="BA108" s="11"/>
      <c r="BB108" s="11"/>
      <c r="BC108" s="11"/>
      <c r="BD108" s="11"/>
      <c r="BE108" s="11"/>
      <c r="BF108" s="11"/>
      <c r="BG108" s="11"/>
      <c r="BH108" s="11"/>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1"/>
      <c r="CM108" s="11"/>
      <c r="CN108" s="11"/>
      <c r="CO108" s="11"/>
      <c r="CP108" s="11"/>
      <c r="CX108" s="11"/>
      <c r="CY108" s="11"/>
      <c r="CZ108" s="11"/>
      <c r="DA108" s="11"/>
      <c r="DB108" s="11"/>
      <c r="DC108" s="11"/>
      <c r="DD108" s="11"/>
      <c r="DE108" s="11"/>
      <c r="DF108" s="11"/>
      <c r="DG108" s="11"/>
      <c r="DH108" s="11"/>
      <c r="DI108" s="11"/>
      <c r="DJ108" s="11"/>
      <c r="DK108" s="11"/>
      <c r="DL108" s="11"/>
      <c r="DM108" s="11"/>
      <c r="DN108" s="11"/>
      <c r="DO108" s="11"/>
      <c r="DP108" s="11"/>
      <c r="DQ108" s="11"/>
    </row>
    <row r="109" spans="1:121" ht="11.25" customHeight="1" x14ac:dyDescent="0.2">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c r="BC109" s="11"/>
      <c r="BD109" s="11"/>
      <c r="BE109" s="11"/>
      <c r="BF109" s="11"/>
      <c r="BG109" s="11"/>
      <c r="BH109" s="11"/>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1"/>
      <c r="CM109" s="11"/>
      <c r="CN109" s="11"/>
      <c r="CO109" s="11"/>
      <c r="CP109" s="11"/>
      <c r="CX109" s="11"/>
      <c r="CY109" s="11"/>
      <c r="CZ109" s="11"/>
      <c r="DA109" s="11"/>
      <c r="DB109" s="11"/>
      <c r="DC109" s="11"/>
      <c r="DD109" s="11"/>
      <c r="DE109" s="11"/>
      <c r="DF109" s="11"/>
      <c r="DG109" s="11"/>
      <c r="DH109" s="11"/>
      <c r="DI109" s="11"/>
      <c r="DJ109" s="11"/>
      <c r="DK109" s="11"/>
      <c r="DL109" s="11"/>
      <c r="DM109" s="11"/>
      <c r="DN109" s="11"/>
      <c r="DO109" s="11"/>
      <c r="DP109" s="11"/>
      <c r="DQ109" s="11"/>
    </row>
    <row r="110" spans="1:121" ht="11.25" customHeight="1" x14ac:dyDescent="0.2">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1"/>
      <c r="CM110" s="11"/>
      <c r="CN110" s="11"/>
      <c r="CO110" s="11"/>
      <c r="CP110" s="11"/>
      <c r="CX110" s="11"/>
      <c r="CY110" s="11"/>
      <c r="CZ110" s="11"/>
      <c r="DA110" s="11"/>
      <c r="DB110" s="11"/>
      <c r="DC110" s="11"/>
      <c r="DD110" s="11"/>
      <c r="DE110" s="11"/>
      <c r="DF110" s="11"/>
      <c r="DG110" s="11"/>
      <c r="DH110" s="11"/>
      <c r="DI110" s="11"/>
      <c r="DJ110" s="11"/>
      <c r="DK110" s="11"/>
      <c r="DL110" s="11"/>
      <c r="DM110" s="11"/>
      <c r="DN110" s="11"/>
      <c r="DO110" s="11"/>
      <c r="DP110" s="11"/>
      <c r="DQ110" s="11"/>
    </row>
    <row r="111" spans="1:121" ht="11.25" customHeight="1" x14ac:dyDescent="0.2">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c r="BC111" s="11"/>
      <c r="BD111" s="11"/>
      <c r="BE111" s="11"/>
      <c r="BF111" s="11"/>
      <c r="BG111" s="11"/>
      <c r="BH111" s="11"/>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1"/>
      <c r="CM111" s="11"/>
      <c r="CN111" s="11"/>
      <c r="CO111" s="11"/>
      <c r="CP111" s="11"/>
      <c r="CX111" s="11"/>
      <c r="CY111" s="11"/>
      <c r="CZ111" s="11"/>
      <c r="DA111" s="11"/>
      <c r="DB111" s="11"/>
      <c r="DC111" s="11"/>
      <c r="DD111" s="11"/>
      <c r="DE111" s="11"/>
      <c r="DF111" s="11"/>
      <c r="DG111" s="11"/>
      <c r="DH111" s="11"/>
      <c r="DI111" s="11"/>
      <c r="DJ111" s="11"/>
      <c r="DK111" s="11"/>
      <c r="DL111" s="11"/>
      <c r="DM111" s="11"/>
      <c r="DN111" s="11"/>
      <c r="DO111" s="11"/>
      <c r="DP111" s="11"/>
      <c r="DQ111" s="11"/>
    </row>
    <row r="112" spans="1:121" ht="11.25" customHeight="1" x14ac:dyDescent="0.2">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11"/>
      <c r="AR112" s="11"/>
      <c r="AS112" s="11"/>
      <c r="AT112" s="11"/>
      <c r="AU112" s="11"/>
      <c r="AV112" s="11"/>
      <c r="AW112" s="11"/>
      <c r="AX112" s="11"/>
      <c r="AY112" s="11"/>
      <c r="AZ112" s="11"/>
      <c r="BA112" s="11"/>
      <c r="BB112" s="11"/>
      <c r="BC112" s="11"/>
      <c r="BD112" s="11"/>
      <c r="BE112" s="11"/>
      <c r="BF112" s="11"/>
      <c r="BG112" s="11"/>
      <c r="BH112" s="11"/>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1"/>
      <c r="CM112" s="11"/>
      <c r="CN112" s="11"/>
      <c r="CO112" s="11"/>
      <c r="CP112" s="11"/>
      <c r="CX112" s="11"/>
      <c r="CY112" s="11"/>
      <c r="CZ112" s="11"/>
      <c r="DA112" s="11"/>
      <c r="DB112" s="11"/>
      <c r="DC112" s="11"/>
      <c r="DD112" s="11"/>
      <c r="DE112" s="11"/>
      <c r="DF112" s="11"/>
      <c r="DG112" s="11"/>
      <c r="DH112" s="11"/>
      <c r="DI112" s="11"/>
      <c r="DJ112" s="11"/>
      <c r="DK112" s="11"/>
      <c r="DL112" s="11"/>
      <c r="DM112" s="11"/>
      <c r="DN112" s="11"/>
      <c r="DO112" s="11"/>
      <c r="DP112" s="11"/>
      <c r="DQ112" s="11"/>
    </row>
    <row r="113" spans="2:121" ht="11.25" customHeight="1" x14ac:dyDescent="0.2">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c r="BC113" s="11"/>
      <c r="BD113" s="11"/>
      <c r="BE113" s="11"/>
      <c r="BF113" s="11"/>
      <c r="BG113" s="11"/>
      <c r="BH113" s="11"/>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1"/>
      <c r="CM113" s="11"/>
      <c r="CN113" s="11"/>
      <c r="CO113" s="11"/>
      <c r="CP113" s="11"/>
      <c r="CW113" s="17"/>
      <c r="CX113" s="11"/>
      <c r="CY113" s="11"/>
      <c r="CZ113" s="11"/>
      <c r="DA113" s="11"/>
      <c r="DB113" s="11"/>
      <c r="DC113" s="11"/>
      <c r="DD113" s="11"/>
      <c r="DE113" s="11"/>
      <c r="DF113" s="11"/>
      <c r="DG113" s="11"/>
      <c r="DH113" s="11"/>
      <c r="DI113" s="11"/>
      <c r="DJ113" s="11"/>
      <c r="DK113" s="11"/>
      <c r="DL113" s="11"/>
      <c r="DM113" s="11"/>
      <c r="DN113" s="11"/>
      <c r="DO113" s="11"/>
      <c r="DP113" s="11"/>
      <c r="DQ113" s="11"/>
    </row>
    <row r="114" spans="2:121" ht="11.25" customHeight="1" x14ac:dyDescent="0.2">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11"/>
      <c r="AR114" s="11"/>
      <c r="AS114" s="11"/>
      <c r="AT114" s="11"/>
      <c r="AU114" s="11"/>
      <c r="AV114" s="11"/>
      <c r="AW114" s="11"/>
      <c r="AX114" s="11"/>
      <c r="AY114" s="11"/>
      <c r="AZ114" s="11"/>
      <c r="BA114" s="11"/>
      <c r="BB114" s="11"/>
      <c r="BC114" s="11"/>
      <c r="BD114" s="11"/>
      <c r="BE114" s="11"/>
      <c r="BF114" s="11"/>
      <c r="BG114" s="11"/>
      <c r="BH114" s="11"/>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1"/>
      <c r="CM114" s="11"/>
      <c r="CN114" s="11"/>
      <c r="CO114" s="11"/>
      <c r="CP114" s="11"/>
      <c r="CW114" s="17"/>
      <c r="CX114" s="11"/>
      <c r="CY114" s="11"/>
      <c r="CZ114" s="11"/>
      <c r="DA114" s="11"/>
      <c r="DB114" s="11"/>
      <c r="DC114" s="11"/>
      <c r="DD114" s="11"/>
      <c r="DE114" s="11"/>
      <c r="DF114" s="11"/>
      <c r="DG114" s="11"/>
      <c r="DH114" s="11"/>
      <c r="DI114" s="11"/>
      <c r="DJ114" s="11"/>
      <c r="DK114" s="11"/>
      <c r="DL114" s="11"/>
      <c r="DM114" s="11"/>
      <c r="DN114" s="11"/>
      <c r="DO114" s="11"/>
      <c r="DP114" s="11"/>
      <c r="DQ114" s="11"/>
    </row>
    <row r="115" spans="2:121" ht="11.25" customHeight="1" x14ac:dyDescent="0.2">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1"/>
      <c r="CM115" s="11"/>
      <c r="CN115" s="11"/>
      <c r="CO115" s="11"/>
      <c r="CP115" s="11"/>
      <c r="CW115" s="17"/>
      <c r="CX115" s="11"/>
      <c r="CY115" s="11"/>
      <c r="CZ115" s="11"/>
      <c r="DA115" s="11"/>
      <c r="DB115" s="11"/>
      <c r="DC115" s="11"/>
      <c r="DD115" s="11"/>
      <c r="DE115" s="11"/>
      <c r="DF115" s="11"/>
      <c r="DG115" s="11"/>
      <c r="DH115" s="11"/>
      <c r="DI115" s="11"/>
      <c r="DJ115" s="11"/>
      <c r="DK115" s="11"/>
      <c r="DL115" s="11"/>
      <c r="DM115" s="11"/>
      <c r="DN115" s="11"/>
      <c r="DO115" s="11"/>
      <c r="DP115" s="11"/>
      <c r="DQ115" s="11"/>
    </row>
    <row r="116" spans="2:121" ht="11.25" customHeight="1" x14ac:dyDescent="0.2">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1"/>
      <c r="CM116" s="11"/>
      <c r="CN116" s="11"/>
      <c r="CO116" s="11"/>
      <c r="CP116" s="11"/>
      <c r="CW116" s="17"/>
      <c r="CX116" s="11"/>
      <c r="CY116" s="11"/>
      <c r="CZ116" s="11"/>
      <c r="DA116" s="11"/>
      <c r="DB116" s="11"/>
      <c r="DC116" s="11"/>
      <c r="DD116" s="11"/>
      <c r="DE116" s="11"/>
      <c r="DF116" s="11"/>
      <c r="DG116" s="11"/>
      <c r="DH116" s="11"/>
      <c r="DI116" s="11"/>
      <c r="DJ116" s="11"/>
      <c r="DK116" s="11"/>
      <c r="DL116" s="11"/>
      <c r="DM116" s="11"/>
      <c r="DN116" s="11"/>
      <c r="DO116" s="11"/>
      <c r="DP116" s="11"/>
      <c r="DQ116" s="11"/>
    </row>
    <row r="117" spans="2:121" ht="11.25" customHeight="1" x14ac:dyDescent="0.2">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c r="BC117" s="11"/>
      <c r="BD117" s="11"/>
      <c r="BE117" s="11"/>
      <c r="BF117" s="11"/>
      <c r="BG117" s="11"/>
      <c r="BH117" s="11"/>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1"/>
      <c r="CM117" s="11"/>
      <c r="CN117" s="11"/>
      <c r="CO117" s="11"/>
      <c r="CP117" s="11"/>
      <c r="CX117" s="11"/>
      <c r="CY117" s="11"/>
      <c r="CZ117" s="11"/>
      <c r="DA117" s="11"/>
      <c r="DB117" s="11"/>
      <c r="DC117" s="11"/>
      <c r="DD117" s="11"/>
      <c r="DE117" s="11"/>
      <c r="DF117" s="11"/>
      <c r="DG117" s="11"/>
      <c r="DH117" s="11"/>
      <c r="DI117" s="11"/>
      <c r="DJ117" s="11"/>
      <c r="DK117" s="11"/>
      <c r="DL117" s="11"/>
      <c r="DM117" s="11"/>
      <c r="DN117" s="11"/>
      <c r="DO117" s="11"/>
      <c r="DP117" s="11"/>
      <c r="DQ117" s="11"/>
    </row>
    <row r="118" spans="2:121" ht="11.25" customHeight="1" x14ac:dyDescent="0.2">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11"/>
      <c r="AR118" s="11"/>
      <c r="AS118" s="11"/>
      <c r="AT118" s="11"/>
      <c r="AU118" s="11"/>
      <c r="AV118" s="11"/>
      <c r="AW118" s="11"/>
      <c r="AX118" s="11"/>
      <c r="AY118" s="11"/>
      <c r="AZ118" s="11"/>
      <c r="BA118" s="11"/>
      <c r="BB118" s="11"/>
      <c r="BC118" s="11"/>
      <c r="BD118" s="11"/>
      <c r="BE118" s="11"/>
      <c r="BF118" s="11"/>
      <c r="BG118" s="11"/>
      <c r="BH118" s="11"/>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1"/>
      <c r="CM118" s="11"/>
      <c r="CN118" s="11"/>
      <c r="CO118" s="11"/>
      <c r="CP118" s="11"/>
      <c r="CX118" s="11"/>
      <c r="CY118" s="11"/>
      <c r="CZ118" s="11"/>
      <c r="DA118" s="11"/>
      <c r="DB118" s="11"/>
      <c r="DC118" s="11"/>
      <c r="DD118" s="11"/>
      <c r="DE118" s="11"/>
      <c r="DF118" s="11"/>
      <c r="DG118" s="11"/>
      <c r="DH118" s="11"/>
      <c r="DI118" s="11"/>
      <c r="DJ118" s="11"/>
      <c r="DK118" s="11"/>
      <c r="DL118" s="11"/>
      <c r="DM118" s="11"/>
      <c r="DN118" s="11"/>
      <c r="DO118" s="11"/>
      <c r="DP118" s="11"/>
      <c r="DQ118" s="11"/>
    </row>
    <row r="119" spans="2:121" ht="11.25" customHeight="1" x14ac:dyDescent="0.2">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c r="BC119" s="11"/>
      <c r="BD119" s="11"/>
      <c r="BE119" s="11"/>
      <c r="BF119" s="11"/>
      <c r="BG119" s="11"/>
      <c r="BH119" s="11"/>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1"/>
      <c r="CM119" s="11"/>
      <c r="CN119" s="11"/>
      <c r="CO119" s="11"/>
      <c r="CP119" s="11"/>
      <c r="CX119" s="11"/>
      <c r="CY119" s="11"/>
      <c r="CZ119" s="11"/>
      <c r="DA119" s="11"/>
      <c r="DB119" s="11"/>
      <c r="DC119" s="11"/>
      <c r="DD119" s="11"/>
      <c r="DE119" s="11"/>
      <c r="DF119" s="11"/>
      <c r="DG119" s="11"/>
      <c r="DH119" s="11"/>
      <c r="DI119" s="11"/>
      <c r="DJ119" s="11"/>
      <c r="DK119" s="11"/>
      <c r="DL119" s="11"/>
      <c r="DM119" s="11"/>
      <c r="DN119" s="11"/>
      <c r="DO119" s="11"/>
      <c r="DP119" s="11"/>
      <c r="DQ119" s="11"/>
    </row>
    <row r="120" spans="2:121" ht="11.25" customHeight="1" x14ac:dyDescent="0.2">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11"/>
      <c r="AR120" s="11"/>
      <c r="AS120" s="11"/>
      <c r="AT120" s="11"/>
      <c r="AU120" s="11"/>
      <c r="AV120" s="11"/>
      <c r="AW120" s="11"/>
      <c r="AX120" s="11"/>
      <c r="AY120" s="11"/>
      <c r="AZ120" s="11"/>
      <c r="BA120" s="11"/>
      <c r="BB120" s="11"/>
      <c r="BC120" s="11"/>
      <c r="BD120" s="11"/>
      <c r="BE120" s="11"/>
      <c r="BF120" s="11"/>
      <c r="BG120" s="11"/>
      <c r="BH120" s="11"/>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1"/>
      <c r="CM120" s="11"/>
      <c r="CN120" s="11"/>
      <c r="CO120" s="11"/>
      <c r="CP120" s="11"/>
      <c r="CX120" s="11"/>
      <c r="CY120" s="11"/>
      <c r="CZ120" s="11"/>
      <c r="DA120" s="11"/>
      <c r="DB120" s="11"/>
      <c r="DC120" s="11"/>
      <c r="DD120" s="11"/>
      <c r="DE120" s="11"/>
      <c r="DF120" s="11"/>
      <c r="DG120" s="11"/>
      <c r="DH120" s="11"/>
      <c r="DI120" s="11"/>
      <c r="DJ120" s="11"/>
      <c r="DK120" s="11"/>
      <c r="DL120" s="11"/>
      <c r="DM120" s="11"/>
      <c r="DN120" s="11"/>
      <c r="DO120" s="11"/>
      <c r="DP120" s="11"/>
      <c r="DQ120" s="11"/>
    </row>
    <row r="121" spans="2:121" ht="11.25" customHeight="1" x14ac:dyDescent="0.2">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c r="BC121" s="11"/>
      <c r="BD121" s="11"/>
      <c r="BE121" s="11"/>
      <c r="BF121" s="11"/>
      <c r="BG121" s="11"/>
      <c r="BH121" s="11"/>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1"/>
      <c r="CM121" s="11"/>
      <c r="CN121" s="11"/>
      <c r="CO121" s="11"/>
      <c r="CP121" s="11"/>
      <c r="CX121" s="11"/>
      <c r="CY121" s="11"/>
      <c r="CZ121" s="11"/>
      <c r="DA121" s="11"/>
      <c r="DB121" s="11"/>
      <c r="DC121" s="11"/>
      <c r="DD121" s="11"/>
      <c r="DE121" s="11"/>
      <c r="DF121" s="11"/>
      <c r="DG121" s="11"/>
      <c r="DH121" s="11"/>
      <c r="DI121" s="11"/>
      <c r="DJ121" s="11"/>
      <c r="DK121" s="11"/>
      <c r="DL121" s="11"/>
      <c r="DM121" s="11"/>
      <c r="DN121" s="11"/>
      <c r="DO121" s="11"/>
      <c r="DP121" s="11"/>
      <c r="DQ121" s="11"/>
    </row>
    <row r="122" spans="2:121" ht="11.25" customHeight="1" x14ac:dyDescent="0.2">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1"/>
      <c r="CM122" s="11"/>
      <c r="CN122" s="11"/>
      <c r="CO122" s="11"/>
      <c r="CP122" s="11"/>
      <c r="CX122" s="11"/>
      <c r="CY122" s="11"/>
      <c r="CZ122" s="11"/>
      <c r="DA122" s="11"/>
      <c r="DB122" s="11"/>
      <c r="DC122" s="11"/>
      <c r="DD122" s="11"/>
      <c r="DE122" s="11"/>
      <c r="DF122" s="11"/>
      <c r="DG122" s="11"/>
      <c r="DH122" s="11"/>
      <c r="DI122" s="11"/>
      <c r="DJ122" s="11"/>
      <c r="DK122" s="11"/>
      <c r="DL122" s="11"/>
      <c r="DM122" s="11"/>
      <c r="DN122" s="11"/>
      <c r="DO122" s="11"/>
      <c r="DP122" s="11"/>
      <c r="DQ122" s="11"/>
    </row>
    <row r="123" spans="2:121" ht="11.25" customHeight="1" x14ac:dyDescent="0.2">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1"/>
      <c r="CM123" s="11"/>
      <c r="CN123" s="11"/>
      <c r="CO123" s="11"/>
      <c r="CP123" s="11"/>
      <c r="CX123" s="11"/>
      <c r="CY123" s="11"/>
      <c r="CZ123" s="11"/>
      <c r="DA123" s="11"/>
      <c r="DB123" s="11"/>
      <c r="DC123" s="11"/>
      <c r="DD123" s="11"/>
      <c r="DE123" s="11"/>
      <c r="DF123" s="11"/>
      <c r="DG123" s="11"/>
      <c r="DH123" s="11"/>
      <c r="DI123" s="11"/>
      <c r="DJ123" s="11"/>
      <c r="DK123" s="11"/>
      <c r="DL123" s="11"/>
      <c r="DM123" s="11"/>
      <c r="DN123" s="11"/>
      <c r="DO123" s="11"/>
      <c r="DP123" s="11"/>
      <c r="DQ123" s="11"/>
    </row>
    <row r="124" spans="2:121" ht="11.25" customHeight="1" x14ac:dyDescent="0.2">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11"/>
      <c r="AR124" s="11"/>
      <c r="AS124" s="11"/>
      <c r="AT124" s="11"/>
      <c r="AU124" s="11"/>
      <c r="AV124" s="11"/>
      <c r="AW124" s="11"/>
      <c r="AX124" s="11"/>
      <c r="AY124" s="11"/>
      <c r="AZ124" s="11"/>
      <c r="BA124" s="11"/>
      <c r="BB124" s="11"/>
      <c r="BC124" s="11"/>
      <c r="BD124" s="11"/>
      <c r="BE124" s="11"/>
      <c r="BF124" s="11"/>
      <c r="BG124" s="11"/>
      <c r="BH124" s="11"/>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1"/>
      <c r="CM124" s="11"/>
      <c r="CN124" s="11"/>
      <c r="CO124" s="11"/>
      <c r="CP124" s="11"/>
      <c r="CX124" s="11"/>
      <c r="CY124" s="11"/>
      <c r="CZ124" s="11"/>
      <c r="DA124" s="11"/>
      <c r="DB124" s="11"/>
      <c r="DC124" s="11"/>
      <c r="DD124" s="11"/>
      <c r="DE124" s="11"/>
      <c r="DF124" s="11"/>
      <c r="DG124" s="11"/>
      <c r="DH124" s="11"/>
      <c r="DI124" s="11"/>
      <c r="DJ124" s="11"/>
      <c r="DK124" s="11"/>
      <c r="DL124" s="11"/>
      <c r="DM124" s="11"/>
      <c r="DN124" s="11"/>
      <c r="DO124" s="11"/>
      <c r="DP124" s="11"/>
      <c r="DQ124" s="11"/>
    </row>
    <row r="125" spans="2:121" ht="11.25" customHeight="1" x14ac:dyDescent="0.2">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c r="BC125" s="11"/>
      <c r="BD125" s="11"/>
      <c r="BE125" s="11"/>
      <c r="BF125" s="11"/>
      <c r="BG125" s="11"/>
      <c r="BH125" s="11"/>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1"/>
      <c r="CM125" s="11"/>
      <c r="CN125" s="11"/>
      <c r="CO125" s="11"/>
      <c r="CP125" s="11"/>
      <c r="CX125" s="11"/>
      <c r="CY125" s="11"/>
      <c r="CZ125" s="11"/>
      <c r="DA125" s="11"/>
      <c r="DB125" s="11"/>
      <c r="DC125" s="11"/>
      <c r="DD125" s="11"/>
      <c r="DE125" s="11"/>
      <c r="DF125" s="11"/>
      <c r="DG125" s="11"/>
      <c r="DH125" s="11"/>
      <c r="DI125" s="11"/>
      <c r="DJ125" s="11"/>
      <c r="DK125" s="11"/>
      <c r="DL125" s="11"/>
      <c r="DM125" s="11"/>
      <c r="DN125" s="11"/>
      <c r="DO125" s="11"/>
      <c r="DP125" s="11"/>
      <c r="DQ125" s="11"/>
    </row>
    <row r="126" spans="2:121" ht="11.25" customHeight="1" x14ac:dyDescent="0.2">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1"/>
      <c r="CM126" s="11"/>
      <c r="CN126" s="11"/>
      <c r="CO126" s="11"/>
      <c r="CP126" s="11"/>
      <c r="CX126" s="11"/>
      <c r="CY126" s="11"/>
      <c r="CZ126" s="11"/>
      <c r="DA126" s="11"/>
      <c r="DB126" s="11"/>
      <c r="DC126" s="11"/>
      <c r="DD126" s="11"/>
      <c r="DE126" s="11"/>
      <c r="DF126" s="11"/>
      <c r="DG126" s="11"/>
      <c r="DH126" s="11"/>
      <c r="DI126" s="11"/>
      <c r="DJ126" s="11"/>
      <c r="DK126" s="11"/>
      <c r="DL126" s="11"/>
      <c r="DM126" s="11"/>
      <c r="DN126" s="11"/>
      <c r="DO126" s="11"/>
      <c r="DP126" s="11"/>
      <c r="DQ126" s="11"/>
    </row>
    <row r="127" spans="2:121" ht="11.25" customHeight="1" x14ac:dyDescent="0.2">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c r="BC127" s="11"/>
      <c r="BD127" s="11"/>
      <c r="BE127" s="11"/>
      <c r="BF127" s="11"/>
      <c r="BG127" s="11"/>
      <c r="BH127" s="11"/>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1"/>
      <c r="CM127" s="11"/>
      <c r="CN127" s="11"/>
      <c r="CO127" s="11"/>
      <c r="CP127" s="11"/>
      <c r="CX127" s="11"/>
      <c r="CY127" s="11"/>
      <c r="CZ127" s="11"/>
      <c r="DA127" s="11"/>
      <c r="DB127" s="11"/>
      <c r="DC127" s="11"/>
      <c r="DD127" s="11"/>
      <c r="DE127" s="11"/>
      <c r="DF127" s="11"/>
      <c r="DG127" s="11"/>
      <c r="DH127" s="11"/>
      <c r="DI127" s="11"/>
      <c r="DJ127" s="11"/>
      <c r="DK127" s="11"/>
      <c r="DL127" s="11"/>
      <c r="DM127" s="11"/>
      <c r="DN127" s="11"/>
      <c r="DO127" s="11"/>
      <c r="DP127" s="11"/>
      <c r="DQ127" s="11"/>
    </row>
    <row r="128" spans="2:121" ht="11.25" customHeight="1" x14ac:dyDescent="0.2">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11"/>
      <c r="AR128" s="11"/>
      <c r="AS128" s="11"/>
      <c r="AT128" s="11"/>
      <c r="AU128" s="11"/>
      <c r="AV128" s="11"/>
      <c r="AW128" s="11"/>
      <c r="AX128" s="11"/>
      <c r="AY128" s="11"/>
      <c r="AZ128" s="11"/>
      <c r="BA128" s="11"/>
      <c r="BB128" s="11"/>
      <c r="BC128" s="11"/>
      <c r="BD128" s="11"/>
      <c r="BE128" s="11"/>
      <c r="BF128" s="11"/>
      <c r="BG128" s="11"/>
      <c r="BH128" s="11"/>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1"/>
      <c r="CM128" s="11"/>
      <c r="CN128" s="11"/>
      <c r="CO128" s="11"/>
      <c r="CP128" s="11"/>
      <c r="CX128" s="11"/>
      <c r="CY128" s="11"/>
      <c r="CZ128" s="11"/>
      <c r="DA128" s="11"/>
      <c r="DB128" s="11"/>
      <c r="DC128" s="11"/>
      <c r="DD128" s="11"/>
      <c r="DE128" s="11"/>
      <c r="DF128" s="11"/>
      <c r="DG128" s="11"/>
      <c r="DH128" s="11"/>
      <c r="DI128" s="11"/>
      <c r="DJ128" s="11"/>
      <c r="DK128" s="11"/>
      <c r="DL128" s="11"/>
      <c r="DM128" s="11"/>
      <c r="DN128" s="11"/>
      <c r="DO128" s="11"/>
      <c r="DP128" s="11"/>
      <c r="DQ128" s="11"/>
    </row>
    <row r="129" spans="2:121" ht="8.85" customHeight="1" x14ac:dyDescent="0.2">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c r="BC129" s="11"/>
      <c r="BD129" s="11"/>
      <c r="BE129" s="11"/>
      <c r="BF129" s="11"/>
      <c r="BG129" s="11"/>
      <c r="BH129" s="11"/>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1"/>
      <c r="CM129" s="11"/>
      <c r="CN129" s="11"/>
      <c r="CO129" s="11"/>
      <c r="CP129" s="11"/>
      <c r="CX129" s="11"/>
      <c r="CY129" s="11"/>
      <c r="CZ129" s="11"/>
      <c r="DA129" s="11"/>
      <c r="DB129" s="11"/>
      <c r="DC129" s="11"/>
      <c r="DD129" s="11"/>
      <c r="DE129" s="11"/>
      <c r="DF129" s="11"/>
      <c r="DG129" s="11"/>
      <c r="DH129" s="11"/>
      <c r="DI129" s="11"/>
      <c r="DJ129" s="11"/>
      <c r="DK129" s="11"/>
      <c r="DL129" s="11"/>
      <c r="DM129" s="11"/>
      <c r="DN129" s="11"/>
      <c r="DO129" s="11"/>
      <c r="DP129" s="11"/>
      <c r="DQ129" s="11"/>
    </row>
    <row r="130" spans="2:121" ht="8.85" customHeight="1" x14ac:dyDescent="0.2">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1"/>
      <c r="CM130" s="11"/>
      <c r="CN130" s="11"/>
      <c r="CO130" s="11"/>
      <c r="CP130" s="11"/>
      <c r="CX130" s="11"/>
      <c r="CY130" s="11"/>
      <c r="CZ130" s="11"/>
      <c r="DA130" s="11"/>
      <c r="DB130" s="11"/>
      <c r="DC130" s="11"/>
      <c r="DD130" s="11"/>
      <c r="DE130" s="11"/>
      <c r="DF130" s="11"/>
      <c r="DG130" s="11"/>
      <c r="DH130" s="11"/>
      <c r="DI130" s="11"/>
      <c r="DJ130" s="11"/>
      <c r="DK130" s="11"/>
      <c r="DL130" s="11"/>
      <c r="DM130" s="11"/>
      <c r="DN130" s="11"/>
      <c r="DO130" s="11"/>
      <c r="DP130" s="11"/>
      <c r="DQ130" s="11"/>
    </row>
    <row r="131" spans="2:121" x14ac:dyDescent="0.2">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row>
    <row r="132" spans="2:121" x14ac:dyDescent="0.2">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row>
    <row r="133" spans="2:121" x14ac:dyDescent="0.2">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11"/>
      <c r="BG133" s="11"/>
      <c r="BH133" s="11"/>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row>
    <row r="134" spans="2:121" x14ac:dyDescent="0.2">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11"/>
      <c r="AR134" s="11"/>
      <c r="AS134" s="11"/>
      <c r="AT134" s="11"/>
      <c r="AU134" s="11"/>
      <c r="AV134" s="11"/>
      <c r="AW134" s="11"/>
      <c r="AX134" s="11"/>
      <c r="AY134" s="11"/>
      <c r="AZ134" s="11"/>
      <c r="BA134" s="11"/>
      <c r="BB134" s="11"/>
      <c r="BC134" s="11"/>
      <c r="BD134" s="11"/>
      <c r="BE134" s="11"/>
      <c r="BF134" s="11"/>
      <c r="BG134" s="11"/>
      <c r="BH134" s="11"/>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row>
    <row r="135" spans="2:121" x14ac:dyDescent="0.2">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c r="BC135" s="11"/>
      <c r="BD135" s="11"/>
      <c r="BE135" s="11"/>
      <c r="BF135" s="11"/>
      <c r="BG135" s="11"/>
      <c r="BH135" s="11"/>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row>
    <row r="136" spans="2:121" x14ac:dyDescent="0.2">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11"/>
      <c r="AR136" s="11"/>
      <c r="AS136" s="11"/>
      <c r="AT136" s="11"/>
      <c r="AU136" s="11"/>
      <c r="AV136" s="11"/>
      <c r="AW136" s="11"/>
      <c r="AX136" s="11"/>
      <c r="AY136" s="11"/>
      <c r="AZ136" s="11"/>
      <c r="BA136" s="11"/>
      <c r="BB136" s="11"/>
      <c r="BC136" s="11"/>
      <c r="BD136" s="11"/>
      <c r="BE136" s="11"/>
      <c r="BF136" s="11"/>
      <c r="BG136" s="11"/>
      <c r="BH136" s="11"/>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row>
  </sheetData>
  <mergeCells count="15">
    <mergeCell ref="C5:F5"/>
    <mergeCell ref="I5:L5"/>
    <mergeCell ref="O5:R5"/>
    <mergeCell ref="U5:X5"/>
    <mergeCell ref="AA5:AD5"/>
    <mergeCell ref="CI5:CL5"/>
    <mergeCell ref="AG5:AJ5"/>
    <mergeCell ref="AM5:AP5"/>
    <mergeCell ref="BW5:BZ5"/>
    <mergeCell ref="CC5:CF5"/>
    <mergeCell ref="AS5:AV5"/>
    <mergeCell ref="AY5:BB5"/>
    <mergeCell ref="BE5:BH5"/>
    <mergeCell ref="BK5:BN5"/>
    <mergeCell ref="BQ5:BT5"/>
  </mergeCells>
  <printOptions horizontalCentered="1" verticalCentered="1"/>
  <pageMargins left="0" right="0" top="0" bottom="0" header="0" footer="0"/>
  <pageSetup paperSize="5" scale="59" orientation="landscape" r:id="rId1"/>
  <headerFooter alignWithMargins="0"/>
  <ignoredErrors>
    <ignoredError sqref="BM31:BN3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pageSetUpPr fitToPage="1"/>
  </sheetPr>
  <dimension ref="A1:CN82"/>
  <sheetViews>
    <sheetView showGridLines="0" zoomScaleNormal="100" zoomScaleSheetLayoutView="85" workbookViewId="0">
      <pane xSplit="1" ySplit="5" topLeftCell="AJ6" activePane="bottomRight" state="frozen"/>
      <selection pane="topRight" activeCell="B1" sqref="B1"/>
      <selection pane="bottomLeft" activeCell="A6" sqref="A6"/>
      <selection pane="bottomRight" sqref="A1:XFD1048576"/>
    </sheetView>
  </sheetViews>
  <sheetFormatPr defaultColWidth="9.140625" defaultRowHeight="12" customHeight="1" outlineLevelRow="1" outlineLevelCol="1" x14ac:dyDescent="0.2"/>
  <cols>
    <col min="1" max="1" width="26.140625" style="128" customWidth="1"/>
    <col min="2" max="6" width="7.28515625" style="128" hidden="1" customWidth="1" outlineLevel="1"/>
    <col min="7" max="7" width="0.85546875" style="16" hidden="1" customWidth="1" outlineLevel="1"/>
    <col min="8" max="12" width="7.28515625" style="128" hidden="1" customWidth="1" outlineLevel="1"/>
    <col min="13" max="13" width="0.85546875" style="16" hidden="1" customWidth="1" outlineLevel="1"/>
    <col min="14" max="18" width="7.28515625" style="128" hidden="1" customWidth="1" outlineLevel="1"/>
    <col min="19" max="19" width="0.85546875" style="16" hidden="1" customWidth="1" outlineLevel="1"/>
    <col min="20" max="24" width="7.28515625" style="128" hidden="1" customWidth="1" outlineLevel="1"/>
    <col min="25" max="25" width="0.85546875" style="16" hidden="1" customWidth="1" outlineLevel="1"/>
    <col min="26" max="29" width="7.28515625" style="128" hidden="1" customWidth="1" outlineLevel="1"/>
    <col min="30" max="30" width="7.28515625" style="9" hidden="1" customWidth="1" outlineLevel="1" collapsed="1"/>
    <col min="31" max="31" width="0.85546875" style="16" hidden="1" customWidth="1" outlineLevel="1"/>
    <col min="32" max="35" width="7.28515625" style="128" hidden="1" customWidth="1" outlineLevel="1"/>
    <col min="36" max="36" width="7.28515625" style="128" customWidth="1" collapsed="1"/>
    <col min="37" max="37" width="0.85546875" style="16" customWidth="1"/>
    <col min="38" max="41" width="7.28515625" style="128" hidden="1" customWidth="1" outlineLevel="1"/>
    <col min="42" max="42" width="7.28515625" style="128" customWidth="1" collapsed="1"/>
    <col min="43" max="43" width="0.85546875" style="16" customWidth="1"/>
    <col min="44" max="47" width="7.28515625" style="128" hidden="1" customWidth="1" outlineLevel="1"/>
    <col min="48" max="48" width="7.28515625" style="128" customWidth="1" collapsed="1"/>
    <col min="49" max="49" width="0.85546875" style="16" customWidth="1"/>
    <col min="50" max="53" width="7.28515625" style="128" hidden="1" customWidth="1" outlineLevel="1"/>
    <col min="54" max="54" width="7.28515625" style="128" customWidth="1" collapsed="1"/>
    <col min="55" max="55" width="0.85546875" style="16" customWidth="1"/>
    <col min="56" max="59" width="7.28515625" style="128" hidden="1" customWidth="1" outlineLevel="1"/>
    <col min="60" max="60" width="7.28515625" style="128" customWidth="1" collapsed="1"/>
    <col min="61" max="61" width="0.85546875" style="16" customWidth="1"/>
    <col min="62" max="65" width="7.28515625" style="128" customWidth="1" outlineLevel="1"/>
    <col min="66" max="66" width="7.28515625" style="128" customWidth="1"/>
    <col min="67" max="67" width="0.85546875" style="16" customWidth="1"/>
    <col min="68" max="71" width="7.28515625" style="128" customWidth="1" outlineLevel="1"/>
    <col min="72" max="72" width="7.28515625" style="128" customWidth="1"/>
    <col min="73" max="73" width="0.85546875" style="16" customWidth="1"/>
    <col min="74" max="77" width="7.28515625" style="128" hidden="1" customWidth="1" outlineLevel="1"/>
    <col min="78" max="78" width="7.28515625" style="128" customWidth="1" collapsed="1"/>
    <col min="79" max="79" width="0.85546875" style="16" customWidth="1"/>
    <col min="80" max="83" width="7.28515625" style="128" hidden="1" customWidth="1" outlineLevel="1"/>
    <col min="84" max="84" width="7.28515625" style="128" customWidth="1" collapsed="1"/>
    <col min="85" max="85" width="0.85546875" style="16" customWidth="1"/>
    <col min="86" max="89" width="7.28515625" style="128" hidden="1" customWidth="1" outlineLevel="1"/>
    <col min="90" max="90" width="7.28515625" style="128" customWidth="1" collapsed="1"/>
    <col min="91" max="100" width="7.28515625" style="128" customWidth="1"/>
    <col min="101" max="16384" width="9.140625" style="128"/>
  </cols>
  <sheetData>
    <row r="1" spans="1:92" ht="11.25" customHeight="1" x14ac:dyDescent="0.2">
      <c r="A1" s="14"/>
      <c r="B1" s="14"/>
      <c r="C1" s="14"/>
      <c r="D1" s="14"/>
      <c r="E1" s="14"/>
      <c r="F1" s="11"/>
      <c r="G1" s="24"/>
      <c r="H1" s="14"/>
      <c r="I1" s="14"/>
      <c r="J1" s="14"/>
      <c r="K1" s="14"/>
      <c r="L1" s="11"/>
      <c r="M1" s="24"/>
      <c r="N1" s="14"/>
      <c r="O1" s="14"/>
      <c r="P1" s="14"/>
      <c r="Q1" s="14"/>
      <c r="R1" s="11"/>
      <c r="S1" s="24"/>
      <c r="T1" s="14"/>
      <c r="U1" s="14"/>
      <c r="V1" s="14"/>
      <c r="W1" s="14"/>
      <c r="X1" s="11"/>
      <c r="Y1" s="24"/>
      <c r="Z1" s="14"/>
      <c r="AA1" s="14"/>
      <c r="AB1" s="14"/>
      <c r="AC1" s="14"/>
      <c r="AD1" s="14"/>
      <c r="AE1" s="24"/>
      <c r="AF1" s="14"/>
      <c r="AG1" s="14"/>
      <c r="AH1" s="14"/>
      <c r="AI1" s="14"/>
      <c r="AJ1" s="14"/>
      <c r="AK1" s="24"/>
      <c r="AL1" s="14"/>
      <c r="AM1" s="14"/>
      <c r="AN1" s="14"/>
      <c r="AO1" s="14"/>
      <c r="AP1" s="14"/>
      <c r="AQ1" s="24"/>
      <c r="AR1" s="14"/>
      <c r="AS1" s="14"/>
      <c r="AT1" s="14"/>
      <c r="AU1" s="14"/>
      <c r="AV1" s="14"/>
      <c r="AW1" s="24"/>
      <c r="AX1" s="14"/>
      <c r="AY1" s="14"/>
      <c r="AZ1" s="14"/>
      <c r="BA1" s="14"/>
      <c r="BB1" s="14"/>
      <c r="BC1" s="24"/>
      <c r="BD1" s="14"/>
      <c r="BE1" s="14"/>
      <c r="BF1" s="14"/>
      <c r="BG1" s="14"/>
      <c r="BH1" s="14"/>
      <c r="BI1" s="24"/>
      <c r="BJ1" s="14"/>
      <c r="BK1" s="14"/>
      <c r="BL1" s="14"/>
      <c r="BM1" s="14"/>
      <c r="BN1" s="14"/>
      <c r="BO1" s="24"/>
      <c r="BP1" s="14"/>
      <c r="BQ1" s="14"/>
      <c r="BR1" s="14"/>
      <c r="BS1" s="14"/>
      <c r="BT1" s="14"/>
      <c r="BU1" s="24"/>
      <c r="BV1" s="14"/>
      <c r="BW1" s="14"/>
      <c r="BX1" s="14"/>
      <c r="BY1" s="14"/>
      <c r="BZ1" s="14"/>
      <c r="CA1" s="24"/>
      <c r="CB1" s="14"/>
      <c r="CC1" s="14"/>
      <c r="CD1" s="14"/>
      <c r="CE1" s="14"/>
      <c r="CF1" s="14"/>
      <c r="CG1" s="24"/>
      <c r="CH1" s="14"/>
      <c r="CI1" s="14"/>
      <c r="CJ1" s="14"/>
      <c r="CK1" s="14"/>
      <c r="CL1" s="14"/>
      <c r="CM1" s="14"/>
      <c r="CN1" s="14"/>
    </row>
    <row r="2" spans="1:92" ht="11.25" customHeight="1" x14ac:dyDescent="0.2">
      <c r="A2" s="411" t="s">
        <v>359</v>
      </c>
      <c r="B2" s="14"/>
      <c r="C2" s="14"/>
      <c r="D2" s="14"/>
      <c r="E2" s="14"/>
      <c r="F2" s="11"/>
      <c r="G2" s="24"/>
      <c r="H2" s="14"/>
      <c r="I2" s="14"/>
      <c r="J2" s="14"/>
      <c r="K2" s="14"/>
      <c r="L2" s="11"/>
      <c r="M2" s="24"/>
      <c r="N2" s="14"/>
      <c r="O2" s="14"/>
      <c r="P2" s="14"/>
      <c r="Q2" s="14"/>
      <c r="R2" s="11"/>
      <c r="S2" s="24"/>
      <c r="T2" s="14"/>
      <c r="U2" s="14"/>
      <c r="V2" s="14"/>
      <c r="W2" s="14"/>
      <c r="X2" s="11"/>
      <c r="Y2" s="24"/>
      <c r="Z2" s="14"/>
      <c r="AA2" s="14"/>
      <c r="AB2" s="14"/>
      <c r="AC2" s="14"/>
      <c r="AD2" s="14"/>
      <c r="AE2" s="24"/>
      <c r="AF2" s="14"/>
      <c r="AG2" s="14"/>
      <c r="AH2" s="14"/>
      <c r="AI2" s="14"/>
      <c r="AJ2" s="14"/>
      <c r="AK2" s="24"/>
      <c r="AL2" s="14"/>
      <c r="AM2" s="14"/>
      <c r="AN2" s="14"/>
      <c r="AO2" s="14"/>
      <c r="AP2" s="14"/>
      <c r="AQ2" s="24"/>
      <c r="AR2" s="14"/>
      <c r="AS2" s="14"/>
      <c r="AT2" s="14"/>
      <c r="AU2" s="14"/>
      <c r="AV2" s="14"/>
      <c r="AW2" s="24"/>
      <c r="AX2" s="14"/>
      <c r="AY2" s="14"/>
      <c r="AZ2" s="14"/>
      <c r="BA2" s="14"/>
      <c r="BB2" s="14"/>
      <c r="BC2" s="24"/>
      <c r="BD2" s="155"/>
      <c r="BE2" s="14"/>
      <c r="BF2" s="14"/>
      <c r="BG2" s="14"/>
      <c r="BH2" s="14"/>
      <c r="BI2" s="24"/>
      <c r="BJ2" s="14"/>
      <c r="BK2" s="14"/>
      <c r="BL2" s="14"/>
      <c r="BM2" s="14"/>
      <c r="BN2" s="14"/>
      <c r="BO2" s="24"/>
      <c r="BP2" s="14"/>
      <c r="BQ2" s="14"/>
      <c r="BR2" s="14"/>
      <c r="BS2" s="14"/>
      <c r="BT2" s="14"/>
      <c r="BU2" s="24"/>
      <c r="BV2" s="14"/>
      <c r="BW2" s="14"/>
      <c r="BX2" s="14"/>
      <c r="BY2" s="14"/>
      <c r="BZ2" s="14"/>
      <c r="CA2" s="24"/>
      <c r="CB2" s="14"/>
      <c r="CC2" s="14"/>
      <c r="CD2" s="14"/>
      <c r="CE2" s="14"/>
      <c r="CF2" s="14"/>
      <c r="CG2" s="24"/>
      <c r="CH2" s="14"/>
      <c r="CI2" s="14"/>
      <c r="CJ2" s="14"/>
      <c r="CK2" s="14"/>
      <c r="CL2" s="14"/>
      <c r="CM2" s="14"/>
      <c r="CN2" s="14"/>
    </row>
    <row r="3" spans="1:92" s="16" customFormat="1" ht="11.25" customHeight="1" x14ac:dyDescent="0.2">
      <c r="A3" s="474" t="s">
        <v>217</v>
      </c>
      <c r="B3" s="24"/>
      <c r="C3" s="24"/>
      <c r="D3" s="24"/>
      <c r="E3" s="24"/>
      <c r="F3" s="17"/>
      <c r="G3" s="24"/>
      <c r="H3" s="24"/>
      <c r="I3" s="24"/>
      <c r="J3" s="24"/>
      <c r="K3" s="24"/>
      <c r="L3" s="17"/>
      <c r="M3" s="24"/>
      <c r="N3" s="24"/>
      <c r="O3" s="24"/>
      <c r="P3" s="24"/>
      <c r="Q3" s="24"/>
      <c r="R3" s="17"/>
      <c r="S3" s="24"/>
      <c r="T3" s="24"/>
      <c r="U3" s="24"/>
      <c r="V3" s="24"/>
      <c r="W3" s="24"/>
      <c r="X3" s="17"/>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14"/>
      <c r="BE3" s="14"/>
      <c r="BF3" s="1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row>
    <row r="4" spans="1:92" s="138" customFormat="1" ht="11.25" customHeight="1" x14ac:dyDescent="0.2">
      <c r="A4" s="156"/>
      <c r="B4" s="1401" t="s">
        <v>31</v>
      </c>
      <c r="C4" s="1402"/>
      <c r="D4" s="1402"/>
      <c r="E4" s="1402"/>
      <c r="F4" s="510" t="str">
        <f>B4</f>
        <v>2007A</v>
      </c>
      <c r="G4" s="575"/>
      <c r="H4" s="1404" t="s">
        <v>32</v>
      </c>
      <c r="I4" s="1405"/>
      <c r="J4" s="1405"/>
      <c r="K4" s="1405"/>
      <c r="L4" s="510" t="str">
        <f>H4</f>
        <v>2008A</v>
      </c>
      <c r="M4" s="575"/>
      <c r="N4" s="1404" t="s">
        <v>33</v>
      </c>
      <c r="O4" s="1405"/>
      <c r="P4" s="1405"/>
      <c r="Q4" s="1405"/>
      <c r="R4" s="510" t="str">
        <f>N4</f>
        <v>2009A</v>
      </c>
      <c r="S4" s="575"/>
      <c r="T4" s="1404" t="s">
        <v>103</v>
      </c>
      <c r="U4" s="1405"/>
      <c r="V4" s="1405"/>
      <c r="W4" s="1405"/>
      <c r="X4" s="510" t="str">
        <f>T4</f>
        <v>2010A</v>
      </c>
      <c r="Y4" s="575"/>
      <c r="Z4" s="1404" t="s">
        <v>139</v>
      </c>
      <c r="AA4" s="1405"/>
      <c r="AB4" s="1405"/>
      <c r="AC4" s="1405"/>
      <c r="AD4" s="510" t="str">
        <f>Z4</f>
        <v>2011A</v>
      </c>
      <c r="AE4" s="575"/>
      <c r="AF4" s="1404" t="s">
        <v>140</v>
      </c>
      <c r="AG4" s="1405"/>
      <c r="AH4" s="1405"/>
      <c r="AI4" s="1405"/>
      <c r="AJ4" s="510" t="str">
        <f>AF4</f>
        <v>2012A</v>
      </c>
      <c r="AK4" s="575"/>
      <c r="AL4" s="1404" t="s">
        <v>141</v>
      </c>
      <c r="AM4" s="1405"/>
      <c r="AN4" s="1405"/>
      <c r="AO4" s="1405"/>
      <c r="AP4" s="510" t="str">
        <f>AL4</f>
        <v>2013A</v>
      </c>
      <c r="AQ4" s="575"/>
      <c r="AR4" s="1404" t="s">
        <v>245</v>
      </c>
      <c r="AS4" s="1405"/>
      <c r="AT4" s="1405"/>
      <c r="AU4" s="1405"/>
      <c r="AV4" s="510" t="str">
        <f>AR4</f>
        <v>2014A</v>
      </c>
      <c r="AW4" s="575"/>
      <c r="AX4" s="1404" t="s">
        <v>259</v>
      </c>
      <c r="AY4" s="1405"/>
      <c r="AZ4" s="1405"/>
      <c r="BA4" s="1405"/>
      <c r="BB4" s="510" t="str">
        <f>AX4</f>
        <v>2015A</v>
      </c>
      <c r="BC4" s="575"/>
      <c r="BD4" s="1404" t="s">
        <v>270</v>
      </c>
      <c r="BE4" s="1405"/>
      <c r="BF4" s="1405"/>
      <c r="BG4" s="1405"/>
      <c r="BH4" s="510" t="str">
        <f>BD4</f>
        <v>2016A</v>
      </c>
      <c r="BI4" s="575"/>
      <c r="BJ4" s="1404" t="s">
        <v>455</v>
      </c>
      <c r="BK4" s="1405"/>
      <c r="BL4" s="1405"/>
      <c r="BM4" s="1405"/>
      <c r="BN4" s="510" t="str">
        <f>BJ4</f>
        <v>2017A</v>
      </c>
      <c r="BO4" s="575"/>
      <c r="BP4" s="1401" t="s">
        <v>251</v>
      </c>
      <c r="BQ4" s="1402"/>
      <c r="BR4" s="1402"/>
      <c r="BS4" s="1402"/>
      <c r="BT4" s="510" t="str">
        <f>BP4</f>
        <v>2018E</v>
      </c>
      <c r="BU4" s="107"/>
      <c r="BV4" s="1401" t="s">
        <v>252</v>
      </c>
      <c r="BW4" s="1402"/>
      <c r="BX4" s="1402"/>
      <c r="BY4" s="1402"/>
      <c r="BZ4" s="510" t="str">
        <f>BV4</f>
        <v>2019E</v>
      </c>
      <c r="CA4" s="107"/>
      <c r="CB4" s="1401" t="s">
        <v>253</v>
      </c>
      <c r="CC4" s="1402"/>
      <c r="CD4" s="1402"/>
      <c r="CE4" s="1402"/>
      <c r="CF4" s="510" t="str">
        <f>CB4</f>
        <v>2020E</v>
      </c>
      <c r="CG4" s="107"/>
      <c r="CH4" s="1401" t="s">
        <v>565</v>
      </c>
      <c r="CI4" s="1402"/>
      <c r="CJ4" s="1402"/>
      <c r="CK4" s="1402"/>
      <c r="CL4" s="510" t="str">
        <f>CH4</f>
        <v>2021E</v>
      </c>
    </row>
    <row r="5" spans="1:92" ht="11.25" customHeight="1" x14ac:dyDescent="0.2">
      <c r="A5" s="98" t="s">
        <v>218</v>
      </c>
      <c r="B5" s="509">
        <v>38929</v>
      </c>
      <c r="C5" s="256">
        <v>39021</v>
      </c>
      <c r="D5" s="256">
        <v>39113</v>
      </c>
      <c r="E5" s="256">
        <v>39202</v>
      </c>
      <c r="F5" s="513" t="str">
        <f>+B4</f>
        <v>2007A</v>
      </c>
      <c r="G5" s="99"/>
      <c r="H5" s="512">
        <f>N5-365</f>
        <v>39294</v>
      </c>
      <c r="I5" s="94">
        <f>O5-365</f>
        <v>39386</v>
      </c>
      <c r="J5" s="94">
        <f>P5-365</f>
        <v>39478</v>
      </c>
      <c r="K5" s="94">
        <f>Q5-365</f>
        <v>39568</v>
      </c>
      <c r="L5" s="511" t="str">
        <f>+H4</f>
        <v>2008A</v>
      </c>
      <c r="M5" s="99"/>
      <c r="N5" s="512">
        <f>T5-365</f>
        <v>39659</v>
      </c>
      <c r="O5" s="94">
        <f>U5-365</f>
        <v>39751</v>
      </c>
      <c r="P5" s="94">
        <f>V5-365</f>
        <v>39843</v>
      </c>
      <c r="Q5" s="94">
        <f>W5-365</f>
        <v>39933</v>
      </c>
      <c r="R5" s="511" t="str">
        <f>+N4</f>
        <v>2009A</v>
      </c>
      <c r="S5" s="99"/>
      <c r="T5" s="512">
        <f>Z5-365</f>
        <v>40024</v>
      </c>
      <c r="U5" s="94">
        <f>AA5-365</f>
        <v>40116</v>
      </c>
      <c r="V5" s="94">
        <f>AB5-365</f>
        <v>40208</v>
      </c>
      <c r="W5" s="94">
        <f>AC5-365</f>
        <v>40298</v>
      </c>
      <c r="X5" s="511" t="str">
        <f>+T4</f>
        <v>2010A</v>
      </c>
      <c r="Y5" s="99"/>
      <c r="Z5" s="512">
        <v>40389</v>
      </c>
      <c r="AA5" s="94">
        <v>40481</v>
      </c>
      <c r="AB5" s="94">
        <v>40573</v>
      </c>
      <c r="AC5" s="94">
        <v>40663</v>
      </c>
      <c r="AD5" s="511" t="str">
        <f>+Z4</f>
        <v>2011A</v>
      </c>
      <c r="AE5" s="99"/>
      <c r="AF5" s="512">
        <v>40754</v>
      </c>
      <c r="AG5" s="94">
        <v>40846</v>
      </c>
      <c r="AH5" s="94">
        <v>40938</v>
      </c>
      <c r="AI5" s="94">
        <v>41029</v>
      </c>
      <c r="AJ5" s="511" t="str">
        <f>+AF4</f>
        <v>2012A</v>
      </c>
      <c r="AK5" s="99"/>
      <c r="AL5" s="512">
        <v>41120</v>
      </c>
      <c r="AM5" s="94">
        <v>41212</v>
      </c>
      <c r="AN5" s="94">
        <v>41304</v>
      </c>
      <c r="AO5" s="94">
        <v>41394</v>
      </c>
      <c r="AP5" s="511" t="str">
        <f>+AL4</f>
        <v>2013A</v>
      </c>
      <c r="AQ5" s="99"/>
      <c r="AR5" s="512">
        <v>41485</v>
      </c>
      <c r="AS5" s="94">
        <v>41577</v>
      </c>
      <c r="AT5" s="94">
        <v>41669</v>
      </c>
      <c r="AU5" s="94">
        <v>41759</v>
      </c>
      <c r="AV5" s="511" t="str">
        <f>+AR4</f>
        <v>2014A</v>
      </c>
      <c r="AW5" s="99"/>
      <c r="AX5" s="512">
        <v>41850</v>
      </c>
      <c r="AY5" s="94">
        <v>41942</v>
      </c>
      <c r="AZ5" s="94">
        <v>42034</v>
      </c>
      <c r="BA5" s="94">
        <v>42124</v>
      </c>
      <c r="BB5" s="511" t="str">
        <f>+AX4</f>
        <v>2015A</v>
      </c>
      <c r="BC5" s="99"/>
      <c r="BD5" s="512">
        <v>42215</v>
      </c>
      <c r="BE5" s="94">
        <v>42307</v>
      </c>
      <c r="BF5" s="94">
        <v>42399</v>
      </c>
      <c r="BG5" s="94">
        <v>42490</v>
      </c>
      <c r="BH5" s="511" t="str">
        <f>+BD4</f>
        <v>2016A</v>
      </c>
      <c r="BI5" s="99"/>
      <c r="BJ5" s="512">
        <v>42581</v>
      </c>
      <c r="BK5" s="94">
        <v>42673</v>
      </c>
      <c r="BL5" s="94">
        <v>42765</v>
      </c>
      <c r="BM5" s="94">
        <v>42855</v>
      </c>
      <c r="BN5" s="511" t="str">
        <f>+BJ4</f>
        <v>2017A</v>
      </c>
      <c r="BO5" s="99"/>
      <c r="BP5" s="1284">
        <v>42946</v>
      </c>
      <c r="BQ5" s="94">
        <v>43038</v>
      </c>
      <c r="BR5" s="94">
        <v>43130</v>
      </c>
      <c r="BS5" s="92">
        <v>43220</v>
      </c>
      <c r="BT5" s="516" t="str">
        <f>+BP4</f>
        <v>2018E</v>
      </c>
      <c r="BU5" s="99"/>
      <c r="BV5" s="515">
        <v>43311</v>
      </c>
      <c r="BW5" s="92">
        <v>43403</v>
      </c>
      <c r="BX5" s="92">
        <v>43495</v>
      </c>
      <c r="BY5" s="92">
        <v>43585</v>
      </c>
      <c r="BZ5" s="516" t="str">
        <f>+BV4</f>
        <v>2019E</v>
      </c>
      <c r="CA5" s="99"/>
      <c r="CB5" s="515">
        <f>+BV5+365.25</f>
        <v>43676.25</v>
      </c>
      <c r="CC5" s="92">
        <f>+BW5+365.25</f>
        <v>43768.25</v>
      </c>
      <c r="CD5" s="92">
        <f>+BX5+365.25</f>
        <v>43860.25</v>
      </c>
      <c r="CE5" s="92">
        <f>+BY5+365.25</f>
        <v>43950.25</v>
      </c>
      <c r="CF5" s="516" t="str">
        <f>+CB4</f>
        <v>2020E</v>
      </c>
      <c r="CG5" s="99"/>
      <c r="CH5" s="515">
        <f>+CB5+365.25</f>
        <v>44041.5</v>
      </c>
      <c r="CI5" s="92">
        <f>+CC5+365.25</f>
        <v>44133.5</v>
      </c>
      <c r="CJ5" s="92">
        <f>+CD5+365.25</f>
        <v>44225.5</v>
      </c>
      <c r="CK5" s="92">
        <f>+CE5+365.25</f>
        <v>44315.5</v>
      </c>
      <c r="CL5" s="516" t="str">
        <f>+CH4</f>
        <v>2021E</v>
      </c>
      <c r="CM5" s="14"/>
      <c r="CN5" s="14"/>
    </row>
    <row r="6" spans="1:92" ht="11.25" customHeight="1" x14ac:dyDescent="0.2">
      <c r="A6" s="932" t="s">
        <v>330</v>
      </c>
      <c r="B6" s="936"/>
      <c r="C6" s="937"/>
      <c r="D6" s="937"/>
      <c r="E6" s="938"/>
      <c r="F6" s="945">
        <v>0</v>
      </c>
      <c r="G6" s="412"/>
      <c r="H6" s="936"/>
      <c r="I6" s="937"/>
      <c r="J6" s="937"/>
      <c r="K6" s="938"/>
      <c r="L6" s="945">
        <v>150</v>
      </c>
      <c r="M6" s="928"/>
      <c r="N6" s="936"/>
      <c r="O6" s="937"/>
      <c r="P6" s="937"/>
      <c r="Q6" s="938"/>
      <c r="R6" s="945">
        <v>150</v>
      </c>
      <c r="S6" s="412"/>
      <c r="T6" s="939"/>
      <c r="U6" s="52"/>
      <c r="V6" s="52"/>
      <c r="W6" s="42"/>
      <c r="X6" s="946">
        <v>150</v>
      </c>
      <c r="Y6" s="412"/>
      <c r="Z6" s="939"/>
      <c r="AA6" s="52"/>
      <c r="AB6" s="52"/>
      <c r="AC6" s="42"/>
      <c r="AD6" s="946">
        <v>150</v>
      </c>
      <c r="AE6" s="412"/>
      <c r="AF6" s="939"/>
      <c r="AG6" s="52"/>
      <c r="AH6" s="52"/>
      <c r="AI6" s="42"/>
      <c r="AJ6" s="946">
        <v>150</v>
      </c>
      <c r="AK6" s="412"/>
      <c r="AL6" s="939">
        <f t="shared" ref="AL6:AL17" si="0">AJ6+AL25</f>
        <v>150</v>
      </c>
      <c r="AM6" s="42">
        <f t="shared" ref="AM6:AN17" si="1">AL6+AM25</f>
        <v>150</v>
      </c>
      <c r="AN6" s="42">
        <f t="shared" si="1"/>
        <v>150</v>
      </c>
      <c r="AO6" s="52">
        <f>+AP6</f>
        <v>150</v>
      </c>
      <c r="AP6" s="946">
        <v>150</v>
      </c>
      <c r="AQ6" s="412"/>
      <c r="AR6" s="941">
        <f t="shared" ref="AR6:AR16" si="2">AO6+AR25</f>
        <v>150</v>
      </c>
      <c r="AS6" s="42">
        <f t="shared" ref="AS6:AT17" si="3">AR6+AS25</f>
        <v>150</v>
      </c>
      <c r="AT6" s="42">
        <f t="shared" si="3"/>
        <v>150</v>
      </c>
      <c r="AU6" s="42">
        <f>+AV6</f>
        <v>150</v>
      </c>
      <c r="AV6" s="946">
        <v>150</v>
      </c>
      <c r="AW6" s="412"/>
      <c r="AX6" s="941">
        <f t="shared" ref="AX6:AX16" si="4">AU6+AX25</f>
        <v>150</v>
      </c>
      <c r="AY6" s="42">
        <f t="shared" ref="AY6:AZ17" si="5">AX6+AY25</f>
        <v>150</v>
      </c>
      <c r="AZ6" s="42">
        <f t="shared" si="5"/>
        <v>150</v>
      </c>
      <c r="BA6" s="42">
        <f>+BB6</f>
        <v>150</v>
      </c>
      <c r="BB6" s="946">
        <v>150</v>
      </c>
      <c r="BC6" s="412"/>
      <c r="BD6" s="941">
        <f t="shared" ref="BD6:BD16" si="6">BA6+BD25</f>
        <v>150</v>
      </c>
      <c r="BE6" s="42">
        <f t="shared" ref="BE6:BF17" si="7">BD6+BE25</f>
        <v>150</v>
      </c>
      <c r="BF6" s="42">
        <f t="shared" si="7"/>
        <v>150</v>
      </c>
      <c r="BG6" s="42">
        <f>+BH6</f>
        <v>150</v>
      </c>
      <c r="BH6" s="554">
        <v>150</v>
      </c>
      <c r="BI6" s="412"/>
      <c r="BJ6" s="941">
        <f t="shared" ref="BJ6:BJ16" si="8">BG6+BJ25</f>
        <v>150</v>
      </c>
      <c r="BK6" s="42">
        <f t="shared" ref="BK6:BL17" si="9">BJ6+BK25</f>
        <v>150</v>
      </c>
      <c r="BL6" s="52">
        <f t="shared" si="9"/>
        <v>150</v>
      </c>
      <c r="BM6" s="42">
        <f>+BN6</f>
        <v>150</v>
      </c>
      <c r="BN6" s="554">
        <v>150</v>
      </c>
      <c r="BO6" s="412"/>
      <c r="BP6" s="941">
        <f t="shared" ref="BP6:BQ16" si="10">BM6+BP25</f>
        <v>150</v>
      </c>
      <c r="BQ6" s="52">
        <f t="shared" si="10"/>
        <v>150</v>
      </c>
      <c r="BR6" s="52">
        <f t="shared" ref="BR6:BR17" si="11">BQ6+BR25</f>
        <v>150</v>
      </c>
      <c r="BS6" s="52">
        <v>150</v>
      </c>
      <c r="BT6" s="949">
        <f>BS6</f>
        <v>150</v>
      </c>
      <c r="BU6" s="412"/>
      <c r="BV6" s="939">
        <f t="shared" ref="BV6:BV17" si="12">BT6+BV25</f>
        <v>150</v>
      </c>
      <c r="BW6" s="52">
        <f>BV6+BW25</f>
        <v>150</v>
      </c>
      <c r="BX6" s="52">
        <f>BW6+BX25</f>
        <v>150</v>
      </c>
      <c r="BY6" s="52">
        <f>BX6+BY25</f>
        <v>150</v>
      </c>
      <c r="BZ6" s="949">
        <f>BY6</f>
        <v>150</v>
      </c>
      <c r="CA6" s="412"/>
      <c r="CB6" s="939">
        <f t="shared" ref="CB6:CB17" si="13">BZ6+CB25</f>
        <v>150</v>
      </c>
      <c r="CC6" s="52">
        <f t="shared" ref="CC6:CE17" si="14">CB6+CC25</f>
        <v>150</v>
      </c>
      <c r="CD6" s="52">
        <f t="shared" si="14"/>
        <v>150</v>
      </c>
      <c r="CE6" s="52">
        <f t="shared" si="14"/>
        <v>150</v>
      </c>
      <c r="CF6" s="949">
        <f>CE6</f>
        <v>150</v>
      </c>
      <c r="CG6" s="412"/>
      <c r="CH6" s="939">
        <f t="shared" ref="CH6:CH17" si="15">CF6+CH25</f>
        <v>150</v>
      </c>
      <c r="CI6" s="52">
        <f t="shared" ref="CI6:CI17" si="16">CH6+CI25</f>
        <v>150</v>
      </c>
      <c r="CJ6" s="52">
        <f t="shared" ref="CJ6:CJ17" si="17">CI6+CJ25</f>
        <v>150</v>
      </c>
      <c r="CK6" s="52">
        <f t="shared" ref="CK6:CK17" si="18">CJ6+CK25</f>
        <v>150</v>
      </c>
      <c r="CL6" s="949">
        <f>CK6</f>
        <v>150</v>
      </c>
      <c r="CM6" s="14"/>
      <c r="CN6" s="14"/>
    </row>
    <row r="7" spans="1:92" ht="11.25" customHeight="1" x14ac:dyDescent="0.2">
      <c r="A7" s="933" t="s">
        <v>331</v>
      </c>
      <c r="B7" s="939"/>
      <c r="C7" s="52"/>
      <c r="D7" s="52"/>
      <c r="E7" s="42"/>
      <c r="F7" s="946">
        <v>0</v>
      </c>
      <c r="G7" s="412"/>
      <c r="H7" s="939"/>
      <c r="I7" s="52"/>
      <c r="J7" s="52"/>
      <c r="K7" s="42"/>
      <c r="L7" s="946">
        <v>0</v>
      </c>
      <c r="M7" s="928"/>
      <c r="N7" s="939"/>
      <c r="O7" s="52"/>
      <c r="P7" s="52"/>
      <c r="Q7" s="42"/>
      <c r="R7" s="946">
        <v>0</v>
      </c>
      <c r="S7" s="412"/>
      <c r="T7" s="939"/>
      <c r="U7" s="52"/>
      <c r="V7" s="52"/>
      <c r="W7" s="42"/>
      <c r="X7" s="946">
        <v>0</v>
      </c>
      <c r="Y7" s="412"/>
      <c r="Z7" s="939"/>
      <c r="AA7" s="52"/>
      <c r="AB7" s="52"/>
      <c r="AC7" s="52"/>
      <c r="AD7" s="946">
        <v>0</v>
      </c>
      <c r="AE7" s="412"/>
      <c r="AF7" s="939"/>
      <c r="AG7" s="52"/>
      <c r="AH7" s="52"/>
      <c r="AI7" s="52"/>
      <c r="AJ7" s="946">
        <v>60</v>
      </c>
      <c r="AK7" s="412"/>
      <c r="AL7" s="939">
        <f t="shared" si="0"/>
        <v>60</v>
      </c>
      <c r="AM7" s="42">
        <f t="shared" si="1"/>
        <v>60</v>
      </c>
      <c r="AN7" s="42">
        <f t="shared" si="1"/>
        <v>60</v>
      </c>
      <c r="AO7" s="52">
        <f t="shared" ref="AO7:AO18" si="19">+AP7</f>
        <v>60</v>
      </c>
      <c r="AP7" s="946">
        <v>60</v>
      </c>
      <c r="AQ7" s="412"/>
      <c r="AR7" s="941">
        <f t="shared" si="2"/>
        <v>60</v>
      </c>
      <c r="AS7" s="42">
        <f t="shared" si="3"/>
        <v>60</v>
      </c>
      <c r="AT7" s="42">
        <f t="shared" si="3"/>
        <v>60</v>
      </c>
      <c r="AU7" s="42">
        <f t="shared" ref="AU7:AU17" si="20">+AV7</f>
        <v>60</v>
      </c>
      <c r="AV7" s="946">
        <v>60</v>
      </c>
      <c r="AW7" s="412"/>
      <c r="AX7" s="941">
        <f t="shared" si="4"/>
        <v>60</v>
      </c>
      <c r="AY7" s="42">
        <f t="shared" si="5"/>
        <v>60</v>
      </c>
      <c r="AZ7" s="42">
        <f t="shared" si="5"/>
        <v>60</v>
      </c>
      <c r="BA7" s="42">
        <f t="shared" ref="BA7:BA17" si="21">+BB7</f>
        <v>60</v>
      </c>
      <c r="BB7" s="946">
        <v>60</v>
      </c>
      <c r="BC7" s="412"/>
      <c r="BD7" s="941">
        <f t="shared" si="6"/>
        <v>60</v>
      </c>
      <c r="BE7" s="42">
        <f t="shared" si="7"/>
        <v>60</v>
      </c>
      <c r="BF7" s="42">
        <f t="shared" si="7"/>
        <v>60</v>
      </c>
      <c r="BG7" s="42">
        <f t="shared" ref="BG7:BG18" si="22">+BH7</f>
        <v>60</v>
      </c>
      <c r="BH7" s="554">
        <v>60</v>
      </c>
      <c r="BI7" s="412"/>
      <c r="BJ7" s="941">
        <f t="shared" si="8"/>
        <v>60</v>
      </c>
      <c r="BK7" s="42">
        <f t="shared" si="9"/>
        <v>60</v>
      </c>
      <c r="BL7" s="52">
        <f t="shared" si="9"/>
        <v>60</v>
      </c>
      <c r="BM7" s="42">
        <f t="shared" ref="BM7:BM12" si="23">+BN7</f>
        <v>60</v>
      </c>
      <c r="BN7" s="554">
        <v>60</v>
      </c>
      <c r="BO7" s="412"/>
      <c r="BP7" s="941">
        <f t="shared" si="10"/>
        <v>60</v>
      </c>
      <c r="BQ7" s="52">
        <f t="shared" si="10"/>
        <v>60</v>
      </c>
      <c r="BR7" s="52">
        <f t="shared" si="11"/>
        <v>60</v>
      </c>
      <c r="BS7" s="52">
        <f t="shared" ref="BS7:BS17" si="24">BR7+BS26</f>
        <v>60</v>
      </c>
      <c r="BT7" s="695">
        <f t="shared" ref="BT7:BT20" si="25">BS7</f>
        <v>60</v>
      </c>
      <c r="BU7" s="412"/>
      <c r="BV7" s="939">
        <f t="shared" si="12"/>
        <v>60</v>
      </c>
      <c r="BW7" s="52">
        <f t="shared" ref="BW7:BX17" si="26">BV7+BW26</f>
        <v>60</v>
      </c>
      <c r="BX7" s="52">
        <f t="shared" si="26"/>
        <v>60</v>
      </c>
      <c r="BY7" s="52">
        <f t="shared" ref="BY7:BY17" si="27">BX7+BY26</f>
        <v>60</v>
      </c>
      <c r="BZ7" s="949">
        <f t="shared" ref="BZ7:BZ20" si="28">BY7</f>
        <v>60</v>
      </c>
      <c r="CA7" s="412"/>
      <c r="CB7" s="939">
        <f t="shared" si="13"/>
        <v>60</v>
      </c>
      <c r="CC7" s="52">
        <f t="shared" si="14"/>
        <v>60</v>
      </c>
      <c r="CD7" s="52">
        <f t="shared" si="14"/>
        <v>60</v>
      </c>
      <c r="CE7" s="52">
        <f t="shared" si="14"/>
        <v>60</v>
      </c>
      <c r="CF7" s="949">
        <f t="shared" ref="CF7:CF20" si="29">CE7</f>
        <v>60</v>
      </c>
      <c r="CG7" s="412"/>
      <c r="CH7" s="939">
        <f t="shared" si="15"/>
        <v>60</v>
      </c>
      <c r="CI7" s="52">
        <f t="shared" si="16"/>
        <v>60</v>
      </c>
      <c r="CJ7" s="52">
        <f t="shared" si="17"/>
        <v>60</v>
      </c>
      <c r="CK7" s="52">
        <f t="shared" si="18"/>
        <v>60</v>
      </c>
      <c r="CL7" s="949">
        <f t="shared" ref="CL7:CL18" si="30">CK7</f>
        <v>60</v>
      </c>
      <c r="CM7" s="14"/>
      <c r="CN7" s="14"/>
    </row>
    <row r="8" spans="1:92" ht="11.25" customHeight="1" x14ac:dyDescent="0.2">
      <c r="A8" s="933" t="s">
        <v>332</v>
      </c>
      <c r="B8" s="939"/>
      <c r="C8" s="52"/>
      <c r="D8" s="52"/>
      <c r="E8" s="42"/>
      <c r="F8" s="946">
        <v>0</v>
      </c>
      <c r="G8" s="412"/>
      <c r="H8" s="939"/>
      <c r="I8" s="52"/>
      <c r="J8" s="52"/>
      <c r="K8" s="42"/>
      <c r="L8" s="946">
        <v>0</v>
      </c>
      <c r="M8" s="928"/>
      <c r="N8" s="939"/>
      <c r="O8" s="52"/>
      <c r="P8" s="52"/>
      <c r="Q8" s="42"/>
      <c r="R8" s="946">
        <v>0</v>
      </c>
      <c r="S8" s="412"/>
      <c r="T8" s="939"/>
      <c r="U8" s="52"/>
      <c r="V8" s="52"/>
      <c r="W8" s="42"/>
      <c r="X8" s="946">
        <v>0</v>
      </c>
      <c r="Y8" s="412"/>
      <c r="Z8" s="939"/>
      <c r="AA8" s="52"/>
      <c r="AB8" s="52"/>
      <c r="AC8" s="52"/>
      <c r="AD8" s="946">
        <v>0</v>
      </c>
      <c r="AE8" s="412"/>
      <c r="AF8" s="939"/>
      <c r="AG8" s="52"/>
      <c r="AH8" s="52"/>
      <c r="AI8" s="52"/>
      <c r="AJ8" s="946">
        <v>165</v>
      </c>
      <c r="AK8" s="412"/>
      <c r="AL8" s="939">
        <f t="shared" si="0"/>
        <v>165</v>
      </c>
      <c r="AM8" s="42">
        <f t="shared" si="1"/>
        <v>165</v>
      </c>
      <c r="AN8" s="42">
        <f t="shared" si="1"/>
        <v>165</v>
      </c>
      <c r="AO8" s="52">
        <f t="shared" si="19"/>
        <v>165</v>
      </c>
      <c r="AP8" s="946">
        <v>165</v>
      </c>
      <c r="AQ8" s="412"/>
      <c r="AR8" s="941">
        <f t="shared" si="2"/>
        <v>165</v>
      </c>
      <c r="AS8" s="42">
        <f t="shared" si="3"/>
        <v>165</v>
      </c>
      <c r="AT8" s="42">
        <f t="shared" si="3"/>
        <v>165</v>
      </c>
      <c r="AU8" s="42">
        <f t="shared" si="20"/>
        <v>165</v>
      </c>
      <c r="AV8" s="946">
        <v>165</v>
      </c>
      <c r="AW8" s="412"/>
      <c r="AX8" s="941">
        <f t="shared" si="4"/>
        <v>165</v>
      </c>
      <c r="AY8" s="42">
        <f t="shared" si="5"/>
        <v>165</v>
      </c>
      <c r="AZ8" s="42">
        <f t="shared" si="5"/>
        <v>165</v>
      </c>
      <c r="BA8" s="42">
        <f t="shared" si="21"/>
        <v>165</v>
      </c>
      <c r="BB8" s="946">
        <v>165</v>
      </c>
      <c r="BC8" s="412"/>
      <c r="BD8" s="941">
        <f t="shared" si="6"/>
        <v>165</v>
      </c>
      <c r="BE8" s="42">
        <f t="shared" si="7"/>
        <v>165</v>
      </c>
      <c r="BF8" s="42">
        <f t="shared" si="7"/>
        <v>165</v>
      </c>
      <c r="BG8" s="42">
        <f t="shared" si="22"/>
        <v>165</v>
      </c>
      <c r="BH8" s="554">
        <v>165</v>
      </c>
      <c r="BI8" s="412"/>
      <c r="BJ8" s="941">
        <f t="shared" si="8"/>
        <v>165</v>
      </c>
      <c r="BK8" s="42">
        <f t="shared" si="9"/>
        <v>165</v>
      </c>
      <c r="BL8" s="52">
        <f t="shared" si="9"/>
        <v>165</v>
      </c>
      <c r="BM8" s="42">
        <f t="shared" si="23"/>
        <v>165</v>
      </c>
      <c r="BN8" s="554">
        <v>165</v>
      </c>
      <c r="BO8" s="412"/>
      <c r="BP8" s="941">
        <f t="shared" si="10"/>
        <v>165</v>
      </c>
      <c r="BQ8" s="52">
        <f t="shared" si="10"/>
        <v>165</v>
      </c>
      <c r="BR8" s="52">
        <f t="shared" si="11"/>
        <v>165</v>
      </c>
      <c r="BS8" s="52">
        <f t="shared" si="24"/>
        <v>165</v>
      </c>
      <c r="BT8" s="695">
        <f t="shared" si="25"/>
        <v>165</v>
      </c>
      <c r="BU8" s="412"/>
      <c r="BV8" s="939">
        <f t="shared" si="12"/>
        <v>165</v>
      </c>
      <c r="BW8" s="52">
        <f t="shared" si="26"/>
        <v>165</v>
      </c>
      <c r="BX8" s="52">
        <f t="shared" ref="BX8:BX17" si="31">BW8+BX27</f>
        <v>165</v>
      </c>
      <c r="BY8" s="52">
        <f t="shared" si="27"/>
        <v>165</v>
      </c>
      <c r="BZ8" s="695">
        <f t="shared" si="28"/>
        <v>165</v>
      </c>
      <c r="CA8" s="412"/>
      <c r="CB8" s="939">
        <f t="shared" si="13"/>
        <v>165</v>
      </c>
      <c r="CC8" s="52">
        <f t="shared" si="14"/>
        <v>165</v>
      </c>
      <c r="CD8" s="52">
        <f t="shared" si="14"/>
        <v>165</v>
      </c>
      <c r="CE8" s="52">
        <f t="shared" si="14"/>
        <v>165</v>
      </c>
      <c r="CF8" s="695">
        <f t="shared" si="29"/>
        <v>165</v>
      </c>
      <c r="CG8" s="412"/>
      <c r="CH8" s="939">
        <f t="shared" si="15"/>
        <v>165</v>
      </c>
      <c r="CI8" s="52">
        <f t="shared" si="16"/>
        <v>165</v>
      </c>
      <c r="CJ8" s="52">
        <f t="shared" si="17"/>
        <v>165</v>
      </c>
      <c r="CK8" s="52">
        <f t="shared" si="18"/>
        <v>165</v>
      </c>
      <c r="CL8" s="695">
        <f t="shared" si="30"/>
        <v>165</v>
      </c>
      <c r="CM8" s="14"/>
      <c r="CN8" s="14"/>
    </row>
    <row r="9" spans="1:92" ht="11.25" customHeight="1" x14ac:dyDescent="0.2">
      <c r="A9" s="933" t="s">
        <v>333</v>
      </c>
      <c r="B9" s="939"/>
      <c r="C9" s="52"/>
      <c r="D9" s="52"/>
      <c r="E9" s="42"/>
      <c r="F9" s="946">
        <v>0</v>
      </c>
      <c r="G9" s="412"/>
      <c r="H9" s="939"/>
      <c r="I9" s="52"/>
      <c r="J9" s="52"/>
      <c r="K9" s="42"/>
      <c r="L9" s="946">
        <v>0</v>
      </c>
      <c r="M9" s="928"/>
      <c r="N9" s="939"/>
      <c r="O9" s="52"/>
      <c r="P9" s="52"/>
      <c r="Q9" s="42"/>
      <c r="R9" s="946">
        <v>0</v>
      </c>
      <c r="S9" s="412"/>
      <c r="T9" s="939"/>
      <c r="U9" s="52"/>
      <c r="V9" s="52"/>
      <c r="W9" s="42"/>
      <c r="X9" s="946">
        <v>0</v>
      </c>
      <c r="Y9" s="412"/>
      <c r="Z9" s="939"/>
      <c r="AA9" s="52"/>
      <c r="AB9" s="52"/>
      <c r="AC9" s="52"/>
      <c r="AD9" s="946">
        <v>0</v>
      </c>
      <c r="AE9" s="412"/>
      <c r="AF9" s="939"/>
      <c r="AG9" s="52"/>
      <c r="AH9" s="52"/>
      <c r="AI9" s="52"/>
      <c r="AJ9" s="946">
        <v>100</v>
      </c>
      <c r="AK9" s="412"/>
      <c r="AL9" s="939">
        <f t="shared" si="0"/>
        <v>100</v>
      </c>
      <c r="AM9" s="42">
        <f t="shared" si="1"/>
        <v>100</v>
      </c>
      <c r="AN9" s="42">
        <f t="shared" si="1"/>
        <v>100</v>
      </c>
      <c r="AO9" s="52">
        <f t="shared" si="19"/>
        <v>100</v>
      </c>
      <c r="AP9" s="946">
        <v>100</v>
      </c>
      <c r="AQ9" s="412"/>
      <c r="AR9" s="941">
        <f t="shared" si="2"/>
        <v>100</v>
      </c>
      <c r="AS9" s="42">
        <f t="shared" si="3"/>
        <v>100</v>
      </c>
      <c r="AT9" s="42">
        <f t="shared" si="3"/>
        <v>100</v>
      </c>
      <c r="AU9" s="42">
        <f t="shared" si="20"/>
        <v>100</v>
      </c>
      <c r="AV9" s="946">
        <v>100</v>
      </c>
      <c r="AW9" s="412"/>
      <c r="AX9" s="941">
        <f t="shared" si="4"/>
        <v>100</v>
      </c>
      <c r="AY9" s="42">
        <f t="shared" si="5"/>
        <v>100</v>
      </c>
      <c r="AZ9" s="42">
        <f t="shared" si="5"/>
        <v>100</v>
      </c>
      <c r="BA9" s="42">
        <f t="shared" si="21"/>
        <v>100</v>
      </c>
      <c r="BB9" s="946">
        <v>100</v>
      </c>
      <c r="BC9" s="412"/>
      <c r="BD9" s="941">
        <f t="shared" si="6"/>
        <v>100</v>
      </c>
      <c r="BE9" s="42">
        <f t="shared" si="7"/>
        <v>100</v>
      </c>
      <c r="BF9" s="42">
        <f t="shared" si="7"/>
        <v>100</v>
      </c>
      <c r="BG9" s="42">
        <f t="shared" si="22"/>
        <v>100</v>
      </c>
      <c r="BH9" s="554">
        <v>100</v>
      </c>
      <c r="BI9" s="412"/>
      <c r="BJ9" s="941">
        <f t="shared" si="8"/>
        <v>100</v>
      </c>
      <c r="BK9" s="42">
        <f t="shared" si="9"/>
        <v>100</v>
      </c>
      <c r="BL9" s="52">
        <f t="shared" si="9"/>
        <v>100</v>
      </c>
      <c r="BM9" s="42">
        <f t="shared" si="23"/>
        <v>100</v>
      </c>
      <c r="BN9" s="554">
        <v>100</v>
      </c>
      <c r="BO9" s="412"/>
      <c r="BP9" s="941">
        <f t="shared" si="10"/>
        <v>100</v>
      </c>
      <c r="BQ9" s="52">
        <f t="shared" si="10"/>
        <v>100</v>
      </c>
      <c r="BR9" s="52">
        <f t="shared" si="11"/>
        <v>100</v>
      </c>
      <c r="BS9" s="52">
        <f t="shared" si="24"/>
        <v>100</v>
      </c>
      <c r="BT9" s="695">
        <f t="shared" si="25"/>
        <v>100</v>
      </c>
      <c r="BU9" s="412"/>
      <c r="BV9" s="939">
        <f t="shared" si="12"/>
        <v>100</v>
      </c>
      <c r="BW9" s="52">
        <f t="shared" si="26"/>
        <v>100</v>
      </c>
      <c r="BX9" s="52">
        <f t="shared" si="31"/>
        <v>100</v>
      </c>
      <c r="BY9" s="52">
        <f t="shared" si="27"/>
        <v>100</v>
      </c>
      <c r="BZ9" s="695">
        <f t="shared" si="28"/>
        <v>100</v>
      </c>
      <c r="CA9" s="412"/>
      <c r="CB9" s="939">
        <f t="shared" si="13"/>
        <v>100</v>
      </c>
      <c r="CC9" s="52">
        <f t="shared" si="14"/>
        <v>100</v>
      </c>
      <c r="CD9" s="52">
        <f t="shared" si="14"/>
        <v>100</v>
      </c>
      <c r="CE9" s="52">
        <f t="shared" si="14"/>
        <v>100</v>
      </c>
      <c r="CF9" s="695">
        <f t="shared" si="29"/>
        <v>100</v>
      </c>
      <c r="CG9" s="412"/>
      <c r="CH9" s="939">
        <f t="shared" si="15"/>
        <v>100</v>
      </c>
      <c r="CI9" s="52">
        <f t="shared" si="16"/>
        <v>100</v>
      </c>
      <c r="CJ9" s="52">
        <f t="shared" si="17"/>
        <v>100</v>
      </c>
      <c r="CK9" s="52">
        <f t="shared" si="18"/>
        <v>100</v>
      </c>
      <c r="CL9" s="695">
        <f t="shared" si="30"/>
        <v>100</v>
      </c>
      <c r="CM9" s="14"/>
      <c r="CN9" s="14"/>
    </row>
    <row r="10" spans="1:92" ht="11.25" customHeight="1" x14ac:dyDescent="0.2">
      <c r="A10" s="933" t="s">
        <v>334</v>
      </c>
      <c r="B10" s="939"/>
      <c r="C10" s="52"/>
      <c r="D10" s="52"/>
      <c r="E10" s="42"/>
      <c r="F10" s="946">
        <v>0</v>
      </c>
      <c r="G10" s="412"/>
      <c r="H10" s="939"/>
      <c r="I10" s="52"/>
      <c r="J10" s="52"/>
      <c r="K10" s="42"/>
      <c r="L10" s="946">
        <v>0</v>
      </c>
      <c r="M10" s="928"/>
      <c r="N10" s="939"/>
      <c r="O10" s="52"/>
      <c r="P10" s="52"/>
      <c r="Q10" s="42"/>
      <c r="R10" s="946">
        <v>0</v>
      </c>
      <c r="S10" s="412"/>
      <c r="T10" s="939"/>
      <c r="U10" s="52"/>
      <c r="V10" s="52"/>
      <c r="W10" s="42"/>
      <c r="X10" s="946">
        <v>0</v>
      </c>
      <c r="Y10" s="412"/>
      <c r="Z10" s="939"/>
      <c r="AA10" s="52"/>
      <c r="AB10" s="52"/>
      <c r="AC10" s="52"/>
      <c r="AD10" s="946">
        <v>0</v>
      </c>
      <c r="AE10" s="412"/>
      <c r="AF10" s="939"/>
      <c r="AG10" s="52"/>
      <c r="AH10" s="52"/>
      <c r="AI10" s="52"/>
      <c r="AJ10" s="946">
        <v>0</v>
      </c>
      <c r="AK10" s="412"/>
      <c r="AL10" s="939">
        <f t="shared" si="0"/>
        <v>0</v>
      </c>
      <c r="AM10" s="42">
        <f t="shared" si="1"/>
        <v>0</v>
      </c>
      <c r="AN10" s="42">
        <f t="shared" si="1"/>
        <v>0</v>
      </c>
      <c r="AO10" s="52">
        <f t="shared" si="19"/>
        <v>0</v>
      </c>
      <c r="AP10" s="946">
        <v>0</v>
      </c>
      <c r="AQ10" s="412"/>
      <c r="AR10" s="941">
        <f t="shared" si="2"/>
        <v>0</v>
      </c>
      <c r="AS10" s="42">
        <f t="shared" si="3"/>
        <v>0</v>
      </c>
      <c r="AT10" s="42">
        <f t="shared" si="3"/>
        <v>0</v>
      </c>
      <c r="AU10" s="42">
        <f t="shared" si="20"/>
        <v>0</v>
      </c>
      <c r="AV10" s="946">
        <v>0</v>
      </c>
      <c r="AW10" s="412"/>
      <c r="AX10" s="941">
        <f t="shared" si="4"/>
        <v>0</v>
      </c>
      <c r="AY10" s="42">
        <f t="shared" si="5"/>
        <v>0</v>
      </c>
      <c r="AZ10" s="42">
        <f t="shared" si="5"/>
        <v>0</v>
      </c>
      <c r="BA10" s="42">
        <f t="shared" si="21"/>
        <v>250</v>
      </c>
      <c r="BB10" s="946">
        <v>250</v>
      </c>
      <c r="BC10" s="412"/>
      <c r="BD10" s="941">
        <f t="shared" si="6"/>
        <v>250</v>
      </c>
      <c r="BE10" s="42">
        <f t="shared" si="7"/>
        <v>250</v>
      </c>
      <c r="BF10" s="42">
        <f t="shared" si="7"/>
        <v>250</v>
      </c>
      <c r="BG10" s="42">
        <f t="shared" si="22"/>
        <v>250</v>
      </c>
      <c r="BH10" s="554">
        <v>250</v>
      </c>
      <c r="BI10" s="412"/>
      <c r="BJ10" s="941">
        <f t="shared" si="8"/>
        <v>250</v>
      </c>
      <c r="BK10" s="42">
        <f t="shared" si="9"/>
        <v>250</v>
      </c>
      <c r="BL10" s="52">
        <f t="shared" si="9"/>
        <v>250</v>
      </c>
      <c r="BM10" s="42">
        <f t="shared" si="23"/>
        <v>250</v>
      </c>
      <c r="BN10" s="554">
        <v>250</v>
      </c>
      <c r="BO10" s="412"/>
      <c r="BP10" s="941">
        <f t="shared" si="10"/>
        <v>250</v>
      </c>
      <c r="BQ10" s="52">
        <f t="shared" si="10"/>
        <v>250</v>
      </c>
      <c r="BR10" s="52">
        <f t="shared" si="11"/>
        <v>250</v>
      </c>
      <c r="BS10" s="52">
        <f t="shared" si="24"/>
        <v>250</v>
      </c>
      <c r="BT10" s="695">
        <f t="shared" si="25"/>
        <v>250</v>
      </c>
      <c r="BU10" s="412"/>
      <c r="BV10" s="939">
        <f t="shared" si="12"/>
        <v>250</v>
      </c>
      <c r="BW10" s="52">
        <f t="shared" si="26"/>
        <v>250</v>
      </c>
      <c r="BX10" s="52">
        <f t="shared" si="31"/>
        <v>250</v>
      </c>
      <c r="BY10" s="52">
        <f t="shared" si="27"/>
        <v>250</v>
      </c>
      <c r="BZ10" s="695">
        <f t="shared" si="28"/>
        <v>250</v>
      </c>
      <c r="CA10" s="412"/>
      <c r="CB10" s="939">
        <f t="shared" si="13"/>
        <v>250</v>
      </c>
      <c r="CC10" s="52">
        <f t="shared" si="14"/>
        <v>250</v>
      </c>
      <c r="CD10" s="52">
        <f t="shared" si="14"/>
        <v>250</v>
      </c>
      <c r="CE10" s="52">
        <f t="shared" si="14"/>
        <v>250</v>
      </c>
      <c r="CF10" s="695">
        <f t="shared" si="29"/>
        <v>250</v>
      </c>
      <c r="CG10" s="412"/>
      <c r="CH10" s="939">
        <f t="shared" si="15"/>
        <v>250</v>
      </c>
      <c r="CI10" s="52">
        <f t="shared" si="16"/>
        <v>250</v>
      </c>
      <c r="CJ10" s="52">
        <f t="shared" si="17"/>
        <v>250</v>
      </c>
      <c r="CK10" s="52">
        <f t="shared" si="18"/>
        <v>250</v>
      </c>
      <c r="CL10" s="695">
        <f t="shared" si="30"/>
        <v>250</v>
      </c>
      <c r="CM10" s="14"/>
      <c r="CN10" s="14"/>
    </row>
    <row r="11" spans="1:92" ht="11.25" customHeight="1" x14ac:dyDescent="0.2">
      <c r="A11" s="933" t="s">
        <v>335</v>
      </c>
      <c r="B11" s="939"/>
      <c r="C11" s="52"/>
      <c r="D11" s="52"/>
      <c r="E11" s="42"/>
      <c r="F11" s="946">
        <v>0</v>
      </c>
      <c r="G11" s="412"/>
      <c r="H11" s="939"/>
      <c r="I11" s="52"/>
      <c r="J11" s="52"/>
      <c r="K11" s="42"/>
      <c r="L11" s="946">
        <v>0</v>
      </c>
      <c r="M11" s="928"/>
      <c r="N11" s="939"/>
      <c r="O11" s="52"/>
      <c r="P11" s="52"/>
      <c r="Q11" s="42"/>
      <c r="R11" s="946">
        <v>0</v>
      </c>
      <c r="S11" s="412"/>
      <c r="T11" s="939"/>
      <c r="U11" s="52"/>
      <c r="V11" s="52"/>
      <c r="W11" s="42"/>
      <c r="X11" s="946">
        <v>0</v>
      </c>
      <c r="Y11" s="412"/>
      <c r="Z11" s="939"/>
      <c r="AA11" s="52"/>
      <c r="AB11" s="52"/>
      <c r="AC11" s="52"/>
      <c r="AD11" s="946">
        <v>0</v>
      </c>
      <c r="AE11" s="412"/>
      <c r="AF11" s="939"/>
      <c r="AG11" s="52"/>
      <c r="AH11" s="52"/>
      <c r="AI11" s="52"/>
      <c r="AJ11" s="946">
        <v>0</v>
      </c>
      <c r="AK11" s="412"/>
      <c r="AL11" s="939">
        <f t="shared" si="0"/>
        <v>0</v>
      </c>
      <c r="AM11" s="42">
        <f t="shared" si="1"/>
        <v>0</v>
      </c>
      <c r="AN11" s="42">
        <f t="shared" si="1"/>
        <v>0</v>
      </c>
      <c r="AO11" s="52">
        <f t="shared" si="19"/>
        <v>0</v>
      </c>
      <c r="AP11" s="946">
        <v>0</v>
      </c>
      <c r="AQ11" s="412"/>
      <c r="AR11" s="941">
        <f t="shared" si="2"/>
        <v>0</v>
      </c>
      <c r="AS11" s="42">
        <f t="shared" si="3"/>
        <v>0</v>
      </c>
      <c r="AT11" s="42">
        <f t="shared" si="3"/>
        <v>0</v>
      </c>
      <c r="AU11" s="42">
        <f t="shared" si="20"/>
        <v>0</v>
      </c>
      <c r="AV11" s="946">
        <v>0</v>
      </c>
      <c r="AW11" s="412"/>
      <c r="AX11" s="941">
        <f t="shared" si="4"/>
        <v>0</v>
      </c>
      <c r="AY11" s="42">
        <f t="shared" si="5"/>
        <v>0</v>
      </c>
      <c r="AZ11" s="42">
        <f t="shared" si="5"/>
        <v>0</v>
      </c>
      <c r="BA11" s="42">
        <f t="shared" si="21"/>
        <v>0</v>
      </c>
      <c r="BB11" s="946">
        <v>0</v>
      </c>
      <c r="BC11" s="412"/>
      <c r="BD11" s="941">
        <f t="shared" si="6"/>
        <v>1000</v>
      </c>
      <c r="BE11" s="42">
        <f t="shared" si="7"/>
        <v>325.875</v>
      </c>
      <c r="BF11" s="42">
        <f t="shared" si="7"/>
        <v>321.75</v>
      </c>
      <c r="BG11" s="42">
        <f t="shared" si="22"/>
        <v>317.625</v>
      </c>
      <c r="BH11" s="554">
        <v>317.625</v>
      </c>
      <c r="BI11" s="412"/>
      <c r="BJ11" s="941">
        <f t="shared" si="8"/>
        <v>313.52499999999998</v>
      </c>
      <c r="BK11" s="42">
        <f t="shared" si="9"/>
        <v>309.42499999999995</v>
      </c>
      <c r="BL11" s="52">
        <f t="shared" si="9"/>
        <v>309.42499999999995</v>
      </c>
      <c r="BM11" s="42">
        <f t="shared" si="23"/>
        <v>291.387</v>
      </c>
      <c r="BN11" s="554">
        <v>291.387</v>
      </c>
      <c r="BO11" s="412"/>
      <c r="BP11" s="941">
        <f t="shared" si="10"/>
        <v>291.387</v>
      </c>
      <c r="BQ11" s="52">
        <f t="shared" si="10"/>
        <v>291.387</v>
      </c>
      <c r="BR11" s="52">
        <f t="shared" si="11"/>
        <v>291.387</v>
      </c>
      <c r="BS11" s="52">
        <f t="shared" si="24"/>
        <v>291.387</v>
      </c>
      <c r="BT11" s="695">
        <f t="shared" si="25"/>
        <v>291.387</v>
      </c>
      <c r="BU11" s="412"/>
      <c r="BV11" s="939">
        <f t="shared" si="12"/>
        <v>291.387</v>
      </c>
      <c r="BW11" s="52">
        <f t="shared" si="26"/>
        <v>291.387</v>
      </c>
      <c r="BX11" s="52">
        <f t="shared" si="31"/>
        <v>291.387</v>
      </c>
      <c r="BY11" s="52">
        <f t="shared" si="27"/>
        <v>291.387</v>
      </c>
      <c r="BZ11" s="695">
        <f t="shared" si="28"/>
        <v>291.387</v>
      </c>
      <c r="CA11" s="412"/>
      <c r="CB11" s="939">
        <f t="shared" si="13"/>
        <v>291.387</v>
      </c>
      <c r="CC11" s="52">
        <f t="shared" si="14"/>
        <v>291.387</v>
      </c>
      <c r="CD11" s="52">
        <f t="shared" si="14"/>
        <v>291.387</v>
      </c>
      <c r="CE11" s="52">
        <f t="shared" si="14"/>
        <v>291.387</v>
      </c>
      <c r="CF11" s="695">
        <f t="shared" si="29"/>
        <v>291.387</v>
      </c>
      <c r="CG11" s="412"/>
      <c r="CH11" s="939">
        <f t="shared" si="15"/>
        <v>291.387</v>
      </c>
      <c r="CI11" s="52">
        <f t="shared" si="16"/>
        <v>291.387</v>
      </c>
      <c r="CJ11" s="52">
        <f t="shared" si="17"/>
        <v>291.387</v>
      </c>
      <c r="CK11" s="52">
        <f t="shared" si="18"/>
        <v>291.387</v>
      </c>
      <c r="CL11" s="695">
        <f t="shared" si="30"/>
        <v>291.387</v>
      </c>
      <c r="CM11" s="14"/>
      <c r="CN11" s="14"/>
    </row>
    <row r="12" spans="1:92" ht="11.25" customHeight="1" x14ac:dyDescent="0.2">
      <c r="A12" s="933" t="s">
        <v>348</v>
      </c>
      <c r="B12" s="939"/>
      <c r="C12" s="52"/>
      <c r="D12" s="52"/>
      <c r="E12" s="42"/>
      <c r="F12" s="946">
        <v>0</v>
      </c>
      <c r="G12" s="412"/>
      <c r="H12" s="939"/>
      <c r="I12" s="52"/>
      <c r="J12" s="52"/>
      <c r="K12" s="42"/>
      <c r="L12" s="946">
        <v>75</v>
      </c>
      <c r="M12" s="928"/>
      <c r="N12" s="939"/>
      <c r="O12" s="52"/>
      <c r="P12" s="52"/>
      <c r="Q12" s="42"/>
      <c r="R12" s="946">
        <v>75</v>
      </c>
      <c r="S12" s="412"/>
      <c r="T12" s="939"/>
      <c r="U12" s="52"/>
      <c r="V12" s="52"/>
      <c r="W12" s="42"/>
      <c r="X12" s="946">
        <v>75</v>
      </c>
      <c r="Y12" s="412"/>
      <c r="Z12" s="939"/>
      <c r="AA12" s="52"/>
      <c r="AB12" s="52"/>
      <c r="AC12" s="52"/>
      <c r="AD12" s="946">
        <v>75</v>
      </c>
      <c r="AE12" s="412"/>
      <c r="AF12" s="939"/>
      <c r="AG12" s="52"/>
      <c r="AH12" s="52"/>
      <c r="AI12" s="52"/>
      <c r="AJ12" s="946">
        <v>75</v>
      </c>
      <c r="AK12" s="412"/>
      <c r="AL12" s="939">
        <f t="shared" si="0"/>
        <v>75</v>
      </c>
      <c r="AM12" s="42">
        <f t="shared" si="1"/>
        <v>0</v>
      </c>
      <c r="AN12" s="42">
        <f t="shared" si="1"/>
        <v>0</v>
      </c>
      <c r="AO12" s="52">
        <f t="shared" si="19"/>
        <v>0</v>
      </c>
      <c r="AP12" s="946">
        <v>0</v>
      </c>
      <c r="AQ12" s="412"/>
      <c r="AR12" s="941">
        <f t="shared" si="2"/>
        <v>0</v>
      </c>
      <c r="AS12" s="42">
        <f t="shared" si="3"/>
        <v>0</v>
      </c>
      <c r="AT12" s="42">
        <f t="shared" si="3"/>
        <v>0</v>
      </c>
      <c r="AU12" s="42">
        <f t="shared" si="20"/>
        <v>0</v>
      </c>
      <c r="AV12" s="946">
        <v>0</v>
      </c>
      <c r="AW12" s="412"/>
      <c r="AX12" s="941">
        <f t="shared" si="4"/>
        <v>0</v>
      </c>
      <c r="AY12" s="42">
        <f t="shared" si="5"/>
        <v>0</v>
      </c>
      <c r="AZ12" s="42">
        <f t="shared" si="5"/>
        <v>0</v>
      </c>
      <c r="BA12" s="42">
        <f t="shared" si="21"/>
        <v>0</v>
      </c>
      <c r="BB12" s="946">
        <v>0</v>
      </c>
      <c r="BC12" s="412"/>
      <c r="BD12" s="941">
        <f t="shared" si="6"/>
        <v>0</v>
      </c>
      <c r="BE12" s="42">
        <f t="shared" si="7"/>
        <v>0</v>
      </c>
      <c r="BF12" s="42">
        <f t="shared" si="7"/>
        <v>0</v>
      </c>
      <c r="BG12" s="42">
        <f t="shared" si="22"/>
        <v>0</v>
      </c>
      <c r="BH12" s="946">
        <v>0</v>
      </c>
      <c r="BI12" s="412"/>
      <c r="BJ12" s="941">
        <f t="shared" si="8"/>
        <v>0</v>
      </c>
      <c r="BK12" s="42">
        <f t="shared" si="9"/>
        <v>0</v>
      </c>
      <c r="BL12" s="52">
        <f t="shared" si="9"/>
        <v>0</v>
      </c>
      <c r="BM12" s="42">
        <f t="shared" si="23"/>
        <v>0</v>
      </c>
      <c r="BN12" s="946">
        <v>0</v>
      </c>
      <c r="BO12" s="412"/>
      <c r="BP12" s="941">
        <f t="shared" si="10"/>
        <v>0</v>
      </c>
      <c r="BQ12" s="52">
        <f t="shared" si="10"/>
        <v>0</v>
      </c>
      <c r="BR12" s="52">
        <f t="shared" si="11"/>
        <v>0</v>
      </c>
      <c r="BS12" s="52">
        <f t="shared" si="24"/>
        <v>0</v>
      </c>
      <c r="BT12" s="949">
        <f t="shared" si="25"/>
        <v>0</v>
      </c>
      <c r="BU12" s="412"/>
      <c r="BV12" s="939">
        <f t="shared" si="12"/>
        <v>0</v>
      </c>
      <c r="BW12" s="52">
        <f t="shared" si="26"/>
        <v>0</v>
      </c>
      <c r="BX12" s="52">
        <f t="shared" si="31"/>
        <v>0</v>
      </c>
      <c r="BY12" s="52">
        <f t="shared" si="27"/>
        <v>0</v>
      </c>
      <c r="BZ12" s="949">
        <f t="shared" si="28"/>
        <v>0</v>
      </c>
      <c r="CA12" s="412"/>
      <c r="CB12" s="939">
        <f t="shared" si="13"/>
        <v>0</v>
      </c>
      <c r="CC12" s="52">
        <f t="shared" si="14"/>
        <v>0</v>
      </c>
      <c r="CD12" s="52">
        <f t="shared" si="14"/>
        <v>0</v>
      </c>
      <c r="CE12" s="52">
        <f t="shared" si="14"/>
        <v>0</v>
      </c>
      <c r="CF12" s="949">
        <f t="shared" si="29"/>
        <v>0</v>
      </c>
      <c r="CG12" s="412"/>
      <c r="CH12" s="939">
        <f t="shared" si="15"/>
        <v>0</v>
      </c>
      <c r="CI12" s="52">
        <f t="shared" si="16"/>
        <v>0</v>
      </c>
      <c r="CJ12" s="52">
        <f t="shared" si="17"/>
        <v>0</v>
      </c>
      <c r="CK12" s="52">
        <f t="shared" si="18"/>
        <v>0</v>
      </c>
      <c r="CL12" s="949">
        <f t="shared" si="30"/>
        <v>0</v>
      </c>
      <c r="CM12" s="14"/>
      <c r="CN12" s="14"/>
    </row>
    <row r="13" spans="1:92" ht="11.25" customHeight="1" x14ac:dyDescent="0.2">
      <c r="A13" s="933" t="s">
        <v>345</v>
      </c>
      <c r="B13" s="939"/>
      <c r="C13" s="52"/>
      <c r="D13" s="52"/>
      <c r="E13" s="42"/>
      <c r="F13" s="946">
        <v>0</v>
      </c>
      <c r="G13" s="412"/>
      <c r="H13" s="939"/>
      <c r="I13" s="52"/>
      <c r="J13" s="52"/>
      <c r="K13" s="42"/>
      <c r="L13" s="946">
        <v>50</v>
      </c>
      <c r="M13" s="928"/>
      <c r="N13" s="939"/>
      <c r="O13" s="52"/>
      <c r="P13" s="52"/>
      <c r="Q13" s="42"/>
      <c r="R13" s="946">
        <v>50</v>
      </c>
      <c r="S13" s="412"/>
      <c r="T13" s="939"/>
      <c r="U13" s="52"/>
      <c r="V13" s="52"/>
      <c r="W13" s="42"/>
      <c r="X13" s="946">
        <v>50</v>
      </c>
      <c r="Y13" s="412"/>
      <c r="Z13" s="939"/>
      <c r="AA13" s="52"/>
      <c r="AB13" s="52"/>
      <c r="AC13" s="42"/>
      <c r="AD13" s="946">
        <v>50</v>
      </c>
      <c r="AE13" s="412"/>
      <c r="AF13" s="939"/>
      <c r="AG13" s="52"/>
      <c r="AH13" s="52"/>
      <c r="AI13" s="42"/>
      <c r="AJ13" s="946">
        <v>50</v>
      </c>
      <c r="AK13" s="412"/>
      <c r="AL13" s="939">
        <f t="shared" si="0"/>
        <v>50</v>
      </c>
      <c r="AM13" s="52">
        <f t="shared" si="1"/>
        <v>50</v>
      </c>
      <c r="AN13" s="52">
        <f t="shared" si="1"/>
        <v>50</v>
      </c>
      <c r="AO13" s="52">
        <f>+AP13</f>
        <v>0</v>
      </c>
      <c r="AP13" s="946">
        <v>0</v>
      </c>
      <c r="AQ13" s="412"/>
      <c r="AR13" s="939">
        <f t="shared" si="2"/>
        <v>0</v>
      </c>
      <c r="AS13" s="52">
        <f t="shared" si="3"/>
        <v>0</v>
      </c>
      <c r="AT13" s="52">
        <f t="shared" si="3"/>
        <v>0</v>
      </c>
      <c r="AU13" s="52">
        <f>+AV13</f>
        <v>0</v>
      </c>
      <c r="AV13" s="946">
        <v>0</v>
      </c>
      <c r="AW13" s="412"/>
      <c r="AX13" s="939">
        <f t="shared" si="4"/>
        <v>0</v>
      </c>
      <c r="AY13" s="52">
        <f t="shared" si="5"/>
        <v>0</v>
      </c>
      <c r="AZ13" s="52">
        <f t="shared" si="5"/>
        <v>0</v>
      </c>
      <c r="BA13" s="52">
        <f>+BB13</f>
        <v>0</v>
      </c>
      <c r="BB13" s="946">
        <v>0</v>
      </c>
      <c r="BC13" s="412"/>
      <c r="BD13" s="939">
        <f t="shared" si="6"/>
        <v>0</v>
      </c>
      <c r="BE13" s="52">
        <f t="shared" si="7"/>
        <v>0</v>
      </c>
      <c r="BF13" s="52">
        <f t="shared" si="7"/>
        <v>0</v>
      </c>
      <c r="BG13" s="52">
        <f>+BH13</f>
        <v>0</v>
      </c>
      <c r="BH13" s="946">
        <v>0</v>
      </c>
      <c r="BI13" s="412"/>
      <c r="BJ13" s="939">
        <f t="shared" si="8"/>
        <v>0</v>
      </c>
      <c r="BK13" s="52">
        <f t="shared" si="9"/>
        <v>0</v>
      </c>
      <c r="BL13" s="52">
        <f t="shared" si="9"/>
        <v>0</v>
      </c>
      <c r="BM13" s="52">
        <f t="shared" ref="BM13:BM18" si="32">+BN13</f>
        <v>0</v>
      </c>
      <c r="BN13" s="946">
        <v>0</v>
      </c>
      <c r="BO13" s="412"/>
      <c r="BP13" s="939">
        <f t="shared" si="10"/>
        <v>0</v>
      </c>
      <c r="BQ13" s="52">
        <f t="shared" si="10"/>
        <v>0</v>
      </c>
      <c r="BR13" s="52">
        <f t="shared" si="11"/>
        <v>0</v>
      </c>
      <c r="BS13" s="52">
        <f t="shared" si="24"/>
        <v>0</v>
      </c>
      <c r="BT13" s="949">
        <f t="shared" si="25"/>
        <v>0</v>
      </c>
      <c r="BU13" s="412"/>
      <c r="BV13" s="939">
        <f t="shared" si="12"/>
        <v>0</v>
      </c>
      <c r="BW13" s="52">
        <f t="shared" si="26"/>
        <v>0</v>
      </c>
      <c r="BX13" s="52">
        <f t="shared" si="31"/>
        <v>0</v>
      </c>
      <c r="BY13" s="52">
        <f t="shared" si="27"/>
        <v>0</v>
      </c>
      <c r="BZ13" s="949">
        <f t="shared" si="28"/>
        <v>0</v>
      </c>
      <c r="CA13" s="412"/>
      <c r="CB13" s="939">
        <f t="shared" si="13"/>
        <v>0</v>
      </c>
      <c r="CC13" s="52">
        <f t="shared" si="14"/>
        <v>0</v>
      </c>
      <c r="CD13" s="52">
        <f t="shared" si="14"/>
        <v>0</v>
      </c>
      <c r="CE13" s="52">
        <f t="shared" si="14"/>
        <v>0</v>
      </c>
      <c r="CF13" s="949">
        <f t="shared" si="29"/>
        <v>0</v>
      </c>
      <c r="CG13" s="412"/>
      <c r="CH13" s="939">
        <f t="shared" si="15"/>
        <v>0</v>
      </c>
      <c r="CI13" s="52">
        <f t="shared" si="16"/>
        <v>0</v>
      </c>
      <c r="CJ13" s="52">
        <f t="shared" si="17"/>
        <v>0</v>
      </c>
      <c r="CK13" s="52">
        <f t="shared" si="18"/>
        <v>0</v>
      </c>
      <c r="CL13" s="949">
        <f t="shared" si="30"/>
        <v>0</v>
      </c>
      <c r="CM13" s="14"/>
      <c r="CN13" s="14"/>
    </row>
    <row r="14" spans="1:92" ht="11.25" customHeight="1" x14ac:dyDescent="0.2">
      <c r="A14" s="933" t="s">
        <v>346</v>
      </c>
      <c r="B14" s="939"/>
      <c r="C14" s="52"/>
      <c r="D14" s="52"/>
      <c r="E14" s="42"/>
      <c r="F14" s="946">
        <v>0</v>
      </c>
      <c r="G14" s="412"/>
      <c r="H14" s="939"/>
      <c r="I14" s="52"/>
      <c r="J14" s="52"/>
      <c r="K14" s="42"/>
      <c r="L14" s="946">
        <v>250</v>
      </c>
      <c r="M14" s="928"/>
      <c r="N14" s="939"/>
      <c r="O14" s="52"/>
      <c r="P14" s="52"/>
      <c r="Q14" s="42"/>
      <c r="R14" s="946">
        <v>250</v>
      </c>
      <c r="S14" s="412"/>
      <c r="T14" s="939"/>
      <c r="U14" s="52"/>
      <c r="V14" s="52"/>
      <c r="W14" s="42"/>
      <c r="X14" s="946">
        <v>250</v>
      </c>
      <c r="Y14" s="412"/>
      <c r="Z14" s="939"/>
      <c r="AA14" s="52"/>
      <c r="AB14" s="52"/>
      <c r="AC14" s="42"/>
      <c r="AD14" s="946">
        <v>250</v>
      </c>
      <c r="AE14" s="412"/>
      <c r="AF14" s="939"/>
      <c r="AG14" s="52"/>
      <c r="AH14" s="52"/>
      <c r="AI14" s="42"/>
      <c r="AJ14" s="946">
        <v>250</v>
      </c>
      <c r="AK14" s="412"/>
      <c r="AL14" s="939">
        <f t="shared" si="0"/>
        <v>250</v>
      </c>
      <c r="AM14" s="52">
        <f t="shared" si="1"/>
        <v>250</v>
      </c>
      <c r="AN14" s="52">
        <f t="shared" si="1"/>
        <v>250</v>
      </c>
      <c r="AO14" s="52">
        <f>+AP14</f>
        <v>250</v>
      </c>
      <c r="AP14" s="946">
        <v>250</v>
      </c>
      <c r="AQ14" s="412"/>
      <c r="AR14" s="939">
        <f t="shared" si="2"/>
        <v>250</v>
      </c>
      <c r="AS14" s="52">
        <f t="shared" si="3"/>
        <v>250</v>
      </c>
      <c r="AT14" s="52">
        <f t="shared" si="3"/>
        <v>250</v>
      </c>
      <c r="AU14" s="52">
        <f>+AV14</f>
        <v>250</v>
      </c>
      <c r="AV14" s="946">
        <v>250</v>
      </c>
      <c r="AW14" s="412"/>
      <c r="AX14" s="939">
        <f t="shared" si="4"/>
        <v>250</v>
      </c>
      <c r="AY14" s="52">
        <f t="shared" si="5"/>
        <v>250</v>
      </c>
      <c r="AZ14" s="52">
        <f t="shared" si="5"/>
        <v>250</v>
      </c>
      <c r="BA14" s="52">
        <f>+BB14</f>
        <v>0</v>
      </c>
      <c r="BB14" s="946">
        <v>0</v>
      </c>
      <c r="BC14" s="412"/>
      <c r="BD14" s="939">
        <f t="shared" si="6"/>
        <v>0</v>
      </c>
      <c r="BE14" s="52">
        <f t="shared" si="7"/>
        <v>0</v>
      </c>
      <c r="BF14" s="52">
        <f t="shared" si="7"/>
        <v>0</v>
      </c>
      <c r="BG14" s="52">
        <f>+BH14</f>
        <v>0</v>
      </c>
      <c r="BH14" s="946">
        <v>0</v>
      </c>
      <c r="BI14" s="412"/>
      <c r="BJ14" s="939">
        <f t="shared" si="8"/>
        <v>0</v>
      </c>
      <c r="BK14" s="52">
        <f t="shared" si="9"/>
        <v>0</v>
      </c>
      <c r="BL14" s="52">
        <f t="shared" si="9"/>
        <v>0</v>
      </c>
      <c r="BM14" s="52">
        <f t="shared" si="32"/>
        <v>0</v>
      </c>
      <c r="BN14" s="946">
        <v>0</v>
      </c>
      <c r="BO14" s="412"/>
      <c r="BP14" s="939">
        <f t="shared" si="10"/>
        <v>0</v>
      </c>
      <c r="BQ14" s="52">
        <f t="shared" si="10"/>
        <v>0</v>
      </c>
      <c r="BR14" s="52">
        <f t="shared" si="11"/>
        <v>0</v>
      </c>
      <c r="BS14" s="52">
        <f t="shared" si="24"/>
        <v>0</v>
      </c>
      <c r="BT14" s="949">
        <f t="shared" si="25"/>
        <v>0</v>
      </c>
      <c r="BU14" s="412"/>
      <c r="BV14" s="939">
        <f t="shared" si="12"/>
        <v>0</v>
      </c>
      <c r="BW14" s="52">
        <f t="shared" si="26"/>
        <v>0</v>
      </c>
      <c r="BX14" s="52">
        <f t="shared" si="31"/>
        <v>0</v>
      </c>
      <c r="BY14" s="52">
        <f t="shared" si="27"/>
        <v>0</v>
      </c>
      <c r="BZ14" s="949">
        <f t="shared" si="28"/>
        <v>0</v>
      </c>
      <c r="CA14" s="412"/>
      <c r="CB14" s="939">
        <f t="shared" si="13"/>
        <v>0</v>
      </c>
      <c r="CC14" s="52">
        <f t="shared" si="14"/>
        <v>0</v>
      </c>
      <c r="CD14" s="52">
        <f t="shared" si="14"/>
        <v>0</v>
      </c>
      <c r="CE14" s="52">
        <f t="shared" si="14"/>
        <v>0</v>
      </c>
      <c r="CF14" s="949">
        <f t="shared" si="29"/>
        <v>0</v>
      </c>
      <c r="CG14" s="412"/>
      <c r="CH14" s="939">
        <f t="shared" si="15"/>
        <v>0</v>
      </c>
      <c r="CI14" s="52">
        <f t="shared" si="16"/>
        <v>0</v>
      </c>
      <c r="CJ14" s="52">
        <f t="shared" si="17"/>
        <v>0</v>
      </c>
      <c r="CK14" s="52">
        <f t="shared" si="18"/>
        <v>0</v>
      </c>
      <c r="CL14" s="949">
        <f t="shared" si="30"/>
        <v>0</v>
      </c>
      <c r="CM14" s="14"/>
      <c r="CN14" s="14"/>
    </row>
    <row r="15" spans="1:92" ht="11.25" customHeight="1" x14ac:dyDescent="0.2">
      <c r="A15" s="933" t="s">
        <v>343</v>
      </c>
      <c r="B15" s="939"/>
      <c r="C15" s="52"/>
      <c r="D15" s="52"/>
      <c r="E15" s="42"/>
      <c r="F15" s="946">
        <v>80</v>
      </c>
      <c r="G15" s="412"/>
      <c r="H15" s="939"/>
      <c r="I15" s="52"/>
      <c r="J15" s="52"/>
      <c r="K15" s="42"/>
      <c r="L15" s="946">
        <v>30</v>
      </c>
      <c r="M15" s="928"/>
      <c r="N15" s="939"/>
      <c r="O15" s="52"/>
      <c r="P15" s="52"/>
      <c r="Q15" s="42"/>
      <c r="R15" s="946">
        <v>0</v>
      </c>
      <c r="S15" s="412"/>
      <c r="T15" s="939"/>
      <c r="U15" s="52"/>
      <c r="V15" s="52"/>
      <c r="W15" s="42"/>
      <c r="X15" s="946">
        <v>0</v>
      </c>
      <c r="Y15" s="412"/>
      <c r="Z15" s="939"/>
      <c r="AA15" s="52"/>
      <c r="AB15" s="52"/>
      <c r="AC15" s="42"/>
      <c r="AD15" s="946">
        <v>0</v>
      </c>
      <c r="AE15" s="412"/>
      <c r="AF15" s="939"/>
      <c r="AG15" s="52"/>
      <c r="AH15" s="52"/>
      <c r="AI15" s="42"/>
      <c r="AJ15" s="946">
        <v>0</v>
      </c>
      <c r="AK15" s="412"/>
      <c r="AL15" s="939">
        <f t="shared" si="0"/>
        <v>0</v>
      </c>
      <c r="AM15" s="52">
        <f t="shared" si="1"/>
        <v>0</v>
      </c>
      <c r="AN15" s="52">
        <f t="shared" si="1"/>
        <v>0</v>
      </c>
      <c r="AO15" s="52">
        <f>+AP15</f>
        <v>0</v>
      </c>
      <c r="AP15" s="946">
        <v>0</v>
      </c>
      <c r="AQ15" s="412"/>
      <c r="AR15" s="939">
        <f t="shared" si="2"/>
        <v>0</v>
      </c>
      <c r="AS15" s="52">
        <f t="shared" si="3"/>
        <v>0</v>
      </c>
      <c r="AT15" s="52">
        <f t="shared" si="3"/>
        <v>0</v>
      </c>
      <c r="AU15" s="52">
        <f>+AV15</f>
        <v>0</v>
      </c>
      <c r="AV15" s="946">
        <v>0</v>
      </c>
      <c r="AW15" s="412"/>
      <c r="AX15" s="939">
        <f t="shared" si="4"/>
        <v>0</v>
      </c>
      <c r="AY15" s="52">
        <f t="shared" si="5"/>
        <v>0</v>
      </c>
      <c r="AZ15" s="52">
        <f t="shared" si="5"/>
        <v>0</v>
      </c>
      <c r="BA15" s="52">
        <f>+BB15</f>
        <v>0</v>
      </c>
      <c r="BB15" s="946">
        <v>0</v>
      </c>
      <c r="BC15" s="412"/>
      <c r="BD15" s="939">
        <f t="shared" si="6"/>
        <v>0</v>
      </c>
      <c r="BE15" s="52">
        <f t="shared" si="7"/>
        <v>0</v>
      </c>
      <c r="BF15" s="52">
        <f t="shared" si="7"/>
        <v>0</v>
      </c>
      <c r="BG15" s="52">
        <f>+BH15</f>
        <v>0</v>
      </c>
      <c r="BH15" s="946">
        <v>0</v>
      </c>
      <c r="BI15" s="412"/>
      <c r="BJ15" s="939">
        <f t="shared" si="8"/>
        <v>0</v>
      </c>
      <c r="BK15" s="52">
        <f t="shared" si="9"/>
        <v>0</v>
      </c>
      <c r="BL15" s="52">
        <f t="shared" si="9"/>
        <v>0</v>
      </c>
      <c r="BM15" s="52">
        <f t="shared" si="32"/>
        <v>0</v>
      </c>
      <c r="BN15" s="946">
        <v>0</v>
      </c>
      <c r="BO15" s="412"/>
      <c r="BP15" s="939">
        <f t="shared" si="10"/>
        <v>0</v>
      </c>
      <c r="BQ15" s="52">
        <f t="shared" si="10"/>
        <v>0</v>
      </c>
      <c r="BR15" s="52">
        <f t="shared" si="11"/>
        <v>0</v>
      </c>
      <c r="BS15" s="52">
        <f t="shared" si="24"/>
        <v>0</v>
      </c>
      <c r="BT15" s="949">
        <f t="shared" si="25"/>
        <v>0</v>
      </c>
      <c r="BU15" s="412"/>
      <c r="BV15" s="939">
        <f t="shared" si="12"/>
        <v>0</v>
      </c>
      <c r="BW15" s="52">
        <f t="shared" si="26"/>
        <v>0</v>
      </c>
      <c r="BX15" s="52">
        <f t="shared" si="31"/>
        <v>0</v>
      </c>
      <c r="BY15" s="52">
        <f t="shared" si="27"/>
        <v>0</v>
      </c>
      <c r="BZ15" s="949">
        <f t="shared" si="28"/>
        <v>0</v>
      </c>
      <c r="CA15" s="412"/>
      <c r="CB15" s="939">
        <f t="shared" si="13"/>
        <v>0</v>
      </c>
      <c r="CC15" s="52">
        <f t="shared" si="14"/>
        <v>0</v>
      </c>
      <c r="CD15" s="52">
        <f t="shared" si="14"/>
        <v>0</v>
      </c>
      <c r="CE15" s="52">
        <f t="shared" si="14"/>
        <v>0</v>
      </c>
      <c r="CF15" s="949">
        <f t="shared" si="29"/>
        <v>0</v>
      </c>
      <c r="CG15" s="412"/>
      <c r="CH15" s="939">
        <f t="shared" si="15"/>
        <v>0</v>
      </c>
      <c r="CI15" s="52">
        <f t="shared" si="16"/>
        <v>0</v>
      </c>
      <c r="CJ15" s="52">
        <f t="shared" si="17"/>
        <v>0</v>
      </c>
      <c r="CK15" s="52">
        <f t="shared" si="18"/>
        <v>0</v>
      </c>
      <c r="CL15" s="949">
        <f t="shared" si="30"/>
        <v>0</v>
      </c>
      <c r="CM15" s="14"/>
      <c r="CN15" s="14"/>
    </row>
    <row r="16" spans="1:92" ht="11.25" customHeight="1" x14ac:dyDescent="0.2">
      <c r="A16" s="933" t="s">
        <v>344</v>
      </c>
      <c r="B16" s="939"/>
      <c r="C16" s="52"/>
      <c r="D16" s="52"/>
      <c r="E16" s="42"/>
      <c r="F16" s="946">
        <v>100</v>
      </c>
      <c r="G16" s="412"/>
      <c r="H16" s="939"/>
      <c r="I16" s="52"/>
      <c r="J16" s="52"/>
      <c r="K16" s="42"/>
      <c r="L16" s="946">
        <v>100</v>
      </c>
      <c r="M16" s="928"/>
      <c r="N16" s="939"/>
      <c r="O16" s="52"/>
      <c r="P16" s="52"/>
      <c r="Q16" s="42"/>
      <c r="R16" s="946">
        <v>0</v>
      </c>
      <c r="S16" s="412"/>
      <c r="T16" s="939"/>
      <c r="U16" s="52"/>
      <c r="V16" s="52"/>
      <c r="W16" s="42"/>
      <c r="X16" s="946">
        <v>0</v>
      </c>
      <c r="Y16" s="412"/>
      <c r="Z16" s="939"/>
      <c r="AA16" s="52"/>
      <c r="AB16" s="52"/>
      <c r="AC16" s="42"/>
      <c r="AD16" s="946">
        <v>0</v>
      </c>
      <c r="AE16" s="412"/>
      <c r="AF16" s="939"/>
      <c r="AG16" s="52"/>
      <c r="AH16" s="52"/>
      <c r="AI16" s="42"/>
      <c r="AJ16" s="946">
        <v>0</v>
      </c>
      <c r="AK16" s="412"/>
      <c r="AL16" s="939">
        <f t="shared" si="0"/>
        <v>0</v>
      </c>
      <c r="AM16" s="52">
        <f t="shared" si="1"/>
        <v>0</v>
      </c>
      <c r="AN16" s="52">
        <f t="shared" si="1"/>
        <v>0</v>
      </c>
      <c r="AO16" s="52">
        <f>+AP16</f>
        <v>0</v>
      </c>
      <c r="AP16" s="946">
        <v>0</v>
      </c>
      <c r="AQ16" s="412"/>
      <c r="AR16" s="939">
        <f t="shared" si="2"/>
        <v>0</v>
      </c>
      <c r="AS16" s="52">
        <f t="shared" si="3"/>
        <v>0</v>
      </c>
      <c r="AT16" s="52">
        <f t="shared" si="3"/>
        <v>0</v>
      </c>
      <c r="AU16" s="52">
        <f>+AV16</f>
        <v>0</v>
      </c>
      <c r="AV16" s="946">
        <v>0</v>
      </c>
      <c r="AW16" s="412"/>
      <c r="AX16" s="939">
        <f t="shared" si="4"/>
        <v>0</v>
      </c>
      <c r="AY16" s="52">
        <f t="shared" si="5"/>
        <v>0</v>
      </c>
      <c r="AZ16" s="52">
        <f t="shared" si="5"/>
        <v>0</v>
      </c>
      <c r="BA16" s="52">
        <f>+BB16</f>
        <v>0</v>
      </c>
      <c r="BB16" s="946">
        <v>0</v>
      </c>
      <c r="BC16" s="412"/>
      <c r="BD16" s="939">
        <f t="shared" si="6"/>
        <v>0</v>
      </c>
      <c r="BE16" s="52">
        <f t="shared" si="7"/>
        <v>0</v>
      </c>
      <c r="BF16" s="52">
        <f t="shared" si="7"/>
        <v>0</v>
      </c>
      <c r="BG16" s="52">
        <f>+BH16</f>
        <v>0</v>
      </c>
      <c r="BH16" s="946">
        <v>0</v>
      </c>
      <c r="BI16" s="412"/>
      <c r="BJ16" s="939">
        <f t="shared" si="8"/>
        <v>0</v>
      </c>
      <c r="BK16" s="52">
        <f t="shared" si="9"/>
        <v>0</v>
      </c>
      <c r="BL16" s="52">
        <f t="shared" si="9"/>
        <v>0</v>
      </c>
      <c r="BM16" s="52">
        <f t="shared" si="32"/>
        <v>0</v>
      </c>
      <c r="BN16" s="946">
        <v>0</v>
      </c>
      <c r="BO16" s="412"/>
      <c r="BP16" s="939">
        <f t="shared" si="10"/>
        <v>0</v>
      </c>
      <c r="BQ16" s="52">
        <f t="shared" si="10"/>
        <v>0</v>
      </c>
      <c r="BR16" s="52">
        <f t="shared" si="11"/>
        <v>0</v>
      </c>
      <c r="BS16" s="52">
        <f t="shared" si="24"/>
        <v>0</v>
      </c>
      <c r="BT16" s="949">
        <f t="shared" si="25"/>
        <v>0</v>
      </c>
      <c r="BU16" s="412"/>
      <c r="BV16" s="939">
        <f t="shared" si="12"/>
        <v>0</v>
      </c>
      <c r="BW16" s="52">
        <f t="shared" si="26"/>
        <v>0</v>
      </c>
      <c r="BX16" s="52">
        <f t="shared" si="31"/>
        <v>0</v>
      </c>
      <c r="BY16" s="52">
        <f t="shared" si="27"/>
        <v>0</v>
      </c>
      <c r="BZ16" s="949">
        <f t="shared" si="28"/>
        <v>0</v>
      </c>
      <c r="CA16" s="412"/>
      <c r="CB16" s="939">
        <f t="shared" si="13"/>
        <v>0</v>
      </c>
      <c r="CC16" s="52">
        <f t="shared" si="14"/>
        <v>0</v>
      </c>
      <c r="CD16" s="52">
        <f t="shared" si="14"/>
        <v>0</v>
      </c>
      <c r="CE16" s="52">
        <f t="shared" si="14"/>
        <v>0</v>
      </c>
      <c r="CF16" s="949">
        <f t="shared" si="29"/>
        <v>0</v>
      </c>
      <c r="CG16" s="412"/>
      <c r="CH16" s="939">
        <f t="shared" si="15"/>
        <v>0</v>
      </c>
      <c r="CI16" s="52">
        <f t="shared" si="16"/>
        <v>0</v>
      </c>
      <c r="CJ16" s="52">
        <f t="shared" si="17"/>
        <v>0</v>
      </c>
      <c r="CK16" s="52">
        <f t="shared" si="18"/>
        <v>0</v>
      </c>
      <c r="CL16" s="949">
        <f t="shared" si="30"/>
        <v>0</v>
      </c>
      <c r="CM16" s="14"/>
      <c r="CN16" s="14"/>
    </row>
    <row r="17" spans="1:92" ht="11.25" customHeight="1" x14ac:dyDescent="0.2">
      <c r="A17" s="933" t="s">
        <v>347</v>
      </c>
      <c r="B17" s="939"/>
      <c r="C17" s="52"/>
      <c r="D17" s="52"/>
      <c r="E17" s="42"/>
      <c r="F17" s="946">
        <v>2.4E-2</v>
      </c>
      <c r="G17" s="412"/>
      <c r="H17" s="939"/>
      <c r="I17" s="52"/>
      <c r="J17" s="52"/>
      <c r="K17" s="42"/>
      <c r="L17" s="946">
        <v>3.4000000000000002E-2</v>
      </c>
      <c r="M17" s="928"/>
      <c r="N17" s="939"/>
      <c r="O17" s="52"/>
      <c r="P17" s="52"/>
      <c r="Q17" s="42"/>
      <c r="R17" s="946">
        <v>0</v>
      </c>
      <c r="S17" s="412"/>
      <c r="T17" s="939"/>
      <c r="U17" s="52"/>
      <c r="V17" s="52"/>
      <c r="W17" s="42"/>
      <c r="X17" s="946">
        <v>0</v>
      </c>
      <c r="Y17" s="412"/>
      <c r="Z17" s="939"/>
      <c r="AA17" s="52"/>
      <c r="AB17" s="52"/>
      <c r="AC17" s="52"/>
      <c r="AD17" s="946">
        <v>0</v>
      </c>
      <c r="AE17" s="412"/>
      <c r="AF17" s="939"/>
      <c r="AG17" s="52"/>
      <c r="AH17" s="52"/>
      <c r="AI17" s="52"/>
      <c r="AJ17" s="946">
        <v>0</v>
      </c>
      <c r="AK17" s="412"/>
      <c r="AL17" s="939">
        <f t="shared" si="0"/>
        <v>0</v>
      </c>
      <c r="AM17" s="52">
        <f t="shared" si="1"/>
        <v>0</v>
      </c>
      <c r="AN17" s="52">
        <f t="shared" si="1"/>
        <v>0</v>
      </c>
      <c r="AO17" s="52">
        <f t="shared" si="19"/>
        <v>0</v>
      </c>
      <c r="AP17" s="946">
        <v>0</v>
      </c>
      <c r="AQ17" s="412"/>
      <c r="AR17" s="939">
        <f>AP17+AR36</f>
        <v>0</v>
      </c>
      <c r="AS17" s="52">
        <f t="shared" si="3"/>
        <v>0</v>
      </c>
      <c r="AT17" s="52">
        <f t="shared" si="3"/>
        <v>0</v>
      </c>
      <c r="AU17" s="52">
        <f t="shared" si="20"/>
        <v>0</v>
      </c>
      <c r="AV17" s="946">
        <v>0</v>
      </c>
      <c r="AW17" s="412"/>
      <c r="AX17" s="939">
        <f>AV17+AX36</f>
        <v>0</v>
      </c>
      <c r="AY17" s="52">
        <f t="shared" si="5"/>
        <v>0</v>
      </c>
      <c r="AZ17" s="52">
        <f t="shared" si="5"/>
        <v>0</v>
      </c>
      <c r="BA17" s="52">
        <f t="shared" si="21"/>
        <v>0</v>
      </c>
      <c r="BB17" s="946">
        <v>0</v>
      </c>
      <c r="BC17" s="412"/>
      <c r="BD17" s="939">
        <f>BB17+BD36</f>
        <v>0</v>
      </c>
      <c r="BE17" s="52">
        <f t="shared" si="7"/>
        <v>0</v>
      </c>
      <c r="BF17" s="52">
        <f t="shared" si="7"/>
        <v>0</v>
      </c>
      <c r="BG17" s="52">
        <f t="shared" si="22"/>
        <v>0</v>
      </c>
      <c r="BH17" s="946">
        <v>0</v>
      </c>
      <c r="BI17" s="412"/>
      <c r="BJ17" s="939">
        <f>BH17+BJ36</f>
        <v>0</v>
      </c>
      <c r="BK17" s="52">
        <f t="shared" si="9"/>
        <v>0</v>
      </c>
      <c r="BL17" s="52">
        <f t="shared" si="9"/>
        <v>0</v>
      </c>
      <c r="BM17" s="52">
        <f t="shared" si="32"/>
        <v>0</v>
      </c>
      <c r="BN17" s="946">
        <v>0</v>
      </c>
      <c r="BO17" s="412"/>
      <c r="BP17" s="939">
        <f>BN17+BP36</f>
        <v>0</v>
      </c>
      <c r="BQ17" s="52">
        <f>BO17+BQ36</f>
        <v>0</v>
      </c>
      <c r="BR17" s="52">
        <f t="shared" si="11"/>
        <v>0</v>
      </c>
      <c r="BS17" s="52">
        <f t="shared" si="24"/>
        <v>0</v>
      </c>
      <c r="BT17" s="949">
        <f t="shared" si="25"/>
        <v>0</v>
      </c>
      <c r="BU17" s="412"/>
      <c r="BV17" s="939">
        <f t="shared" si="12"/>
        <v>0</v>
      </c>
      <c r="BW17" s="52">
        <f t="shared" si="26"/>
        <v>0</v>
      </c>
      <c r="BX17" s="52">
        <f t="shared" si="31"/>
        <v>0</v>
      </c>
      <c r="BY17" s="52">
        <f t="shared" si="27"/>
        <v>0</v>
      </c>
      <c r="BZ17" s="949">
        <f t="shared" si="28"/>
        <v>0</v>
      </c>
      <c r="CA17" s="412"/>
      <c r="CB17" s="939">
        <f t="shared" si="13"/>
        <v>0</v>
      </c>
      <c r="CC17" s="52">
        <f t="shared" si="14"/>
        <v>0</v>
      </c>
      <c r="CD17" s="52">
        <f t="shared" si="14"/>
        <v>0</v>
      </c>
      <c r="CE17" s="52">
        <f t="shared" si="14"/>
        <v>0</v>
      </c>
      <c r="CF17" s="949">
        <f t="shared" si="29"/>
        <v>0</v>
      </c>
      <c r="CG17" s="412"/>
      <c r="CH17" s="939">
        <f t="shared" si="15"/>
        <v>0</v>
      </c>
      <c r="CI17" s="52">
        <f t="shared" si="16"/>
        <v>0</v>
      </c>
      <c r="CJ17" s="52">
        <f t="shared" si="17"/>
        <v>0</v>
      </c>
      <c r="CK17" s="52">
        <f t="shared" si="18"/>
        <v>0</v>
      </c>
      <c r="CL17" s="949">
        <f t="shared" si="30"/>
        <v>0</v>
      </c>
      <c r="CM17" s="14"/>
      <c r="CN17" s="14"/>
    </row>
    <row r="18" spans="1:92" ht="11.25" customHeight="1" x14ac:dyDescent="0.2">
      <c r="A18" s="933" t="s">
        <v>336</v>
      </c>
      <c r="B18" s="939"/>
      <c r="C18" s="52"/>
      <c r="D18" s="52"/>
      <c r="E18" s="42"/>
      <c r="F18" s="946">
        <v>0</v>
      </c>
      <c r="G18" s="412"/>
      <c r="H18" s="939"/>
      <c r="I18" s="52"/>
      <c r="J18" s="52"/>
      <c r="K18" s="42"/>
      <c r="L18" s="946">
        <v>0</v>
      </c>
      <c r="M18" s="928"/>
      <c r="N18" s="939"/>
      <c r="O18" s="52"/>
      <c r="P18" s="52"/>
      <c r="Q18" s="42"/>
      <c r="R18" s="946">
        <v>0</v>
      </c>
      <c r="S18" s="412"/>
      <c r="T18" s="939"/>
      <c r="U18" s="52"/>
      <c r="V18" s="52"/>
      <c r="W18" s="42"/>
      <c r="X18" s="946">
        <v>0</v>
      </c>
      <c r="Y18" s="412"/>
      <c r="Z18" s="939"/>
      <c r="AA18" s="52"/>
      <c r="AB18" s="52"/>
      <c r="AC18" s="52"/>
      <c r="AD18" s="946">
        <v>0</v>
      </c>
      <c r="AE18" s="412"/>
      <c r="AF18" s="939"/>
      <c r="AG18" s="52"/>
      <c r="AH18" s="52"/>
      <c r="AI18" s="52"/>
      <c r="AJ18" s="946">
        <v>0</v>
      </c>
      <c r="AK18" s="412"/>
      <c r="AL18" s="939">
        <f>'BalSht '!AM33-SUM(AL6:AL17)-AL20</f>
        <v>0</v>
      </c>
      <c r="AM18" s="52">
        <f>'BalSht '!AN33-SUM(AM6:AM17)-AM20</f>
        <v>0</v>
      </c>
      <c r="AN18" s="52">
        <f>'BalSht '!AO33-SUM(AN6:AN17)-AN20</f>
        <v>0</v>
      </c>
      <c r="AO18" s="52">
        <f t="shared" si="19"/>
        <v>0</v>
      </c>
      <c r="AP18" s="946">
        <v>0</v>
      </c>
      <c r="AQ18" s="412"/>
      <c r="AR18" s="939">
        <f>'BalSht '!AS33-SUM(AR6:AR17)-AR20</f>
        <v>0</v>
      </c>
      <c r="AS18" s="52">
        <f>'BalSht '!AT33-SUM(AS6:AS17)-AS20</f>
        <v>0</v>
      </c>
      <c r="AT18" s="52">
        <f>'BalSht '!AU33-SUM(AT6:AT17)-AT20</f>
        <v>0</v>
      </c>
      <c r="AU18" s="52">
        <f>+AV18</f>
        <v>0</v>
      </c>
      <c r="AV18" s="946">
        <v>0</v>
      </c>
      <c r="AW18" s="412"/>
      <c r="AX18" s="939">
        <f>'BalSht '!AY33-SUM(AX6:AX17)-AX20</f>
        <v>0</v>
      </c>
      <c r="AY18" s="52">
        <f>'BalSht '!AZ33-SUM(AY6:AY17)-AY20</f>
        <v>0</v>
      </c>
      <c r="AZ18" s="52">
        <f>'BalSht '!BA33-SUM(AZ6:AZ17)-AZ20</f>
        <v>0</v>
      </c>
      <c r="BA18" s="52">
        <f>+BB18</f>
        <v>-2.4580000000000002</v>
      </c>
      <c r="BB18" s="946">
        <v>-2.4580000000000002</v>
      </c>
      <c r="BC18" s="412"/>
      <c r="BD18" s="939">
        <f>'BalSht '!BE33-SUM(BD6:BD17)-BD20</f>
        <v>39.523000000000003</v>
      </c>
      <c r="BE18" s="52">
        <f>'BalSht '!BF33-SUM(BE6:BE17)-BE20</f>
        <v>1.4210854715202004E-14</v>
      </c>
      <c r="BF18" s="52">
        <f>'BalSht '!BG33-SUM(BF6:BF17)-BF20</f>
        <v>0</v>
      </c>
      <c r="BG18" s="52">
        <f t="shared" si="22"/>
        <v>-3.97</v>
      </c>
      <c r="BH18" s="554">
        <v>-3.97</v>
      </c>
      <c r="BI18" s="412"/>
      <c r="BJ18" s="939">
        <f>'BalSht '!BK33-SUM(BJ6:BJ17)-BJ20</f>
        <v>-3.778000000000123</v>
      </c>
      <c r="BK18" s="52">
        <f>'BalSht '!BL33-SUM(BK6:BK17)-BK20</f>
        <v>-3.5889999999999418</v>
      </c>
      <c r="BL18" s="52">
        <f>'BalSht '!BM33-SUM(BL6:BL17)-BL20</f>
        <v>-17.895999999999979</v>
      </c>
      <c r="BM18" s="52">
        <f t="shared" si="32"/>
        <v>-3.3610000000000002</v>
      </c>
      <c r="BN18" s="554">
        <v>-3.3610000000000002</v>
      </c>
      <c r="BO18" s="412"/>
      <c r="BP18" s="939">
        <f>'BalSht '!BQ33-SUM(BP6:BP17)-BP20</f>
        <v>-3.1759999999999504</v>
      </c>
      <c r="BQ18" s="52">
        <f>'BalSht '!BR33-SUM(BQ6:BQ17)-BQ20</f>
        <v>-10.400999999999973</v>
      </c>
      <c r="BR18" s="52">
        <f>'BalSht '!BS33-SUM(BR6:BR17)-BR20</f>
        <v>-10.213999999999956</v>
      </c>
      <c r="BS18" s="52">
        <f>BR18</f>
        <v>-10.213999999999956</v>
      </c>
      <c r="BT18" s="695">
        <f t="shared" si="25"/>
        <v>-10.213999999999956</v>
      </c>
      <c r="BU18" s="412"/>
      <c r="BV18" s="939">
        <f>BT18</f>
        <v>-10.213999999999956</v>
      </c>
      <c r="BW18" s="52">
        <f>BV18</f>
        <v>-10.213999999999956</v>
      </c>
      <c r="BX18" s="52">
        <f>BW18</f>
        <v>-10.213999999999956</v>
      </c>
      <c r="BY18" s="52">
        <f>BX18</f>
        <v>-10.213999999999956</v>
      </c>
      <c r="BZ18" s="695">
        <f t="shared" si="28"/>
        <v>-10.213999999999956</v>
      </c>
      <c r="CA18" s="412"/>
      <c r="CB18" s="939">
        <f>BZ18</f>
        <v>-10.213999999999956</v>
      </c>
      <c r="CC18" s="52">
        <f>CB18</f>
        <v>-10.213999999999956</v>
      </c>
      <c r="CD18" s="52">
        <f>CC18</f>
        <v>-10.213999999999956</v>
      </c>
      <c r="CE18" s="52">
        <f>CD18</f>
        <v>-10.213999999999956</v>
      </c>
      <c r="CF18" s="695">
        <f t="shared" si="29"/>
        <v>-10.213999999999956</v>
      </c>
      <c r="CG18" s="412"/>
      <c r="CH18" s="939">
        <f>CF18</f>
        <v>-10.213999999999956</v>
      </c>
      <c r="CI18" s="52">
        <f>CH18</f>
        <v>-10.213999999999956</v>
      </c>
      <c r="CJ18" s="52">
        <f>CI18</f>
        <v>-10.213999999999956</v>
      </c>
      <c r="CK18" s="52">
        <f>CJ18</f>
        <v>-10.213999999999956</v>
      </c>
      <c r="CL18" s="695">
        <f t="shared" si="30"/>
        <v>-10.213999999999956</v>
      </c>
      <c r="CM18" s="14"/>
      <c r="CN18" s="14"/>
    </row>
    <row r="19" spans="1:92" ht="11.25" customHeight="1" x14ac:dyDescent="0.2">
      <c r="A19" s="934" t="s">
        <v>337</v>
      </c>
      <c r="B19" s="940"/>
      <c r="C19" s="157"/>
      <c r="D19" s="157"/>
      <c r="E19" s="142"/>
      <c r="F19" s="947">
        <f>SUM(F6:F18)</f>
        <v>180.024</v>
      </c>
      <c r="G19" s="142"/>
      <c r="H19" s="944"/>
      <c r="I19" s="142"/>
      <c r="J19" s="142"/>
      <c r="K19" s="142"/>
      <c r="L19" s="947">
        <f>SUM(L6:L18)</f>
        <v>655.03399999999999</v>
      </c>
      <c r="M19" s="142"/>
      <c r="N19" s="944"/>
      <c r="O19" s="142"/>
      <c r="P19" s="142"/>
      <c r="Q19" s="142"/>
      <c r="R19" s="947">
        <f>SUM(R6:R18)</f>
        <v>525</v>
      </c>
      <c r="S19" s="142"/>
      <c r="T19" s="944"/>
      <c r="U19" s="142"/>
      <c r="V19" s="142"/>
      <c r="W19" s="142"/>
      <c r="X19" s="947">
        <f>SUM(X6:X18)</f>
        <v>525</v>
      </c>
      <c r="Y19" s="142"/>
      <c r="Z19" s="944"/>
      <c r="AA19" s="142"/>
      <c r="AB19" s="142"/>
      <c r="AC19" s="142"/>
      <c r="AD19" s="947">
        <f>SUM(AD6:AD18)</f>
        <v>525</v>
      </c>
      <c r="AE19" s="142"/>
      <c r="AF19" s="944"/>
      <c r="AG19" s="142"/>
      <c r="AH19" s="142"/>
      <c r="AI19" s="142"/>
      <c r="AJ19" s="947">
        <f t="shared" ref="AJ19:BB19" si="33">SUM(AJ6:AJ18)</f>
        <v>850</v>
      </c>
      <c r="AK19" s="142"/>
      <c r="AL19" s="944">
        <f t="shared" si="33"/>
        <v>850</v>
      </c>
      <c r="AM19" s="142">
        <f t="shared" si="33"/>
        <v>775</v>
      </c>
      <c r="AN19" s="142">
        <f t="shared" si="33"/>
        <v>775</v>
      </c>
      <c r="AO19" s="142">
        <f t="shared" si="33"/>
        <v>725</v>
      </c>
      <c r="AP19" s="947">
        <f t="shared" si="33"/>
        <v>725</v>
      </c>
      <c r="AQ19" s="142"/>
      <c r="AR19" s="944">
        <f t="shared" si="33"/>
        <v>725</v>
      </c>
      <c r="AS19" s="142">
        <f t="shared" si="33"/>
        <v>725</v>
      </c>
      <c r="AT19" s="142">
        <f t="shared" si="33"/>
        <v>725</v>
      </c>
      <c r="AU19" s="142">
        <f t="shared" si="33"/>
        <v>725</v>
      </c>
      <c r="AV19" s="947">
        <f t="shared" si="33"/>
        <v>725</v>
      </c>
      <c r="AW19" s="142"/>
      <c r="AX19" s="944">
        <f t="shared" si="33"/>
        <v>725</v>
      </c>
      <c r="AY19" s="142">
        <f t="shared" si="33"/>
        <v>725</v>
      </c>
      <c r="AZ19" s="142">
        <f t="shared" si="33"/>
        <v>725</v>
      </c>
      <c r="BA19" s="142">
        <f t="shared" si="33"/>
        <v>722.54200000000003</v>
      </c>
      <c r="BB19" s="947">
        <f t="shared" si="33"/>
        <v>722.54200000000003</v>
      </c>
      <c r="BC19" s="142"/>
      <c r="BD19" s="944">
        <f>SUM(BD6:BD18)</f>
        <v>1764.5229999999999</v>
      </c>
      <c r="BE19" s="142">
        <f>SUM(BE6:BE18)</f>
        <v>1050.875</v>
      </c>
      <c r="BF19" s="142">
        <f>SUM(BF6:BF18)</f>
        <v>1046.75</v>
      </c>
      <c r="BG19" s="142">
        <f>SUM(BG6:BG18)</f>
        <v>1038.655</v>
      </c>
      <c r="BH19" s="947">
        <f>SUM(BH6:BH18)</f>
        <v>1038.655</v>
      </c>
      <c r="BI19" s="142"/>
      <c r="BJ19" s="944">
        <f>SUM(BJ6:BJ18)</f>
        <v>1034.7470000000001</v>
      </c>
      <c r="BK19" s="142">
        <f>SUM(BK6:BK18)</f>
        <v>1030.836</v>
      </c>
      <c r="BL19" s="142">
        <f>SUM(BL6:BL18)</f>
        <v>1016.529</v>
      </c>
      <c r="BM19" s="142">
        <f>SUM(BM6:BM18)</f>
        <v>1013.026</v>
      </c>
      <c r="BN19" s="947">
        <f>SUM(BN6:BN18)</f>
        <v>1013.026</v>
      </c>
      <c r="BO19" s="142"/>
      <c r="BP19" s="944">
        <f>SUM(BP6:BP18)</f>
        <v>1013.211</v>
      </c>
      <c r="BQ19" s="142">
        <f>SUM(BQ6:BQ18)</f>
        <v>1005.986</v>
      </c>
      <c r="BR19" s="142">
        <f>SUM(BR6:BR18)</f>
        <v>1006.173</v>
      </c>
      <c r="BS19" s="142">
        <f>SUM(BS6:BS18)</f>
        <v>1006.173</v>
      </c>
      <c r="BT19" s="947">
        <f>SUM(BT6:BT18)</f>
        <v>1006.173</v>
      </c>
      <c r="BU19" s="142"/>
      <c r="BV19" s="944">
        <f>SUM(BV6:BV18)</f>
        <v>1006.173</v>
      </c>
      <c r="BW19" s="142">
        <f>SUM(BW6:BW18)</f>
        <v>1006.173</v>
      </c>
      <c r="BX19" s="142">
        <f>SUM(BX6:BX18)</f>
        <v>1006.173</v>
      </c>
      <c r="BY19" s="142">
        <f>SUM(BY6:BY18)</f>
        <v>1006.173</v>
      </c>
      <c r="BZ19" s="947">
        <f>SUM(BZ6:BZ18)</f>
        <v>1006.173</v>
      </c>
      <c r="CA19" s="142"/>
      <c r="CB19" s="944">
        <f>SUM(CB6:CB18)</f>
        <v>1006.173</v>
      </c>
      <c r="CC19" s="142">
        <f>SUM(CC6:CC18)</f>
        <v>1006.173</v>
      </c>
      <c r="CD19" s="142">
        <f>SUM(CD6:CD18)</f>
        <v>1006.173</v>
      </c>
      <c r="CE19" s="142">
        <f>SUM(CE6:CE18)</f>
        <v>1006.173</v>
      </c>
      <c r="CF19" s="947">
        <f>SUM(CF6:CF18)</f>
        <v>1006.173</v>
      </c>
      <c r="CG19" s="142"/>
      <c r="CH19" s="944">
        <f>SUM(CH6:CH18)</f>
        <v>1006.173</v>
      </c>
      <c r="CI19" s="142">
        <f>SUM(CI6:CI18)</f>
        <v>1006.173</v>
      </c>
      <c r="CJ19" s="142">
        <f>SUM(CJ6:CJ18)</f>
        <v>1006.173</v>
      </c>
      <c r="CK19" s="142">
        <f>SUM(CK6:CK18)</f>
        <v>1006.173</v>
      </c>
      <c r="CL19" s="947">
        <f>SUM(CL6:CL18)</f>
        <v>1006.173</v>
      </c>
      <c r="CM19" s="14"/>
      <c r="CN19" s="14"/>
    </row>
    <row r="20" spans="1:92" ht="11.25" customHeight="1" x14ac:dyDescent="0.2">
      <c r="A20" s="656" t="s">
        <v>374</v>
      </c>
      <c r="B20" s="941"/>
      <c r="C20" s="42"/>
      <c r="D20" s="42"/>
      <c r="E20" s="42"/>
      <c r="F20" s="946">
        <v>-50.014000000000003</v>
      </c>
      <c r="G20" s="412"/>
      <c r="H20" s="941"/>
      <c r="I20" s="42"/>
      <c r="J20" s="42"/>
      <c r="K20" s="42"/>
      <c r="L20" s="946">
        <v>-130.01</v>
      </c>
      <c r="M20" s="928"/>
      <c r="N20" s="941"/>
      <c r="O20" s="42"/>
      <c r="P20" s="42"/>
      <c r="Q20" s="42"/>
      <c r="R20" s="946">
        <v>0</v>
      </c>
      <c r="S20" s="412"/>
      <c r="T20" s="941"/>
      <c r="U20" s="42"/>
      <c r="V20" s="42"/>
      <c r="W20" s="42"/>
      <c r="X20" s="946">
        <v>0</v>
      </c>
      <c r="Y20" s="412"/>
      <c r="Z20" s="939"/>
      <c r="AA20" s="52"/>
      <c r="AB20" s="52"/>
      <c r="AC20" s="42"/>
      <c r="AD20" s="554">
        <v>0</v>
      </c>
      <c r="AE20" s="412"/>
      <c r="AF20" s="939"/>
      <c r="AG20" s="52"/>
      <c r="AH20" s="52"/>
      <c r="AI20" s="42"/>
      <c r="AJ20" s="554">
        <v>-125</v>
      </c>
      <c r="AK20" s="412"/>
      <c r="AL20" s="939">
        <f>-'BalSht '!AM28</f>
        <v>-125</v>
      </c>
      <c r="AM20" s="52">
        <f>-'BalSht '!AN28</f>
        <v>-50</v>
      </c>
      <c r="AN20" s="52">
        <f>-'BalSht '!AO28</f>
        <v>-50</v>
      </c>
      <c r="AO20" s="52">
        <f>-'BalSht '!AP28</f>
        <v>0</v>
      </c>
      <c r="AP20" s="949">
        <f>-'BalSht '!AQ28</f>
        <v>0</v>
      </c>
      <c r="AQ20" s="412"/>
      <c r="AR20" s="939">
        <f>-'BalSht '!AS28</f>
        <v>0</v>
      </c>
      <c r="AS20" s="52">
        <f>-'BalSht '!AT28</f>
        <v>0</v>
      </c>
      <c r="AT20" s="52">
        <f>-'BalSht '!AU28</f>
        <v>0</v>
      </c>
      <c r="AU20" s="52">
        <f>-'BalSht '!AV28</f>
        <v>0</v>
      </c>
      <c r="AV20" s="949">
        <f>-'BalSht '!AW28</f>
        <v>0</v>
      </c>
      <c r="AW20" s="412"/>
      <c r="AX20" s="939">
        <f>-'BalSht '!AY28</f>
        <v>0</v>
      </c>
      <c r="AY20" s="52">
        <f>-'BalSht '!AZ28</f>
        <v>0</v>
      </c>
      <c r="AZ20" s="52">
        <f>-'BalSht '!BA28</f>
        <v>0</v>
      </c>
      <c r="BA20" s="52">
        <f>-'BalSht '!BB28</f>
        <v>0</v>
      </c>
      <c r="BB20" s="949">
        <f>-'BalSht '!BC28</f>
        <v>0</v>
      </c>
      <c r="BC20" s="412"/>
      <c r="BD20" s="939">
        <f>-'BalSht '!BE28</f>
        <v>-39.523000000000003</v>
      </c>
      <c r="BE20" s="52">
        <f>-'BalSht '!BF28</f>
        <v>-15.991</v>
      </c>
      <c r="BF20" s="52">
        <f>-'BalSht '!BG28</f>
        <v>-16.5</v>
      </c>
      <c r="BG20" s="52">
        <f>-'BalSht '!BH28</f>
        <v>-16.5</v>
      </c>
      <c r="BH20" s="554">
        <v>-16.5</v>
      </c>
      <c r="BI20" s="412"/>
      <c r="BJ20" s="939">
        <f>-'BalSht '!BK28</f>
        <v>-18.562999999999999</v>
      </c>
      <c r="BK20" s="52">
        <f>-'BalSht '!BL28</f>
        <v>-20.625</v>
      </c>
      <c r="BL20" s="52">
        <f>-'BalSht '!BM28</f>
        <v>-14.754</v>
      </c>
      <c r="BM20" s="52">
        <f>-'BalSht '!BN28</f>
        <v>-14.754</v>
      </c>
      <c r="BN20" s="554">
        <v>-14.754</v>
      </c>
      <c r="BO20" s="412"/>
      <c r="BP20" s="939">
        <f>-'BalSht '!BQ28</f>
        <v>-14.754</v>
      </c>
      <c r="BQ20" s="42">
        <f>-'BalSht '!BR28</f>
        <v>-14.754</v>
      </c>
      <c r="BR20" s="42">
        <f>-'BalSht '!BS28</f>
        <v>-74.754000000000005</v>
      </c>
      <c r="BS20" s="42">
        <f>BR20</f>
        <v>-74.754000000000005</v>
      </c>
      <c r="BT20" s="695">
        <f t="shared" si="25"/>
        <v>-74.754000000000005</v>
      </c>
      <c r="BU20" s="412"/>
      <c r="BV20" s="941">
        <f>BT20</f>
        <v>-74.754000000000005</v>
      </c>
      <c r="BW20" s="42">
        <f>BV20</f>
        <v>-74.754000000000005</v>
      </c>
      <c r="BX20" s="42">
        <f>BW20</f>
        <v>-74.754000000000005</v>
      </c>
      <c r="BY20" s="42">
        <f>BX20</f>
        <v>-74.754000000000005</v>
      </c>
      <c r="BZ20" s="695">
        <f t="shared" si="28"/>
        <v>-74.754000000000005</v>
      </c>
      <c r="CA20" s="412"/>
      <c r="CB20" s="941">
        <f>BZ20</f>
        <v>-74.754000000000005</v>
      </c>
      <c r="CC20" s="42">
        <f>CB20</f>
        <v>-74.754000000000005</v>
      </c>
      <c r="CD20" s="42">
        <f>CC20</f>
        <v>-74.754000000000005</v>
      </c>
      <c r="CE20" s="42">
        <f>CD20</f>
        <v>-74.754000000000005</v>
      </c>
      <c r="CF20" s="695">
        <f t="shared" si="29"/>
        <v>-74.754000000000005</v>
      </c>
      <c r="CG20" s="412"/>
      <c r="CH20" s="941">
        <f>CF20</f>
        <v>-74.754000000000005</v>
      </c>
      <c r="CI20" s="42">
        <f>CH20</f>
        <v>-74.754000000000005</v>
      </c>
      <c r="CJ20" s="42">
        <f>CI20</f>
        <v>-74.754000000000005</v>
      </c>
      <c r="CK20" s="42">
        <f>CJ20</f>
        <v>-74.754000000000005</v>
      </c>
      <c r="CL20" s="695">
        <f t="shared" ref="CL20" si="34">CK20</f>
        <v>-74.754000000000005</v>
      </c>
      <c r="CM20" s="14"/>
      <c r="CN20" s="14"/>
    </row>
    <row r="21" spans="1:92" ht="11.25" customHeight="1" x14ac:dyDescent="0.2">
      <c r="A21" s="935" t="s">
        <v>375</v>
      </c>
      <c r="B21" s="942"/>
      <c r="C21" s="943"/>
      <c r="D21" s="943"/>
      <c r="E21" s="943"/>
      <c r="F21" s="948">
        <f>SUM(F19:F20)</f>
        <v>130.01</v>
      </c>
      <c r="G21" s="26"/>
      <c r="H21" s="942"/>
      <c r="I21" s="943"/>
      <c r="J21" s="943"/>
      <c r="K21" s="943"/>
      <c r="L21" s="948">
        <f>SUM(L19:L20)</f>
        <v>525.024</v>
      </c>
      <c r="M21" s="26"/>
      <c r="N21" s="942"/>
      <c r="O21" s="943"/>
      <c r="P21" s="943"/>
      <c r="Q21" s="943"/>
      <c r="R21" s="948">
        <f>SUM(R19:R20)</f>
        <v>525</v>
      </c>
      <c r="S21" s="26"/>
      <c r="T21" s="942"/>
      <c r="U21" s="943"/>
      <c r="V21" s="943"/>
      <c r="W21" s="943"/>
      <c r="X21" s="948">
        <f>SUM(X19:X20)</f>
        <v>525</v>
      </c>
      <c r="Y21" s="26"/>
      <c r="Z21" s="942"/>
      <c r="AA21" s="943"/>
      <c r="AB21" s="943"/>
      <c r="AC21" s="943"/>
      <c r="AD21" s="948">
        <f>SUM(AD19:AD20)</f>
        <v>525</v>
      </c>
      <c r="AE21" s="26"/>
      <c r="AF21" s="942"/>
      <c r="AG21" s="943"/>
      <c r="AH21" s="943"/>
      <c r="AI21" s="943"/>
      <c r="AJ21" s="948">
        <f>SUM(AJ19:AJ20)</f>
        <v>725</v>
      </c>
      <c r="AK21" s="26"/>
      <c r="AL21" s="942">
        <f>SUM(AL19:AL20)</f>
        <v>725</v>
      </c>
      <c r="AM21" s="943">
        <f>SUM(AM19:AM20)</f>
        <v>725</v>
      </c>
      <c r="AN21" s="943">
        <f>SUM(AN19:AN20)</f>
        <v>725</v>
      </c>
      <c r="AO21" s="943">
        <f>SUM(AO19:AO20)</f>
        <v>725</v>
      </c>
      <c r="AP21" s="948">
        <f>SUM(AP19:AP20)</f>
        <v>725</v>
      </c>
      <c r="AQ21" s="26"/>
      <c r="AR21" s="942">
        <f>SUM(AR19:AR20)</f>
        <v>725</v>
      </c>
      <c r="AS21" s="943">
        <f>SUM(AS19:AS20)</f>
        <v>725</v>
      </c>
      <c r="AT21" s="943">
        <f>SUM(AT19:AT20)</f>
        <v>725</v>
      </c>
      <c r="AU21" s="943">
        <f>SUM(AU19:AU20)</f>
        <v>725</v>
      </c>
      <c r="AV21" s="948">
        <f>SUM(AV19:AV20)</f>
        <v>725</v>
      </c>
      <c r="AW21" s="26"/>
      <c r="AX21" s="942">
        <f>SUM(AX19:AX20)</f>
        <v>725</v>
      </c>
      <c r="AY21" s="943">
        <f>SUM(AY19:AY20)</f>
        <v>725</v>
      </c>
      <c r="AZ21" s="943">
        <f>SUM(AZ19:AZ20)</f>
        <v>725</v>
      </c>
      <c r="BA21" s="943">
        <f>SUM(BA19:BA20)</f>
        <v>722.54200000000003</v>
      </c>
      <c r="BB21" s="948">
        <f>SUM(BB19:BB20)</f>
        <v>722.54200000000003</v>
      </c>
      <c r="BC21" s="26"/>
      <c r="BD21" s="942">
        <f>SUM(BD19:BD20)</f>
        <v>1725</v>
      </c>
      <c r="BE21" s="943">
        <f>SUM(BE19:BE20)</f>
        <v>1034.884</v>
      </c>
      <c r="BF21" s="943">
        <f>SUM(BF19:BF20)</f>
        <v>1030.25</v>
      </c>
      <c r="BG21" s="943">
        <f>SUM(BG19:BG20)</f>
        <v>1022.155</v>
      </c>
      <c r="BH21" s="948">
        <f>SUM(BH19:BH20)</f>
        <v>1022.155</v>
      </c>
      <c r="BI21" s="26"/>
      <c r="BJ21" s="942">
        <f>SUM(BJ19:BJ20)</f>
        <v>1016.1840000000001</v>
      </c>
      <c r="BK21" s="943">
        <f>SUM(BK19:BK20)</f>
        <v>1010.211</v>
      </c>
      <c r="BL21" s="943">
        <f>SUM(BL19:BL20)</f>
        <v>1001.775</v>
      </c>
      <c r="BM21" s="943">
        <f>SUM(BM19:BM20)</f>
        <v>998.27199999999993</v>
      </c>
      <c r="BN21" s="948">
        <f>SUM(BN19:BN20)</f>
        <v>998.27199999999993</v>
      </c>
      <c r="BO21" s="26"/>
      <c r="BP21" s="942">
        <f>SUM(BP19:BP20)</f>
        <v>998.45699999999999</v>
      </c>
      <c r="BQ21" s="943">
        <f>SUM(BQ19:BQ20)</f>
        <v>991.23199999999997</v>
      </c>
      <c r="BR21" s="943">
        <f>SUM(BR19:BR20)</f>
        <v>931.41899999999998</v>
      </c>
      <c r="BS21" s="943">
        <f>SUM(BS19:BS20)</f>
        <v>931.41899999999998</v>
      </c>
      <c r="BT21" s="948">
        <f>SUM(BT19:BT20)</f>
        <v>931.41899999999998</v>
      </c>
      <c r="BU21" s="26"/>
      <c r="BV21" s="942">
        <f>SUM(BV19:BV20)</f>
        <v>931.41899999999998</v>
      </c>
      <c r="BW21" s="943">
        <f>SUM(BW19:BW20)</f>
        <v>931.41899999999998</v>
      </c>
      <c r="BX21" s="943">
        <f>SUM(BX19:BX20)</f>
        <v>931.41899999999998</v>
      </c>
      <c r="BY21" s="943">
        <f>SUM(BY19:BY20)</f>
        <v>931.41899999999998</v>
      </c>
      <c r="BZ21" s="948">
        <f>SUM(BZ19:BZ20)</f>
        <v>931.41899999999998</v>
      </c>
      <c r="CA21" s="26"/>
      <c r="CB21" s="942">
        <f>SUM(CB19:CB20)</f>
        <v>931.41899999999998</v>
      </c>
      <c r="CC21" s="943">
        <f>SUM(CC19:CC20)</f>
        <v>931.41899999999998</v>
      </c>
      <c r="CD21" s="943">
        <f>SUM(CD19:CD20)</f>
        <v>931.41899999999998</v>
      </c>
      <c r="CE21" s="943">
        <f>SUM(CE19:CE20)</f>
        <v>931.41899999999998</v>
      </c>
      <c r="CF21" s="948">
        <f>SUM(CF19:CF20)</f>
        <v>931.41899999999998</v>
      </c>
      <c r="CG21" s="26"/>
      <c r="CH21" s="942">
        <f>SUM(CH19:CH20)</f>
        <v>931.41899999999998</v>
      </c>
      <c r="CI21" s="943">
        <f>SUM(CI19:CI20)</f>
        <v>931.41899999999998</v>
      </c>
      <c r="CJ21" s="943">
        <f>SUM(CJ19:CJ20)</f>
        <v>931.41899999999998</v>
      </c>
      <c r="CK21" s="943">
        <f>SUM(CK19:CK20)</f>
        <v>931.41899999999998</v>
      </c>
      <c r="CL21" s="948">
        <f>SUM(CL19:CL20)</f>
        <v>931.41899999999998</v>
      </c>
      <c r="CM21" s="14"/>
      <c r="CN21" s="14"/>
    </row>
    <row r="22" spans="1:92" ht="11.25" customHeight="1" outlineLevel="1" x14ac:dyDescent="0.2">
      <c r="A22" s="14"/>
      <c r="B22" s="88"/>
      <c r="C22" s="54"/>
      <c r="D22" s="54"/>
      <c r="E22" s="158"/>
      <c r="F22" s="54"/>
      <c r="G22" s="412"/>
      <c r="H22" s="88"/>
      <c r="I22" s="54"/>
      <c r="J22" s="54"/>
      <c r="K22" s="158"/>
      <c r="L22" s="54"/>
      <c r="M22" s="412"/>
      <c r="N22" s="88"/>
      <c r="O22" s="54"/>
      <c r="P22" s="54"/>
      <c r="Q22" s="158"/>
      <c r="R22" s="54"/>
      <c r="S22" s="412"/>
      <c r="T22" s="88"/>
      <c r="U22" s="54"/>
      <c r="V22" s="54"/>
      <c r="W22" s="158"/>
      <c r="X22" s="54"/>
      <c r="Y22" s="930"/>
      <c r="Z22" s="88"/>
      <c r="AA22" s="54"/>
      <c r="AB22" s="54"/>
      <c r="AC22" s="158"/>
      <c r="AD22" s="54"/>
      <c r="AE22" s="52"/>
      <c r="AF22" s="54"/>
      <c r="AG22" s="54"/>
      <c r="AH22" s="54"/>
      <c r="AI22" s="54"/>
      <c r="AJ22" s="54"/>
      <c r="AK22" s="52"/>
      <c r="AL22" s="54"/>
      <c r="AM22" s="54"/>
      <c r="AN22" s="54"/>
      <c r="AO22" s="54"/>
      <c r="AP22" s="54"/>
      <c r="AQ22" s="52"/>
      <c r="AR22" s="54"/>
      <c r="AS22" s="54"/>
      <c r="AT22" s="54"/>
      <c r="AU22" s="54"/>
      <c r="AV22" s="54"/>
      <c r="AW22" s="52"/>
      <c r="AX22" s="54"/>
      <c r="AY22" s="54"/>
      <c r="AZ22" s="54"/>
      <c r="BA22" s="54"/>
      <c r="BB22" s="54"/>
      <c r="BC22" s="52"/>
      <c r="BD22" s="54">
        <f>BD21-'BalSht '!BE33</f>
        <v>0</v>
      </c>
      <c r="BE22" s="54">
        <f>BE21-'BalSht '!BF33</f>
        <v>0</v>
      </c>
      <c r="BF22" s="54">
        <f>BF21-'BalSht '!BG33</f>
        <v>0</v>
      </c>
      <c r="BG22" s="54">
        <f>BG21-'BalSht '!BH33</f>
        <v>0</v>
      </c>
      <c r="BH22" s="54">
        <f>BH21-'BalSht '!BI33</f>
        <v>0</v>
      </c>
      <c r="BI22" s="52"/>
      <c r="BJ22" s="54">
        <f>BJ21-'BalSht '!BK33</f>
        <v>0</v>
      </c>
      <c r="BK22" s="54">
        <f>BK21-'BalSht '!BL33</f>
        <v>0</v>
      </c>
      <c r="BL22" s="54">
        <f>BL21-'BalSht '!BM33</f>
        <v>0</v>
      </c>
      <c r="BM22" s="54">
        <f>BM21-'BalSht '!BN33</f>
        <v>0</v>
      </c>
      <c r="BN22" s="54">
        <f>BN21-'BalSht '!BO33</f>
        <v>0</v>
      </c>
      <c r="BO22" s="52"/>
      <c r="BP22" s="54">
        <f>BP21-'BalSht '!BQ33</f>
        <v>0</v>
      </c>
      <c r="BQ22" s="54">
        <f>BQ21-'BalSht '!BR33</f>
        <v>0</v>
      </c>
      <c r="BR22" s="54">
        <f>BR21-'BalSht '!BS33</f>
        <v>0</v>
      </c>
      <c r="BS22" s="54"/>
      <c r="BT22" s="54"/>
      <c r="BU22" s="52"/>
      <c r="BV22" s="54"/>
      <c r="BW22" s="54"/>
      <c r="BX22" s="54"/>
      <c r="BY22" s="54"/>
      <c r="BZ22" s="54"/>
      <c r="CA22" s="52"/>
      <c r="CB22" s="54"/>
      <c r="CC22" s="54"/>
      <c r="CD22" s="54"/>
      <c r="CE22" s="54"/>
      <c r="CF22" s="54"/>
      <c r="CG22" s="52"/>
      <c r="CH22" s="54"/>
      <c r="CI22" s="54"/>
      <c r="CJ22" s="54"/>
      <c r="CK22" s="54"/>
      <c r="CL22" s="54"/>
      <c r="CM22" s="14"/>
      <c r="CN22" s="14"/>
    </row>
    <row r="23" spans="1:92" ht="11.25" customHeight="1" x14ac:dyDescent="0.2">
      <c r="A23" s="14"/>
      <c r="B23" s="88"/>
      <c r="C23" s="54"/>
      <c r="D23" s="54"/>
      <c r="E23" s="158"/>
      <c r="F23" s="54"/>
      <c r="G23" s="412"/>
      <c r="H23" s="88"/>
      <c r="I23" s="54"/>
      <c r="J23" s="54"/>
      <c r="K23" s="158"/>
      <c r="L23" s="54"/>
      <c r="M23" s="412"/>
      <c r="N23" s="88"/>
      <c r="O23" s="54"/>
      <c r="P23" s="54"/>
      <c r="Q23" s="158"/>
      <c r="R23" s="54"/>
      <c r="S23" s="412"/>
      <c r="T23" s="88"/>
      <c r="U23" s="54"/>
      <c r="V23" s="54"/>
      <c r="W23" s="158"/>
      <c r="X23" s="54"/>
      <c r="Y23" s="930"/>
      <c r="Z23" s="88"/>
      <c r="AA23" s="54"/>
      <c r="AB23" s="54"/>
      <c r="AC23" s="158"/>
      <c r="AD23" s="54"/>
      <c r="AE23" s="52"/>
      <c r="AF23" s="54"/>
      <c r="AG23" s="54"/>
      <c r="AH23" s="54"/>
      <c r="AI23" s="54"/>
      <c r="AJ23" s="54"/>
      <c r="AK23" s="52"/>
      <c r="AL23" s="54"/>
      <c r="AM23" s="54"/>
      <c r="AN23" s="54"/>
      <c r="AO23" s="54"/>
      <c r="AP23" s="54"/>
      <c r="AQ23" s="52"/>
      <c r="AR23" s="54"/>
      <c r="AS23" s="54"/>
      <c r="AT23" s="54"/>
      <c r="AU23" s="54"/>
      <c r="AV23" s="54"/>
      <c r="AW23" s="52"/>
      <c r="AX23" s="54"/>
      <c r="AY23" s="54"/>
      <c r="AZ23" s="54"/>
      <c r="BA23" s="54"/>
      <c r="BB23" s="54"/>
      <c r="BC23" s="52"/>
      <c r="BD23" s="54"/>
      <c r="BE23" s="54"/>
      <c r="BF23" s="54"/>
      <c r="BG23" s="54"/>
      <c r="BH23" s="54"/>
      <c r="BI23" s="52"/>
      <c r="BJ23" s="54"/>
      <c r="BK23" s="54"/>
      <c r="BL23" s="54"/>
      <c r="BM23" s="54"/>
      <c r="BN23" s="54"/>
      <c r="BO23" s="52"/>
      <c r="BP23" s="54"/>
      <c r="BQ23" s="54"/>
      <c r="BR23" s="54"/>
      <c r="BS23" s="54"/>
      <c r="BT23" s="54"/>
      <c r="BU23" s="52"/>
      <c r="BV23" s="54"/>
      <c r="BW23" s="54"/>
      <c r="BX23" s="54"/>
      <c r="BY23" s="54"/>
      <c r="BZ23" s="54"/>
      <c r="CA23" s="52"/>
      <c r="CB23" s="54"/>
      <c r="CC23" s="54"/>
      <c r="CD23" s="54"/>
      <c r="CE23" s="54"/>
      <c r="CF23" s="54"/>
      <c r="CG23" s="52"/>
      <c r="CH23" s="54"/>
      <c r="CI23" s="54"/>
      <c r="CJ23" s="54"/>
      <c r="CK23" s="54"/>
      <c r="CL23" s="54"/>
      <c r="CM23" s="14"/>
      <c r="CN23" s="14"/>
    </row>
    <row r="24" spans="1:92" ht="11.25" customHeight="1" x14ac:dyDescent="0.2">
      <c r="A24" s="1033" t="s">
        <v>349</v>
      </c>
      <c r="B24" s="1034"/>
      <c r="C24" s="1034"/>
      <c r="D24" s="1034"/>
      <c r="E24" s="1034"/>
      <c r="F24" s="1034"/>
      <c r="G24" s="1033"/>
      <c r="H24" s="1034"/>
      <c r="I24" s="1034"/>
      <c r="J24" s="1034"/>
      <c r="K24" s="1034"/>
      <c r="L24" s="1034"/>
      <c r="M24" s="1033"/>
      <c r="N24" s="1034"/>
      <c r="O24" s="1034"/>
      <c r="P24" s="1034"/>
      <c r="Q24" s="1034"/>
      <c r="R24" s="1034"/>
      <c r="S24" s="1033"/>
      <c r="T24" s="1034"/>
      <c r="U24" s="1034"/>
      <c r="V24" s="1034"/>
      <c r="W24" s="1034"/>
      <c r="X24" s="1034"/>
      <c r="Y24" s="1033"/>
      <c r="Z24" s="1034"/>
      <c r="AA24" s="1034"/>
      <c r="AB24" s="1034"/>
      <c r="AC24" s="1034"/>
      <c r="AD24" s="1034"/>
      <c r="AE24" s="1033"/>
      <c r="AF24" s="1034"/>
      <c r="AG24" s="1034"/>
      <c r="AH24" s="1034"/>
      <c r="AI24" s="1034"/>
      <c r="AJ24" s="1034"/>
      <c r="AK24" s="1033"/>
      <c r="AL24" s="1034"/>
      <c r="AM24" s="1034"/>
      <c r="AN24" s="1034"/>
      <c r="AO24" s="1034"/>
      <c r="AP24" s="1034"/>
      <c r="AQ24" s="1033"/>
      <c r="AR24" s="1034"/>
      <c r="AS24" s="1034"/>
      <c r="AT24" s="1034"/>
      <c r="AU24" s="1034"/>
      <c r="AV24" s="1034"/>
      <c r="AW24" s="1033"/>
      <c r="AX24" s="1034"/>
      <c r="AY24" s="1034"/>
      <c r="AZ24" s="1034"/>
      <c r="BA24" s="1034"/>
      <c r="BB24" s="1034"/>
      <c r="BC24" s="1033"/>
      <c r="BD24" s="1034"/>
      <c r="BE24" s="1034"/>
      <c r="BF24" s="1034"/>
      <c r="BG24" s="1034"/>
      <c r="BH24" s="1034"/>
      <c r="BI24" s="1033"/>
      <c r="BJ24" s="1034"/>
      <c r="BK24" s="1034"/>
      <c r="BL24" s="1034"/>
      <c r="BM24" s="1034"/>
      <c r="BN24" s="1034"/>
      <c r="BO24" s="1033"/>
      <c r="BP24" s="1034"/>
      <c r="BQ24" s="1034"/>
      <c r="BR24" s="1034"/>
      <c r="BS24" s="1034"/>
      <c r="BT24" s="1034"/>
      <c r="BU24" s="1033"/>
      <c r="BV24" s="1034"/>
      <c r="BW24" s="1034"/>
      <c r="BX24" s="1034"/>
      <c r="BY24" s="1034"/>
      <c r="BZ24" s="1034"/>
      <c r="CA24" s="1033"/>
      <c r="CB24" s="1034"/>
      <c r="CC24" s="1034"/>
      <c r="CD24" s="1034"/>
      <c r="CE24" s="1034"/>
      <c r="CF24" s="1034"/>
      <c r="CG24" s="1033"/>
      <c r="CH24" s="1034"/>
      <c r="CI24" s="1034"/>
      <c r="CJ24" s="1034"/>
      <c r="CK24" s="1034"/>
      <c r="CL24" s="1034"/>
      <c r="CM24" s="14"/>
      <c r="CN24" s="14"/>
    </row>
    <row r="25" spans="1:92" ht="11.25" customHeight="1" x14ac:dyDescent="0.2">
      <c r="A25" s="932" t="str">
        <f t="shared" ref="A25:A36" si="35">+A6</f>
        <v xml:space="preserve">Senior notes due fiscal 2018 </v>
      </c>
      <c r="B25" s="951"/>
      <c r="C25" s="952"/>
      <c r="D25" s="952"/>
      <c r="E25" s="953"/>
      <c r="F25" s="957"/>
      <c r="G25" s="412"/>
      <c r="H25" s="951"/>
      <c r="I25" s="952"/>
      <c r="J25" s="952"/>
      <c r="K25" s="953"/>
      <c r="L25" s="957">
        <f t="shared" ref="L25:L36" si="36">L6-F6</f>
        <v>150</v>
      </c>
      <c r="M25" s="412"/>
      <c r="N25" s="951"/>
      <c r="O25" s="952"/>
      <c r="P25" s="952"/>
      <c r="Q25" s="953"/>
      <c r="R25" s="957">
        <f t="shared" ref="R25:R36" si="37">R6-L6</f>
        <v>0</v>
      </c>
      <c r="S25" s="412"/>
      <c r="T25" s="951"/>
      <c r="U25" s="952"/>
      <c r="V25" s="952"/>
      <c r="W25" s="953"/>
      <c r="X25" s="957">
        <f t="shared" ref="X25:X36" si="38">X6-R6</f>
        <v>0</v>
      </c>
      <c r="Y25" s="931"/>
      <c r="Z25" s="951"/>
      <c r="AA25" s="952"/>
      <c r="AB25" s="952"/>
      <c r="AC25" s="953"/>
      <c r="AD25" s="957">
        <f t="shared" ref="AD25:AD36" si="39">AD6-X6</f>
        <v>0</v>
      </c>
      <c r="AE25" s="412"/>
      <c r="AF25" s="951"/>
      <c r="AG25" s="952"/>
      <c r="AH25" s="952"/>
      <c r="AI25" s="953"/>
      <c r="AJ25" s="957">
        <f t="shared" ref="AJ25:AJ36" si="40">AJ6-AD6</f>
        <v>0</v>
      </c>
      <c r="AK25" s="412"/>
      <c r="AL25" s="951">
        <v>0</v>
      </c>
      <c r="AM25" s="952">
        <v>0</v>
      </c>
      <c r="AN25" s="952">
        <v>0</v>
      </c>
      <c r="AO25" s="953">
        <f t="shared" ref="AO25:AO35" si="41">+AO6-AN6</f>
        <v>0</v>
      </c>
      <c r="AP25" s="957">
        <f t="shared" ref="AP25:AP36" si="42">SUM(AL25:AO25)</f>
        <v>0</v>
      </c>
      <c r="AQ25" s="412"/>
      <c r="AR25" s="951">
        <v>0</v>
      </c>
      <c r="AS25" s="952">
        <v>0</v>
      </c>
      <c r="AT25" s="952">
        <v>0</v>
      </c>
      <c r="AU25" s="953">
        <f t="shared" ref="AU25:AU36" si="43">+AU6-AT6</f>
        <v>0</v>
      </c>
      <c r="AV25" s="957">
        <f t="shared" ref="AV25:AV36" si="44">SUM(AR25:AU25)</f>
        <v>0</v>
      </c>
      <c r="AW25" s="412"/>
      <c r="AX25" s="951">
        <v>0</v>
      </c>
      <c r="AY25" s="952">
        <v>0</v>
      </c>
      <c r="AZ25" s="952">
        <v>0</v>
      </c>
      <c r="BA25" s="953">
        <f t="shared" ref="BA25:BA36" si="45">+BA6-AZ6</f>
        <v>0</v>
      </c>
      <c r="BB25" s="957">
        <f t="shared" ref="BB25:BB36" si="46">SUM(AX25:BA25)</f>
        <v>0</v>
      </c>
      <c r="BC25" s="412"/>
      <c r="BD25" s="951">
        <v>0</v>
      </c>
      <c r="BE25" s="952">
        <v>0</v>
      </c>
      <c r="BF25" s="952">
        <v>0</v>
      </c>
      <c r="BG25" s="953">
        <f t="shared" ref="BG25:BG36" si="47">+BG6-BF6</f>
        <v>0</v>
      </c>
      <c r="BH25" s="957">
        <f t="shared" ref="BH25:BH36" si="48">SUM(BD25:BG25)</f>
        <v>0</v>
      </c>
      <c r="BI25" s="412"/>
      <c r="BJ25" s="951">
        <v>0</v>
      </c>
      <c r="BK25" s="952">
        <v>0</v>
      </c>
      <c r="BL25" s="952">
        <v>0</v>
      </c>
      <c r="BM25" s="953">
        <f t="shared" ref="BM25:BM36" si="49">+BM6-BL6</f>
        <v>0</v>
      </c>
      <c r="BN25" s="957">
        <f t="shared" ref="BN25:BN31" si="50">SUM(BJ25:BM25)</f>
        <v>0</v>
      </c>
      <c r="BO25" s="412"/>
      <c r="BP25" s="951">
        <v>0</v>
      </c>
      <c r="BQ25" s="952">
        <v>0</v>
      </c>
      <c r="BR25" s="952">
        <v>0</v>
      </c>
      <c r="BS25" s="952">
        <v>0</v>
      </c>
      <c r="BT25" s="957">
        <f t="shared" ref="BT25:BT36" si="51">SUM(BP25:BS25)</f>
        <v>0</v>
      </c>
      <c r="BU25" s="412"/>
      <c r="BV25" s="951">
        <v>0</v>
      </c>
      <c r="BW25" s="952">
        <v>0</v>
      </c>
      <c r="BX25" s="952">
        <v>0</v>
      </c>
      <c r="BY25" s="952">
        <v>0</v>
      </c>
      <c r="BZ25" s="957">
        <f t="shared" ref="BZ25:BZ31" si="52">SUM(BV25:BY25)</f>
        <v>0</v>
      </c>
      <c r="CA25" s="412"/>
      <c r="CB25" s="951">
        <v>0</v>
      </c>
      <c r="CC25" s="952">
        <v>0</v>
      </c>
      <c r="CD25" s="952">
        <v>0</v>
      </c>
      <c r="CE25" s="952">
        <v>0</v>
      </c>
      <c r="CF25" s="957">
        <f t="shared" ref="CF25:CF31" si="53">SUM(CB25:CE25)</f>
        <v>0</v>
      </c>
      <c r="CG25" s="412"/>
      <c r="CH25" s="951">
        <v>0</v>
      </c>
      <c r="CI25" s="952">
        <v>0</v>
      </c>
      <c r="CJ25" s="952">
        <v>0</v>
      </c>
      <c r="CK25" s="952">
        <v>0</v>
      </c>
      <c r="CL25" s="957">
        <f t="shared" ref="CL25:CL31" si="54">SUM(CH25:CK25)</f>
        <v>0</v>
      </c>
      <c r="CM25" s="14"/>
      <c r="CN25" s="14"/>
    </row>
    <row r="26" spans="1:92" ht="11.25" customHeight="1" x14ac:dyDescent="0.2">
      <c r="A26" s="933" t="str">
        <f t="shared" si="35"/>
        <v>Senior notes due fiscal 2019</v>
      </c>
      <c r="B26" s="954"/>
      <c r="C26" s="955"/>
      <c r="D26" s="955"/>
      <c r="E26" s="956"/>
      <c r="F26" s="958"/>
      <c r="G26" s="412"/>
      <c r="H26" s="954"/>
      <c r="I26" s="955"/>
      <c r="J26" s="955"/>
      <c r="K26" s="956"/>
      <c r="L26" s="958">
        <f t="shared" si="36"/>
        <v>0</v>
      </c>
      <c r="M26" s="412"/>
      <c r="N26" s="954"/>
      <c r="O26" s="955"/>
      <c r="P26" s="955"/>
      <c r="Q26" s="956"/>
      <c r="R26" s="958">
        <f t="shared" si="37"/>
        <v>0</v>
      </c>
      <c r="S26" s="412"/>
      <c r="T26" s="954"/>
      <c r="U26" s="955"/>
      <c r="V26" s="955"/>
      <c r="W26" s="956"/>
      <c r="X26" s="958">
        <f t="shared" si="38"/>
        <v>0</v>
      </c>
      <c r="Y26" s="931"/>
      <c r="Z26" s="954"/>
      <c r="AA26" s="955"/>
      <c r="AB26" s="955"/>
      <c r="AC26" s="956"/>
      <c r="AD26" s="958">
        <f t="shared" si="39"/>
        <v>0</v>
      </c>
      <c r="AE26" s="412"/>
      <c r="AF26" s="954"/>
      <c r="AG26" s="955"/>
      <c r="AH26" s="955"/>
      <c r="AI26" s="956"/>
      <c r="AJ26" s="958">
        <f t="shared" si="40"/>
        <v>60</v>
      </c>
      <c r="AK26" s="412"/>
      <c r="AL26" s="954">
        <v>0</v>
      </c>
      <c r="AM26" s="955">
        <v>0</v>
      </c>
      <c r="AN26" s="955">
        <v>0</v>
      </c>
      <c r="AO26" s="956">
        <f t="shared" si="41"/>
        <v>0</v>
      </c>
      <c r="AP26" s="958">
        <f t="shared" si="42"/>
        <v>0</v>
      </c>
      <c r="AQ26" s="412"/>
      <c r="AR26" s="954">
        <v>0</v>
      </c>
      <c r="AS26" s="955">
        <v>0</v>
      </c>
      <c r="AT26" s="955">
        <v>0</v>
      </c>
      <c r="AU26" s="956">
        <f t="shared" si="43"/>
        <v>0</v>
      </c>
      <c r="AV26" s="958">
        <f t="shared" si="44"/>
        <v>0</v>
      </c>
      <c r="AW26" s="412"/>
      <c r="AX26" s="954">
        <v>0</v>
      </c>
      <c r="AY26" s="955">
        <v>0</v>
      </c>
      <c r="AZ26" s="955">
        <v>0</v>
      </c>
      <c r="BA26" s="956">
        <f t="shared" si="45"/>
        <v>0</v>
      </c>
      <c r="BB26" s="958">
        <f t="shared" si="46"/>
        <v>0</v>
      </c>
      <c r="BC26" s="412"/>
      <c r="BD26" s="954">
        <v>0</v>
      </c>
      <c r="BE26" s="955">
        <v>0</v>
      </c>
      <c r="BF26" s="955">
        <v>0</v>
      </c>
      <c r="BG26" s="956">
        <f t="shared" si="47"/>
        <v>0</v>
      </c>
      <c r="BH26" s="958">
        <f t="shared" si="48"/>
        <v>0</v>
      </c>
      <c r="BI26" s="412"/>
      <c r="BJ26" s="954">
        <v>0</v>
      </c>
      <c r="BK26" s="955">
        <v>0</v>
      </c>
      <c r="BL26" s="955">
        <v>0</v>
      </c>
      <c r="BM26" s="956">
        <f t="shared" si="49"/>
        <v>0</v>
      </c>
      <c r="BN26" s="958">
        <f t="shared" si="50"/>
        <v>0</v>
      </c>
      <c r="BO26" s="412"/>
      <c r="BP26" s="954">
        <v>0</v>
      </c>
      <c r="BQ26" s="955">
        <v>0</v>
      </c>
      <c r="BR26" s="955">
        <v>0</v>
      </c>
      <c r="BS26" s="955">
        <v>0</v>
      </c>
      <c r="BT26" s="958">
        <f t="shared" si="51"/>
        <v>0</v>
      </c>
      <c r="BU26" s="412"/>
      <c r="BV26" s="954">
        <v>0</v>
      </c>
      <c r="BW26" s="955">
        <v>0</v>
      </c>
      <c r="BX26" s="955">
        <v>0</v>
      </c>
      <c r="BY26" s="955">
        <v>0</v>
      </c>
      <c r="BZ26" s="958">
        <f t="shared" si="52"/>
        <v>0</v>
      </c>
      <c r="CA26" s="412"/>
      <c r="CB26" s="954">
        <v>0</v>
      </c>
      <c r="CC26" s="955">
        <v>0</v>
      </c>
      <c r="CD26" s="955">
        <v>0</v>
      </c>
      <c r="CE26" s="955">
        <v>0</v>
      </c>
      <c r="CF26" s="958">
        <f t="shared" si="53"/>
        <v>0</v>
      </c>
      <c r="CG26" s="412"/>
      <c r="CH26" s="954">
        <v>0</v>
      </c>
      <c r="CI26" s="955">
        <v>0</v>
      </c>
      <c r="CJ26" s="955">
        <v>0</v>
      </c>
      <c r="CK26" s="955">
        <v>0</v>
      </c>
      <c r="CL26" s="958">
        <f t="shared" si="54"/>
        <v>0</v>
      </c>
      <c r="CM26" s="14"/>
      <c r="CN26" s="14"/>
    </row>
    <row r="27" spans="1:92" ht="11.25" customHeight="1" x14ac:dyDescent="0.2">
      <c r="A27" s="933" t="str">
        <f t="shared" si="35"/>
        <v>Senior notes due fiscal 2022</v>
      </c>
      <c r="B27" s="954"/>
      <c r="C27" s="955"/>
      <c r="D27" s="955"/>
      <c r="E27" s="956"/>
      <c r="F27" s="958"/>
      <c r="G27" s="412"/>
      <c r="H27" s="954"/>
      <c r="I27" s="955"/>
      <c r="J27" s="955"/>
      <c r="K27" s="956"/>
      <c r="L27" s="958">
        <f t="shared" si="36"/>
        <v>0</v>
      </c>
      <c r="M27" s="412"/>
      <c r="N27" s="954"/>
      <c r="O27" s="955"/>
      <c r="P27" s="955"/>
      <c r="Q27" s="956"/>
      <c r="R27" s="958">
        <f t="shared" si="37"/>
        <v>0</v>
      </c>
      <c r="S27" s="412"/>
      <c r="T27" s="954"/>
      <c r="U27" s="955"/>
      <c r="V27" s="955"/>
      <c r="W27" s="956"/>
      <c r="X27" s="958">
        <f t="shared" si="38"/>
        <v>0</v>
      </c>
      <c r="Y27" s="931"/>
      <c r="Z27" s="954"/>
      <c r="AA27" s="955"/>
      <c r="AB27" s="955"/>
      <c r="AC27" s="956"/>
      <c r="AD27" s="958">
        <f t="shared" si="39"/>
        <v>0</v>
      </c>
      <c r="AE27" s="412"/>
      <c r="AF27" s="954"/>
      <c r="AG27" s="955"/>
      <c r="AH27" s="955"/>
      <c r="AI27" s="956"/>
      <c r="AJ27" s="958">
        <f t="shared" si="40"/>
        <v>165</v>
      </c>
      <c r="AK27" s="412"/>
      <c r="AL27" s="954">
        <v>0</v>
      </c>
      <c r="AM27" s="955">
        <v>0</v>
      </c>
      <c r="AN27" s="955">
        <v>0</v>
      </c>
      <c r="AO27" s="956">
        <f t="shared" si="41"/>
        <v>0</v>
      </c>
      <c r="AP27" s="958">
        <f t="shared" si="42"/>
        <v>0</v>
      </c>
      <c r="AQ27" s="412"/>
      <c r="AR27" s="954">
        <v>0</v>
      </c>
      <c r="AS27" s="955">
        <v>0</v>
      </c>
      <c r="AT27" s="955">
        <v>0</v>
      </c>
      <c r="AU27" s="956">
        <f t="shared" si="43"/>
        <v>0</v>
      </c>
      <c r="AV27" s="958">
        <f t="shared" si="44"/>
        <v>0</v>
      </c>
      <c r="AW27" s="412"/>
      <c r="AX27" s="954">
        <v>0</v>
      </c>
      <c r="AY27" s="955">
        <v>0</v>
      </c>
      <c r="AZ27" s="955">
        <v>0</v>
      </c>
      <c r="BA27" s="956">
        <f t="shared" si="45"/>
        <v>0</v>
      </c>
      <c r="BB27" s="958">
        <f t="shared" si="46"/>
        <v>0</v>
      </c>
      <c r="BC27" s="412"/>
      <c r="BD27" s="954">
        <v>0</v>
      </c>
      <c r="BE27" s="955">
        <v>0</v>
      </c>
      <c r="BF27" s="955">
        <v>0</v>
      </c>
      <c r="BG27" s="956">
        <f t="shared" si="47"/>
        <v>0</v>
      </c>
      <c r="BH27" s="958">
        <f t="shared" si="48"/>
        <v>0</v>
      </c>
      <c r="BI27" s="412"/>
      <c r="BJ27" s="954">
        <v>0</v>
      </c>
      <c r="BK27" s="955">
        <v>0</v>
      </c>
      <c r="BL27" s="955">
        <v>0</v>
      </c>
      <c r="BM27" s="956">
        <f t="shared" si="49"/>
        <v>0</v>
      </c>
      <c r="BN27" s="958">
        <f t="shared" si="50"/>
        <v>0</v>
      </c>
      <c r="BO27" s="412"/>
      <c r="BP27" s="954">
        <v>0</v>
      </c>
      <c r="BQ27" s="955">
        <v>0</v>
      </c>
      <c r="BR27" s="955">
        <v>0</v>
      </c>
      <c r="BS27" s="955">
        <v>0</v>
      </c>
      <c r="BT27" s="958">
        <f t="shared" si="51"/>
        <v>0</v>
      </c>
      <c r="BU27" s="412"/>
      <c r="BV27" s="954">
        <v>0</v>
      </c>
      <c r="BW27" s="955">
        <v>0</v>
      </c>
      <c r="BX27" s="955">
        <v>0</v>
      </c>
      <c r="BY27" s="955">
        <v>0</v>
      </c>
      <c r="BZ27" s="958">
        <f t="shared" si="52"/>
        <v>0</v>
      </c>
      <c r="CA27" s="412"/>
      <c r="CB27" s="954">
        <v>0</v>
      </c>
      <c r="CC27" s="955">
        <v>0</v>
      </c>
      <c r="CD27" s="955">
        <v>0</v>
      </c>
      <c r="CE27" s="955">
        <v>0</v>
      </c>
      <c r="CF27" s="958">
        <f t="shared" si="53"/>
        <v>0</v>
      </c>
      <c r="CG27" s="412"/>
      <c r="CH27" s="954">
        <v>0</v>
      </c>
      <c r="CI27" s="955">
        <v>0</v>
      </c>
      <c r="CJ27" s="955">
        <v>0</v>
      </c>
      <c r="CK27" s="955">
        <v>0</v>
      </c>
      <c r="CL27" s="958">
        <f t="shared" si="54"/>
        <v>0</v>
      </c>
      <c r="CM27" s="14"/>
      <c r="CN27" s="14"/>
    </row>
    <row r="28" spans="1:92" ht="11.25" customHeight="1" x14ac:dyDescent="0.2">
      <c r="A28" s="933" t="str">
        <f t="shared" si="35"/>
        <v>Senior notes due fiscal 2024</v>
      </c>
      <c r="B28" s="954"/>
      <c r="C28" s="955"/>
      <c r="D28" s="955"/>
      <c r="E28" s="956"/>
      <c r="F28" s="958"/>
      <c r="G28" s="412"/>
      <c r="H28" s="954"/>
      <c r="I28" s="955"/>
      <c r="J28" s="955"/>
      <c r="K28" s="956"/>
      <c r="L28" s="958">
        <f t="shared" si="36"/>
        <v>0</v>
      </c>
      <c r="M28" s="412"/>
      <c r="N28" s="954"/>
      <c r="O28" s="955"/>
      <c r="P28" s="955"/>
      <c r="Q28" s="956"/>
      <c r="R28" s="958">
        <f t="shared" si="37"/>
        <v>0</v>
      </c>
      <c r="S28" s="412"/>
      <c r="T28" s="954"/>
      <c r="U28" s="955"/>
      <c r="V28" s="955"/>
      <c r="W28" s="956"/>
      <c r="X28" s="958">
        <f t="shared" si="38"/>
        <v>0</v>
      </c>
      <c r="Y28" s="931"/>
      <c r="Z28" s="954"/>
      <c r="AA28" s="955"/>
      <c r="AB28" s="955"/>
      <c r="AC28" s="956"/>
      <c r="AD28" s="958">
        <f t="shared" si="39"/>
        <v>0</v>
      </c>
      <c r="AE28" s="412"/>
      <c r="AF28" s="954"/>
      <c r="AG28" s="955"/>
      <c r="AH28" s="955"/>
      <c r="AI28" s="956"/>
      <c r="AJ28" s="958">
        <f t="shared" si="40"/>
        <v>100</v>
      </c>
      <c r="AK28" s="412"/>
      <c r="AL28" s="954">
        <v>0</v>
      </c>
      <c r="AM28" s="955">
        <v>0</v>
      </c>
      <c r="AN28" s="955">
        <v>0</v>
      </c>
      <c r="AO28" s="956">
        <f t="shared" si="41"/>
        <v>0</v>
      </c>
      <c r="AP28" s="958">
        <f t="shared" si="42"/>
        <v>0</v>
      </c>
      <c r="AQ28" s="412"/>
      <c r="AR28" s="954">
        <v>0</v>
      </c>
      <c r="AS28" s="955">
        <v>0</v>
      </c>
      <c r="AT28" s="955">
        <v>0</v>
      </c>
      <c r="AU28" s="956">
        <f t="shared" si="43"/>
        <v>0</v>
      </c>
      <c r="AV28" s="958">
        <f t="shared" si="44"/>
        <v>0</v>
      </c>
      <c r="AW28" s="412"/>
      <c r="AX28" s="954">
        <v>0</v>
      </c>
      <c r="AY28" s="955">
        <v>0</v>
      </c>
      <c r="AZ28" s="955">
        <v>0</v>
      </c>
      <c r="BA28" s="956">
        <f t="shared" si="45"/>
        <v>0</v>
      </c>
      <c r="BB28" s="958">
        <f t="shared" si="46"/>
        <v>0</v>
      </c>
      <c r="BC28" s="412"/>
      <c r="BD28" s="954">
        <v>0</v>
      </c>
      <c r="BE28" s="955">
        <v>0</v>
      </c>
      <c r="BF28" s="955">
        <v>0</v>
      </c>
      <c r="BG28" s="956">
        <f t="shared" si="47"/>
        <v>0</v>
      </c>
      <c r="BH28" s="958">
        <f t="shared" si="48"/>
        <v>0</v>
      </c>
      <c r="BI28" s="412"/>
      <c r="BJ28" s="954">
        <v>0</v>
      </c>
      <c r="BK28" s="955">
        <v>0</v>
      </c>
      <c r="BL28" s="955">
        <v>0</v>
      </c>
      <c r="BM28" s="956">
        <f t="shared" si="49"/>
        <v>0</v>
      </c>
      <c r="BN28" s="958">
        <f t="shared" si="50"/>
        <v>0</v>
      </c>
      <c r="BO28" s="412"/>
      <c r="BP28" s="954">
        <v>0</v>
      </c>
      <c r="BQ28" s="955">
        <v>0</v>
      </c>
      <c r="BR28" s="955">
        <v>0</v>
      </c>
      <c r="BS28" s="955">
        <v>0</v>
      </c>
      <c r="BT28" s="958">
        <f t="shared" si="51"/>
        <v>0</v>
      </c>
      <c r="BU28" s="412"/>
      <c r="BV28" s="954">
        <v>0</v>
      </c>
      <c r="BW28" s="955">
        <v>0</v>
      </c>
      <c r="BX28" s="955">
        <v>0</v>
      </c>
      <c r="BY28" s="955">
        <v>0</v>
      </c>
      <c r="BZ28" s="958">
        <f t="shared" si="52"/>
        <v>0</v>
      </c>
      <c r="CA28" s="412"/>
      <c r="CB28" s="954">
        <v>0</v>
      </c>
      <c r="CC28" s="955">
        <v>0</v>
      </c>
      <c r="CD28" s="955">
        <v>0</v>
      </c>
      <c r="CE28" s="955">
        <v>0</v>
      </c>
      <c r="CF28" s="958">
        <f t="shared" si="53"/>
        <v>0</v>
      </c>
      <c r="CG28" s="412"/>
      <c r="CH28" s="954">
        <v>0</v>
      </c>
      <c r="CI28" s="955">
        <v>0</v>
      </c>
      <c r="CJ28" s="955">
        <v>0</v>
      </c>
      <c r="CK28" s="955">
        <v>0</v>
      </c>
      <c r="CL28" s="958">
        <f t="shared" si="54"/>
        <v>0</v>
      </c>
      <c r="CM28" s="14"/>
      <c r="CN28" s="14"/>
    </row>
    <row r="29" spans="1:92" ht="11.25" customHeight="1" x14ac:dyDescent="0.2">
      <c r="A29" s="933" t="str">
        <f t="shared" si="35"/>
        <v>Senior notes due fiscal 2025</v>
      </c>
      <c r="B29" s="954"/>
      <c r="C29" s="955"/>
      <c r="D29" s="955"/>
      <c r="E29" s="956"/>
      <c r="F29" s="958"/>
      <c r="G29" s="412"/>
      <c r="H29" s="954"/>
      <c r="I29" s="955"/>
      <c r="J29" s="955"/>
      <c r="K29" s="956"/>
      <c r="L29" s="958">
        <f t="shared" si="36"/>
        <v>0</v>
      </c>
      <c r="M29" s="412"/>
      <c r="N29" s="954"/>
      <c r="O29" s="955"/>
      <c r="P29" s="955"/>
      <c r="Q29" s="956"/>
      <c r="R29" s="958">
        <f t="shared" si="37"/>
        <v>0</v>
      </c>
      <c r="S29" s="412"/>
      <c r="T29" s="954"/>
      <c r="U29" s="955"/>
      <c r="V29" s="955"/>
      <c r="W29" s="956"/>
      <c r="X29" s="958">
        <f t="shared" si="38"/>
        <v>0</v>
      </c>
      <c r="Y29" s="931"/>
      <c r="Z29" s="954"/>
      <c r="AA29" s="955"/>
      <c r="AB29" s="955"/>
      <c r="AC29" s="956"/>
      <c r="AD29" s="958">
        <f t="shared" si="39"/>
        <v>0</v>
      </c>
      <c r="AE29" s="412"/>
      <c r="AF29" s="954"/>
      <c r="AG29" s="955"/>
      <c r="AH29" s="955"/>
      <c r="AI29" s="956"/>
      <c r="AJ29" s="958">
        <f t="shared" si="40"/>
        <v>0</v>
      </c>
      <c r="AK29" s="412"/>
      <c r="AL29" s="954">
        <v>0</v>
      </c>
      <c r="AM29" s="955">
        <v>0</v>
      </c>
      <c r="AN29" s="955">
        <v>0</v>
      </c>
      <c r="AO29" s="956">
        <f t="shared" si="41"/>
        <v>0</v>
      </c>
      <c r="AP29" s="958">
        <f t="shared" si="42"/>
        <v>0</v>
      </c>
      <c r="AQ29" s="412"/>
      <c r="AR29" s="954">
        <v>0</v>
      </c>
      <c r="AS29" s="955">
        <v>0</v>
      </c>
      <c r="AT29" s="955">
        <v>0</v>
      </c>
      <c r="AU29" s="956">
        <f t="shared" si="43"/>
        <v>0</v>
      </c>
      <c r="AV29" s="958">
        <f t="shared" si="44"/>
        <v>0</v>
      </c>
      <c r="AW29" s="412"/>
      <c r="AX29" s="954">
        <v>0</v>
      </c>
      <c r="AY29" s="955">
        <v>0</v>
      </c>
      <c r="AZ29" s="955">
        <v>0</v>
      </c>
      <c r="BA29" s="956">
        <f t="shared" si="45"/>
        <v>250</v>
      </c>
      <c r="BB29" s="958">
        <f t="shared" si="46"/>
        <v>250</v>
      </c>
      <c r="BC29" s="412"/>
      <c r="BD29" s="954">
        <v>0</v>
      </c>
      <c r="BE29" s="955">
        <v>0</v>
      </c>
      <c r="BF29" s="955">
        <v>0</v>
      </c>
      <c r="BG29" s="956">
        <f t="shared" si="47"/>
        <v>0</v>
      </c>
      <c r="BH29" s="958">
        <f t="shared" si="48"/>
        <v>0</v>
      </c>
      <c r="BI29" s="412"/>
      <c r="BJ29" s="954">
        <v>0</v>
      </c>
      <c r="BK29" s="955">
        <v>0</v>
      </c>
      <c r="BL29" s="955">
        <v>0</v>
      </c>
      <c r="BM29" s="956">
        <f t="shared" si="49"/>
        <v>0</v>
      </c>
      <c r="BN29" s="958">
        <f t="shared" si="50"/>
        <v>0</v>
      </c>
      <c r="BO29" s="412"/>
      <c r="BP29" s="954">
        <v>0</v>
      </c>
      <c r="BQ29" s="955">
        <v>0</v>
      </c>
      <c r="BR29" s="955">
        <v>0</v>
      </c>
      <c r="BS29" s="955">
        <v>0</v>
      </c>
      <c r="BT29" s="958">
        <f t="shared" si="51"/>
        <v>0</v>
      </c>
      <c r="BU29" s="412"/>
      <c r="BV29" s="954">
        <v>0</v>
      </c>
      <c r="BW29" s="955">
        <v>0</v>
      </c>
      <c r="BX29" s="955">
        <v>0</v>
      </c>
      <c r="BY29" s="955">
        <v>0</v>
      </c>
      <c r="BZ29" s="958">
        <f t="shared" si="52"/>
        <v>0</v>
      </c>
      <c r="CA29" s="412"/>
      <c r="CB29" s="954">
        <v>0</v>
      </c>
      <c r="CC29" s="955">
        <v>0</v>
      </c>
      <c r="CD29" s="955">
        <v>0</v>
      </c>
      <c r="CE29" s="955">
        <v>0</v>
      </c>
      <c r="CF29" s="958">
        <f t="shared" si="53"/>
        <v>0</v>
      </c>
      <c r="CG29" s="412"/>
      <c r="CH29" s="954">
        <v>0</v>
      </c>
      <c r="CI29" s="955">
        <v>0</v>
      </c>
      <c r="CJ29" s="955">
        <v>0</v>
      </c>
      <c r="CK29" s="955">
        <v>0</v>
      </c>
      <c r="CL29" s="958">
        <f t="shared" si="54"/>
        <v>0</v>
      </c>
      <c r="CM29" s="14"/>
      <c r="CN29" s="14"/>
    </row>
    <row r="30" spans="1:92" ht="11.25" customHeight="1" x14ac:dyDescent="0.2">
      <c r="A30" s="933" t="str">
        <f t="shared" si="35"/>
        <v>Term loan due fiscal 2021</v>
      </c>
      <c r="B30" s="954"/>
      <c r="C30" s="955"/>
      <c r="D30" s="955"/>
      <c r="E30" s="956"/>
      <c r="F30" s="958"/>
      <c r="G30" s="412"/>
      <c r="H30" s="954"/>
      <c r="I30" s="955"/>
      <c r="J30" s="955"/>
      <c r="K30" s="956"/>
      <c r="L30" s="958">
        <f t="shared" si="36"/>
        <v>0</v>
      </c>
      <c r="M30" s="412"/>
      <c r="N30" s="954"/>
      <c r="O30" s="955"/>
      <c r="P30" s="955"/>
      <c r="Q30" s="956"/>
      <c r="R30" s="958">
        <f t="shared" si="37"/>
        <v>0</v>
      </c>
      <c r="S30" s="412"/>
      <c r="T30" s="954"/>
      <c r="U30" s="955"/>
      <c r="V30" s="955"/>
      <c r="W30" s="956"/>
      <c r="X30" s="958">
        <f t="shared" si="38"/>
        <v>0</v>
      </c>
      <c r="Y30" s="931"/>
      <c r="Z30" s="954"/>
      <c r="AA30" s="955"/>
      <c r="AB30" s="955"/>
      <c r="AC30" s="956"/>
      <c r="AD30" s="958">
        <f t="shared" si="39"/>
        <v>0</v>
      </c>
      <c r="AE30" s="412"/>
      <c r="AF30" s="954"/>
      <c r="AG30" s="955"/>
      <c r="AH30" s="955"/>
      <c r="AI30" s="956"/>
      <c r="AJ30" s="958">
        <f t="shared" si="40"/>
        <v>0</v>
      </c>
      <c r="AK30" s="412"/>
      <c r="AL30" s="954">
        <v>0</v>
      </c>
      <c r="AM30" s="955">
        <v>0</v>
      </c>
      <c r="AN30" s="955">
        <v>0</v>
      </c>
      <c r="AO30" s="956">
        <f t="shared" si="41"/>
        <v>0</v>
      </c>
      <c r="AP30" s="958">
        <f t="shared" si="42"/>
        <v>0</v>
      </c>
      <c r="AQ30" s="412"/>
      <c r="AR30" s="954">
        <v>0</v>
      </c>
      <c r="AS30" s="955">
        <v>0</v>
      </c>
      <c r="AT30" s="955">
        <v>0</v>
      </c>
      <c r="AU30" s="956">
        <f t="shared" si="43"/>
        <v>0</v>
      </c>
      <c r="AV30" s="958">
        <f t="shared" si="44"/>
        <v>0</v>
      </c>
      <c r="AW30" s="412"/>
      <c r="AX30" s="954">
        <v>0</v>
      </c>
      <c r="AY30" s="955">
        <v>0</v>
      </c>
      <c r="AZ30" s="955">
        <v>0</v>
      </c>
      <c r="BA30" s="956">
        <f t="shared" si="45"/>
        <v>0</v>
      </c>
      <c r="BB30" s="958">
        <f t="shared" si="46"/>
        <v>0</v>
      </c>
      <c r="BC30" s="412"/>
      <c r="BD30" s="425">
        <v>1000</v>
      </c>
      <c r="BE30" s="200">
        <v>-674.125</v>
      </c>
      <c r="BF30" s="200">
        <v>-4.125</v>
      </c>
      <c r="BG30" s="956">
        <f t="shared" si="47"/>
        <v>-4.125</v>
      </c>
      <c r="BH30" s="958">
        <f t="shared" si="48"/>
        <v>317.625</v>
      </c>
      <c r="BI30" s="412"/>
      <c r="BJ30" s="425">
        <v>-4.0999999999999996</v>
      </c>
      <c r="BK30" s="200">
        <v>-4.0999999999999996</v>
      </c>
      <c r="BL30" s="955">
        <v>0</v>
      </c>
      <c r="BM30" s="956">
        <f t="shared" si="49"/>
        <v>-18.037999999999954</v>
      </c>
      <c r="BN30" s="958">
        <f t="shared" si="50"/>
        <v>-26.237999999999953</v>
      </c>
      <c r="BO30" s="412"/>
      <c r="BP30" s="954">
        <v>0</v>
      </c>
      <c r="BQ30" s="955">
        <v>0</v>
      </c>
      <c r="BR30" s="955">
        <v>0</v>
      </c>
      <c r="BS30" s="955">
        <v>0</v>
      </c>
      <c r="BT30" s="958">
        <f t="shared" si="51"/>
        <v>0</v>
      </c>
      <c r="BU30" s="412"/>
      <c r="BV30" s="954">
        <v>0</v>
      </c>
      <c r="BW30" s="955">
        <v>0</v>
      </c>
      <c r="BX30" s="955">
        <v>0</v>
      </c>
      <c r="BY30" s="955">
        <v>0</v>
      </c>
      <c r="BZ30" s="958">
        <f t="shared" si="52"/>
        <v>0</v>
      </c>
      <c r="CA30" s="412"/>
      <c r="CB30" s="954">
        <v>0</v>
      </c>
      <c r="CC30" s="955">
        <v>0</v>
      </c>
      <c r="CD30" s="955">
        <v>0</v>
      </c>
      <c r="CE30" s="955">
        <v>0</v>
      </c>
      <c r="CF30" s="958">
        <f t="shared" si="53"/>
        <v>0</v>
      </c>
      <c r="CG30" s="412"/>
      <c r="CH30" s="954">
        <v>0</v>
      </c>
      <c r="CI30" s="955">
        <v>0</v>
      </c>
      <c r="CJ30" s="955">
        <v>0</v>
      </c>
      <c r="CK30" s="955">
        <v>0</v>
      </c>
      <c r="CL30" s="958">
        <f t="shared" si="54"/>
        <v>0</v>
      </c>
      <c r="CM30" s="14"/>
      <c r="CN30" s="14"/>
    </row>
    <row r="31" spans="1:92" ht="11.25" customHeight="1" x14ac:dyDescent="0.2">
      <c r="A31" s="933" t="str">
        <f t="shared" si="35"/>
        <v>Term loan due fiscal 2013</v>
      </c>
      <c r="B31" s="954"/>
      <c r="C31" s="955"/>
      <c r="D31" s="955"/>
      <c r="E31" s="956"/>
      <c r="F31" s="958"/>
      <c r="G31" s="412"/>
      <c r="H31" s="954"/>
      <c r="I31" s="955"/>
      <c r="J31" s="955"/>
      <c r="K31" s="956"/>
      <c r="L31" s="958">
        <f t="shared" si="36"/>
        <v>75</v>
      </c>
      <c r="M31" s="412"/>
      <c r="N31" s="954"/>
      <c r="O31" s="955"/>
      <c r="P31" s="955"/>
      <c r="Q31" s="956"/>
      <c r="R31" s="958">
        <f t="shared" si="37"/>
        <v>0</v>
      </c>
      <c r="S31" s="412"/>
      <c r="T31" s="954"/>
      <c r="U31" s="955"/>
      <c r="V31" s="955"/>
      <c r="W31" s="956"/>
      <c r="X31" s="958">
        <f t="shared" si="38"/>
        <v>0</v>
      </c>
      <c r="Y31" s="931"/>
      <c r="Z31" s="954"/>
      <c r="AA31" s="955"/>
      <c r="AB31" s="955"/>
      <c r="AC31" s="956"/>
      <c r="AD31" s="958">
        <f t="shared" si="39"/>
        <v>0</v>
      </c>
      <c r="AE31" s="412"/>
      <c r="AF31" s="954"/>
      <c r="AG31" s="955"/>
      <c r="AH31" s="955"/>
      <c r="AI31" s="956"/>
      <c r="AJ31" s="958">
        <f t="shared" si="40"/>
        <v>0</v>
      </c>
      <c r="AK31" s="412"/>
      <c r="AL31" s="954">
        <v>0</v>
      </c>
      <c r="AM31" s="959">
        <v>-75</v>
      </c>
      <c r="AN31" s="955">
        <v>0</v>
      </c>
      <c r="AO31" s="956">
        <f t="shared" si="41"/>
        <v>0</v>
      </c>
      <c r="AP31" s="958">
        <f t="shared" si="42"/>
        <v>-75</v>
      </c>
      <c r="AQ31" s="412"/>
      <c r="AR31" s="954">
        <v>0</v>
      </c>
      <c r="AS31" s="955">
        <v>0</v>
      </c>
      <c r="AT31" s="955">
        <v>0</v>
      </c>
      <c r="AU31" s="956">
        <f t="shared" si="43"/>
        <v>0</v>
      </c>
      <c r="AV31" s="958">
        <f t="shared" si="44"/>
        <v>0</v>
      </c>
      <c r="AW31" s="412"/>
      <c r="AX31" s="954">
        <v>0</v>
      </c>
      <c r="AY31" s="955">
        <v>0</v>
      </c>
      <c r="AZ31" s="955">
        <v>0</v>
      </c>
      <c r="BA31" s="956">
        <f t="shared" si="45"/>
        <v>0</v>
      </c>
      <c r="BB31" s="958">
        <f t="shared" si="46"/>
        <v>0</v>
      </c>
      <c r="BC31" s="412"/>
      <c r="BD31" s="954">
        <v>0</v>
      </c>
      <c r="BE31" s="955">
        <v>0</v>
      </c>
      <c r="BF31" s="955">
        <v>0</v>
      </c>
      <c r="BG31" s="956">
        <f t="shared" si="47"/>
        <v>0</v>
      </c>
      <c r="BH31" s="958">
        <f t="shared" si="48"/>
        <v>0</v>
      </c>
      <c r="BI31" s="412"/>
      <c r="BJ31" s="954">
        <v>0</v>
      </c>
      <c r="BK31" s="955">
        <v>0</v>
      </c>
      <c r="BL31" s="955">
        <v>0</v>
      </c>
      <c r="BM31" s="956">
        <f t="shared" si="49"/>
        <v>0</v>
      </c>
      <c r="BN31" s="958">
        <f t="shared" si="50"/>
        <v>0</v>
      </c>
      <c r="BO31" s="412"/>
      <c r="BP31" s="954">
        <v>0</v>
      </c>
      <c r="BQ31" s="955">
        <v>0</v>
      </c>
      <c r="BR31" s="955">
        <v>0</v>
      </c>
      <c r="BS31" s="955">
        <v>0</v>
      </c>
      <c r="BT31" s="958">
        <f t="shared" si="51"/>
        <v>0</v>
      </c>
      <c r="BU31" s="412"/>
      <c r="BV31" s="954">
        <v>0</v>
      </c>
      <c r="BW31" s="955">
        <v>0</v>
      </c>
      <c r="BX31" s="955">
        <v>0</v>
      </c>
      <c r="BY31" s="955">
        <v>0</v>
      </c>
      <c r="BZ31" s="958">
        <f t="shared" si="52"/>
        <v>0</v>
      </c>
      <c r="CA31" s="412"/>
      <c r="CB31" s="954">
        <v>0</v>
      </c>
      <c r="CC31" s="955">
        <v>0</v>
      </c>
      <c r="CD31" s="955">
        <v>0</v>
      </c>
      <c r="CE31" s="955">
        <v>0</v>
      </c>
      <c r="CF31" s="958">
        <f t="shared" si="53"/>
        <v>0</v>
      </c>
      <c r="CG31" s="412"/>
      <c r="CH31" s="954">
        <v>0</v>
      </c>
      <c r="CI31" s="955">
        <v>0</v>
      </c>
      <c r="CJ31" s="955">
        <v>0</v>
      </c>
      <c r="CK31" s="955">
        <v>0</v>
      </c>
      <c r="CL31" s="958">
        <f t="shared" si="54"/>
        <v>0</v>
      </c>
      <c r="CM31" s="14"/>
      <c r="CN31" s="14"/>
    </row>
    <row r="32" spans="1:92" ht="11.25" customHeight="1" x14ac:dyDescent="0.2">
      <c r="A32" s="933" t="str">
        <f t="shared" si="35"/>
        <v xml:space="preserve">Senior notes due fiscal 2013 </v>
      </c>
      <c r="B32" s="954"/>
      <c r="C32" s="955"/>
      <c r="D32" s="955"/>
      <c r="E32" s="956"/>
      <c r="F32" s="958"/>
      <c r="G32" s="412"/>
      <c r="H32" s="954"/>
      <c r="I32" s="955"/>
      <c r="J32" s="955"/>
      <c r="K32" s="956"/>
      <c r="L32" s="958">
        <f t="shared" si="36"/>
        <v>50</v>
      </c>
      <c r="M32" s="412"/>
      <c r="N32" s="954"/>
      <c r="O32" s="955"/>
      <c r="P32" s="955"/>
      <c r="Q32" s="956"/>
      <c r="R32" s="958">
        <f t="shared" si="37"/>
        <v>0</v>
      </c>
      <c r="S32" s="412"/>
      <c r="T32" s="954"/>
      <c r="U32" s="955"/>
      <c r="V32" s="955"/>
      <c r="W32" s="956"/>
      <c r="X32" s="958">
        <f t="shared" si="38"/>
        <v>0</v>
      </c>
      <c r="Y32" s="931"/>
      <c r="Z32" s="954"/>
      <c r="AA32" s="955"/>
      <c r="AB32" s="955"/>
      <c r="AC32" s="956"/>
      <c r="AD32" s="958">
        <f t="shared" si="39"/>
        <v>0</v>
      </c>
      <c r="AE32" s="412"/>
      <c r="AF32" s="954"/>
      <c r="AG32" s="955"/>
      <c r="AH32" s="955"/>
      <c r="AI32" s="956"/>
      <c r="AJ32" s="958">
        <f t="shared" si="40"/>
        <v>0</v>
      </c>
      <c r="AK32" s="412"/>
      <c r="AL32" s="954">
        <v>0</v>
      </c>
      <c r="AM32" s="955">
        <v>0</v>
      </c>
      <c r="AN32" s="955">
        <v>0</v>
      </c>
      <c r="AO32" s="956">
        <f t="shared" si="41"/>
        <v>-50</v>
      </c>
      <c r="AP32" s="958">
        <f>SUM(AL32:AO32)</f>
        <v>-50</v>
      </c>
      <c r="AQ32" s="412"/>
      <c r="AR32" s="954">
        <v>0</v>
      </c>
      <c r="AS32" s="955">
        <v>0</v>
      </c>
      <c r="AT32" s="955">
        <v>0</v>
      </c>
      <c r="AU32" s="956">
        <f t="shared" si="43"/>
        <v>0</v>
      </c>
      <c r="AV32" s="958">
        <f>SUM(AR32:AU32)</f>
        <v>0</v>
      </c>
      <c r="AW32" s="412"/>
      <c r="AX32" s="954">
        <v>0</v>
      </c>
      <c r="AY32" s="955">
        <v>0</v>
      </c>
      <c r="AZ32" s="955">
        <v>0</v>
      </c>
      <c r="BA32" s="956">
        <f t="shared" si="45"/>
        <v>0</v>
      </c>
      <c r="BB32" s="958">
        <f>SUM(AX32:BA32)</f>
        <v>0</v>
      </c>
      <c r="BC32" s="412"/>
      <c r="BD32" s="954">
        <v>0</v>
      </c>
      <c r="BE32" s="955">
        <v>0</v>
      </c>
      <c r="BF32" s="955">
        <v>0</v>
      </c>
      <c r="BG32" s="956">
        <f t="shared" si="47"/>
        <v>0</v>
      </c>
      <c r="BH32" s="958">
        <f>SUM(BD32:BG32)</f>
        <v>0</v>
      </c>
      <c r="BI32" s="412"/>
      <c r="BJ32" s="954">
        <v>0</v>
      </c>
      <c r="BK32" s="955">
        <v>0</v>
      </c>
      <c r="BL32" s="955">
        <v>0</v>
      </c>
      <c r="BM32" s="956">
        <f t="shared" si="49"/>
        <v>0</v>
      </c>
      <c r="BN32" s="958">
        <f>SUM(BJ32:BM32)</f>
        <v>0</v>
      </c>
      <c r="BO32" s="412"/>
      <c r="BP32" s="954">
        <v>0</v>
      </c>
      <c r="BQ32" s="955">
        <v>0</v>
      </c>
      <c r="BR32" s="955">
        <v>0</v>
      </c>
      <c r="BS32" s="955">
        <v>0</v>
      </c>
      <c r="BT32" s="958">
        <f>SUM(BP32:BS32)</f>
        <v>0</v>
      </c>
      <c r="BU32" s="412"/>
      <c r="BV32" s="954">
        <v>0</v>
      </c>
      <c r="BW32" s="955">
        <v>0</v>
      </c>
      <c r="BX32" s="955">
        <v>0</v>
      </c>
      <c r="BY32" s="955">
        <v>0</v>
      </c>
      <c r="BZ32" s="958">
        <f>SUM(BV32:BY32)</f>
        <v>0</v>
      </c>
      <c r="CA32" s="412"/>
      <c r="CB32" s="954">
        <v>0</v>
      </c>
      <c r="CC32" s="955">
        <v>0</v>
      </c>
      <c r="CD32" s="955">
        <v>0</v>
      </c>
      <c r="CE32" s="955">
        <v>0</v>
      </c>
      <c r="CF32" s="958">
        <f>SUM(CB32:CE32)</f>
        <v>0</v>
      </c>
      <c r="CG32" s="412"/>
      <c r="CH32" s="954">
        <v>0</v>
      </c>
      <c r="CI32" s="955">
        <v>0</v>
      </c>
      <c r="CJ32" s="955">
        <v>0</v>
      </c>
      <c r="CK32" s="955">
        <v>0</v>
      </c>
      <c r="CL32" s="958">
        <f>SUM(CH32:CK32)</f>
        <v>0</v>
      </c>
      <c r="CM32" s="14"/>
      <c r="CN32" s="14"/>
    </row>
    <row r="33" spans="1:92" ht="11.25" customHeight="1" x14ac:dyDescent="0.2">
      <c r="A33" s="933" t="str">
        <f t="shared" si="35"/>
        <v xml:space="preserve">Senior notes due fiscal 2015 </v>
      </c>
      <c r="B33" s="954"/>
      <c r="C33" s="955"/>
      <c r="D33" s="955"/>
      <c r="E33" s="956"/>
      <c r="F33" s="958"/>
      <c r="G33" s="412"/>
      <c r="H33" s="954"/>
      <c r="I33" s="955"/>
      <c r="J33" s="955"/>
      <c r="K33" s="956"/>
      <c r="L33" s="958">
        <f t="shared" si="36"/>
        <v>250</v>
      </c>
      <c r="M33" s="412"/>
      <c r="N33" s="954"/>
      <c r="O33" s="955"/>
      <c r="P33" s="955"/>
      <c r="Q33" s="956"/>
      <c r="R33" s="958">
        <f t="shared" si="37"/>
        <v>0</v>
      </c>
      <c r="S33" s="412"/>
      <c r="T33" s="954"/>
      <c r="U33" s="955"/>
      <c r="V33" s="955"/>
      <c r="W33" s="956"/>
      <c r="X33" s="958">
        <f t="shared" si="38"/>
        <v>0</v>
      </c>
      <c r="Y33" s="931"/>
      <c r="Z33" s="954"/>
      <c r="AA33" s="955"/>
      <c r="AB33" s="955"/>
      <c r="AC33" s="956"/>
      <c r="AD33" s="958">
        <f t="shared" si="39"/>
        <v>0</v>
      </c>
      <c r="AE33" s="412"/>
      <c r="AF33" s="954"/>
      <c r="AG33" s="955"/>
      <c r="AH33" s="955"/>
      <c r="AI33" s="956"/>
      <c r="AJ33" s="958">
        <f t="shared" si="40"/>
        <v>0</v>
      </c>
      <c r="AK33" s="412"/>
      <c r="AL33" s="954">
        <v>0</v>
      </c>
      <c r="AM33" s="955">
        <v>0</v>
      </c>
      <c r="AN33" s="955">
        <v>0</v>
      </c>
      <c r="AO33" s="956">
        <f t="shared" si="41"/>
        <v>0</v>
      </c>
      <c r="AP33" s="958">
        <f>SUM(AL33:AO33)</f>
        <v>0</v>
      </c>
      <c r="AQ33" s="412"/>
      <c r="AR33" s="954">
        <v>0</v>
      </c>
      <c r="AS33" s="955">
        <v>0</v>
      </c>
      <c r="AT33" s="955">
        <v>0</v>
      </c>
      <c r="AU33" s="956">
        <f t="shared" si="43"/>
        <v>0</v>
      </c>
      <c r="AV33" s="958">
        <f>SUM(AR33:AU33)</f>
        <v>0</v>
      </c>
      <c r="AW33" s="412"/>
      <c r="AX33" s="954">
        <v>0</v>
      </c>
      <c r="AY33" s="955">
        <v>0</v>
      </c>
      <c r="AZ33" s="955">
        <v>0</v>
      </c>
      <c r="BA33" s="956">
        <f t="shared" si="45"/>
        <v>-250</v>
      </c>
      <c r="BB33" s="958">
        <f>SUM(AX33:BA33)</f>
        <v>-250</v>
      </c>
      <c r="BC33" s="412"/>
      <c r="BD33" s="954">
        <v>0</v>
      </c>
      <c r="BE33" s="955">
        <v>0</v>
      </c>
      <c r="BF33" s="955">
        <v>0</v>
      </c>
      <c r="BG33" s="956">
        <f t="shared" si="47"/>
        <v>0</v>
      </c>
      <c r="BH33" s="958">
        <f>SUM(BD33:BG33)</f>
        <v>0</v>
      </c>
      <c r="BI33" s="412"/>
      <c r="BJ33" s="954">
        <v>0</v>
      </c>
      <c r="BK33" s="955">
        <v>0</v>
      </c>
      <c r="BL33" s="955">
        <v>0</v>
      </c>
      <c r="BM33" s="956">
        <f t="shared" si="49"/>
        <v>0</v>
      </c>
      <c r="BN33" s="958">
        <f>SUM(BJ33:BM33)</f>
        <v>0</v>
      </c>
      <c r="BO33" s="412"/>
      <c r="BP33" s="954">
        <v>0</v>
      </c>
      <c r="BQ33" s="955">
        <v>0</v>
      </c>
      <c r="BR33" s="955">
        <v>0</v>
      </c>
      <c r="BS33" s="955">
        <v>0</v>
      </c>
      <c r="BT33" s="958">
        <f>SUM(BP33:BS33)</f>
        <v>0</v>
      </c>
      <c r="BU33" s="412"/>
      <c r="BV33" s="954">
        <v>0</v>
      </c>
      <c r="BW33" s="955">
        <v>0</v>
      </c>
      <c r="BX33" s="955">
        <v>0</v>
      </c>
      <c r="BY33" s="955">
        <v>0</v>
      </c>
      <c r="BZ33" s="958">
        <f>SUM(BV33:BY33)</f>
        <v>0</v>
      </c>
      <c r="CA33" s="412"/>
      <c r="CB33" s="954">
        <v>0</v>
      </c>
      <c r="CC33" s="955">
        <v>0</v>
      </c>
      <c r="CD33" s="955">
        <v>0</v>
      </c>
      <c r="CE33" s="955">
        <v>0</v>
      </c>
      <c r="CF33" s="958">
        <f>SUM(CB33:CE33)</f>
        <v>0</v>
      </c>
      <c r="CG33" s="412"/>
      <c r="CH33" s="954">
        <v>0</v>
      </c>
      <c r="CI33" s="955">
        <v>0</v>
      </c>
      <c r="CJ33" s="955">
        <v>0</v>
      </c>
      <c r="CK33" s="955">
        <v>0</v>
      </c>
      <c r="CL33" s="958">
        <f>SUM(CH33:CK33)</f>
        <v>0</v>
      </c>
      <c r="CM33" s="14"/>
      <c r="CN33" s="14"/>
    </row>
    <row r="34" spans="1:92" ht="11.25" customHeight="1" x14ac:dyDescent="0.2">
      <c r="A34" s="933" t="str">
        <f t="shared" si="35"/>
        <v>Senior notes due fiscal 2009-Variable</v>
      </c>
      <c r="B34" s="954"/>
      <c r="C34" s="955"/>
      <c r="D34" s="955"/>
      <c r="E34" s="956"/>
      <c r="F34" s="958"/>
      <c r="G34" s="412"/>
      <c r="H34" s="954"/>
      <c r="I34" s="955"/>
      <c r="J34" s="955"/>
      <c r="K34" s="956"/>
      <c r="L34" s="958">
        <f t="shared" si="36"/>
        <v>-50</v>
      </c>
      <c r="M34" s="412"/>
      <c r="N34" s="954"/>
      <c r="O34" s="955"/>
      <c r="P34" s="955"/>
      <c r="Q34" s="956"/>
      <c r="R34" s="958">
        <f t="shared" si="37"/>
        <v>-30</v>
      </c>
      <c r="S34" s="412"/>
      <c r="T34" s="954"/>
      <c r="U34" s="955"/>
      <c r="V34" s="955"/>
      <c r="W34" s="956"/>
      <c r="X34" s="958">
        <f t="shared" si="38"/>
        <v>0</v>
      </c>
      <c r="Y34" s="931"/>
      <c r="Z34" s="954"/>
      <c r="AA34" s="955"/>
      <c r="AB34" s="955"/>
      <c r="AC34" s="956"/>
      <c r="AD34" s="958">
        <f t="shared" si="39"/>
        <v>0</v>
      </c>
      <c r="AE34" s="412"/>
      <c r="AF34" s="954"/>
      <c r="AG34" s="955"/>
      <c r="AH34" s="955"/>
      <c r="AI34" s="956"/>
      <c r="AJ34" s="958">
        <f t="shared" si="40"/>
        <v>0</v>
      </c>
      <c r="AK34" s="412"/>
      <c r="AL34" s="954">
        <v>0</v>
      </c>
      <c r="AM34" s="955">
        <v>0</v>
      </c>
      <c r="AN34" s="955">
        <v>0</v>
      </c>
      <c r="AO34" s="956">
        <f t="shared" si="41"/>
        <v>0</v>
      </c>
      <c r="AP34" s="958">
        <f>SUM(AL34:AO34)</f>
        <v>0</v>
      </c>
      <c r="AQ34" s="412"/>
      <c r="AR34" s="954">
        <v>0</v>
      </c>
      <c r="AS34" s="955">
        <v>0</v>
      </c>
      <c r="AT34" s="955">
        <v>0</v>
      </c>
      <c r="AU34" s="956">
        <f t="shared" si="43"/>
        <v>0</v>
      </c>
      <c r="AV34" s="958">
        <f>SUM(AR34:AU34)</f>
        <v>0</v>
      </c>
      <c r="AW34" s="412"/>
      <c r="AX34" s="954">
        <v>0</v>
      </c>
      <c r="AY34" s="955">
        <v>0</v>
      </c>
      <c r="AZ34" s="955">
        <v>0</v>
      </c>
      <c r="BA34" s="956">
        <f t="shared" si="45"/>
        <v>0</v>
      </c>
      <c r="BB34" s="958">
        <f>SUM(AX34:BA34)</f>
        <v>0</v>
      </c>
      <c r="BC34" s="412"/>
      <c r="BD34" s="954">
        <v>0</v>
      </c>
      <c r="BE34" s="955">
        <v>0</v>
      </c>
      <c r="BF34" s="955">
        <v>0</v>
      </c>
      <c r="BG34" s="956">
        <f t="shared" si="47"/>
        <v>0</v>
      </c>
      <c r="BH34" s="958">
        <f>SUM(BD34:BG34)</f>
        <v>0</v>
      </c>
      <c r="BI34" s="412"/>
      <c r="BJ34" s="954">
        <v>0</v>
      </c>
      <c r="BK34" s="955">
        <v>0</v>
      </c>
      <c r="BL34" s="955">
        <v>0</v>
      </c>
      <c r="BM34" s="956">
        <f t="shared" si="49"/>
        <v>0</v>
      </c>
      <c r="BN34" s="958">
        <f>SUM(BJ34:BM34)</f>
        <v>0</v>
      </c>
      <c r="BO34" s="412"/>
      <c r="BP34" s="954">
        <v>0</v>
      </c>
      <c r="BQ34" s="955">
        <v>0</v>
      </c>
      <c r="BR34" s="955">
        <v>0</v>
      </c>
      <c r="BS34" s="955">
        <v>0</v>
      </c>
      <c r="BT34" s="958">
        <f>SUM(BP34:BS34)</f>
        <v>0</v>
      </c>
      <c r="BU34" s="412"/>
      <c r="BV34" s="954">
        <v>0</v>
      </c>
      <c r="BW34" s="955">
        <v>0</v>
      </c>
      <c r="BX34" s="955">
        <v>0</v>
      </c>
      <c r="BY34" s="955">
        <v>0</v>
      </c>
      <c r="BZ34" s="958">
        <f>SUM(BV34:BY34)</f>
        <v>0</v>
      </c>
      <c r="CA34" s="412"/>
      <c r="CB34" s="954">
        <v>0</v>
      </c>
      <c r="CC34" s="955">
        <v>0</v>
      </c>
      <c r="CD34" s="955">
        <v>0</v>
      </c>
      <c r="CE34" s="955">
        <v>0</v>
      </c>
      <c r="CF34" s="958">
        <f>SUM(CB34:CE34)</f>
        <v>0</v>
      </c>
      <c r="CG34" s="412"/>
      <c r="CH34" s="954">
        <v>0</v>
      </c>
      <c r="CI34" s="955">
        <v>0</v>
      </c>
      <c r="CJ34" s="955">
        <v>0</v>
      </c>
      <c r="CK34" s="955">
        <v>0</v>
      </c>
      <c r="CL34" s="958">
        <f>SUM(CH34:CK34)</f>
        <v>0</v>
      </c>
      <c r="CM34" s="14"/>
      <c r="CN34" s="14"/>
    </row>
    <row r="35" spans="1:92" ht="11.25" customHeight="1" x14ac:dyDescent="0.2">
      <c r="A35" s="933" t="str">
        <f t="shared" si="35"/>
        <v>Senior notes due fiscal 2009-Fixed</v>
      </c>
      <c r="B35" s="954"/>
      <c r="C35" s="955"/>
      <c r="D35" s="955"/>
      <c r="E35" s="956"/>
      <c r="F35" s="958"/>
      <c r="G35" s="412"/>
      <c r="H35" s="954"/>
      <c r="I35" s="955"/>
      <c r="J35" s="955"/>
      <c r="K35" s="956"/>
      <c r="L35" s="958">
        <f t="shared" si="36"/>
        <v>0</v>
      </c>
      <c r="M35" s="412"/>
      <c r="N35" s="954"/>
      <c r="O35" s="955"/>
      <c r="P35" s="955"/>
      <c r="Q35" s="956"/>
      <c r="R35" s="958">
        <f t="shared" si="37"/>
        <v>-100</v>
      </c>
      <c r="S35" s="412"/>
      <c r="T35" s="954"/>
      <c r="U35" s="955"/>
      <c r="V35" s="955"/>
      <c r="W35" s="956"/>
      <c r="X35" s="958">
        <f t="shared" si="38"/>
        <v>0</v>
      </c>
      <c r="Y35" s="931"/>
      <c r="Z35" s="954"/>
      <c r="AA35" s="955"/>
      <c r="AB35" s="955"/>
      <c r="AC35" s="956"/>
      <c r="AD35" s="958">
        <f t="shared" si="39"/>
        <v>0</v>
      </c>
      <c r="AE35" s="412"/>
      <c r="AF35" s="954"/>
      <c r="AG35" s="955"/>
      <c r="AH35" s="955"/>
      <c r="AI35" s="956"/>
      <c r="AJ35" s="958">
        <f t="shared" si="40"/>
        <v>0</v>
      </c>
      <c r="AK35" s="412"/>
      <c r="AL35" s="954">
        <v>0</v>
      </c>
      <c r="AM35" s="955">
        <v>0</v>
      </c>
      <c r="AN35" s="955">
        <v>0</v>
      </c>
      <c r="AO35" s="956">
        <f t="shared" si="41"/>
        <v>0</v>
      </c>
      <c r="AP35" s="958">
        <f>SUM(AL35:AO35)</f>
        <v>0</v>
      </c>
      <c r="AQ35" s="412"/>
      <c r="AR35" s="954">
        <v>0</v>
      </c>
      <c r="AS35" s="955">
        <v>0</v>
      </c>
      <c r="AT35" s="955">
        <v>0</v>
      </c>
      <c r="AU35" s="956">
        <f t="shared" si="43"/>
        <v>0</v>
      </c>
      <c r="AV35" s="958">
        <f>SUM(AR35:AU35)</f>
        <v>0</v>
      </c>
      <c r="AW35" s="412"/>
      <c r="AX35" s="954">
        <v>0</v>
      </c>
      <c r="AY35" s="955">
        <v>0</v>
      </c>
      <c r="AZ35" s="955">
        <v>0</v>
      </c>
      <c r="BA35" s="956">
        <f t="shared" si="45"/>
        <v>0</v>
      </c>
      <c r="BB35" s="958">
        <f>SUM(AX35:BA35)</f>
        <v>0</v>
      </c>
      <c r="BC35" s="412"/>
      <c r="BD35" s="954">
        <v>0</v>
      </c>
      <c r="BE35" s="955">
        <v>0</v>
      </c>
      <c r="BF35" s="955">
        <v>0</v>
      </c>
      <c r="BG35" s="956">
        <f t="shared" si="47"/>
        <v>0</v>
      </c>
      <c r="BH35" s="958">
        <f>SUM(BD35:BG35)</f>
        <v>0</v>
      </c>
      <c r="BI35" s="412"/>
      <c r="BJ35" s="954">
        <v>0</v>
      </c>
      <c r="BK35" s="955">
        <v>0</v>
      </c>
      <c r="BL35" s="955">
        <v>0</v>
      </c>
      <c r="BM35" s="956">
        <f t="shared" si="49"/>
        <v>0</v>
      </c>
      <c r="BN35" s="958">
        <f>SUM(BJ35:BM35)</f>
        <v>0</v>
      </c>
      <c r="BO35" s="412"/>
      <c r="BP35" s="954">
        <v>0</v>
      </c>
      <c r="BQ35" s="955">
        <v>0</v>
      </c>
      <c r="BR35" s="955">
        <v>0</v>
      </c>
      <c r="BS35" s="955">
        <v>0</v>
      </c>
      <c r="BT35" s="958">
        <f>SUM(BP35:BS35)</f>
        <v>0</v>
      </c>
      <c r="BU35" s="412"/>
      <c r="BV35" s="954">
        <v>0</v>
      </c>
      <c r="BW35" s="955">
        <v>0</v>
      </c>
      <c r="BX35" s="955">
        <v>0</v>
      </c>
      <c r="BY35" s="955">
        <v>0</v>
      </c>
      <c r="BZ35" s="958">
        <f>SUM(BV35:BY35)</f>
        <v>0</v>
      </c>
      <c r="CA35" s="412"/>
      <c r="CB35" s="954">
        <v>0</v>
      </c>
      <c r="CC35" s="955">
        <v>0</v>
      </c>
      <c r="CD35" s="955">
        <v>0</v>
      </c>
      <c r="CE35" s="955">
        <v>0</v>
      </c>
      <c r="CF35" s="958">
        <f>SUM(CB35:CE35)</f>
        <v>0</v>
      </c>
      <c r="CG35" s="412"/>
      <c r="CH35" s="954">
        <v>0</v>
      </c>
      <c r="CI35" s="955">
        <v>0</v>
      </c>
      <c r="CJ35" s="955">
        <v>0</v>
      </c>
      <c r="CK35" s="955">
        <v>0</v>
      </c>
      <c r="CL35" s="958">
        <f>SUM(CH35:CK35)</f>
        <v>0</v>
      </c>
      <c r="CM35" s="14"/>
      <c r="CN35" s="14"/>
    </row>
    <row r="36" spans="1:92" ht="11.25" customHeight="1" x14ac:dyDescent="0.2">
      <c r="A36" s="933" t="str">
        <f t="shared" si="35"/>
        <v>Other Debt</v>
      </c>
      <c r="B36" s="954"/>
      <c r="C36" s="955"/>
      <c r="D36" s="955"/>
      <c r="E36" s="956"/>
      <c r="F36" s="958"/>
      <c r="G36" s="412"/>
      <c r="H36" s="954"/>
      <c r="I36" s="955"/>
      <c r="J36" s="955"/>
      <c r="K36" s="956"/>
      <c r="L36" s="958">
        <f t="shared" si="36"/>
        <v>1.0000000000000002E-2</v>
      </c>
      <c r="M36" s="412"/>
      <c r="N36" s="954"/>
      <c r="O36" s="955"/>
      <c r="P36" s="955"/>
      <c r="Q36" s="956"/>
      <c r="R36" s="958">
        <f t="shared" si="37"/>
        <v>-3.4000000000000002E-2</v>
      </c>
      <c r="S36" s="412"/>
      <c r="T36" s="954"/>
      <c r="U36" s="955"/>
      <c r="V36" s="955"/>
      <c r="W36" s="956"/>
      <c r="X36" s="958">
        <f t="shared" si="38"/>
        <v>0</v>
      </c>
      <c r="Y36" s="931"/>
      <c r="Z36" s="954"/>
      <c r="AA36" s="955"/>
      <c r="AB36" s="955"/>
      <c r="AC36" s="956"/>
      <c r="AD36" s="958">
        <f t="shared" si="39"/>
        <v>0</v>
      </c>
      <c r="AE36" s="412"/>
      <c r="AF36" s="954"/>
      <c r="AG36" s="955"/>
      <c r="AH36" s="955"/>
      <c r="AI36" s="956"/>
      <c r="AJ36" s="958">
        <f t="shared" si="40"/>
        <v>0</v>
      </c>
      <c r="AK36" s="412"/>
      <c r="AL36" s="954">
        <v>0</v>
      </c>
      <c r="AM36" s="955">
        <v>0</v>
      </c>
      <c r="AN36" s="955">
        <v>0</v>
      </c>
      <c r="AO36" s="956">
        <v>0</v>
      </c>
      <c r="AP36" s="958">
        <f t="shared" si="42"/>
        <v>0</v>
      </c>
      <c r="AQ36" s="412"/>
      <c r="AR36" s="954">
        <v>0</v>
      </c>
      <c r="AS36" s="955">
        <v>0</v>
      </c>
      <c r="AT36" s="955">
        <v>0</v>
      </c>
      <c r="AU36" s="956">
        <f t="shared" si="43"/>
        <v>0</v>
      </c>
      <c r="AV36" s="958">
        <f t="shared" si="44"/>
        <v>0</v>
      </c>
      <c r="AW36" s="412"/>
      <c r="AX36" s="954">
        <v>0</v>
      </c>
      <c r="AY36" s="955">
        <v>0</v>
      </c>
      <c r="AZ36" s="955">
        <v>0</v>
      </c>
      <c r="BA36" s="956">
        <f t="shared" si="45"/>
        <v>0</v>
      </c>
      <c r="BB36" s="958">
        <f t="shared" si="46"/>
        <v>0</v>
      </c>
      <c r="BC36" s="412"/>
      <c r="BD36" s="954">
        <v>0</v>
      </c>
      <c r="BE36" s="955">
        <v>0</v>
      </c>
      <c r="BF36" s="955">
        <v>0</v>
      </c>
      <c r="BG36" s="956">
        <f t="shared" si="47"/>
        <v>0</v>
      </c>
      <c r="BH36" s="958">
        <f t="shared" si="48"/>
        <v>0</v>
      </c>
      <c r="BI36" s="412"/>
      <c r="BJ36" s="954">
        <v>0</v>
      </c>
      <c r="BK36" s="955">
        <v>0</v>
      </c>
      <c r="BL36" s="955">
        <v>0</v>
      </c>
      <c r="BM36" s="956">
        <f t="shared" si="49"/>
        <v>0</v>
      </c>
      <c r="BN36" s="958">
        <f>SUM(BJ36:BM36)</f>
        <v>0</v>
      </c>
      <c r="BO36" s="412"/>
      <c r="BP36" s="954">
        <v>0</v>
      </c>
      <c r="BQ36" s="955">
        <v>0</v>
      </c>
      <c r="BR36" s="955">
        <v>0</v>
      </c>
      <c r="BS36" s="955">
        <v>0</v>
      </c>
      <c r="BT36" s="958">
        <f t="shared" si="51"/>
        <v>0</v>
      </c>
      <c r="BU36" s="412"/>
      <c r="BV36" s="954">
        <v>0</v>
      </c>
      <c r="BW36" s="955">
        <v>0</v>
      </c>
      <c r="BX36" s="955">
        <v>0</v>
      </c>
      <c r="BY36" s="955">
        <v>0</v>
      </c>
      <c r="BZ36" s="958">
        <f>SUM(BV36:BY36)</f>
        <v>0</v>
      </c>
      <c r="CA36" s="412"/>
      <c r="CB36" s="954">
        <v>0</v>
      </c>
      <c r="CC36" s="955">
        <v>0</v>
      </c>
      <c r="CD36" s="955">
        <v>0</v>
      </c>
      <c r="CE36" s="955">
        <v>0</v>
      </c>
      <c r="CF36" s="958">
        <f>SUM(CB36:CE36)</f>
        <v>0</v>
      </c>
      <c r="CG36" s="412"/>
      <c r="CH36" s="954">
        <v>0</v>
      </c>
      <c r="CI36" s="955">
        <v>0</v>
      </c>
      <c r="CJ36" s="955">
        <v>0</v>
      </c>
      <c r="CK36" s="955">
        <v>0</v>
      </c>
      <c r="CL36" s="958">
        <f>SUM(CH36:CK36)</f>
        <v>0</v>
      </c>
      <c r="CM36" s="14"/>
      <c r="CN36" s="14"/>
    </row>
    <row r="37" spans="1:92" ht="11.25" customHeight="1" x14ac:dyDescent="0.2">
      <c r="A37" s="950" t="s">
        <v>350</v>
      </c>
      <c r="B37" s="942"/>
      <c r="C37" s="943"/>
      <c r="D37" s="943"/>
      <c r="E37" s="943"/>
      <c r="F37" s="948"/>
      <c r="G37" s="26"/>
      <c r="H37" s="942"/>
      <c r="I37" s="943"/>
      <c r="J37" s="943"/>
      <c r="K37" s="943"/>
      <c r="L37" s="948">
        <f>SUM(L25:L36)</f>
        <v>475.01</v>
      </c>
      <c r="M37" s="26"/>
      <c r="N37" s="942"/>
      <c r="O37" s="943"/>
      <c r="P37" s="943"/>
      <c r="Q37" s="943"/>
      <c r="R37" s="948">
        <f>SUM(R25:R36)</f>
        <v>-130.03399999999999</v>
      </c>
      <c r="S37" s="26"/>
      <c r="T37" s="942"/>
      <c r="U37" s="943"/>
      <c r="V37" s="943"/>
      <c r="W37" s="943"/>
      <c r="X37" s="948">
        <f>SUM(X25:Y36)</f>
        <v>0</v>
      </c>
      <c r="Y37" s="26"/>
      <c r="Z37" s="942"/>
      <c r="AA37" s="943"/>
      <c r="AB37" s="943"/>
      <c r="AC37" s="943"/>
      <c r="AD37" s="948">
        <f>SUM(AD25:AD36)</f>
        <v>0</v>
      </c>
      <c r="AE37" s="26"/>
      <c r="AF37" s="942"/>
      <c r="AG37" s="943"/>
      <c r="AH37" s="943"/>
      <c r="AI37" s="943"/>
      <c r="AJ37" s="948">
        <f>SUM(AJ25:AJ36)</f>
        <v>325</v>
      </c>
      <c r="AK37" s="26"/>
      <c r="AL37" s="942">
        <f>SUM(AL25:AL36)</f>
        <v>0</v>
      </c>
      <c r="AM37" s="943">
        <f>SUM(AM25:AM36)</f>
        <v>-75</v>
      </c>
      <c r="AN37" s="943">
        <f>SUM(AN25:AN36)</f>
        <v>0</v>
      </c>
      <c r="AO37" s="943">
        <f>SUM(AO25:AO36)</f>
        <v>-50</v>
      </c>
      <c r="AP37" s="948">
        <f>SUM(AP25:AP36)</f>
        <v>-125</v>
      </c>
      <c r="AQ37" s="26"/>
      <c r="AR37" s="942">
        <f t="shared" ref="AR37:BL37" si="55">SUM(AR25:AR36)</f>
        <v>0</v>
      </c>
      <c r="AS37" s="943">
        <f t="shared" si="55"/>
        <v>0</v>
      </c>
      <c r="AT37" s="943">
        <f t="shared" si="55"/>
        <v>0</v>
      </c>
      <c r="AU37" s="943">
        <f t="shared" si="55"/>
        <v>0</v>
      </c>
      <c r="AV37" s="948">
        <f t="shared" si="55"/>
        <v>0</v>
      </c>
      <c r="AW37" s="26"/>
      <c r="AX37" s="942">
        <f t="shared" si="55"/>
        <v>0</v>
      </c>
      <c r="AY37" s="943">
        <f t="shared" si="55"/>
        <v>0</v>
      </c>
      <c r="AZ37" s="943">
        <f t="shared" si="55"/>
        <v>0</v>
      </c>
      <c r="BA37" s="943">
        <f t="shared" si="55"/>
        <v>0</v>
      </c>
      <c r="BB37" s="948">
        <f t="shared" si="55"/>
        <v>0</v>
      </c>
      <c r="BC37" s="26"/>
      <c r="BD37" s="942">
        <f t="shared" si="55"/>
        <v>1000</v>
      </c>
      <c r="BE37" s="943">
        <f t="shared" si="55"/>
        <v>-674.125</v>
      </c>
      <c r="BF37" s="943">
        <f t="shared" si="55"/>
        <v>-4.125</v>
      </c>
      <c r="BG37" s="943">
        <f t="shared" si="55"/>
        <v>-4.125</v>
      </c>
      <c r="BH37" s="948">
        <f t="shared" si="55"/>
        <v>317.625</v>
      </c>
      <c r="BI37" s="26"/>
      <c r="BJ37" s="942">
        <f t="shared" si="55"/>
        <v>-4.0999999999999996</v>
      </c>
      <c r="BK37" s="943">
        <f t="shared" si="55"/>
        <v>-4.0999999999999996</v>
      </c>
      <c r="BL37" s="943">
        <f t="shared" si="55"/>
        <v>0</v>
      </c>
      <c r="BM37" s="943">
        <f>SUM(BM25:BM36)</f>
        <v>-18.037999999999954</v>
      </c>
      <c r="BN37" s="948">
        <f>SUM(BN25:BN36)</f>
        <v>-26.237999999999953</v>
      </c>
      <c r="BO37" s="26"/>
      <c r="BP37" s="942">
        <f t="shared" ref="BP37:CF37" si="56">SUM(BP25:BP36)</f>
        <v>0</v>
      </c>
      <c r="BQ37" s="943">
        <f t="shared" si="56"/>
        <v>0</v>
      </c>
      <c r="BR37" s="943">
        <f t="shared" si="56"/>
        <v>0</v>
      </c>
      <c r="BS37" s="943">
        <f t="shared" si="56"/>
        <v>0</v>
      </c>
      <c r="BT37" s="948">
        <f t="shared" si="56"/>
        <v>0</v>
      </c>
      <c r="BU37" s="26"/>
      <c r="BV37" s="942">
        <f t="shared" si="56"/>
        <v>0</v>
      </c>
      <c r="BW37" s="943">
        <f t="shared" si="56"/>
        <v>0</v>
      </c>
      <c r="BX37" s="943">
        <f t="shared" si="56"/>
        <v>0</v>
      </c>
      <c r="BY37" s="943">
        <f t="shared" si="56"/>
        <v>0</v>
      </c>
      <c r="BZ37" s="948">
        <f t="shared" si="56"/>
        <v>0</v>
      </c>
      <c r="CA37" s="26"/>
      <c r="CB37" s="942">
        <f t="shared" si="56"/>
        <v>0</v>
      </c>
      <c r="CC37" s="943">
        <f t="shared" si="56"/>
        <v>0</v>
      </c>
      <c r="CD37" s="943">
        <f t="shared" si="56"/>
        <v>0</v>
      </c>
      <c r="CE37" s="943">
        <f t="shared" si="56"/>
        <v>0</v>
      </c>
      <c r="CF37" s="948">
        <f t="shared" si="56"/>
        <v>0</v>
      </c>
      <c r="CG37" s="26"/>
      <c r="CH37" s="942">
        <f t="shared" ref="CH37:CL37" si="57">SUM(CH25:CH36)</f>
        <v>0</v>
      </c>
      <c r="CI37" s="943">
        <f t="shared" si="57"/>
        <v>0</v>
      </c>
      <c r="CJ37" s="943">
        <f t="shared" si="57"/>
        <v>0</v>
      </c>
      <c r="CK37" s="943">
        <f t="shared" si="57"/>
        <v>0</v>
      </c>
      <c r="CL37" s="948">
        <f t="shared" si="57"/>
        <v>0</v>
      </c>
      <c r="CM37" s="14"/>
      <c r="CN37" s="14"/>
    </row>
    <row r="38" spans="1:92" ht="11.25" customHeight="1" x14ac:dyDescent="0.2">
      <c r="A38" s="39"/>
      <c r="B38" s="159"/>
      <c r="C38" s="159"/>
      <c r="D38" s="159"/>
      <c r="E38" s="159"/>
      <c r="F38" s="56"/>
      <c r="G38" s="412"/>
      <c r="H38" s="159"/>
      <c r="I38" s="159"/>
      <c r="J38" s="159"/>
      <c r="K38" s="159"/>
      <c r="L38" s="56"/>
      <c r="M38" s="412"/>
      <c r="N38" s="159"/>
      <c r="O38" s="159"/>
      <c r="P38" s="159"/>
      <c r="Q38" s="159"/>
      <c r="R38" s="56"/>
      <c r="S38" s="412"/>
      <c r="T38" s="159"/>
      <c r="U38" s="159"/>
      <c r="V38" s="56"/>
      <c r="W38" s="56"/>
      <c r="X38" s="56"/>
      <c r="Y38" s="157"/>
      <c r="Z38" s="56"/>
      <c r="AA38" s="56"/>
      <c r="AB38" s="56"/>
      <c r="AC38" s="56"/>
      <c r="AD38" s="56"/>
      <c r="AE38" s="157"/>
      <c r="AF38" s="56"/>
      <c r="AG38" s="56"/>
      <c r="AH38" s="56"/>
      <c r="AI38" s="56"/>
      <c r="AJ38" s="56"/>
      <c r="AK38" s="157"/>
      <c r="AL38" s="56"/>
      <c r="AM38" s="56"/>
      <c r="AN38" s="56"/>
      <c r="AO38" s="56"/>
      <c r="AP38" s="56"/>
      <c r="AQ38" s="157"/>
      <c r="AR38" s="56"/>
      <c r="AS38" s="56"/>
      <c r="AT38" s="56"/>
      <c r="AU38" s="56"/>
      <c r="AV38" s="56"/>
      <c r="AW38" s="157"/>
      <c r="AX38" s="56"/>
      <c r="AY38" s="56"/>
      <c r="AZ38" s="56"/>
      <c r="BA38" s="56"/>
      <c r="BB38" s="56"/>
      <c r="BC38" s="157"/>
      <c r="BD38" s="56"/>
      <c r="BE38" s="56"/>
      <c r="BF38" s="56"/>
      <c r="BG38" s="56"/>
      <c r="BH38" s="56"/>
      <c r="BI38" s="157"/>
      <c r="BJ38" s="56"/>
      <c r="BK38" s="56"/>
      <c r="BL38" s="56"/>
      <c r="BM38" s="56"/>
      <c r="BN38" s="56"/>
      <c r="BO38" s="157"/>
      <c r="BP38" s="56"/>
      <c r="BQ38" s="56"/>
      <c r="BR38" s="56"/>
      <c r="BS38" s="56"/>
      <c r="BT38" s="56"/>
      <c r="BU38" s="157"/>
      <c r="BV38" s="56"/>
      <c r="BW38" s="56"/>
      <c r="BX38" s="56"/>
      <c r="BY38" s="56"/>
      <c r="BZ38" s="56"/>
      <c r="CA38" s="157"/>
      <c r="CB38" s="56"/>
      <c r="CC38" s="56"/>
      <c r="CD38" s="56"/>
      <c r="CE38" s="56"/>
      <c r="CF38" s="56"/>
      <c r="CG38" s="157"/>
      <c r="CH38" s="56"/>
      <c r="CI38" s="56"/>
      <c r="CJ38" s="56"/>
      <c r="CK38" s="56"/>
      <c r="CL38" s="56"/>
      <c r="CM38" s="14"/>
      <c r="CN38" s="14"/>
    </row>
    <row r="39" spans="1:92" ht="11.25" customHeight="1" x14ac:dyDescent="0.2">
      <c r="A39" s="1033" t="s">
        <v>219</v>
      </c>
      <c r="B39" s="1034"/>
      <c r="C39" s="1034"/>
      <c r="D39" s="1034"/>
      <c r="E39" s="1034"/>
      <c r="F39" s="1034"/>
      <c r="G39" s="1033"/>
      <c r="H39" s="1034"/>
      <c r="I39" s="1034"/>
      <c r="J39" s="1034"/>
      <c r="K39" s="1034"/>
      <c r="L39" s="1034"/>
      <c r="M39" s="1033"/>
      <c r="N39" s="1034"/>
      <c r="O39" s="1034"/>
      <c r="P39" s="1034"/>
      <c r="Q39" s="1034"/>
      <c r="R39" s="1034"/>
      <c r="S39" s="1033"/>
      <c r="T39" s="1034"/>
      <c r="U39" s="1034"/>
      <c r="V39" s="1034"/>
      <c r="W39" s="1034"/>
      <c r="X39" s="1034"/>
      <c r="Y39" s="1033"/>
      <c r="Z39" s="1034"/>
      <c r="AA39" s="1034"/>
      <c r="AB39" s="1034"/>
      <c r="AC39" s="1034"/>
      <c r="AD39" s="1034"/>
      <c r="AE39" s="1033"/>
      <c r="AF39" s="1034"/>
      <c r="AG39" s="1034"/>
      <c r="AH39" s="1034"/>
      <c r="AI39" s="1034"/>
      <c r="AJ39" s="1034"/>
      <c r="AK39" s="1033"/>
      <c r="AL39" s="1034"/>
      <c r="AM39" s="1034"/>
      <c r="AN39" s="1034"/>
      <c r="AO39" s="1034"/>
      <c r="AP39" s="1034"/>
      <c r="AQ39" s="1033"/>
      <c r="AR39" s="1034"/>
      <c r="AS39" s="1034"/>
      <c r="AT39" s="1034"/>
      <c r="AU39" s="1034"/>
      <c r="AV39" s="1034"/>
      <c r="AW39" s="1033"/>
      <c r="AX39" s="1034"/>
      <c r="AY39" s="1034"/>
      <c r="AZ39" s="1034"/>
      <c r="BA39" s="1034"/>
      <c r="BB39" s="1034"/>
      <c r="BC39" s="1033"/>
      <c r="BD39" s="1034"/>
      <c r="BE39" s="1034"/>
      <c r="BF39" s="1034"/>
      <c r="BG39" s="1034"/>
      <c r="BH39" s="1034"/>
      <c r="BI39" s="1033"/>
      <c r="BJ39" s="1034"/>
      <c r="BK39" s="1034"/>
      <c r="BL39" s="1034"/>
      <c r="BM39" s="1034"/>
      <c r="BN39" s="1034"/>
      <c r="BO39" s="1033"/>
      <c r="BP39" s="1034"/>
      <c r="BQ39" s="1034"/>
      <c r="BR39" s="1034"/>
      <c r="BS39" s="1034"/>
      <c r="BT39" s="1034"/>
      <c r="BU39" s="1033"/>
      <c r="BV39" s="1034"/>
      <c r="BW39" s="1034"/>
      <c r="BX39" s="1034"/>
      <c r="BY39" s="1034"/>
      <c r="BZ39" s="1034"/>
      <c r="CA39" s="1033"/>
      <c r="CB39" s="1034"/>
      <c r="CC39" s="1034"/>
      <c r="CD39" s="1034"/>
      <c r="CE39" s="1034"/>
      <c r="CF39" s="1034"/>
      <c r="CG39" s="1033"/>
      <c r="CH39" s="1034"/>
      <c r="CI39" s="1034"/>
      <c r="CJ39" s="1034"/>
      <c r="CK39" s="1034"/>
      <c r="CL39" s="1034"/>
      <c r="CM39" s="14"/>
      <c r="CN39" s="14"/>
    </row>
    <row r="40" spans="1:92" ht="11.25" customHeight="1" x14ac:dyDescent="0.2">
      <c r="A40" s="968" t="str">
        <f t="shared" ref="A40:A50" si="58">+A25</f>
        <v xml:space="preserve">Senior notes due fiscal 2018 </v>
      </c>
      <c r="B40" s="960"/>
      <c r="C40" s="960"/>
      <c r="D40" s="960"/>
      <c r="E40" s="960"/>
      <c r="F40" s="962">
        <v>5.7500000000000002E-2</v>
      </c>
      <c r="G40" s="164"/>
      <c r="H40" s="976"/>
      <c r="I40" s="960"/>
      <c r="J40" s="960"/>
      <c r="K40" s="960"/>
      <c r="L40" s="962">
        <v>5.7500000000000002E-2</v>
      </c>
      <c r="M40" s="160"/>
      <c r="N40" s="976"/>
      <c r="O40" s="960"/>
      <c r="P40" s="960"/>
      <c r="Q40" s="960"/>
      <c r="R40" s="980">
        <v>5.7500000000000002E-2</v>
      </c>
      <c r="S40" s="164"/>
      <c r="T40" s="976"/>
      <c r="U40" s="960"/>
      <c r="V40" s="960"/>
      <c r="W40" s="960"/>
      <c r="X40" s="980">
        <v>5.7500000000000002E-2</v>
      </c>
      <c r="Y40" s="164"/>
      <c r="Z40" s="976"/>
      <c r="AA40" s="960"/>
      <c r="AB40" s="960"/>
      <c r="AC40" s="960"/>
      <c r="AD40" s="980">
        <v>5.7500000000000002E-2</v>
      </c>
      <c r="AE40" s="164"/>
      <c r="AF40" s="976"/>
      <c r="AG40" s="960"/>
      <c r="AH40" s="960"/>
      <c r="AI40" s="960"/>
      <c r="AJ40" s="980">
        <v>5.7500000000000002E-2</v>
      </c>
      <c r="AK40" s="164"/>
      <c r="AL40" s="983">
        <f t="shared" ref="AL40:AL45" si="59">AP40</f>
        <v>5.7500000000000002E-2</v>
      </c>
      <c r="AM40" s="984">
        <f t="shared" ref="AM40:AM46" si="60">AP40</f>
        <v>5.7500000000000002E-2</v>
      </c>
      <c r="AN40" s="984">
        <f t="shared" ref="AN40:AN46" si="61">AP40</f>
        <v>5.7500000000000002E-2</v>
      </c>
      <c r="AO40" s="984">
        <f t="shared" ref="AO40:AO46" si="62">AP40</f>
        <v>5.7500000000000002E-2</v>
      </c>
      <c r="AP40" s="980">
        <v>5.7500000000000002E-2</v>
      </c>
      <c r="AQ40" s="164"/>
      <c r="AR40" s="983">
        <f t="shared" ref="AR40:AR45" si="63">AV40</f>
        <v>5.7500000000000002E-2</v>
      </c>
      <c r="AS40" s="984">
        <f t="shared" ref="AS40:AS46" si="64">AV40</f>
        <v>5.7500000000000002E-2</v>
      </c>
      <c r="AT40" s="984">
        <f t="shared" ref="AT40:AT46" si="65">AV40</f>
        <v>5.7500000000000002E-2</v>
      </c>
      <c r="AU40" s="984">
        <f t="shared" ref="AU40:AU46" si="66">AV40</f>
        <v>5.7500000000000002E-2</v>
      </c>
      <c r="AV40" s="962">
        <v>5.7500000000000002E-2</v>
      </c>
      <c r="AW40" s="164"/>
      <c r="AX40" s="983">
        <f t="shared" ref="AX40:AX45" si="67">BB40</f>
        <v>5.7500000000000002E-2</v>
      </c>
      <c r="AY40" s="984">
        <f t="shared" ref="AY40:AY46" si="68">BB40</f>
        <v>5.7500000000000002E-2</v>
      </c>
      <c r="AZ40" s="984">
        <f t="shared" ref="AZ40:AZ46" si="69">BB40</f>
        <v>5.7500000000000002E-2</v>
      </c>
      <c r="BA40" s="984">
        <f t="shared" ref="BA40:BA46" si="70">BB40</f>
        <v>5.7500000000000002E-2</v>
      </c>
      <c r="BB40" s="962">
        <v>5.7500000000000002E-2</v>
      </c>
      <c r="BC40" s="164"/>
      <c r="BD40" s="983">
        <f t="shared" ref="BD40:BD45" si="71">BH40</f>
        <v>5.7500000000000002E-2</v>
      </c>
      <c r="BE40" s="984">
        <f t="shared" ref="BE40:BE46" si="72">BH40</f>
        <v>5.7500000000000002E-2</v>
      </c>
      <c r="BF40" s="984">
        <f t="shared" ref="BF40:BF46" si="73">BH40</f>
        <v>5.7500000000000002E-2</v>
      </c>
      <c r="BG40" s="984">
        <f t="shared" ref="BG40:BG46" si="74">BH40</f>
        <v>5.7500000000000002E-2</v>
      </c>
      <c r="BH40" s="962">
        <v>5.7500000000000002E-2</v>
      </c>
      <c r="BI40" s="164"/>
      <c r="BJ40" s="983">
        <f t="shared" ref="BJ40:BJ45" si="75">BN40</f>
        <v>5.7500000000000002E-2</v>
      </c>
      <c r="BK40" s="984">
        <f t="shared" ref="BK40:BK46" si="76">BN40</f>
        <v>5.7500000000000002E-2</v>
      </c>
      <c r="BL40" s="984">
        <f t="shared" ref="BL40:BL46" si="77">BN40</f>
        <v>5.7500000000000002E-2</v>
      </c>
      <c r="BM40" s="984">
        <f t="shared" ref="BM40:BM46" si="78">BN40</f>
        <v>5.7500000000000002E-2</v>
      </c>
      <c r="BN40" s="987">
        <f t="shared" ref="BN40:BN46" si="79">BH40</f>
        <v>5.7500000000000002E-2</v>
      </c>
      <c r="BO40" s="164"/>
      <c r="BP40" s="983">
        <f t="shared" ref="BP40:BP45" si="80">BT40</f>
        <v>5.7500000000000002E-2</v>
      </c>
      <c r="BQ40" s="984">
        <f t="shared" ref="BQ40:BQ46" si="81">BT40</f>
        <v>5.7500000000000002E-2</v>
      </c>
      <c r="BR40" s="984">
        <f t="shared" ref="BR40:BR46" si="82">BT40</f>
        <v>5.7500000000000002E-2</v>
      </c>
      <c r="BS40" s="984">
        <f t="shared" ref="BS40:BS46" si="83">BT40</f>
        <v>5.7500000000000002E-2</v>
      </c>
      <c r="BT40" s="987">
        <f t="shared" ref="BT40:BT45" si="84">BN40</f>
        <v>5.7500000000000002E-2</v>
      </c>
      <c r="BU40" s="164"/>
      <c r="BV40" s="983">
        <f t="shared" ref="BV40:BV45" si="85">BZ40</f>
        <v>5.7500000000000002E-2</v>
      </c>
      <c r="BW40" s="984">
        <f t="shared" ref="BW40:BW46" si="86">BZ40</f>
        <v>5.7500000000000002E-2</v>
      </c>
      <c r="BX40" s="984">
        <f t="shared" ref="BX40:BX46" si="87">BZ40</f>
        <v>5.7500000000000002E-2</v>
      </c>
      <c r="BY40" s="984">
        <f t="shared" ref="BY40:BY46" si="88">BZ40</f>
        <v>5.7500000000000002E-2</v>
      </c>
      <c r="BZ40" s="987">
        <f t="shared" ref="BZ40:BZ46" si="89">BT40</f>
        <v>5.7500000000000002E-2</v>
      </c>
      <c r="CA40" s="164"/>
      <c r="CB40" s="983">
        <f t="shared" ref="CB40:CB45" si="90">CF40</f>
        <v>5.7500000000000002E-2</v>
      </c>
      <c r="CC40" s="984">
        <f t="shared" ref="CC40:CC46" si="91">CF40</f>
        <v>5.7500000000000002E-2</v>
      </c>
      <c r="CD40" s="984">
        <f t="shared" ref="CD40:CD46" si="92">CF40</f>
        <v>5.7500000000000002E-2</v>
      </c>
      <c r="CE40" s="984">
        <f t="shared" ref="CE40:CE46" si="93">CF40</f>
        <v>5.7500000000000002E-2</v>
      </c>
      <c r="CF40" s="987">
        <f t="shared" ref="CF40:CF46" si="94">BZ40</f>
        <v>5.7500000000000002E-2</v>
      </c>
      <c r="CG40" s="164"/>
      <c r="CH40" s="983">
        <f t="shared" ref="CH40:CH45" si="95">CL40</f>
        <v>5.7500000000000002E-2</v>
      </c>
      <c r="CI40" s="984">
        <f t="shared" ref="CI40:CI46" si="96">CL40</f>
        <v>5.7500000000000002E-2</v>
      </c>
      <c r="CJ40" s="984">
        <f t="shared" ref="CJ40:CJ46" si="97">CL40</f>
        <v>5.7500000000000002E-2</v>
      </c>
      <c r="CK40" s="984">
        <f t="shared" ref="CK40:CK46" si="98">CL40</f>
        <v>5.7500000000000002E-2</v>
      </c>
      <c r="CL40" s="987">
        <f t="shared" ref="CL40:CL46" si="99">CF40</f>
        <v>5.7500000000000002E-2</v>
      </c>
      <c r="CM40" s="14"/>
      <c r="CN40" s="14"/>
    </row>
    <row r="41" spans="1:92" ht="11.25" customHeight="1" x14ac:dyDescent="0.2">
      <c r="A41" s="969" t="str">
        <f t="shared" si="58"/>
        <v>Senior notes due fiscal 2019</v>
      </c>
      <c r="B41" s="160"/>
      <c r="C41" s="160"/>
      <c r="D41" s="160"/>
      <c r="E41" s="160"/>
      <c r="F41" s="963">
        <v>0</v>
      </c>
      <c r="G41" s="164"/>
      <c r="H41" s="977"/>
      <c r="I41" s="160"/>
      <c r="J41" s="160"/>
      <c r="K41" s="160"/>
      <c r="L41" s="963">
        <v>0</v>
      </c>
      <c r="M41" s="160"/>
      <c r="N41" s="977"/>
      <c r="O41" s="160"/>
      <c r="P41" s="160"/>
      <c r="Q41" s="160"/>
      <c r="R41" s="981">
        <v>0</v>
      </c>
      <c r="S41" s="164"/>
      <c r="T41" s="977"/>
      <c r="U41" s="160"/>
      <c r="V41" s="160"/>
      <c r="W41" s="160"/>
      <c r="X41" s="981">
        <v>0</v>
      </c>
      <c r="Y41" s="164"/>
      <c r="Z41" s="977"/>
      <c r="AA41" s="160"/>
      <c r="AB41" s="160"/>
      <c r="AC41" s="160"/>
      <c r="AD41" s="981">
        <v>0</v>
      </c>
      <c r="AE41" s="164"/>
      <c r="AF41" s="977"/>
      <c r="AG41" s="160"/>
      <c r="AH41" s="160"/>
      <c r="AI41" s="160"/>
      <c r="AJ41" s="981">
        <v>2.9499999999999998E-2</v>
      </c>
      <c r="AK41" s="164"/>
      <c r="AL41" s="985">
        <f t="shared" si="59"/>
        <v>2.9499999999999998E-2</v>
      </c>
      <c r="AM41" s="164">
        <f t="shared" si="60"/>
        <v>2.9499999999999998E-2</v>
      </c>
      <c r="AN41" s="164">
        <f t="shared" si="61"/>
        <v>2.9499999999999998E-2</v>
      </c>
      <c r="AO41" s="164">
        <f t="shared" si="62"/>
        <v>2.9499999999999998E-2</v>
      </c>
      <c r="AP41" s="963">
        <v>2.9499999999999998E-2</v>
      </c>
      <c r="AQ41" s="164"/>
      <c r="AR41" s="985">
        <f t="shared" si="63"/>
        <v>2.9499999999999998E-2</v>
      </c>
      <c r="AS41" s="164">
        <f t="shared" si="64"/>
        <v>2.9499999999999998E-2</v>
      </c>
      <c r="AT41" s="164">
        <f t="shared" si="65"/>
        <v>2.9499999999999998E-2</v>
      </c>
      <c r="AU41" s="164">
        <f t="shared" si="66"/>
        <v>2.9499999999999998E-2</v>
      </c>
      <c r="AV41" s="963">
        <v>2.9499999999999998E-2</v>
      </c>
      <c r="AW41" s="164"/>
      <c r="AX41" s="985">
        <f t="shared" si="67"/>
        <v>2.9499999999999998E-2</v>
      </c>
      <c r="AY41" s="164">
        <f t="shared" si="68"/>
        <v>2.9499999999999998E-2</v>
      </c>
      <c r="AZ41" s="164">
        <f t="shared" si="69"/>
        <v>2.9499999999999998E-2</v>
      </c>
      <c r="BA41" s="164">
        <f t="shared" si="70"/>
        <v>2.9499999999999998E-2</v>
      </c>
      <c r="BB41" s="963">
        <v>2.9499999999999998E-2</v>
      </c>
      <c r="BC41" s="164"/>
      <c r="BD41" s="985">
        <f t="shared" si="71"/>
        <v>2.9499999999999998E-2</v>
      </c>
      <c r="BE41" s="164">
        <f t="shared" si="72"/>
        <v>2.9499999999999998E-2</v>
      </c>
      <c r="BF41" s="164">
        <f t="shared" si="73"/>
        <v>2.9499999999999998E-2</v>
      </c>
      <c r="BG41" s="164">
        <f t="shared" si="74"/>
        <v>2.9499999999999998E-2</v>
      </c>
      <c r="BH41" s="963">
        <v>2.9499999999999998E-2</v>
      </c>
      <c r="BI41" s="164"/>
      <c r="BJ41" s="985">
        <f t="shared" si="75"/>
        <v>2.9499999999999998E-2</v>
      </c>
      <c r="BK41" s="164">
        <f t="shared" si="76"/>
        <v>2.9499999999999998E-2</v>
      </c>
      <c r="BL41" s="164">
        <f t="shared" si="77"/>
        <v>2.9499999999999998E-2</v>
      </c>
      <c r="BM41" s="164">
        <f t="shared" si="78"/>
        <v>2.9499999999999998E-2</v>
      </c>
      <c r="BN41" s="988">
        <f t="shared" si="79"/>
        <v>2.9499999999999998E-2</v>
      </c>
      <c r="BO41" s="164"/>
      <c r="BP41" s="985">
        <f t="shared" si="80"/>
        <v>2.9499999999999998E-2</v>
      </c>
      <c r="BQ41" s="164">
        <f t="shared" si="81"/>
        <v>2.9499999999999998E-2</v>
      </c>
      <c r="BR41" s="164">
        <f t="shared" si="82"/>
        <v>2.9499999999999998E-2</v>
      </c>
      <c r="BS41" s="164">
        <f t="shared" si="83"/>
        <v>2.9499999999999998E-2</v>
      </c>
      <c r="BT41" s="988">
        <f t="shared" si="84"/>
        <v>2.9499999999999998E-2</v>
      </c>
      <c r="BU41" s="164"/>
      <c r="BV41" s="985">
        <f t="shared" si="85"/>
        <v>2.9499999999999998E-2</v>
      </c>
      <c r="BW41" s="164">
        <f t="shared" si="86"/>
        <v>2.9499999999999998E-2</v>
      </c>
      <c r="BX41" s="164">
        <f t="shared" si="87"/>
        <v>2.9499999999999998E-2</v>
      </c>
      <c r="BY41" s="164">
        <f t="shared" si="88"/>
        <v>2.9499999999999998E-2</v>
      </c>
      <c r="BZ41" s="988">
        <f t="shared" si="89"/>
        <v>2.9499999999999998E-2</v>
      </c>
      <c r="CA41" s="164"/>
      <c r="CB41" s="985">
        <f t="shared" si="90"/>
        <v>2.9499999999999998E-2</v>
      </c>
      <c r="CC41" s="164">
        <f t="shared" si="91"/>
        <v>2.9499999999999998E-2</v>
      </c>
      <c r="CD41" s="164">
        <f t="shared" si="92"/>
        <v>2.9499999999999998E-2</v>
      </c>
      <c r="CE41" s="164">
        <f t="shared" si="93"/>
        <v>2.9499999999999998E-2</v>
      </c>
      <c r="CF41" s="988">
        <f t="shared" si="94"/>
        <v>2.9499999999999998E-2</v>
      </c>
      <c r="CG41" s="164"/>
      <c r="CH41" s="985">
        <f t="shared" si="95"/>
        <v>2.9499999999999998E-2</v>
      </c>
      <c r="CI41" s="164">
        <f t="shared" si="96"/>
        <v>2.9499999999999998E-2</v>
      </c>
      <c r="CJ41" s="164">
        <f t="shared" si="97"/>
        <v>2.9499999999999998E-2</v>
      </c>
      <c r="CK41" s="164">
        <f t="shared" si="98"/>
        <v>2.9499999999999998E-2</v>
      </c>
      <c r="CL41" s="988">
        <f t="shared" si="99"/>
        <v>2.9499999999999998E-2</v>
      </c>
      <c r="CM41" s="14"/>
      <c r="CN41" s="14"/>
    </row>
    <row r="42" spans="1:92" ht="11.25" customHeight="1" x14ac:dyDescent="0.2">
      <c r="A42" s="969" t="str">
        <f t="shared" si="58"/>
        <v>Senior notes due fiscal 2022</v>
      </c>
      <c r="B42" s="160"/>
      <c r="C42" s="160"/>
      <c r="D42" s="160"/>
      <c r="E42" s="160"/>
      <c r="F42" s="963">
        <v>0</v>
      </c>
      <c r="G42" s="164"/>
      <c r="H42" s="977"/>
      <c r="I42" s="160"/>
      <c r="J42" s="160"/>
      <c r="K42" s="160"/>
      <c r="L42" s="963">
        <v>0</v>
      </c>
      <c r="M42" s="160"/>
      <c r="N42" s="977"/>
      <c r="O42" s="160"/>
      <c r="P42" s="160"/>
      <c r="Q42" s="982"/>
      <c r="R42" s="981">
        <v>0</v>
      </c>
      <c r="S42" s="164"/>
      <c r="T42" s="977"/>
      <c r="U42" s="160"/>
      <c r="V42" s="160"/>
      <c r="W42" s="982"/>
      <c r="X42" s="981">
        <v>0</v>
      </c>
      <c r="Y42" s="164"/>
      <c r="Z42" s="977"/>
      <c r="AA42" s="160"/>
      <c r="AB42" s="160"/>
      <c r="AC42" s="982"/>
      <c r="AD42" s="981">
        <v>0</v>
      </c>
      <c r="AE42" s="164"/>
      <c r="AF42" s="977"/>
      <c r="AG42" s="160"/>
      <c r="AH42" s="160"/>
      <c r="AI42" s="982"/>
      <c r="AJ42" s="981">
        <v>3.5900000000000001E-2</v>
      </c>
      <c r="AK42" s="164"/>
      <c r="AL42" s="985">
        <f t="shared" si="59"/>
        <v>3.5900000000000001E-2</v>
      </c>
      <c r="AM42" s="164">
        <f t="shared" si="60"/>
        <v>3.5900000000000001E-2</v>
      </c>
      <c r="AN42" s="164">
        <f t="shared" si="61"/>
        <v>3.5900000000000001E-2</v>
      </c>
      <c r="AO42" s="164">
        <f t="shared" si="62"/>
        <v>3.5900000000000001E-2</v>
      </c>
      <c r="AP42" s="963">
        <v>3.5900000000000001E-2</v>
      </c>
      <c r="AQ42" s="164"/>
      <c r="AR42" s="985">
        <f t="shared" si="63"/>
        <v>3.5900000000000001E-2</v>
      </c>
      <c r="AS42" s="164">
        <f t="shared" si="64"/>
        <v>3.5900000000000001E-2</v>
      </c>
      <c r="AT42" s="164">
        <f t="shared" si="65"/>
        <v>3.5900000000000001E-2</v>
      </c>
      <c r="AU42" s="164">
        <f t="shared" si="66"/>
        <v>3.5900000000000001E-2</v>
      </c>
      <c r="AV42" s="963">
        <v>3.5900000000000001E-2</v>
      </c>
      <c r="AW42" s="164"/>
      <c r="AX42" s="985">
        <f t="shared" si="67"/>
        <v>3.5900000000000001E-2</v>
      </c>
      <c r="AY42" s="164">
        <f t="shared" si="68"/>
        <v>3.5900000000000001E-2</v>
      </c>
      <c r="AZ42" s="164">
        <f t="shared" si="69"/>
        <v>3.5900000000000001E-2</v>
      </c>
      <c r="BA42" s="164">
        <f t="shared" si="70"/>
        <v>3.5900000000000001E-2</v>
      </c>
      <c r="BB42" s="963">
        <v>3.5900000000000001E-2</v>
      </c>
      <c r="BC42" s="164"/>
      <c r="BD42" s="985">
        <f t="shared" si="71"/>
        <v>3.5900000000000001E-2</v>
      </c>
      <c r="BE42" s="164">
        <f t="shared" si="72"/>
        <v>3.5900000000000001E-2</v>
      </c>
      <c r="BF42" s="164">
        <f t="shared" si="73"/>
        <v>3.5900000000000001E-2</v>
      </c>
      <c r="BG42" s="164">
        <f t="shared" si="74"/>
        <v>3.5900000000000001E-2</v>
      </c>
      <c r="BH42" s="963">
        <v>3.5900000000000001E-2</v>
      </c>
      <c r="BI42" s="164"/>
      <c r="BJ42" s="985">
        <f t="shared" si="75"/>
        <v>3.5900000000000001E-2</v>
      </c>
      <c r="BK42" s="164">
        <f t="shared" si="76"/>
        <v>3.5900000000000001E-2</v>
      </c>
      <c r="BL42" s="164">
        <f t="shared" si="77"/>
        <v>3.5900000000000001E-2</v>
      </c>
      <c r="BM42" s="164">
        <f t="shared" si="78"/>
        <v>3.5900000000000001E-2</v>
      </c>
      <c r="BN42" s="988">
        <f t="shared" si="79"/>
        <v>3.5900000000000001E-2</v>
      </c>
      <c r="BO42" s="164"/>
      <c r="BP42" s="985">
        <f t="shared" si="80"/>
        <v>3.5900000000000001E-2</v>
      </c>
      <c r="BQ42" s="164">
        <f t="shared" si="81"/>
        <v>3.5900000000000001E-2</v>
      </c>
      <c r="BR42" s="164">
        <f t="shared" si="82"/>
        <v>3.5900000000000001E-2</v>
      </c>
      <c r="BS42" s="164">
        <f t="shared" si="83"/>
        <v>3.5900000000000001E-2</v>
      </c>
      <c r="BT42" s="988">
        <f t="shared" si="84"/>
        <v>3.5900000000000001E-2</v>
      </c>
      <c r="BU42" s="164"/>
      <c r="BV42" s="985">
        <f t="shared" si="85"/>
        <v>3.5900000000000001E-2</v>
      </c>
      <c r="BW42" s="164">
        <f t="shared" si="86"/>
        <v>3.5900000000000001E-2</v>
      </c>
      <c r="BX42" s="164">
        <f t="shared" si="87"/>
        <v>3.5900000000000001E-2</v>
      </c>
      <c r="BY42" s="164">
        <f t="shared" si="88"/>
        <v>3.5900000000000001E-2</v>
      </c>
      <c r="BZ42" s="988">
        <f t="shared" si="89"/>
        <v>3.5900000000000001E-2</v>
      </c>
      <c r="CA42" s="164"/>
      <c r="CB42" s="985">
        <f t="shared" si="90"/>
        <v>3.5900000000000001E-2</v>
      </c>
      <c r="CC42" s="164">
        <f t="shared" si="91"/>
        <v>3.5900000000000001E-2</v>
      </c>
      <c r="CD42" s="164">
        <f t="shared" si="92"/>
        <v>3.5900000000000001E-2</v>
      </c>
      <c r="CE42" s="164">
        <f t="shared" si="93"/>
        <v>3.5900000000000001E-2</v>
      </c>
      <c r="CF42" s="988">
        <f t="shared" si="94"/>
        <v>3.5900000000000001E-2</v>
      </c>
      <c r="CG42" s="164"/>
      <c r="CH42" s="985">
        <f t="shared" si="95"/>
        <v>3.5900000000000001E-2</v>
      </c>
      <c r="CI42" s="164">
        <f t="shared" si="96"/>
        <v>3.5900000000000001E-2</v>
      </c>
      <c r="CJ42" s="164">
        <f t="shared" si="97"/>
        <v>3.5900000000000001E-2</v>
      </c>
      <c r="CK42" s="164">
        <f t="shared" si="98"/>
        <v>3.5900000000000001E-2</v>
      </c>
      <c r="CL42" s="988">
        <f t="shared" si="99"/>
        <v>3.5900000000000001E-2</v>
      </c>
      <c r="CM42" s="14"/>
      <c r="CN42" s="14"/>
    </row>
    <row r="43" spans="1:92" ht="11.25" customHeight="1" x14ac:dyDescent="0.2">
      <c r="A43" s="969" t="str">
        <f t="shared" si="58"/>
        <v>Senior notes due fiscal 2024</v>
      </c>
      <c r="B43" s="160"/>
      <c r="C43" s="160"/>
      <c r="D43" s="160"/>
      <c r="E43" s="160"/>
      <c r="F43" s="963">
        <v>0</v>
      </c>
      <c r="G43" s="164"/>
      <c r="H43" s="977"/>
      <c r="I43" s="160"/>
      <c r="J43" s="160"/>
      <c r="K43" s="160"/>
      <c r="L43" s="963">
        <v>0</v>
      </c>
      <c r="M43" s="160"/>
      <c r="N43" s="977"/>
      <c r="O43" s="160"/>
      <c r="P43" s="160"/>
      <c r="Q43" s="982"/>
      <c r="R43" s="981">
        <v>0</v>
      </c>
      <c r="S43" s="164"/>
      <c r="T43" s="977"/>
      <c r="U43" s="160"/>
      <c r="V43" s="160"/>
      <c r="W43" s="982"/>
      <c r="X43" s="981">
        <v>0</v>
      </c>
      <c r="Y43" s="164"/>
      <c r="Z43" s="977"/>
      <c r="AA43" s="160"/>
      <c r="AB43" s="160"/>
      <c r="AC43" s="982"/>
      <c r="AD43" s="981">
        <v>0</v>
      </c>
      <c r="AE43" s="164"/>
      <c r="AF43" s="977"/>
      <c r="AG43" s="160"/>
      <c r="AH43" s="160"/>
      <c r="AI43" s="982"/>
      <c r="AJ43" s="981">
        <v>3.7400000000000003E-2</v>
      </c>
      <c r="AK43" s="164"/>
      <c r="AL43" s="985">
        <f t="shared" si="59"/>
        <v>3.7400000000000003E-2</v>
      </c>
      <c r="AM43" s="164">
        <f t="shared" si="60"/>
        <v>3.7400000000000003E-2</v>
      </c>
      <c r="AN43" s="164">
        <f t="shared" si="61"/>
        <v>3.7400000000000003E-2</v>
      </c>
      <c r="AO43" s="164">
        <f t="shared" si="62"/>
        <v>3.7400000000000003E-2</v>
      </c>
      <c r="AP43" s="963">
        <v>3.7400000000000003E-2</v>
      </c>
      <c r="AQ43" s="164"/>
      <c r="AR43" s="985">
        <f t="shared" si="63"/>
        <v>3.7400000000000003E-2</v>
      </c>
      <c r="AS43" s="164">
        <f t="shared" si="64"/>
        <v>3.7400000000000003E-2</v>
      </c>
      <c r="AT43" s="164">
        <f t="shared" si="65"/>
        <v>3.7400000000000003E-2</v>
      </c>
      <c r="AU43" s="164">
        <f t="shared" si="66"/>
        <v>3.7400000000000003E-2</v>
      </c>
      <c r="AV43" s="963">
        <v>3.7400000000000003E-2</v>
      </c>
      <c r="AW43" s="164"/>
      <c r="AX43" s="985">
        <f t="shared" si="67"/>
        <v>3.7400000000000003E-2</v>
      </c>
      <c r="AY43" s="164">
        <f t="shared" si="68"/>
        <v>3.7400000000000003E-2</v>
      </c>
      <c r="AZ43" s="164">
        <f t="shared" si="69"/>
        <v>3.7400000000000003E-2</v>
      </c>
      <c r="BA43" s="164">
        <f t="shared" si="70"/>
        <v>3.7400000000000003E-2</v>
      </c>
      <c r="BB43" s="963">
        <v>3.7400000000000003E-2</v>
      </c>
      <c r="BC43" s="164"/>
      <c r="BD43" s="985">
        <f t="shared" si="71"/>
        <v>3.7400000000000003E-2</v>
      </c>
      <c r="BE43" s="164">
        <f t="shared" si="72"/>
        <v>3.7400000000000003E-2</v>
      </c>
      <c r="BF43" s="164">
        <f t="shared" si="73"/>
        <v>3.7400000000000003E-2</v>
      </c>
      <c r="BG43" s="164">
        <f t="shared" si="74"/>
        <v>3.7400000000000003E-2</v>
      </c>
      <c r="BH43" s="963">
        <v>3.7400000000000003E-2</v>
      </c>
      <c r="BI43" s="164"/>
      <c r="BJ43" s="985">
        <f t="shared" si="75"/>
        <v>3.7400000000000003E-2</v>
      </c>
      <c r="BK43" s="164">
        <f t="shared" si="76"/>
        <v>3.7400000000000003E-2</v>
      </c>
      <c r="BL43" s="164">
        <f t="shared" si="77"/>
        <v>3.7400000000000003E-2</v>
      </c>
      <c r="BM43" s="164">
        <f t="shared" si="78"/>
        <v>3.7400000000000003E-2</v>
      </c>
      <c r="BN43" s="988">
        <f t="shared" si="79"/>
        <v>3.7400000000000003E-2</v>
      </c>
      <c r="BO43" s="164"/>
      <c r="BP43" s="985">
        <f t="shared" si="80"/>
        <v>3.7400000000000003E-2</v>
      </c>
      <c r="BQ43" s="164">
        <f t="shared" si="81"/>
        <v>3.7400000000000003E-2</v>
      </c>
      <c r="BR43" s="164">
        <f t="shared" si="82"/>
        <v>3.7400000000000003E-2</v>
      </c>
      <c r="BS43" s="164">
        <f t="shared" si="83"/>
        <v>3.7400000000000003E-2</v>
      </c>
      <c r="BT43" s="988">
        <f t="shared" si="84"/>
        <v>3.7400000000000003E-2</v>
      </c>
      <c r="BU43" s="164"/>
      <c r="BV43" s="985">
        <f t="shared" si="85"/>
        <v>3.7400000000000003E-2</v>
      </c>
      <c r="BW43" s="164">
        <f t="shared" si="86"/>
        <v>3.7400000000000003E-2</v>
      </c>
      <c r="BX43" s="164">
        <f t="shared" si="87"/>
        <v>3.7400000000000003E-2</v>
      </c>
      <c r="BY43" s="164">
        <f t="shared" si="88"/>
        <v>3.7400000000000003E-2</v>
      </c>
      <c r="BZ43" s="988">
        <f t="shared" si="89"/>
        <v>3.7400000000000003E-2</v>
      </c>
      <c r="CA43" s="164"/>
      <c r="CB43" s="985">
        <f t="shared" si="90"/>
        <v>3.7400000000000003E-2</v>
      </c>
      <c r="CC43" s="164">
        <f t="shared" si="91"/>
        <v>3.7400000000000003E-2</v>
      </c>
      <c r="CD43" s="164">
        <f t="shared" si="92"/>
        <v>3.7400000000000003E-2</v>
      </c>
      <c r="CE43" s="164">
        <f t="shared" si="93"/>
        <v>3.7400000000000003E-2</v>
      </c>
      <c r="CF43" s="988">
        <f t="shared" si="94"/>
        <v>3.7400000000000003E-2</v>
      </c>
      <c r="CG43" s="164"/>
      <c r="CH43" s="985">
        <f t="shared" si="95"/>
        <v>3.7400000000000003E-2</v>
      </c>
      <c r="CI43" s="164">
        <f t="shared" si="96"/>
        <v>3.7400000000000003E-2</v>
      </c>
      <c r="CJ43" s="164">
        <f t="shared" si="97"/>
        <v>3.7400000000000003E-2</v>
      </c>
      <c r="CK43" s="164">
        <f t="shared" si="98"/>
        <v>3.7400000000000003E-2</v>
      </c>
      <c r="CL43" s="988">
        <f t="shared" si="99"/>
        <v>3.7400000000000003E-2</v>
      </c>
      <c r="CM43" s="14"/>
      <c r="CN43" s="14"/>
    </row>
    <row r="44" spans="1:92" ht="11.25" customHeight="1" x14ac:dyDescent="0.2">
      <c r="A44" s="969" t="str">
        <f t="shared" si="58"/>
        <v>Senior notes due fiscal 2025</v>
      </c>
      <c r="B44" s="160"/>
      <c r="C44" s="160"/>
      <c r="D44" s="160"/>
      <c r="E44" s="160"/>
      <c r="F44" s="963">
        <v>0</v>
      </c>
      <c r="G44" s="164"/>
      <c r="H44" s="977"/>
      <c r="I44" s="160"/>
      <c r="J44" s="160"/>
      <c r="K44" s="160"/>
      <c r="L44" s="963">
        <v>0</v>
      </c>
      <c r="M44" s="160"/>
      <c r="N44" s="977"/>
      <c r="O44" s="160"/>
      <c r="P44" s="160"/>
      <c r="Q44" s="982"/>
      <c r="R44" s="981">
        <v>0</v>
      </c>
      <c r="S44" s="164"/>
      <c r="T44" s="977"/>
      <c r="U44" s="160"/>
      <c r="V44" s="160"/>
      <c r="W44" s="982"/>
      <c r="X44" s="981">
        <v>0</v>
      </c>
      <c r="Y44" s="164"/>
      <c r="Z44" s="977"/>
      <c r="AA44" s="160"/>
      <c r="AB44" s="160"/>
      <c r="AC44" s="982"/>
      <c r="AD44" s="981">
        <v>0</v>
      </c>
      <c r="AE44" s="164"/>
      <c r="AF44" s="977"/>
      <c r="AG44" s="160"/>
      <c r="AH44" s="160"/>
      <c r="AI44" s="982"/>
      <c r="AJ44" s="981">
        <v>0</v>
      </c>
      <c r="AK44" s="164"/>
      <c r="AL44" s="985">
        <f t="shared" si="59"/>
        <v>0</v>
      </c>
      <c r="AM44" s="164">
        <f t="shared" si="60"/>
        <v>0</v>
      </c>
      <c r="AN44" s="164">
        <f t="shared" si="61"/>
        <v>0</v>
      </c>
      <c r="AO44" s="164">
        <f t="shared" si="62"/>
        <v>0</v>
      </c>
      <c r="AP44" s="963">
        <v>0</v>
      </c>
      <c r="AQ44" s="164"/>
      <c r="AR44" s="985">
        <f t="shared" si="63"/>
        <v>3.4799999999999998E-2</v>
      </c>
      <c r="AS44" s="164">
        <f t="shared" si="64"/>
        <v>3.4799999999999998E-2</v>
      </c>
      <c r="AT44" s="164">
        <f t="shared" si="65"/>
        <v>3.4799999999999998E-2</v>
      </c>
      <c r="AU44" s="164">
        <f t="shared" si="66"/>
        <v>3.4799999999999998E-2</v>
      </c>
      <c r="AV44" s="963">
        <v>3.4799999999999998E-2</v>
      </c>
      <c r="AW44" s="164"/>
      <c r="AX44" s="985">
        <f t="shared" si="67"/>
        <v>3.4799999999999998E-2</v>
      </c>
      <c r="AY44" s="164">
        <f t="shared" si="68"/>
        <v>3.4799999999999998E-2</v>
      </c>
      <c r="AZ44" s="164">
        <f t="shared" si="69"/>
        <v>3.4799999999999998E-2</v>
      </c>
      <c r="BA44" s="164">
        <f t="shared" si="70"/>
        <v>3.4799999999999998E-2</v>
      </c>
      <c r="BB44" s="963">
        <v>3.4799999999999998E-2</v>
      </c>
      <c r="BC44" s="164"/>
      <c r="BD44" s="985">
        <f t="shared" si="71"/>
        <v>3.4799999999999998E-2</v>
      </c>
      <c r="BE44" s="164">
        <f t="shared" si="72"/>
        <v>3.4799999999999998E-2</v>
      </c>
      <c r="BF44" s="164">
        <f t="shared" si="73"/>
        <v>3.4799999999999998E-2</v>
      </c>
      <c r="BG44" s="164">
        <f t="shared" si="74"/>
        <v>3.4799999999999998E-2</v>
      </c>
      <c r="BH44" s="963">
        <v>3.4799999999999998E-2</v>
      </c>
      <c r="BI44" s="164"/>
      <c r="BJ44" s="985">
        <f t="shared" si="75"/>
        <v>3.4799999999999998E-2</v>
      </c>
      <c r="BK44" s="164">
        <f t="shared" si="76"/>
        <v>3.4799999999999998E-2</v>
      </c>
      <c r="BL44" s="164">
        <f t="shared" si="77"/>
        <v>3.4799999999999998E-2</v>
      </c>
      <c r="BM44" s="164">
        <f t="shared" si="78"/>
        <v>3.4799999999999998E-2</v>
      </c>
      <c r="BN44" s="988">
        <f t="shared" si="79"/>
        <v>3.4799999999999998E-2</v>
      </c>
      <c r="BO44" s="164"/>
      <c r="BP44" s="985">
        <f t="shared" si="80"/>
        <v>7.0000000000000007E-2</v>
      </c>
      <c r="BQ44" s="164">
        <f t="shared" si="81"/>
        <v>7.0000000000000007E-2</v>
      </c>
      <c r="BR44" s="164">
        <f t="shared" si="82"/>
        <v>7.0000000000000007E-2</v>
      </c>
      <c r="BS44" s="164">
        <f t="shared" si="83"/>
        <v>7.0000000000000007E-2</v>
      </c>
      <c r="BT44" s="1312">
        <v>7.0000000000000007E-2</v>
      </c>
      <c r="BU44" s="164"/>
      <c r="BV44" s="985">
        <f t="shared" si="85"/>
        <v>7.0000000000000007E-2</v>
      </c>
      <c r="BW44" s="164">
        <f t="shared" si="86"/>
        <v>7.0000000000000007E-2</v>
      </c>
      <c r="BX44" s="164">
        <f t="shared" si="87"/>
        <v>7.0000000000000007E-2</v>
      </c>
      <c r="BY44" s="164">
        <f t="shared" si="88"/>
        <v>7.0000000000000007E-2</v>
      </c>
      <c r="BZ44" s="988">
        <f t="shared" si="89"/>
        <v>7.0000000000000007E-2</v>
      </c>
      <c r="CA44" s="164"/>
      <c r="CB44" s="985">
        <f t="shared" si="90"/>
        <v>7.0000000000000007E-2</v>
      </c>
      <c r="CC44" s="164">
        <f t="shared" si="91"/>
        <v>7.0000000000000007E-2</v>
      </c>
      <c r="CD44" s="164">
        <f t="shared" si="92"/>
        <v>7.0000000000000007E-2</v>
      </c>
      <c r="CE44" s="164">
        <f t="shared" si="93"/>
        <v>7.0000000000000007E-2</v>
      </c>
      <c r="CF44" s="988">
        <f t="shared" si="94"/>
        <v>7.0000000000000007E-2</v>
      </c>
      <c r="CG44" s="164"/>
      <c r="CH44" s="985">
        <f t="shared" si="95"/>
        <v>7.0000000000000007E-2</v>
      </c>
      <c r="CI44" s="164">
        <f t="shared" si="96"/>
        <v>7.0000000000000007E-2</v>
      </c>
      <c r="CJ44" s="164">
        <f t="shared" si="97"/>
        <v>7.0000000000000007E-2</v>
      </c>
      <c r="CK44" s="164">
        <f t="shared" si="98"/>
        <v>7.0000000000000007E-2</v>
      </c>
      <c r="CL44" s="988">
        <f t="shared" si="99"/>
        <v>7.0000000000000007E-2</v>
      </c>
      <c r="CM44" s="14"/>
      <c r="CN44" s="14"/>
    </row>
    <row r="45" spans="1:92" ht="11.25" customHeight="1" x14ac:dyDescent="0.2">
      <c r="A45" s="969" t="str">
        <f t="shared" si="58"/>
        <v>Term loan due fiscal 2021</v>
      </c>
      <c r="B45" s="160"/>
      <c r="C45" s="160"/>
      <c r="D45" s="160"/>
      <c r="E45" s="160"/>
      <c r="F45" s="963">
        <v>0</v>
      </c>
      <c r="G45" s="164"/>
      <c r="H45" s="977"/>
      <c r="I45" s="160"/>
      <c r="J45" s="160"/>
      <c r="K45" s="160"/>
      <c r="L45" s="963">
        <v>0</v>
      </c>
      <c r="M45" s="160"/>
      <c r="N45" s="977"/>
      <c r="O45" s="160"/>
      <c r="P45" s="160"/>
      <c r="Q45" s="982"/>
      <c r="R45" s="981">
        <v>0</v>
      </c>
      <c r="S45" s="164"/>
      <c r="T45" s="977"/>
      <c r="U45" s="160"/>
      <c r="V45" s="160"/>
      <c r="W45" s="982"/>
      <c r="X45" s="981">
        <v>0</v>
      </c>
      <c r="Y45" s="164"/>
      <c r="Z45" s="977"/>
      <c r="AA45" s="160"/>
      <c r="AB45" s="160"/>
      <c r="AC45" s="982"/>
      <c r="AD45" s="981">
        <v>0</v>
      </c>
      <c r="AE45" s="164"/>
      <c r="AF45" s="977"/>
      <c r="AG45" s="160"/>
      <c r="AH45" s="160"/>
      <c r="AI45" s="982"/>
      <c r="AJ45" s="981">
        <v>0</v>
      </c>
      <c r="AK45" s="164"/>
      <c r="AL45" s="985">
        <f t="shared" si="59"/>
        <v>0</v>
      </c>
      <c r="AM45" s="164">
        <f t="shared" si="60"/>
        <v>0</v>
      </c>
      <c r="AN45" s="164">
        <f t="shared" si="61"/>
        <v>0</v>
      </c>
      <c r="AO45" s="164">
        <f t="shared" si="62"/>
        <v>0</v>
      </c>
      <c r="AP45" s="963">
        <v>0</v>
      </c>
      <c r="AQ45" s="164"/>
      <c r="AR45" s="985">
        <f t="shared" si="63"/>
        <v>0</v>
      </c>
      <c r="AS45" s="164">
        <f t="shared" si="64"/>
        <v>0</v>
      </c>
      <c r="AT45" s="164">
        <f t="shared" si="65"/>
        <v>0</v>
      </c>
      <c r="AU45" s="164">
        <f t="shared" si="66"/>
        <v>0</v>
      </c>
      <c r="AV45" s="963">
        <v>0</v>
      </c>
      <c r="AW45" s="164"/>
      <c r="AX45" s="985">
        <f t="shared" si="67"/>
        <v>0</v>
      </c>
      <c r="AY45" s="164">
        <f t="shared" si="68"/>
        <v>0</v>
      </c>
      <c r="AZ45" s="164">
        <f t="shared" si="69"/>
        <v>0</v>
      </c>
      <c r="BA45" s="164">
        <f t="shared" si="70"/>
        <v>0</v>
      </c>
      <c r="BB45" s="963">
        <v>0</v>
      </c>
      <c r="BC45" s="164"/>
      <c r="BD45" s="985">
        <f t="shared" si="71"/>
        <v>1.8100000000000002E-2</v>
      </c>
      <c r="BE45" s="164">
        <f t="shared" si="72"/>
        <v>1.8100000000000002E-2</v>
      </c>
      <c r="BF45" s="164">
        <f t="shared" si="73"/>
        <v>1.8100000000000002E-2</v>
      </c>
      <c r="BG45" s="164">
        <f t="shared" si="74"/>
        <v>1.8100000000000002E-2</v>
      </c>
      <c r="BH45" s="963">
        <v>1.8100000000000002E-2</v>
      </c>
      <c r="BI45" s="164"/>
      <c r="BJ45" s="985">
        <f t="shared" si="75"/>
        <v>1.7500000000000002E-2</v>
      </c>
      <c r="BK45" s="164">
        <f t="shared" si="76"/>
        <v>1.7500000000000002E-2</v>
      </c>
      <c r="BL45" s="164">
        <f t="shared" si="77"/>
        <v>1.7500000000000002E-2</v>
      </c>
      <c r="BM45" s="164">
        <f t="shared" si="78"/>
        <v>1.7500000000000002E-2</v>
      </c>
      <c r="BN45" s="988">
        <v>1.7500000000000002E-2</v>
      </c>
      <c r="BO45" s="164"/>
      <c r="BP45" s="985">
        <f t="shared" si="80"/>
        <v>1.7500000000000002E-2</v>
      </c>
      <c r="BQ45" s="164">
        <f t="shared" si="81"/>
        <v>1.7500000000000002E-2</v>
      </c>
      <c r="BR45" s="164">
        <f t="shared" si="82"/>
        <v>1.7500000000000002E-2</v>
      </c>
      <c r="BS45" s="164">
        <f t="shared" si="83"/>
        <v>1.7500000000000002E-2</v>
      </c>
      <c r="BT45" s="988">
        <f t="shared" si="84"/>
        <v>1.7500000000000002E-2</v>
      </c>
      <c r="BU45" s="164"/>
      <c r="BV45" s="985">
        <f t="shared" si="85"/>
        <v>1.7500000000000002E-2</v>
      </c>
      <c r="BW45" s="164">
        <f t="shared" si="86"/>
        <v>1.7500000000000002E-2</v>
      </c>
      <c r="BX45" s="164">
        <f t="shared" si="87"/>
        <v>1.7500000000000002E-2</v>
      </c>
      <c r="BY45" s="164">
        <f t="shared" si="88"/>
        <v>1.7500000000000002E-2</v>
      </c>
      <c r="BZ45" s="988">
        <f t="shared" si="89"/>
        <v>1.7500000000000002E-2</v>
      </c>
      <c r="CA45" s="164"/>
      <c r="CB45" s="985">
        <f t="shared" si="90"/>
        <v>1.7500000000000002E-2</v>
      </c>
      <c r="CC45" s="164">
        <f t="shared" si="91"/>
        <v>1.7500000000000002E-2</v>
      </c>
      <c r="CD45" s="164">
        <f t="shared" si="92"/>
        <v>1.7500000000000002E-2</v>
      </c>
      <c r="CE45" s="164">
        <f t="shared" si="93"/>
        <v>1.7500000000000002E-2</v>
      </c>
      <c r="CF45" s="988">
        <f t="shared" si="94"/>
        <v>1.7500000000000002E-2</v>
      </c>
      <c r="CG45" s="164"/>
      <c r="CH45" s="985">
        <f t="shared" si="95"/>
        <v>1.7500000000000002E-2</v>
      </c>
      <c r="CI45" s="164">
        <f t="shared" si="96"/>
        <v>1.7500000000000002E-2</v>
      </c>
      <c r="CJ45" s="164">
        <f t="shared" si="97"/>
        <v>1.7500000000000002E-2</v>
      </c>
      <c r="CK45" s="164">
        <f t="shared" si="98"/>
        <v>1.7500000000000002E-2</v>
      </c>
      <c r="CL45" s="988">
        <f t="shared" si="99"/>
        <v>1.7500000000000002E-2</v>
      </c>
      <c r="CM45" s="14"/>
      <c r="CN45" s="14"/>
    </row>
    <row r="46" spans="1:92" ht="11.25" customHeight="1" x14ac:dyDescent="0.2">
      <c r="A46" s="969" t="str">
        <f t="shared" si="58"/>
        <v>Term loan due fiscal 2013</v>
      </c>
      <c r="B46" s="160"/>
      <c r="C46" s="160"/>
      <c r="D46" s="160"/>
      <c r="E46" s="160"/>
      <c r="F46" s="963">
        <v>0</v>
      </c>
      <c r="G46" s="164"/>
      <c r="H46" s="977"/>
      <c r="I46" s="160"/>
      <c r="J46" s="160"/>
      <c r="K46" s="160"/>
      <c r="L46" s="963">
        <v>0</v>
      </c>
      <c r="M46" s="160"/>
      <c r="N46" s="977"/>
      <c r="O46" s="160"/>
      <c r="P46" s="160"/>
      <c r="Q46" s="982"/>
      <c r="R46" s="963">
        <v>3.44E-2</v>
      </c>
      <c r="S46" s="165"/>
      <c r="T46" s="977"/>
      <c r="U46" s="160"/>
      <c r="V46" s="160"/>
      <c r="W46" s="982"/>
      <c r="X46" s="963">
        <v>1.2999999999999999E-2</v>
      </c>
      <c r="Y46" s="165"/>
      <c r="Z46" s="977"/>
      <c r="AA46" s="160"/>
      <c r="AB46" s="160"/>
      <c r="AC46" s="982"/>
      <c r="AD46" s="963">
        <v>1.11E-2</v>
      </c>
      <c r="AE46" s="165"/>
      <c r="AF46" s="977"/>
      <c r="AG46" s="160"/>
      <c r="AH46" s="160"/>
      <c r="AI46" s="982"/>
      <c r="AJ46" s="963">
        <v>1.2E-2</v>
      </c>
      <c r="AK46" s="165"/>
      <c r="AL46" s="986">
        <v>1.7399999999999999E-2</v>
      </c>
      <c r="AM46" s="165">
        <f t="shared" si="60"/>
        <v>0</v>
      </c>
      <c r="AN46" s="165">
        <f t="shared" si="61"/>
        <v>0</v>
      </c>
      <c r="AO46" s="164">
        <f t="shared" si="62"/>
        <v>0</v>
      </c>
      <c r="AP46" s="963">
        <v>0</v>
      </c>
      <c r="AQ46" s="165"/>
      <c r="AR46" s="985">
        <v>0</v>
      </c>
      <c r="AS46" s="164">
        <f t="shared" si="64"/>
        <v>0</v>
      </c>
      <c r="AT46" s="164">
        <f t="shared" si="65"/>
        <v>0</v>
      </c>
      <c r="AU46" s="164">
        <f t="shared" si="66"/>
        <v>0</v>
      </c>
      <c r="AV46" s="963">
        <v>0</v>
      </c>
      <c r="AW46" s="165"/>
      <c r="AX46" s="985">
        <v>0</v>
      </c>
      <c r="AY46" s="164">
        <f t="shared" si="68"/>
        <v>0</v>
      </c>
      <c r="AZ46" s="164">
        <f t="shared" si="69"/>
        <v>0</v>
      </c>
      <c r="BA46" s="164">
        <f t="shared" si="70"/>
        <v>0</v>
      </c>
      <c r="BB46" s="963">
        <v>0</v>
      </c>
      <c r="BC46" s="165"/>
      <c r="BD46" s="985">
        <v>0</v>
      </c>
      <c r="BE46" s="164">
        <f t="shared" si="72"/>
        <v>0</v>
      </c>
      <c r="BF46" s="164">
        <f t="shared" si="73"/>
        <v>0</v>
      </c>
      <c r="BG46" s="164">
        <f t="shared" si="74"/>
        <v>0</v>
      </c>
      <c r="BH46" s="963">
        <v>0</v>
      </c>
      <c r="BI46" s="165"/>
      <c r="BJ46" s="985">
        <v>0</v>
      </c>
      <c r="BK46" s="164">
        <f t="shared" si="76"/>
        <v>0</v>
      </c>
      <c r="BL46" s="164">
        <f t="shared" si="77"/>
        <v>0</v>
      </c>
      <c r="BM46" s="164">
        <f t="shared" si="78"/>
        <v>0</v>
      </c>
      <c r="BN46" s="988">
        <f t="shared" si="79"/>
        <v>0</v>
      </c>
      <c r="BO46" s="165"/>
      <c r="BP46" s="985">
        <v>0</v>
      </c>
      <c r="BQ46" s="164">
        <f t="shared" si="81"/>
        <v>0</v>
      </c>
      <c r="BR46" s="164">
        <f t="shared" si="82"/>
        <v>0</v>
      </c>
      <c r="BS46" s="164">
        <f t="shared" si="83"/>
        <v>0</v>
      </c>
      <c r="BT46" s="988">
        <f>BN46</f>
        <v>0</v>
      </c>
      <c r="BU46" s="165"/>
      <c r="BV46" s="985">
        <v>0</v>
      </c>
      <c r="BW46" s="164">
        <f t="shared" si="86"/>
        <v>0</v>
      </c>
      <c r="BX46" s="164">
        <f t="shared" si="87"/>
        <v>0</v>
      </c>
      <c r="BY46" s="164">
        <f t="shared" si="88"/>
        <v>0</v>
      </c>
      <c r="BZ46" s="988">
        <f t="shared" si="89"/>
        <v>0</v>
      </c>
      <c r="CA46" s="165"/>
      <c r="CB46" s="985">
        <v>0</v>
      </c>
      <c r="CC46" s="164">
        <f t="shared" si="91"/>
        <v>0</v>
      </c>
      <c r="CD46" s="164">
        <f t="shared" si="92"/>
        <v>0</v>
      </c>
      <c r="CE46" s="164">
        <f t="shared" si="93"/>
        <v>0</v>
      </c>
      <c r="CF46" s="988">
        <f t="shared" si="94"/>
        <v>0</v>
      </c>
      <c r="CG46" s="165"/>
      <c r="CH46" s="985">
        <v>0</v>
      </c>
      <c r="CI46" s="164">
        <f t="shared" si="96"/>
        <v>0</v>
      </c>
      <c r="CJ46" s="164">
        <f t="shared" si="97"/>
        <v>0</v>
      </c>
      <c r="CK46" s="164">
        <f t="shared" si="98"/>
        <v>0</v>
      </c>
      <c r="CL46" s="988">
        <f t="shared" si="99"/>
        <v>0</v>
      </c>
      <c r="CM46" s="14"/>
      <c r="CN46" s="14"/>
    </row>
    <row r="47" spans="1:92" ht="11.25" customHeight="1" x14ac:dyDescent="0.2">
      <c r="A47" s="969" t="str">
        <f t="shared" si="58"/>
        <v xml:space="preserve">Senior notes due fiscal 2013 </v>
      </c>
      <c r="B47" s="160"/>
      <c r="C47" s="160"/>
      <c r="D47" s="160"/>
      <c r="E47" s="160"/>
      <c r="F47" s="963">
        <v>4.6300000000000001E-2</v>
      </c>
      <c r="G47" s="164"/>
      <c r="H47" s="977"/>
      <c r="I47" s="160"/>
      <c r="J47" s="160"/>
      <c r="K47" s="160"/>
      <c r="L47" s="963">
        <v>4.6300000000000001E-2</v>
      </c>
      <c r="M47" s="160"/>
      <c r="N47" s="977"/>
      <c r="O47" s="160"/>
      <c r="P47" s="160"/>
      <c r="Q47" s="160"/>
      <c r="R47" s="981">
        <v>4.6300000000000001E-2</v>
      </c>
      <c r="S47" s="164"/>
      <c r="T47" s="977"/>
      <c r="U47" s="160"/>
      <c r="V47" s="160"/>
      <c r="W47" s="160"/>
      <c r="X47" s="981">
        <v>4.6300000000000001E-2</v>
      </c>
      <c r="Y47" s="164"/>
      <c r="Z47" s="977"/>
      <c r="AA47" s="160"/>
      <c r="AB47" s="160"/>
      <c r="AC47" s="160"/>
      <c r="AD47" s="981">
        <v>4.6300000000000001E-2</v>
      </c>
      <c r="AE47" s="164"/>
      <c r="AF47" s="977"/>
      <c r="AG47" s="160"/>
      <c r="AH47" s="160"/>
      <c r="AI47" s="160"/>
      <c r="AJ47" s="981">
        <v>4.6300000000000001E-2</v>
      </c>
      <c r="AK47" s="164"/>
      <c r="AL47" s="985">
        <f>AP47</f>
        <v>0</v>
      </c>
      <c r="AM47" s="164">
        <f>AP47</f>
        <v>0</v>
      </c>
      <c r="AN47" s="164">
        <f>AP47</f>
        <v>0</v>
      </c>
      <c r="AO47" s="164">
        <f>AP47</f>
        <v>0</v>
      </c>
      <c r="AP47" s="981">
        <v>0</v>
      </c>
      <c r="AQ47" s="164"/>
      <c r="AR47" s="985">
        <f>AV47</f>
        <v>0</v>
      </c>
      <c r="AS47" s="164">
        <f>AV47</f>
        <v>0</v>
      </c>
      <c r="AT47" s="164">
        <f>AV47</f>
        <v>0</v>
      </c>
      <c r="AU47" s="164">
        <f>AV47</f>
        <v>0</v>
      </c>
      <c r="AV47" s="963">
        <v>0</v>
      </c>
      <c r="AW47" s="164"/>
      <c r="AX47" s="985">
        <f>BB47</f>
        <v>0</v>
      </c>
      <c r="AY47" s="164">
        <f>BB47</f>
        <v>0</v>
      </c>
      <c r="AZ47" s="164">
        <f>BB47</f>
        <v>0</v>
      </c>
      <c r="BA47" s="164">
        <f>BB47</f>
        <v>0</v>
      </c>
      <c r="BB47" s="963">
        <v>0</v>
      </c>
      <c r="BC47" s="164"/>
      <c r="BD47" s="985">
        <f>BH47</f>
        <v>0</v>
      </c>
      <c r="BE47" s="164">
        <f>BH47</f>
        <v>0</v>
      </c>
      <c r="BF47" s="164">
        <f>BH47</f>
        <v>0</v>
      </c>
      <c r="BG47" s="164">
        <f>BH47</f>
        <v>0</v>
      </c>
      <c r="BH47" s="963">
        <v>0</v>
      </c>
      <c r="BI47" s="164"/>
      <c r="BJ47" s="985">
        <f>BN47</f>
        <v>0</v>
      </c>
      <c r="BK47" s="164">
        <f>BN47</f>
        <v>0</v>
      </c>
      <c r="BL47" s="164">
        <f>BN47</f>
        <v>0</v>
      </c>
      <c r="BM47" s="164">
        <f>BN47</f>
        <v>0</v>
      </c>
      <c r="BN47" s="988">
        <f>BH47</f>
        <v>0</v>
      </c>
      <c r="BO47" s="164"/>
      <c r="BP47" s="985">
        <f>BT47</f>
        <v>0</v>
      </c>
      <c r="BQ47" s="164">
        <f>BT47</f>
        <v>0</v>
      </c>
      <c r="BR47" s="164">
        <f>BT47</f>
        <v>0</v>
      </c>
      <c r="BS47" s="164">
        <f>BT47</f>
        <v>0</v>
      </c>
      <c r="BT47" s="988">
        <f>BN47</f>
        <v>0</v>
      </c>
      <c r="BU47" s="164"/>
      <c r="BV47" s="985">
        <f>BZ47</f>
        <v>0</v>
      </c>
      <c r="BW47" s="164">
        <f>BZ47</f>
        <v>0</v>
      </c>
      <c r="BX47" s="164">
        <f>BZ47</f>
        <v>0</v>
      </c>
      <c r="BY47" s="164">
        <f>BZ47</f>
        <v>0</v>
      </c>
      <c r="BZ47" s="988">
        <f>BT47</f>
        <v>0</v>
      </c>
      <c r="CA47" s="164"/>
      <c r="CB47" s="985">
        <f>CF47</f>
        <v>0</v>
      </c>
      <c r="CC47" s="164">
        <f>CF47</f>
        <v>0</v>
      </c>
      <c r="CD47" s="164">
        <f>CF47</f>
        <v>0</v>
      </c>
      <c r="CE47" s="164">
        <f>CF47</f>
        <v>0</v>
      </c>
      <c r="CF47" s="988">
        <f>BZ47</f>
        <v>0</v>
      </c>
      <c r="CG47" s="164"/>
      <c r="CH47" s="985">
        <f>CL47</f>
        <v>0</v>
      </c>
      <c r="CI47" s="164">
        <f>CL47</f>
        <v>0</v>
      </c>
      <c r="CJ47" s="164">
        <f>CL47</f>
        <v>0</v>
      </c>
      <c r="CK47" s="164">
        <f>CL47</f>
        <v>0</v>
      </c>
      <c r="CL47" s="988">
        <f>CF47</f>
        <v>0</v>
      </c>
      <c r="CM47" s="14"/>
      <c r="CN47" s="14"/>
    </row>
    <row r="48" spans="1:92" ht="11.25" customHeight="1" x14ac:dyDescent="0.2">
      <c r="A48" s="969" t="str">
        <f t="shared" si="58"/>
        <v xml:space="preserve">Senior notes due fiscal 2015 </v>
      </c>
      <c r="B48" s="160"/>
      <c r="C48" s="160"/>
      <c r="D48" s="160"/>
      <c r="E48" s="160"/>
      <c r="F48" s="963">
        <v>5.1700000000000003E-2</v>
      </c>
      <c r="G48" s="164"/>
      <c r="H48" s="977"/>
      <c r="I48" s="160"/>
      <c r="J48" s="160"/>
      <c r="K48" s="160"/>
      <c r="L48" s="963">
        <v>5.1700000000000003E-2</v>
      </c>
      <c r="M48" s="160"/>
      <c r="N48" s="977"/>
      <c r="O48" s="160"/>
      <c r="P48" s="160"/>
      <c r="Q48" s="160"/>
      <c r="R48" s="981">
        <v>5.1700000000000003E-2</v>
      </c>
      <c r="S48" s="164"/>
      <c r="T48" s="977"/>
      <c r="U48" s="160"/>
      <c r="V48" s="160"/>
      <c r="W48" s="160"/>
      <c r="X48" s="981">
        <v>5.1700000000000003E-2</v>
      </c>
      <c r="Y48" s="164"/>
      <c r="Z48" s="977"/>
      <c r="AA48" s="160"/>
      <c r="AB48" s="160"/>
      <c r="AC48" s="160"/>
      <c r="AD48" s="981">
        <v>5.1700000000000003E-2</v>
      </c>
      <c r="AE48" s="164"/>
      <c r="AF48" s="977"/>
      <c r="AG48" s="160"/>
      <c r="AH48" s="160"/>
      <c r="AI48" s="160"/>
      <c r="AJ48" s="981">
        <v>5.1700000000000003E-2</v>
      </c>
      <c r="AK48" s="164"/>
      <c r="AL48" s="985">
        <f>AP48</f>
        <v>5.1700000000000003E-2</v>
      </c>
      <c r="AM48" s="164">
        <f>AP48</f>
        <v>5.1700000000000003E-2</v>
      </c>
      <c r="AN48" s="164">
        <f>AP48</f>
        <v>5.1700000000000003E-2</v>
      </c>
      <c r="AO48" s="164">
        <f>AP48</f>
        <v>5.1700000000000003E-2</v>
      </c>
      <c r="AP48" s="981">
        <v>5.1700000000000003E-2</v>
      </c>
      <c r="AQ48" s="164"/>
      <c r="AR48" s="985">
        <f>AV48</f>
        <v>5.1700000000000003E-2</v>
      </c>
      <c r="AS48" s="164">
        <f>AV48</f>
        <v>5.1700000000000003E-2</v>
      </c>
      <c r="AT48" s="164">
        <f>AV48</f>
        <v>5.1700000000000003E-2</v>
      </c>
      <c r="AU48" s="164">
        <f>AV48</f>
        <v>5.1700000000000003E-2</v>
      </c>
      <c r="AV48" s="963">
        <v>5.1700000000000003E-2</v>
      </c>
      <c r="AW48" s="164"/>
      <c r="AX48" s="985">
        <f>BB48</f>
        <v>0</v>
      </c>
      <c r="AY48" s="164">
        <f>BB48</f>
        <v>0</v>
      </c>
      <c r="AZ48" s="164">
        <f>BB48</f>
        <v>0</v>
      </c>
      <c r="BA48" s="164">
        <f>BB48</f>
        <v>0</v>
      </c>
      <c r="BB48" s="963">
        <v>0</v>
      </c>
      <c r="BC48" s="164"/>
      <c r="BD48" s="985">
        <f>BH48</f>
        <v>0</v>
      </c>
      <c r="BE48" s="164">
        <f>BH48</f>
        <v>0</v>
      </c>
      <c r="BF48" s="164">
        <f>BH48</f>
        <v>0</v>
      </c>
      <c r="BG48" s="164">
        <f>BH48</f>
        <v>0</v>
      </c>
      <c r="BH48" s="963">
        <v>0</v>
      </c>
      <c r="BI48" s="164"/>
      <c r="BJ48" s="985">
        <f>BN48</f>
        <v>0</v>
      </c>
      <c r="BK48" s="164">
        <f>BN48</f>
        <v>0</v>
      </c>
      <c r="BL48" s="164">
        <f>BN48</f>
        <v>0</v>
      </c>
      <c r="BM48" s="164">
        <f>BN48</f>
        <v>0</v>
      </c>
      <c r="BN48" s="988">
        <f>BH48</f>
        <v>0</v>
      </c>
      <c r="BO48" s="164"/>
      <c r="BP48" s="985">
        <f>BT48</f>
        <v>0</v>
      </c>
      <c r="BQ48" s="164">
        <f>BT48</f>
        <v>0</v>
      </c>
      <c r="BR48" s="164">
        <f>BT48</f>
        <v>0</v>
      </c>
      <c r="BS48" s="164">
        <f>BT48</f>
        <v>0</v>
      </c>
      <c r="BT48" s="988">
        <f>BN48</f>
        <v>0</v>
      </c>
      <c r="BU48" s="164"/>
      <c r="BV48" s="985">
        <f>BZ48</f>
        <v>0</v>
      </c>
      <c r="BW48" s="164">
        <f>BZ48</f>
        <v>0</v>
      </c>
      <c r="BX48" s="164">
        <f>BZ48</f>
        <v>0</v>
      </c>
      <c r="BY48" s="164">
        <f>BZ48</f>
        <v>0</v>
      </c>
      <c r="BZ48" s="988">
        <f>BT48</f>
        <v>0</v>
      </c>
      <c r="CA48" s="164"/>
      <c r="CB48" s="985">
        <f>CF48</f>
        <v>0</v>
      </c>
      <c r="CC48" s="164">
        <f>CF48</f>
        <v>0</v>
      </c>
      <c r="CD48" s="164">
        <f>CF48</f>
        <v>0</v>
      </c>
      <c r="CE48" s="164">
        <f>CF48</f>
        <v>0</v>
      </c>
      <c r="CF48" s="988">
        <f>BZ48</f>
        <v>0</v>
      </c>
      <c r="CG48" s="164"/>
      <c r="CH48" s="985">
        <f>CL48</f>
        <v>0</v>
      </c>
      <c r="CI48" s="164">
        <f>CL48</f>
        <v>0</v>
      </c>
      <c r="CJ48" s="164">
        <f>CL48</f>
        <v>0</v>
      </c>
      <c r="CK48" s="164">
        <f>CL48</f>
        <v>0</v>
      </c>
      <c r="CL48" s="988">
        <f>CF48</f>
        <v>0</v>
      </c>
      <c r="CM48" s="14"/>
      <c r="CN48" s="14"/>
    </row>
    <row r="49" spans="1:92" ht="11.25" customHeight="1" x14ac:dyDescent="0.2">
      <c r="A49" s="969" t="str">
        <f t="shared" si="58"/>
        <v>Senior notes due fiscal 2009-Variable</v>
      </c>
      <c r="B49" s="160"/>
      <c r="C49" s="160"/>
      <c r="D49" s="160"/>
      <c r="E49" s="160"/>
      <c r="F49" s="963">
        <v>0</v>
      </c>
      <c r="G49" s="164"/>
      <c r="H49" s="977"/>
      <c r="I49" s="160"/>
      <c r="J49" s="160"/>
      <c r="K49" s="160"/>
      <c r="L49" s="963">
        <v>0</v>
      </c>
      <c r="M49" s="160"/>
      <c r="N49" s="977"/>
      <c r="O49" s="160"/>
      <c r="P49" s="160"/>
      <c r="Q49" s="160"/>
      <c r="R49" s="981">
        <v>0</v>
      </c>
      <c r="S49" s="164"/>
      <c r="T49" s="977"/>
      <c r="U49" s="160"/>
      <c r="V49" s="160"/>
      <c r="W49" s="160"/>
      <c r="X49" s="981">
        <v>0</v>
      </c>
      <c r="Y49" s="164"/>
      <c r="Z49" s="977"/>
      <c r="AA49" s="160"/>
      <c r="AB49" s="160"/>
      <c r="AC49" s="160"/>
      <c r="AD49" s="981">
        <v>0</v>
      </c>
      <c r="AE49" s="164"/>
      <c r="AF49" s="977"/>
      <c r="AG49" s="160"/>
      <c r="AH49" s="160"/>
      <c r="AI49" s="160"/>
      <c r="AJ49" s="981">
        <v>0</v>
      </c>
      <c r="AK49" s="164"/>
      <c r="AL49" s="985">
        <f>AP49</f>
        <v>0</v>
      </c>
      <c r="AM49" s="164">
        <f>AP49</f>
        <v>0</v>
      </c>
      <c r="AN49" s="164">
        <f>AP49</f>
        <v>0</v>
      </c>
      <c r="AO49" s="164">
        <f>AP49</f>
        <v>0</v>
      </c>
      <c r="AP49" s="981">
        <v>0</v>
      </c>
      <c r="AQ49" s="164"/>
      <c r="AR49" s="985">
        <f>AV49</f>
        <v>0</v>
      </c>
      <c r="AS49" s="164">
        <f>AV49</f>
        <v>0</v>
      </c>
      <c r="AT49" s="164">
        <f>AV49</f>
        <v>0</v>
      </c>
      <c r="AU49" s="164">
        <f>AV49</f>
        <v>0</v>
      </c>
      <c r="AV49" s="963">
        <v>0</v>
      </c>
      <c r="AW49" s="164"/>
      <c r="AX49" s="985">
        <f>BB49</f>
        <v>0</v>
      </c>
      <c r="AY49" s="164">
        <f>BB49</f>
        <v>0</v>
      </c>
      <c r="AZ49" s="164">
        <f>BB49</f>
        <v>0</v>
      </c>
      <c r="BA49" s="164">
        <f>BB49</f>
        <v>0</v>
      </c>
      <c r="BB49" s="963">
        <v>0</v>
      </c>
      <c r="BC49" s="164"/>
      <c r="BD49" s="985">
        <f>BH49</f>
        <v>0</v>
      </c>
      <c r="BE49" s="164">
        <f>BH49</f>
        <v>0</v>
      </c>
      <c r="BF49" s="164">
        <f>BH49</f>
        <v>0</v>
      </c>
      <c r="BG49" s="164">
        <f>BH49</f>
        <v>0</v>
      </c>
      <c r="BH49" s="963">
        <v>0</v>
      </c>
      <c r="BI49" s="164"/>
      <c r="BJ49" s="985">
        <f>BN49</f>
        <v>0</v>
      </c>
      <c r="BK49" s="164">
        <f>BN49</f>
        <v>0</v>
      </c>
      <c r="BL49" s="164">
        <f>BN49</f>
        <v>0</v>
      </c>
      <c r="BM49" s="164">
        <f>BN49</f>
        <v>0</v>
      </c>
      <c r="BN49" s="988">
        <f>BH49</f>
        <v>0</v>
      </c>
      <c r="BO49" s="164"/>
      <c r="BP49" s="985">
        <f>BT49</f>
        <v>0</v>
      </c>
      <c r="BQ49" s="164">
        <f>BT49</f>
        <v>0</v>
      </c>
      <c r="BR49" s="164">
        <f>BT49</f>
        <v>0</v>
      </c>
      <c r="BS49" s="164">
        <f>BT49</f>
        <v>0</v>
      </c>
      <c r="BT49" s="988">
        <f>BN49</f>
        <v>0</v>
      </c>
      <c r="BU49" s="164"/>
      <c r="BV49" s="985">
        <f>BZ49</f>
        <v>0</v>
      </c>
      <c r="BW49" s="164">
        <f>BZ49</f>
        <v>0</v>
      </c>
      <c r="BX49" s="164">
        <f>BZ49</f>
        <v>0</v>
      </c>
      <c r="BY49" s="164">
        <f>BZ49</f>
        <v>0</v>
      </c>
      <c r="BZ49" s="988">
        <f>BT49</f>
        <v>0</v>
      </c>
      <c r="CA49" s="164"/>
      <c r="CB49" s="985">
        <f>CF49</f>
        <v>0</v>
      </c>
      <c r="CC49" s="164">
        <f>CF49</f>
        <v>0</v>
      </c>
      <c r="CD49" s="164">
        <f>CF49</f>
        <v>0</v>
      </c>
      <c r="CE49" s="164">
        <f>CF49</f>
        <v>0</v>
      </c>
      <c r="CF49" s="988">
        <f>BZ49</f>
        <v>0</v>
      </c>
      <c r="CG49" s="164"/>
      <c r="CH49" s="985">
        <f>CL49</f>
        <v>0</v>
      </c>
      <c r="CI49" s="164">
        <f>CL49</f>
        <v>0</v>
      </c>
      <c r="CJ49" s="164">
        <f>CL49</f>
        <v>0</v>
      </c>
      <c r="CK49" s="164">
        <f>CL49</f>
        <v>0</v>
      </c>
      <c r="CL49" s="988">
        <f>CF49</f>
        <v>0</v>
      </c>
      <c r="CM49" s="14"/>
      <c r="CN49" s="14"/>
    </row>
    <row r="50" spans="1:92" ht="11.25" customHeight="1" x14ac:dyDescent="0.2">
      <c r="A50" s="969" t="str">
        <f t="shared" si="58"/>
        <v>Senior notes due fiscal 2009-Fixed</v>
      </c>
      <c r="B50" s="160"/>
      <c r="C50" s="160"/>
      <c r="D50" s="160"/>
      <c r="E50" s="160"/>
      <c r="F50" s="963">
        <v>0</v>
      </c>
      <c r="G50" s="164"/>
      <c r="H50" s="977"/>
      <c r="I50" s="160"/>
      <c r="J50" s="160"/>
      <c r="K50" s="160"/>
      <c r="L50" s="963">
        <v>0</v>
      </c>
      <c r="M50" s="160"/>
      <c r="N50" s="977"/>
      <c r="O50" s="160"/>
      <c r="P50" s="160"/>
      <c r="Q50" s="160"/>
      <c r="R50" s="981">
        <v>0</v>
      </c>
      <c r="S50" s="164"/>
      <c r="T50" s="977"/>
      <c r="U50" s="160"/>
      <c r="V50" s="160"/>
      <c r="W50" s="160"/>
      <c r="X50" s="981">
        <v>0</v>
      </c>
      <c r="Y50" s="164"/>
      <c r="Z50" s="977"/>
      <c r="AA50" s="160"/>
      <c r="AB50" s="160"/>
      <c r="AC50" s="160"/>
      <c r="AD50" s="981">
        <v>0</v>
      </c>
      <c r="AE50" s="164"/>
      <c r="AF50" s="977"/>
      <c r="AG50" s="160"/>
      <c r="AH50" s="160"/>
      <c r="AI50" s="160"/>
      <c r="AJ50" s="981">
        <v>0</v>
      </c>
      <c r="AK50" s="164"/>
      <c r="AL50" s="985">
        <f>AP50</f>
        <v>0</v>
      </c>
      <c r="AM50" s="164">
        <f>AP50</f>
        <v>0</v>
      </c>
      <c r="AN50" s="164">
        <f>AP50</f>
        <v>0</v>
      </c>
      <c r="AO50" s="164">
        <f>AP50</f>
        <v>0</v>
      </c>
      <c r="AP50" s="981">
        <v>0</v>
      </c>
      <c r="AQ50" s="164"/>
      <c r="AR50" s="985">
        <f>AV50</f>
        <v>0</v>
      </c>
      <c r="AS50" s="164">
        <f>AV50</f>
        <v>0</v>
      </c>
      <c r="AT50" s="164">
        <f>AV50</f>
        <v>0</v>
      </c>
      <c r="AU50" s="164">
        <f>AV50</f>
        <v>0</v>
      </c>
      <c r="AV50" s="963">
        <v>0</v>
      </c>
      <c r="AW50" s="164"/>
      <c r="AX50" s="985">
        <f>BB50</f>
        <v>0</v>
      </c>
      <c r="AY50" s="164">
        <f>BB50</f>
        <v>0</v>
      </c>
      <c r="AZ50" s="164">
        <f>BB50</f>
        <v>0</v>
      </c>
      <c r="BA50" s="164">
        <f>BB50</f>
        <v>0</v>
      </c>
      <c r="BB50" s="963">
        <v>0</v>
      </c>
      <c r="BC50" s="164"/>
      <c r="BD50" s="985">
        <f>BH50</f>
        <v>0</v>
      </c>
      <c r="BE50" s="164">
        <f>BH50</f>
        <v>0</v>
      </c>
      <c r="BF50" s="164">
        <f>BH50</f>
        <v>0</v>
      </c>
      <c r="BG50" s="164">
        <f>BH50</f>
        <v>0</v>
      </c>
      <c r="BH50" s="963">
        <v>0</v>
      </c>
      <c r="BI50" s="164"/>
      <c r="BJ50" s="985">
        <f>BN50</f>
        <v>0</v>
      </c>
      <c r="BK50" s="164">
        <f>BN50</f>
        <v>0</v>
      </c>
      <c r="BL50" s="164">
        <f>BN50</f>
        <v>0</v>
      </c>
      <c r="BM50" s="164">
        <f>BN50</f>
        <v>0</v>
      </c>
      <c r="BN50" s="988">
        <f>BH50</f>
        <v>0</v>
      </c>
      <c r="BO50" s="164"/>
      <c r="BP50" s="985">
        <f>BT50</f>
        <v>0</v>
      </c>
      <c r="BQ50" s="164">
        <f>BT50</f>
        <v>0</v>
      </c>
      <c r="BR50" s="164">
        <f>BT50</f>
        <v>0</v>
      </c>
      <c r="BS50" s="164">
        <f>BT50</f>
        <v>0</v>
      </c>
      <c r="BT50" s="988">
        <f>BN50</f>
        <v>0</v>
      </c>
      <c r="BU50" s="164"/>
      <c r="BV50" s="985">
        <f>BZ50</f>
        <v>0</v>
      </c>
      <c r="BW50" s="164">
        <f>BZ50</f>
        <v>0</v>
      </c>
      <c r="BX50" s="164">
        <f>BZ50</f>
        <v>0</v>
      </c>
      <c r="BY50" s="164">
        <f>BZ50</f>
        <v>0</v>
      </c>
      <c r="BZ50" s="988">
        <f>BT50</f>
        <v>0</v>
      </c>
      <c r="CA50" s="164"/>
      <c r="CB50" s="985">
        <f>CF50</f>
        <v>0</v>
      </c>
      <c r="CC50" s="164">
        <f>CF50</f>
        <v>0</v>
      </c>
      <c r="CD50" s="164">
        <f>CF50</f>
        <v>0</v>
      </c>
      <c r="CE50" s="164">
        <f>CF50</f>
        <v>0</v>
      </c>
      <c r="CF50" s="988">
        <f>BZ50</f>
        <v>0</v>
      </c>
      <c r="CG50" s="164"/>
      <c r="CH50" s="985">
        <f>CL50</f>
        <v>0</v>
      </c>
      <c r="CI50" s="164">
        <f>CL50</f>
        <v>0</v>
      </c>
      <c r="CJ50" s="164">
        <f>CL50</f>
        <v>0</v>
      </c>
      <c r="CK50" s="164">
        <f>CL50</f>
        <v>0</v>
      </c>
      <c r="CL50" s="988">
        <f>CF50</f>
        <v>0</v>
      </c>
      <c r="CM50" s="14"/>
      <c r="CN50" s="14"/>
    </row>
    <row r="51" spans="1:92" ht="11.25" customHeight="1" x14ac:dyDescent="0.2">
      <c r="A51" s="934"/>
      <c r="B51" s="161"/>
      <c r="C51" s="161"/>
      <c r="D51" s="161"/>
      <c r="E51" s="161"/>
      <c r="F51" s="964"/>
      <c r="G51" s="925"/>
      <c r="H51" s="978"/>
      <c r="I51" s="161"/>
      <c r="J51" s="161"/>
      <c r="K51" s="161"/>
      <c r="L51" s="964"/>
      <c r="M51" s="929"/>
      <c r="N51" s="978"/>
      <c r="O51" s="161"/>
      <c r="P51" s="161"/>
      <c r="Q51" s="161"/>
      <c r="R51" s="964"/>
      <c r="S51" s="925"/>
      <c r="T51" s="978"/>
      <c r="U51" s="161"/>
      <c r="V51" s="161"/>
      <c r="W51" s="161"/>
      <c r="X51" s="964"/>
      <c r="Y51" s="925"/>
      <c r="Z51" s="978"/>
      <c r="AA51" s="161"/>
      <c r="AB51" s="161"/>
      <c r="AC51" s="161"/>
      <c r="AD51" s="964"/>
      <c r="AE51" s="925"/>
      <c r="AF51" s="978"/>
      <c r="AG51" s="161"/>
      <c r="AH51" s="161"/>
      <c r="AI51" s="161"/>
      <c r="AJ51" s="964"/>
      <c r="AK51" s="925"/>
      <c r="AL51" s="978"/>
      <c r="AM51" s="161"/>
      <c r="AN51" s="161"/>
      <c r="AO51" s="161"/>
      <c r="AP51" s="964"/>
      <c r="AQ51" s="925"/>
      <c r="AR51" s="978"/>
      <c r="AS51" s="161"/>
      <c r="AT51" s="161"/>
      <c r="AU51" s="161"/>
      <c r="AV51" s="964"/>
      <c r="AW51" s="925"/>
      <c r="AX51" s="978"/>
      <c r="AY51" s="161"/>
      <c r="AZ51" s="161"/>
      <c r="BA51" s="161"/>
      <c r="BB51" s="964"/>
      <c r="BC51" s="925"/>
      <c r="BD51" s="978"/>
      <c r="BE51" s="161"/>
      <c r="BF51" s="161"/>
      <c r="BG51" s="161"/>
      <c r="BH51" s="964"/>
      <c r="BI51" s="925"/>
      <c r="BJ51" s="978"/>
      <c r="BK51" s="161"/>
      <c r="BL51" s="161"/>
      <c r="BM51" s="161"/>
      <c r="BN51" s="964"/>
      <c r="BO51" s="925"/>
      <c r="BP51" s="978"/>
      <c r="BQ51" s="161"/>
      <c r="BR51" s="161"/>
      <c r="BS51" s="161"/>
      <c r="BT51" s="964"/>
      <c r="BU51" s="925"/>
      <c r="BV51" s="978"/>
      <c r="BW51" s="161"/>
      <c r="BX51" s="161"/>
      <c r="BY51" s="161"/>
      <c r="BZ51" s="964"/>
      <c r="CA51" s="925"/>
      <c r="CB51" s="978"/>
      <c r="CC51" s="161"/>
      <c r="CD51" s="161"/>
      <c r="CE51" s="161"/>
      <c r="CF51" s="964"/>
      <c r="CG51" s="925"/>
      <c r="CH51" s="978"/>
      <c r="CI51" s="161"/>
      <c r="CJ51" s="161"/>
      <c r="CK51" s="161"/>
      <c r="CL51" s="964"/>
      <c r="CM51" s="14"/>
      <c r="CN51" s="14"/>
    </row>
    <row r="52" spans="1:92" ht="11.25" customHeight="1" x14ac:dyDescent="0.2">
      <c r="A52" s="970" t="s">
        <v>100</v>
      </c>
      <c r="B52" s="52"/>
      <c r="C52" s="52"/>
      <c r="D52" s="52"/>
      <c r="E52" s="52"/>
      <c r="F52" s="965"/>
      <c r="G52" s="412"/>
      <c r="H52" s="939"/>
      <c r="I52" s="52"/>
      <c r="J52" s="52"/>
      <c r="K52" s="52"/>
      <c r="L52" s="965"/>
      <c r="M52" s="412"/>
      <c r="N52" s="939"/>
      <c r="O52" s="52"/>
      <c r="P52" s="52"/>
      <c r="Q52" s="52"/>
      <c r="R52" s="965"/>
      <c r="S52" s="412"/>
      <c r="T52" s="939"/>
      <c r="U52" s="52"/>
      <c r="V52" s="52"/>
      <c r="W52" s="52"/>
      <c r="X52" s="965"/>
      <c r="Y52" s="412"/>
      <c r="Z52" s="939"/>
      <c r="AA52" s="52"/>
      <c r="AB52" s="52"/>
      <c r="AC52" s="52"/>
      <c r="AD52" s="965"/>
      <c r="AE52" s="412"/>
      <c r="AF52" s="939"/>
      <c r="AG52" s="52"/>
      <c r="AH52" s="52"/>
      <c r="AI52" s="52"/>
      <c r="AJ52" s="965"/>
      <c r="AK52" s="412"/>
      <c r="AL52" s="939"/>
      <c r="AM52" s="52"/>
      <c r="AN52" s="52"/>
      <c r="AO52" s="52"/>
      <c r="AP52" s="949"/>
      <c r="AQ52" s="412"/>
      <c r="AR52" s="939"/>
      <c r="AS52" s="52"/>
      <c r="AT52" s="52"/>
      <c r="AU52" s="52"/>
      <c r="AV52" s="949"/>
      <c r="AW52" s="412"/>
      <c r="AX52" s="939"/>
      <c r="AY52" s="52"/>
      <c r="AZ52" s="52"/>
      <c r="BA52" s="52"/>
      <c r="BB52" s="949"/>
      <c r="BC52" s="412"/>
      <c r="BD52" s="939"/>
      <c r="BE52" s="52"/>
      <c r="BF52" s="52"/>
      <c r="BG52" s="52"/>
      <c r="BH52" s="949"/>
      <c r="BI52" s="412"/>
      <c r="BJ52" s="939"/>
      <c r="BK52" s="52"/>
      <c r="BL52" s="52"/>
      <c r="BM52" s="52"/>
      <c r="BN52" s="949"/>
      <c r="BO52" s="412"/>
      <c r="BP52" s="939"/>
      <c r="BQ52" s="52"/>
      <c r="BR52" s="52"/>
      <c r="BS52" s="52"/>
      <c r="BT52" s="949"/>
      <c r="BU52" s="412"/>
      <c r="BV52" s="939"/>
      <c r="BW52" s="52"/>
      <c r="BX52" s="52"/>
      <c r="BY52" s="52"/>
      <c r="BZ52" s="949"/>
      <c r="CA52" s="412"/>
      <c r="CB52" s="939"/>
      <c r="CC52" s="52"/>
      <c r="CD52" s="52"/>
      <c r="CE52" s="52"/>
      <c r="CF52" s="949"/>
      <c r="CG52" s="412"/>
      <c r="CH52" s="939"/>
      <c r="CI52" s="52"/>
      <c r="CJ52" s="52"/>
      <c r="CK52" s="52"/>
      <c r="CL52" s="949"/>
      <c r="CM52" s="14"/>
      <c r="CN52" s="14"/>
    </row>
    <row r="53" spans="1:92" ht="11.25" customHeight="1" x14ac:dyDescent="0.2">
      <c r="A53" s="971" t="str">
        <f t="shared" ref="A53:A63" si="100">+A40</f>
        <v xml:space="preserve">Senior notes due fiscal 2018 </v>
      </c>
      <c r="B53" s="838"/>
      <c r="C53" s="838"/>
      <c r="D53" s="838"/>
      <c r="E53" s="838"/>
      <c r="F53" s="695"/>
      <c r="G53" s="420"/>
      <c r="H53" s="680"/>
      <c r="I53" s="838"/>
      <c r="J53" s="838"/>
      <c r="K53" s="838"/>
      <c r="L53" s="695">
        <f t="shared" ref="L53:L63" si="101">AVERAGE(F6,L6)*L40</f>
        <v>4.3125</v>
      </c>
      <c r="M53" s="420"/>
      <c r="N53" s="680"/>
      <c r="O53" s="838"/>
      <c r="P53" s="838"/>
      <c r="Q53" s="838"/>
      <c r="R53" s="695">
        <f t="shared" ref="R53:R63" si="102">AVERAGE(L6,R6)*R40</f>
        <v>8.625</v>
      </c>
      <c r="S53" s="420"/>
      <c r="T53" s="680"/>
      <c r="U53" s="838"/>
      <c r="V53" s="838"/>
      <c r="W53" s="838"/>
      <c r="X53" s="695">
        <f t="shared" ref="X53:X63" si="103">AVERAGE(R6,X6)*X40</f>
        <v>8.625</v>
      </c>
      <c r="Y53" s="420"/>
      <c r="Z53" s="680"/>
      <c r="AA53" s="838"/>
      <c r="AB53" s="838"/>
      <c r="AC53" s="838"/>
      <c r="AD53" s="695">
        <f t="shared" ref="AD53:AD63" si="104">AVERAGE(X6,AD6)*AD40</f>
        <v>8.625</v>
      </c>
      <c r="AE53" s="420"/>
      <c r="AF53" s="680"/>
      <c r="AG53" s="838"/>
      <c r="AH53" s="838"/>
      <c r="AI53" s="838"/>
      <c r="AJ53" s="695">
        <f t="shared" ref="AJ53:AJ59" si="105">SUM(AF53:AI53)</f>
        <v>0</v>
      </c>
      <c r="AK53" s="420"/>
      <c r="AL53" s="680">
        <f t="shared" ref="AL53:AL63" si="106">AVERAGE(AJ6,AL6)*AL40*0.25</f>
        <v>2.15625</v>
      </c>
      <c r="AM53" s="838">
        <f t="shared" ref="AM53:AO63" si="107">AVERAGE(AL6,AM6)*AM40*0.25</f>
        <v>2.15625</v>
      </c>
      <c r="AN53" s="838">
        <f t="shared" si="107"/>
        <v>2.15625</v>
      </c>
      <c r="AO53" s="838">
        <f t="shared" si="107"/>
        <v>2.15625</v>
      </c>
      <c r="AP53" s="669">
        <f t="shared" ref="AP53:AP59" si="108">SUM(AL53:AO53)</f>
        <v>8.625</v>
      </c>
      <c r="AQ53" s="420"/>
      <c r="AR53" s="680">
        <f t="shared" ref="AR53:AR63" si="109">AVERAGE(AP6,AR6)*AR40*0.25</f>
        <v>2.15625</v>
      </c>
      <c r="AS53" s="838">
        <f t="shared" ref="AS53:AU63" si="110">AVERAGE(AR6,AS6)*AS40*0.25</f>
        <v>2.15625</v>
      </c>
      <c r="AT53" s="838">
        <f t="shared" si="110"/>
        <v>2.15625</v>
      </c>
      <c r="AU53" s="838">
        <f t="shared" si="110"/>
        <v>2.15625</v>
      </c>
      <c r="AV53" s="669">
        <f t="shared" ref="AV53:AV59" si="111">SUM(AR53:AU53)</f>
        <v>8.625</v>
      </c>
      <c r="AW53" s="420"/>
      <c r="AX53" s="680">
        <f t="shared" ref="AX53:AX63" si="112">AVERAGE(AV6,AX6)*AX40*0.25</f>
        <v>2.15625</v>
      </c>
      <c r="AY53" s="838">
        <f t="shared" ref="AY53:BA63" si="113">AVERAGE(AX6,AY6)*AY40*0.25</f>
        <v>2.15625</v>
      </c>
      <c r="AZ53" s="838">
        <f t="shared" si="113"/>
        <v>2.15625</v>
      </c>
      <c r="BA53" s="838">
        <f t="shared" si="113"/>
        <v>2.15625</v>
      </c>
      <c r="BB53" s="669">
        <f t="shared" ref="BB53:BB59" si="114">SUM(AX53:BA53)</f>
        <v>8.625</v>
      </c>
      <c r="BC53" s="420"/>
      <c r="BD53" s="680">
        <f t="shared" ref="BD53:BD63" si="115">AVERAGE(BB6,BD6)*BD40*0.25</f>
        <v>2.15625</v>
      </c>
      <c r="BE53" s="838">
        <f t="shared" ref="BE53:BG63" si="116">AVERAGE(BD6,BE6)*BE40*0.25</f>
        <v>2.15625</v>
      </c>
      <c r="BF53" s="838">
        <f t="shared" si="116"/>
        <v>2.15625</v>
      </c>
      <c r="BG53" s="838">
        <f t="shared" si="116"/>
        <v>2.15625</v>
      </c>
      <c r="BH53" s="669">
        <f t="shared" ref="BH53:BH59" si="117">SUM(BD53:BG53)</f>
        <v>8.625</v>
      </c>
      <c r="BI53" s="420"/>
      <c r="BJ53" s="680">
        <f t="shared" ref="BJ53:BJ63" si="118">AVERAGE(BH6,BJ6)*BJ40*0.25</f>
        <v>2.15625</v>
      </c>
      <c r="BK53" s="838">
        <f t="shared" ref="BK53:BL63" si="119">AVERAGE(BJ6,BK6)*BK40*0.25</f>
        <v>2.15625</v>
      </c>
      <c r="BL53" s="838">
        <f t="shared" si="119"/>
        <v>2.15625</v>
      </c>
      <c r="BM53" s="838">
        <f t="shared" ref="BM53:BM63" si="120">AVERAGE(BL6,BM6)*BM40*0.25</f>
        <v>2.15625</v>
      </c>
      <c r="BN53" s="669">
        <f t="shared" ref="BN53:BN59" si="121">SUM(BJ53:BM53)</f>
        <v>8.625</v>
      </c>
      <c r="BO53" s="420"/>
      <c r="BP53" s="680">
        <f t="shared" ref="BP53:BP63" si="122">AVERAGE(BN6,BP6)*BP40*0.25</f>
        <v>2.15625</v>
      </c>
      <c r="BQ53" s="838">
        <f t="shared" ref="BQ53:BS63" si="123">AVERAGE(BP6,BQ6)*BQ40*0.25</f>
        <v>2.15625</v>
      </c>
      <c r="BR53" s="838">
        <f t="shared" si="123"/>
        <v>2.15625</v>
      </c>
      <c r="BS53" s="838">
        <f t="shared" si="123"/>
        <v>2.15625</v>
      </c>
      <c r="BT53" s="669">
        <f t="shared" ref="BT53:BT59" si="124">SUM(BP53:BS53)</f>
        <v>8.625</v>
      </c>
      <c r="BU53" s="420"/>
      <c r="BV53" s="680">
        <f t="shared" ref="BV53:BV63" si="125">AVERAGE(BT6,BV6)*BV40*0.25</f>
        <v>2.15625</v>
      </c>
      <c r="BW53" s="838">
        <f t="shared" ref="BW53:BY63" si="126">AVERAGE(BV6,BW6)*BW40*0.25</f>
        <v>2.15625</v>
      </c>
      <c r="BX53" s="838">
        <f t="shared" si="126"/>
        <v>2.15625</v>
      </c>
      <c r="BY53" s="838">
        <f t="shared" si="126"/>
        <v>2.15625</v>
      </c>
      <c r="BZ53" s="669">
        <f t="shared" ref="BZ53:BZ59" si="127">SUM(BV53:BY53)</f>
        <v>8.625</v>
      </c>
      <c r="CA53" s="420"/>
      <c r="CB53" s="680">
        <f t="shared" ref="CB53:CB63" si="128">AVERAGE(BZ6,CB6)*CB40*0.25</f>
        <v>2.15625</v>
      </c>
      <c r="CC53" s="838">
        <f t="shared" ref="CC53:CE63" si="129">AVERAGE(CB6,CC6)*CC40*0.25</f>
        <v>2.15625</v>
      </c>
      <c r="CD53" s="838">
        <f t="shared" si="129"/>
        <v>2.15625</v>
      </c>
      <c r="CE53" s="838">
        <f t="shared" si="129"/>
        <v>2.15625</v>
      </c>
      <c r="CF53" s="669">
        <f t="shared" ref="CF53:CF59" si="130">SUM(CB53:CE53)</f>
        <v>8.625</v>
      </c>
      <c r="CG53" s="420"/>
      <c r="CH53" s="680">
        <f t="shared" ref="CH53:CH63" si="131">AVERAGE(CF6,CH6)*CH40*0.25</f>
        <v>2.15625</v>
      </c>
      <c r="CI53" s="838">
        <f t="shared" ref="CI53:CI63" si="132">AVERAGE(CH6,CI6)*CI40*0.25</f>
        <v>2.15625</v>
      </c>
      <c r="CJ53" s="838">
        <f t="shared" ref="CJ53:CJ63" si="133">AVERAGE(CI6,CJ6)*CJ40*0.25</f>
        <v>2.15625</v>
      </c>
      <c r="CK53" s="838">
        <f t="shared" ref="CK53:CK63" si="134">AVERAGE(CJ6,CK6)*CK40*0.25</f>
        <v>2.15625</v>
      </c>
      <c r="CL53" s="669">
        <f t="shared" ref="CL53:CL59" si="135">SUM(CH53:CK53)</f>
        <v>8.625</v>
      </c>
      <c r="CM53" s="14"/>
      <c r="CN53" s="14"/>
    </row>
    <row r="54" spans="1:92" ht="11.25" customHeight="1" x14ac:dyDescent="0.2">
      <c r="A54" s="971" t="str">
        <f t="shared" si="100"/>
        <v>Senior notes due fiscal 2019</v>
      </c>
      <c r="B54" s="838"/>
      <c r="C54" s="838"/>
      <c r="D54" s="838"/>
      <c r="E54" s="838"/>
      <c r="F54" s="695"/>
      <c r="G54" s="420"/>
      <c r="H54" s="680"/>
      <c r="I54" s="838"/>
      <c r="J54" s="838"/>
      <c r="K54" s="838"/>
      <c r="L54" s="695">
        <f t="shared" si="101"/>
        <v>0</v>
      </c>
      <c r="M54" s="420"/>
      <c r="N54" s="680"/>
      <c r="O54" s="838"/>
      <c r="P54" s="838"/>
      <c r="Q54" s="838"/>
      <c r="R54" s="695">
        <f t="shared" si="102"/>
        <v>0</v>
      </c>
      <c r="S54" s="420"/>
      <c r="T54" s="680"/>
      <c r="U54" s="838"/>
      <c r="V54" s="838"/>
      <c r="W54" s="838"/>
      <c r="X54" s="695">
        <f t="shared" si="103"/>
        <v>0</v>
      </c>
      <c r="Y54" s="420"/>
      <c r="Z54" s="680"/>
      <c r="AA54" s="838"/>
      <c r="AB54" s="838"/>
      <c r="AC54" s="838"/>
      <c r="AD54" s="695">
        <f t="shared" si="104"/>
        <v>0</v>
      </c>
      <c r="AE54" s="420"/>
      <c r="AF54" s="680"/>
      <c r="AG54" s="838"/>
      <c r="AH54" s="838"/>
      <c r="AI54" s="838"/>
      <c r="AJ54" s="695">
        <f t="shared" si="105"/>
        <v>0</v>
      </c>
      <c r="AK54" s="420"/>
      <c r="AL54" s="680">
        <f t="shared" si="106"/>
        <v>0.4425</v>
      </c>
      <c r="AM54" s="838">
        <f t="shared" si="107"/>
        <v>0.4425</v>
      </c>
      <c r="AN54" s="838">
        <f t="shared" si="107"/>
        <v>0.4425</v>
      </c>
      <c r="AO54" s="838">
        <f t="shared" si="107"/>
        <v>0.4425</v>
      </c>
      <c r="AP54" s="669">
        <f t="shared" si="108"/>
        <v>1.77</v>
      </c>
      <c r="AQ54" s="420"/>
      <c r="AR54" s="680">
        <f t="shared" si="109"/>
        <v>0.4425</v>
      </c>
      <c r="AS54" s="838">
        <f t="shared" si="110"/>
        <v>0.4425</v>
      </c>
      <c r="AT54" s="838">
        <f t="shared" si="110"/>
        <v>0.4425</v>
      </c>
      <c r="AU54" s="838">
        <f t="shared" si="110"/>
        <v>0.4425</v>
      </c>
      <c r="AV54" s="669">
        <f t="shared" si="111"/>
        <v>1.77</v>
      </c>
      <c r="AW54" s="420"/>
      <c r="AX54" s="680">
        <f t="shared" si="112"/>
        <v>0.4425</v>
      </c>
      <c r="AY54" s="838">
        <f t="shared" si="113"/>
        <v>0.4425</v>
      </c>
      <c r="AZ54" s="838">
        <f t="shared" si="113"/>
        <v>0.4425</v>
      </c>
      <c r="BA54" s="838">
        <f t="shared" si="113"/>
        <v>0.4425</v>
      </c>
      <c r="BB54" s="669">
        <f t="shared" si="114"/>
        <v>1.77</v>
      </c>
      <c r="BC54" s="420"/>
      <c r="BD54" s="680">
        <f t="shared" si="115"/>
        <v>0.4425</v>
      </c>
      <c r="BE54" s="838">
        <f t="shared" si="116"/>
        <v>0.4425</v>
      </c>
      <c r="BF54" s="838">
        <f t="shared" si="116"/>
        <v>0.4425</v>
      </c>
      <c r="BG54" s="838">
        <f t="shared" si="116"/>
        <v>0.4425</v>
      </c>
      <c r="BH54" s="669">
        <f t="shared" si="117"/>
        <v>1.77</v>
      </c>
      <c r="BI54" s="420"/>
      <c r="BJ54" s="680">
        <f t="shared" si="118"/>
        <v>0.4425</v>
      </c>
      <c r="BK54" s="838">
        <f t="shared" si="119"/>
        <v>0.4425</v>
      </c>
      <c r="BL54" s="838">
        <f t="shared" si="119"/>
        <v>0.4425</v>
      </c>
      <c r="BM54" s="838">
        <f t="shared" si="120"/>
        <v>0.4425</v>
      </c>
      <c r="BN54" s="669">
        <f t="shared" si="121"/>
        <v>1.77</v>
      </c>
      <c r="BO54" s="420"/>
      <c r="BP54" s="680">
        <f t="shared" si="122"/>
        <v>0.4425</v>
      </c>
      <c r="BQ54" s="838">
        <f t="shared" si="123"/>
        <v>0.4425</v>
      </c>
      <c r="BR54" s="838">
        <f t="shared" si="123"/>
        <v>0.4425</v>
      </c>
      <c r="BS54" s="838">
        <f t="shared" si="123"/>
        <v>0.4425</v>
      </c>
      <c r="BT54" s="669">
        <f t="shared" si="124"/>
        <v>1.77</v>
      </c>
      <c r="BU54" s="420"/>
      <c r="BV54" s="680">
        <f t="shared" si="125"/>
        <v>0.4425</v>
      </c>
      <c r="BW54" s="838">
        <f t="shared" si="126"/>
        <v>0.4425</v>
      </c>
      <c r="BX54" s="838">
        <f t="shared" si="126"/>
        <v>0.4425</v>
      </c>
      <c r="BY54" s="838">
        <f t="shared" si="126"/>
        <v>0.4425</v>
      </c>
      <c r="BZ54" s="669">
        <f t="shared" si="127"/>
        <v>1.77</v>
      </c>
      <c r="CA54" s="420"/>
      <c r="CB54" s="680">
        <f t="shared" si="128"/>
        <v>0.4425</v>
      </c>
      <c r="CC54" s="838">
        <f t="shared" si="129"/>
        <v>0.4425</v>
      </c>
      <c r="CD54" s="838">
        <f t="shared" si="129"/>
        <v>0.4425</v>
      </c>
      <c r="CE54" s="838">
        <f t="shared" si="129"/>
        <v>0.4425</v>
      </c>
      <c r="CF54" s="669">
        <f t="shared" si="130"/>
        <v>1.77</v>
      </c>
      <c r="CG54" s="420"/>
      <c r="CH54" s="680">
        <f t="shared" si="131"/>
        <v>0.4425</v>
      </c>
      <c r="CI54" s="838">
        <f t="shared" si="132"/>
        <v>0.4425</v>
      </c>
      <c r="CJ54" s="838">
        <f t="shared" si="133"/>
        <v>0.4425</v>
      </c>
      <c r="CK54" s="838">
        <f t="shared" si="134"/>
        <v>0.4425</v>
      </c>
      <c r="CL54" s="669">
        <f t="shared" si="135"/>
        <v>1.77</v>
      </c>
      <c r="CM54" s="14"/>
      <c r="CN54" s="14"/>
    </row>
    <row r="55" spans="1:92" ht="11.25" customHeight="1" x14ac:dyDescent="0.2">
      <c r="A55" s="971" t="str">
        <f t="shared" si="100"/>
        <v>Senior notes due fiscal 2022</v>
      </c>
      <c r="B55" s="838"/>
      <c r="C55" s="838"/>
      <c r="D55" s="838"/>
      <c r="E55" s="838"/>
      <c r="F55" s="695"/>
      <c r="G55" s="420"/>
      <c r="H55" s="680"/>
      <c r="I55" s="838"/>
      <c r="J55" s="838"/>
      <c r="K55" s="838"/>
      <c r="L55" s="695">
        <f t="shared" si="101"/>
        <v>0</v>
      </c>
      <c r="M55" s="420"/>
      <c r="N55" s="680"/>
      <c r="O55" s="838"/>
      <c r="P55" s="838"/>
      <c r="Q55" s="838"/>
      <c r="R55" s="695">
        <f t="shared" si="102"/>
        <v>0</v>
      </c>
      <c r="S55" s="420"/>
      <c r="T55" s="680"/>
      <c r="U55" s="838"/>
      <c r="V55" s="838"/>
      <c r="W55" s="838"/>
      <c r="X55" s="695">
        <f t="shared" si="103"/>
        <v>0</v>
      </c>
      <c r="Y55" s="420"/>
      <c r="Z55" s="680"/>
      <c r="AA55" s="838"/>
      <c r="AB55" s="838"/>
      <c r="AC55" s="838"/>
      <c r="AD55" s="695">
        <f t="shared" si="104"/>
        <v>0</v>
      </c>
      <c r="AE55" s="420"/>
      <c r="AF55" s="680"/>
      <c r="AG55" s="838"/>
      <c r="AH55" s="838"/>
      <c r="AI55" s="838"/>
      <c r="AJ55" s="695">
        <f t="shared" si="105"/>
        <v>0</v>
      </c>
      <c r="AK55" s="420"/>
      <c r="AL55" s="680">
        <f t="shared" si="106"/>
        <v>1.4808750000000002</v>
      </c>
      <c r="AM55" s="838">
        <f t="shared" si="107"/>
        <v>1.4808750000000002</v>
      </c>
      <c r="AN55" s="838">
        <f t="shared" si="107"/>
        <v>1.4808750000000002</v>
      </c>
      <c r="AO55" s="838">
        <f t="shared" si="107"/>
        <v>1.4808750000000002</v>
      </c>
      <c r="AP55" s="669">
        <f t="shared" si="108"/>
        <v>5.9235000000000007</v>
      </c>
      <c r="AQ55" s="420"/>
      <c r="AR55" s="680">
        <f t="shared" si="109"/>
        <v>1.4808750000000002</v>
      </c>
      <c r="AS55" s="838">
        <f t="shared" si="110"/>
        <v>1.4808750000000002</v>
      </c>
      <c r="AT55" s="838">
        <f t="shared" si="110"/>
        <v>1.4808750000000002</v>
      </c>
      <c r="AU55" s="838">
        <f t="shared" si="110"/>
        <v>1.4808750000000002</v>
      </c>
      <c r="AV55" s="669">
        <f t="shared" si="111"/>
        <v>5.9235000000000007</v>
      </c>
      <c r="AW55" s="420"/>
      <c r="AX55" s="680">
        <f t="shared" si="112"/>
        <v>1.4808750000000002</v>
      </c>
      <c r="AY55" s="838">
        <f t="shared" si="113"/>
        <v>1.4808750000000002</v>
      </c>
      <c r="AZ55" s="838">
        <f t="shared" si="113"/>
        <v>1.4808750000000002</v>
      </c>
      <c r="BA55" s="838">
        <f t="shared" si="113"/>
        <v>1.4808750000000002</v>
      </c>
      <c r="BB55" s="669">
        <f t="shared" si="114"/>
        <v>5.9235000000000007</v>
      </c>
      <c r="BC55" s="420"/>
      <c r="BD55" s="680">
        <f t="shared" si="115"/>
        <v>1.4808750000000002</v>
      </c>
      <c r="BE55" s="838">
        <f t="shared" si="116"/>
        <v>1.4808750000000002</v>
      </c>
      <c r="BF55" s="838">
        <f t="shared" si="116"/>
        <v>1.4808750000000002</v>
      </c>
      <c r="BG55" s="838">
        <f t="shared" si="116"/>
        <v>1.4808750000000002</v>
      </c>
      <c r="BH55" s="669">
        <f t="shared" si="117"/>
        <v>5.9235000000000007</v>
      </c>
      <c r="BI55" s="420"/>
      <c r="BJ55" s="680">
        <f t="shared" si="118"/>
        <v>1.4808750000000002</v>
      </c>
      <c r="BK55" s="838">
        <f t="shared" si="119"/>
        <v>1.4808750000000002</v>
      </c>
      <c r="BL55" s="838">
        <f t="shared" si="119"/>
        <v>1.4808750000000002</v>
      </c>
      <c r="BM55" s="838">
        <f t="shared" si="120"/>
        <v>1.4808750000000002</v>
      </c>
      <c r="BN55" s="669">
        <f t="shared" si="121"/>
        <v>5.9235000000000007</v>
      </c>
      <c r="BO55" s="420"/>
      <c r="BP55" s="680">
        <f t="shared" si="122"/>
        <v>1.4808750000000002</v>
      </c>
      <c r="BQ55" s="838">
        <f t="shared" si="123"/>
        <v>1.4808750000000002</v>
      </c>
      <c r="BR55" s="838">
        <f t="shared" si="123"/>
        <v>1.4808750000000002</v>
      </c>
      <c r="BS55" s="838">
        <f t="shared" si="123"/>
        <v>1.4808750000000002</v>
      </c>
      <c r="BT55" s="669">
        <f t="shared" si="124"/>
        <v>5.9235000000000007</v>
      </c>
      <c r="BU55" s="420"/>
      <c r="BV55" s="680">
        <f t="shared" si="125"/>
        <v>1.4808750000000002</v>
      </c>
      <c r="BW55" s="838">
        <f t="shared" si="126"/>
        <v>1.4808750000000002</v>
      </c>
      <c r="BX55" s="838">
        <f t="shared" si="126"/>
        <v>1.4808750000000002</v>
      </c>
      <c r="BY55" s="838">
        <f t="shared" si="126"/>
        <v>1.4808750000000002</v>
      </c>
      <c r="BZ55" s="669">
        <f t="shared" si="127"/>
        <v>5.9235000000000007</v>
      </c>
      <c r="CA55" s="420"/>
      <c r="CB55" s="680">
        <f t="shared" si="128"/>
        <v>1.4808750000000002</v>
      </c>
      <c r="CC55" s="838">
        <f t="shared" si="129"/>
        <v>1.4808750000000002</v>
      </c>
      <c r="CD55" s="838">
        <f t="shared" si="129"/>
        <v>1.4808750000000002</v>
      </c>
      <c r="CE55" s="838">
        <f t="shared" si="129"/>
        <v>1.4808750000000002</v>
      </c>
      <c r="CF55" s="669">
        <f t="shared" si="130"/>
        <v>5.9235000000000007</v>
      </c>
      <c r="CG55" s="420"/>
      <c r="CH55" s="680">
        <f t="shared" si="131"/>
        <v>1.4808750000000002</v>
      </c>
      <c r="CI55" s="838">
        <f t="shared" si="132"/>
        <v>1.4808750000000002</v>
      </c>
      <c r="CJ55" s="838">
        <f t="shared" si="133"/>
        <v>1.4808750000000002</v>
      </c>
      <c r="CK55" s="838">
        <f t="shared" si="134"/>
        <v>1.4808750000000002</v>
      </c>
      <c r="CL55" s="669">
        <f t="shared" si="135"/>
        <v>5.9235000000000007</v>
      </c>
      <c r="CM55" s="14"/>
      <c r="CN55" s="14"/>
    </row>
    <row r="56" spans="1:92" ht="11.25" customHeight="1" x14ac:dyDescent="0.2">
      <c r="A56" s="971" t="str">
        <f t="shared" si="100"/>
        <v>Senior notes due fiscal 2024</v>
      </c>
      <c r="B56" s="838"/>
      <c r="C56" s="838"/>
      <c r="D56" s="838"/>
      <c r="E56" s="838"/>
      <c r="F56" s="695"/>
      <c r="G56" s="420"/>
      <c r="H56" s="680"/>
      <c r="I56" s="838"/>
      <c r="J56" s="838"/>
      <c r="K56" s="838"/>
      <c r="L56" s="695">
        <f t="shared" si="101"/>
        <v>0</v>
      </c>
      <c r="M56" s="420"/>
      <c r="N56" s="680"/>
      <c r="O56" s="838"/>
      <c r="P56" s="838"/>
      <c r="Q56" s="838"/>
      <c r="R56" s="695">
        <f t="shared" si="102"/>
        <v>0</v>
      </c>
      <c r="S56" s="420"/>
      <c r="T56" s="680"/>
      <c r="U56" s="838"/>
      <c r="V56" s="838"/>
      <c r="W56" s="838"/>
      <c r="X56" s="695">
        <f t="shared" si="103"/>
        <v>0</v>
      </c>
      <c r="Y56" s="420"/>
      <c r="Z56" s="680"/>
      <c r="AA56" s="838"/>
      <c r="AB56" s="838"/>
      <c r="AC56" s="838"/>
      <c r="AD56" s="695">
        <f t="shared" si="104"/>
        <v>0</v>
      </c>
      <c r="AE56" s="420"/>
      <c r="AF56" s="680"/>
      <c r="AG56" s="838"/>
      <c r="AH56" s="838"/>
      <c r="AI56" s="838"/>
      <c r="AJ56" s="695">
        <f t="shared" si="105"/>
        <v>0</v>
      </c>
      <c r="AK56" s="420"/>
      <c r="AL56" s="680">
        <f t="shared" si="106"/>
        <v>0.93500000000000005</v>
      </c>
      <c r="AM56" s="838">
        <f t="shared" si="107"/>
        <v>0.93500000000000005</v>
      </c>
      <c r="AN56" s="838">
        <f t="shared" si="107"/>
        <v>0.93500000000000005</v>
      </c>
      <c r="AO56" s="838">
        <f t="shared" si="107"/>
        <v>0.93500000000000005</v>
      </c>
      <c r="AP56" s="669">
        <f t="shared" si="108"/>
        <v>3.74</v>
      </c>
      <c r="AQ56" s="420"/>
      <c r="AR56" s="680">
        <f t="shared" si="109"/>
        <v>0.93500000000000005</v>
      </c>
      <c r="AS56" s="838">
        <f t="shared" si="110"/>
        <v>0.93500000000000005</v>
      </c>
      <c r="AT56" s="838">
        <f t="shared" si="110"/>
        <v>0.93500000000000005</v>
      </c>
      <c r="AU56" s="838">
        <f t="shared" si="110"/>
        <v>0.93500000000000005</v>
      </c>
      <c r="AV56" s="669">
        <f t="shared" si="111"/>
        <v>3.74</v>
      </c>
      <c r="AW56" s="420"/>
      <c r="AX56" s="680">
        <f t="shared" si="112"/>
        <v>0.93500000000000005</v>
      </c>
      <c r="AY56" s="838">
        <f t="shared" si="113"/>
        <v>0.93500000000000005</v>
      </c>
      <c r="AZ56" s="838">
        <f t="shared" si="113"/>
        <v>0.93500000000000005</v>
      </c>
      <c r="BA56" s="838">
        <f t="shared" si="113"/>
        <v>0.93500000000000005</v>
      </c>
      <c r="BB56" s="669">
        <f t="shared" si="114"/>
        <v>3.74</v>
      </c>
      <c r="BC56" s="420"/>
      <c r="BD56" s="680">
        <f t="shared" si="115"/>
        <v>0.93500000000000005</v>
      </c>
      <c r="BE56" s="838">
        <f t="shared" si="116"/>
        <v>0.93500000000000005</v>
      </c>
      <c r="BF56" s="838">
        <f t="shared" si="116"/>
        <v>0.93500000000000005</v>
      </c>
      <c r="BG56" s="838">
        <f t="shared" si="116"/>
        <v>0.93500000000000005</v>
      </c>
      <c r="BH56" s="669">
        <f t="shared" si="117"/>
        <v>3.74</v>
      </c>
      <c r="BI56" s="420"/>
      <c r="BJ56" s="680">
        <f t="shared" si="118"/>
        <v>0.93500000000000005</v>
      </c>
      <c r="BK56" s="838">
        <f t="shared" si="119"/>
        <v>0.93500000000000005</v>
      </c>
      <c r="BL56" s="838">
        <f t="shared" si="119"/>
        <v>0.93500000000000005</v>
      </c>
      <c r="BM56" s="838">
        <f t="shared" si="120"/>
        <v>0.93500000000000005</v>
      </c>
      <c r="BN56" s="669">
        <f t="shared" si="121"/>
        <v>3.74</v>
      </c>
      <c r="BO56" s="420"/>
      <c r="BP56" s="680">
        <f t="shared" si="122"/>
        <v>0.93500000000000005</v>
      </c>
      <c r="BQ56" s="838">
        <f t="shared" si="123"/>
        <v>0.93500000000000005</v>
      </c>
      <c r="BR56" s="838">
        <f t="shared" si="123"/>
        <v>0.93500000000000005</v>
      </c>
      <c r="BS56" s="838">
        <f t="shared" si="123"/>
        <v>0.93500000000000005</v>
      </c>
      <c r="BT56" s="669">
        <f t="shared" si="124"/>
        <v>3.74</v>
      </c>
      <c r="BU56" s="420"/>
      <c r="BV56" s="680">
        <f t="shared" si="125"/>
        <v>0.93500000000000005</v>
      </c>
      <c r="BW56" s="838">
        <f t="shared" si="126"/>
        <v>0.93500000000000005</v>
      </c>
      <c r="BX56" s="838">
        <f t="shared" si="126"/>
        <v>0.93500000000000005</v>
      </c>
      <c r="BY56" s="838">
        <f t="shared" si="126"/>
        <v>0.93500000000000005</v>
      </c>
      <c r="BZ56" s="669">
        <f t="shared" si="127"/>
        <v>3.74</v>
      </c>
      <c r="CA56" s="420"/>
      <c r="CB56" s="680">
        <f t="shared" si="128"/>
        <v>0.93500000000000005</v>
      </c>
      <c r="CC56" s="838">
        <f t="shared" si="129"/>
        <v>0.93500000000000005</v>
      </c>
      <c r="CD56" s="838">
        <f t="shared" si="129"/>
        <v>0.93500000000000005</v>
      </c>
      <c r="CE56" s="838">
        <f t="shared" si="129"/>
        <v>0.93500000000000005</v>
      </c>
      <c r="CF56" s="669">
        <f t="shared" si="130"/>
        <v>3.74</v>
      </c>
      <c r="CG56" s="420"/>
      <c r="CH56" s="680">
        <f t="shared" si="131"/>
        <v>0.93500000000000005</v>
      </c>
      <c r="CI56" s="838">
        <f t="shared" si="132"/>
        <v>0.93500000000000005</v>
      </c>
      <c r="CJ56" s="838">
        <f t="shared" si="133"/>
        <v>0.93500000000000005</v>
      </c>
      <c r="CK56" s="838">
        <f t="shared" si="134"/>
        <v>0.93500000000000005</v>
      </c>
      <c r="CL56" s="669">
        <f t="shared" si="135"/>
        <v>3.74</v>
      </c>
      <c r="CM56" s="14"/>
      <c r="CN56" s="14"/>
    </row>
    <row r="57" spans="1:92" ht="11.25" customHeight="1" x14ac:dyDescent="0.2">
      <c r="A57" s="971" t="str">
        <f t="shared" si="100"/>
        <v>Senior notes due fiscal 2025</v>
      </c>
      <c r="B57" s="838"/>
      <c r="C57" s="838"/>
      <c r="D57" s="838"/>
      <c r="E57" s="838"/>
      <c r="F57" s="695"/>
      <c r="G57" s="420"/>
      <c r="H57" s="680"/>
      <c r="I57" s="838"/>
      <c r="J57" s="838"/>
      <c r="K57" s="838"/>
      <c r="L57" s="695">
        <f t="shared" si="101"/>
        <v>0</v>
      </c>
      <c r="M57" s="420"/>
      <c r="N57" s="680"/>
      <c r="O57" s="838"/>
      <c r="P57" s="838"/>
      <c r="Q57" s="838"/>
      <c r="R57" s="695">
        <f t="shared" si="102"/>
        <v>0</v>
      </c>
      <c r="S57" s="420"/>
      <c r="T57" s="680"/>
      <c r="U57" s="838"/>
      <c r="V57" s="838"/>
      <c r="W57" s="838"/>
      <c r="X57" s="695">
        <f t="shared" si="103"/>
        <v>0</v>
      </c>
      <c r="Y57" s="420"/>
      <c r="Z57" s="680"/>
      <c r="AA57" s="838"/>
      <c r="AB57" s="838"/>
      <c r="AC57" s="838"/>
      <c r="AD57" s="695">
        <f t="shared" si="104"/>
        <v>0</v>
      </c>
      <c r="AE57" s="420"/>
      <c r="AF57" s="680"/>
      <c r="AG57" s="838"/>
      <c r="AH57" s="838"/>
      <c r="AI57" s="838"/>
      <c r="AJ57" s="695">
        <f t="shared" si="105"/>
        <v>0</v>
      </c>
      <c r="AK57" s="420"/>
      <c r="AL57" s="680">
        <f t="shared" si="106"/>
        <v>0</v>
      </c>
      <c r="AM57" s="838">
        <f t="shared" si="107"/>
        <v>0</v>
      </c>
      <c r="AN57" s="838">
        <f t="shared" si="107"/>
        <v>0</v>
      </c>
      <c r="AO57" s="838">
        <f t="shared" si="107"/>
        <v>0</v>
      </c>
      <c r="AP57" s="669">
        <f t="shared" si="108"/>
        <v>0</v>
      </c>
      <c r="AQ57" s="420"/>
      <c r="AR57" s="680">
        <f t="shared" si="109"/>
        <v>0</v>
      </c>
      <c r="AS57" s="838">
        <f t="shared" si="110"/>
        <v>0</v>
      </c>
      <c r="AT57" s="838">
        <f t="shared" si="110"/>
        <v>0</v>
      </c>
      <c r="AU57" s="838">
        <f t="shared" si="110"/>
        <v>0</v>
      </c>
      <c r="AV57" s="669">
        <f t="shared" si="111"/>
        <v>0</v>
      </c>
      <c r="AW57" s="420"/>
      <c r="AX57" s="680">
        <f t="shared" si="112"/>
        <v>0</v>
      </c>
      <c r="AY57" s="838">
        <f t="shared" si="113"/>
        <v>0</v>
      </c>
      <c r="AZ57" s="838">
        <f t="shared" si="113"/>
        <v>0</v>
      </c>
      <c r="BA57" s="838">
        <f t="shared" si="113"/>
        <v>1.0874999999999999</v>
      </c>
      <c r="BB57" s="669">
        <f t="shared" si="114"/>
        <v>1.0874999999999999</v>
      </c>
      <c r="BC57" s="420"/>
      <c r="BD57" s="680">
        <f t="shared" si="115"/>
        <v>2.1749999999999998</v>
      </c>
      <c r="BE57" s="838">
        <f t="shared" si="116"/>
        <v>2.1749999999999998</v>
      </c>
      <c r="BF57" s="838">
        <f t="shared" si="116"/>
        <v>2.1749999999999998</v>
      </c>
      <c r="BG57" s="838">
        <f t="shared" si="116"/>
        <v>2.1749999999999998</v>
      </c>
      <c r="BH57" s="669">
        <f t="shared" si="117"/>
        <v>8.6999999999999993</v>
      </c>
      <c r="BI57" s="420"/>
      <c r="BJ57" s="680">
        <f t="shared" si="118"/>
        <v>2.1749999999999998</v>
      </c>
      <c r="BK57" s="838">
        <f t="shared" si="119"/>
        <v>2.1749999999999998</v>
      </c>
      <c r="BL57" s="838">
        <f t="shared" si="119"/>
        <v>2.1749999999999998</v>
      </c>
      <c r="BM57" s="838">
        <f t="shared" si="120"/>
        <v>2.1749999999999998</v>
      </c>
      <c r="BN57" s="669">
        <f t="shared" si="121"/>
        <v>8.6999999999999993</v>
      </c>
      <c r="BO57" s="420"/>
      <c r="BP57" s="680">
        <f t="shared" si="122"/>
        <v>4.375</v>
      </c>
      <c r="BQ57" s="838">
        <f t="shared" si="123"/>
        <v>4.375</v>
      </c>
      <c r="BR57" s="838">
        <f t="shared" si="123"/>
        <v>4.375</v>
      </c>
      <c r="BS57" s="838">
        <f t="shared" si="123"/>
        <v>4.375</v>
      </c>
      <c r="BT57" s="669">
        <f t="shared" si="124"/>
        <v>17.5</v>
      </c>
      <c r="BU57" s="420"/>
      <c r="BV57" s="680">
        <f t="shared" si="125"/>
        <v>4.375</v>
      </c>
      <c r="BW57" s="838">
        <f t="shared" si="126"/>
        <v>4.375</v>
      </c>
      <c r="BX57" s="838">
        <f t="shared" si="126"/>
        <v>4.375</v>
      </c>
      <c r="BY57" s="838">
        <f t="shared" si="126"/>
        <v>4.375</v>
      </c>
      <c r="BZ57" s="669">
        <f t="shared" si="127"/>
        <v>17.5</v>
      </c>
      <c r="CA57" s="420"/>
      <c r="CB57" s="680">
        <f t="shared" si="128"/>
        <v>4.375</v>
      </c>
      <c r="CC57" s="838">
        <f t="shared" si="129"/>
        <v>4.375</v>
      </c>
      <c r="CD57" s="838">
        <f t="shared" si="129"/>
        <v>4.375</v>
      </c>
      <c r="CE57" s="838">
        <f t="shared" si="129"/>
        <v>4.375</v>
      </c>
      <c r="CF57" s="669">
        <f t="shared" si="130"/>
        <v>17.5</v>
      </c>
      <c r="CG57" s="420"/>
      <c r="CH57" s="680">
        <f t="shared" si="131"/>
        <v>4.375</v>
      </c>
      <c r="CI57" s="838">
        <f t="shared" si="132"/>
        <v>4.375</v>
      </c>
      <c r="CJ57" s="838">
        <f t="shared" si="133"/>
        <v>4.375</v>
      </c>
      <c r="CK57" s="838">
        <f t="shared" si="134"/>
        <v>4.375</v>
      </c>
      <c r="CL57" s="669">
        <f t="shared" si="135"/>
        <v>17.5</v>
      </c>
      <c r="CM57" s="14"/>
      <c r="CN57" s="14"/>
    </row>
    <row r="58" spans="1:92" ht="11.25" customHeight="1" x14ac:dyDescent="0.2">
      <c r="A58" s="971" t="str">
        <f t="shared" si="100"/>
        <v>Term loan due fiscal 2021</v>
      </c>
      <c r="B58" s="838"/>
      <c r="C58" s="838"/>
      <c r="D58" s="838"/>
      <c r="E58" s="838"/>
      <c r="F58" s="695"/>
      <c r="G58" s="420"/>
      <c r="H58" s="680"/>
      <c r="I58" s="838"/>
      <c r="J58" s="838"/>
      <c r="K58" s="838"/>
      <c r="L58" s="695">
        <f t="shared" si="101"/>
        <v>0</v>
      </c>
      <c r="M58" s="420"/>
      <c r="N58" s="680"/>
      <c r="O58" s="838"/>
      <c r="P58" s="838"/>
      <c r="Q58" s="838"/>
      <c r="R58" s="695">
        <f t="shared" si="102"/>
        <v>0</v>
      </c>
      <c r="S58" s="420"/>
      <c r="T58" s="680"/>
      <c r="U58" s="838"/>
      <c r="V58" s="838"/>
      <c r="W58" s="838"/>
      <c r="X58" s="695">
        <f t="shared" si="103"/>
        <v>0</v>
      </c>
      <c r="Y58" s="420"/>
      <c r="Z58" s="680"/>
      <c r="AA58" s="838"/>
      <c r="AB58" s="838"/>
      <c r="AC58" s="838"/>
      <c r="AD58" s="695">
        <f t="shared" si="104"/>
        <v>0</v>
      </c>
      <c r="AE58" s="420"/>
      <c r="AF58" s="680"/>
      <c r="AG58" s="838"/>
      <c r="AH58" s="838"/>
      <c r="AI58" s="838"/>
      <c r="AJ58" s="695">
        <f t="shared" si="105"/>
        <v>0</v>
      </c>
      <c r="AK58" s="420"/>
      <c r="AL58" s="680">
        <f t="shared" si="106"/>
        <v>0</v>
      </c>
      <c r="AM58" s="838">
        <f t="shared" si="107"/>
        <v>0</v>
      </c>
      <c r="AN58" s="838">
        <f t="shared" si="107"/>
        <v>0</v>
      </c>
      <c r="AO58" s="838">
        <f t="shared" si="107"/>
        <v>0</v>
      </c>
      <c r="AP58" s="669">
        <f t="shared" si="108"/>
        <v>0</v>
      </c>
      <c r="AQ58" s="420"/>
      <c r="AR58" s="680">
        <f t="shared" si="109"/>
        <v>0</v>
      </c>
      <c r="AS58" s="838">
        <f t="shared" si="110"/>
        <v>0</v>
      </c>
      <c r="AT58" s="838">
        <f t="shared" si="110"/>
        <v>0</v>
      </c>
      <c r="AU58" s="838">
        <f t="shared" si="110"/>
        <v>0</v>
      </c>
      <c r="AV58" s="669">
        <f t="shared" si="111"/>
        <v>0</v>
      </c>
      <c r="AW58" s="420"/>
      <c r="AX58" s="680">
        <f t="shared" si="112"/>
        <v>0</v>
      </c>
      <c r="AY58" s="838">
        <f t="shared" si="113"/>
        <v>0</v>
      </c>
      <c r="AZ58" s="838">
        <f t="shared" si="113"/>
        <v>0</v>
      </c>
      <c r="BA58" s="838">
        <f t="shared" si="113"/>
        <v>0</v>
      </c>
      <c r="BB58" s="669">
        <f t="shared" si="114"/>
        <v>0</v>
      </c>
      <c r="BC58" s="420"/>
      <c r="BD58" s="680">
        <f t="shared" si="115"/>
        <v>2.2625000000000002</v>
      </c>
      <c r="BE58" s="838">
        <f t="shared" si="116"/>
        <v>2.9997921875000002</v>
      </c>
      <c r="BF58" s="838">
        <f t="shared" si="116"/>
        <v>1.4652515625000002</v>
      </c>
      <c r="BG58" s="838">
        <f t="shared" si="116"/>
        <v>1.4465859375000001</v>
      </c>
      <c r="BH58" s="669">
        <f t="shared" si="117"/>
        <v>8.1741296875000007</v>
      </c>
      <c r="BI58" s="420"/>
      <c r="BJ58" s="680">
        <f t="shared" si="118"/>
        <v>1.3806406250000001</v>
      </c>
      <c r="BK58" s="838">
        <f t="shared" si="119"/>
        <v>1.3627031249999999</v>
      </c>
      <c r="BL58" s="838">
        <f t="shared" si="119"/>
        <v>1.3537343749999999</v>
      </c>
      <c r="BM58" s="838">
        <f t="shared" si="120"/>
        <v>1.3142762499999998</v>
      </c>
      <c r="BN58" s="669">
        <f t="shared" si="121"/>
        <v>5.4113543750000002</v>
      </c>
      <c r="BO58" s="420"/>
      <c r="BP58" s="680">
        <f t="shared" si="122"/>
        <v>1.2748181250000001</v>
      </c>
      <c r="BQ58" s="838">
        <f t="shared" si="123"/>
        <v>1.2748181250000001</v>
      </c>
      <c r="BR58" s="838">
        <f t="shared" si="123"/>
        <v>1.2748181250000001</v>
      </c>
      <c r="BS58" s="838">
        <f t="shared" si="123"/>
        <v>1.2748181250000001</v>
      </c>
      <c r="BT58" s="669">
        <f t="shared" si="124"/>
        <v>5.0992725000000005</v>
      </c>
      <c r="BU58" s="420"/>
      <c r="BV58" s="680">
        <f t="shared" si="125"/>
        <v>1.2748181250000001</v>
      </c>
      <c r="BW58" s="838">
        <f t="shared" si="126"/>
        <v>1.2748181250000001</v>
      </c>
      <c r="BX58" s="838">
        <f t="shared" si="126"/>
        <v>1.2748181250000001</v>
      </c>
      <c r="BY58" s="838">
        <f t="shared" si="126"/>
        <v>1.2748181250000001</v>
      </c>
      <c r="BZ58" s="669">
        <f t="shared" si="127"/>
        <v>5.0992725000000005</v>
      </c>
      <c r="CA58" s="420"/>
      <c r="CB58" s="680">
        <f t="shared" si="128"/>
        <v>1.2748181250000001</v>
      </c>
      <c r="CC58" s="838">
        <f t="shared" si="129"/>
        <v>1.2748181250000001</v>
      </c>
      <c r="CD58" s="838">
        <f t="shared" si="129"/>
        <v>1.2748181250000001</v>
      </c>
      <c r="CE58" s="838">
        <f t="shared" si="129"/>
        <v>1.2748181250000001</v>
      </c>
      <c r="CF58" s="669">
        <f t="shared" si="130"/>
        <v>5.0992725000000005</v>
      </c>
      <c r="CG58" s="420"/>
      <c r="CH58" s="680">
        <f t="shared" si="131"/>
        <v>1.2748181250000001</v>
      </c>
      <c r="CI58" s="838">
        <f t="shared" si="132"/>
        <v>1.2748181250000001</v>
      </c>
      <c r="CJ58" s="838">
        <f t="shared" si="133"/>
        <v>1.2748181250000001</v>
      </c>
      <c r="CK58" s="838">
        <f t="shared" si="134"/>
        <v>1.2748181250000001</v>
      </c>
      <c r="CL58" s="669">
        <f t="shared" si="135"/>
        <v>5.0992725000000005</v>
      </c>
      <c r="CM58" s="14"/>
      <c r="CN58" s="14"/>
    </row>
    <row r="59" spans="1:92" ht="11.25" customHeight="1" x14ac:dyDescent="0.2">
      <c r="A59" s="971" t="str">
        <f t="shared" si="100"/>
        <v>Term loan due fiscal 2013</v>
      </c>
      <c r="B59" s="838"/>
      <c r="C59" s="838"/>
      <c r="D59" s="838"/>
      <c r="E59" s="838"/>
      <c r="F59" s="695"/>
      <c r="G59" s="420"/>
      <c r="H59" s="680"/>
      <c r="I59" s="838"/>
      <c r="J59" s="838"/>
      <c r="K59" s="838"/>
      <c r="L59" s="695">
        <f t="shared" si="101"/>
        <v>0</v>
      </c>
      <c r="M59" s="420"/>
      <c r="N59" s="680"/>
      <c r="O59" s="838"/>
      <c r="P59" s="838"/>
      <c r="Q59" s="838"/>
      <c r="R59" s="695">
        <f t="shared" si="102"/>
        <v>2.58</v>
      </c>
      <c r="S59" s="420"/>
      <c r="T59" s="680"/>
      <c r="U59" s="838"/>
      <c r="V59" s="838"/>
      <c r="W59" s="838"/>
      <c r="X59" s="695">
        <f t="shared" si="103"/>
        <v>0.97499999999999998</v>
      </c>
      <c r="Y59" s="420"/>
      <c r="Z59" s="680"/>
      <c r="AA59" s="838"/>
      <c r="AB59" s="838"/>
      <c r="AC59" s="838"/>
      <c r="AD59" s="695">
        <f t="shared" si="104"/>
        <v>0.83250000000000002</v>
      </c>
      <c r="AE59" s="420"/>
      <c r="AF59" s="680"/>
      <c r="AG59" s="838"/>
      <c r="AH59" s="838"/>
      <c r="AI59" s="838"/>
      <c r="AJ59" s="695">
        <f t="shared" si="105"/>
        <v>0</v>
      </c>
      <c r="AK59" s="420"/>
      <c r="AL59" s="680">
        <f t="shared" si="106"/>
        <v>0.32624999999999998</v>
      </c>
      <c r="AM59" s="838">
        <f t="shared" si="107"/>
        <v>0</v>
      </c>
      <c r="AN59" s="838">
        <f t="shared" si="107"/>
        <v>0</v>
      </c>
      <c r="AO59" s="838">
        <f t="shared" si="107"/>
        <v>0</v>
      </c>
      <c r="AP59" s="669">
        <f t="shared" si="108"/>
        <v>0.32624999999999998</v>
      </c>
      <c r="AQ59" s="420"/>
      <c r="AR59" s="680">
        <f t="shared" si="109"/>
        <v>0</v>
      </c>
      <c r="AS59" s="838">
        <f t="shared" si="110"/>
        <v>0</v>
      </c>
      <c r="AT59" s="838">
        <f t="shared" si="110"/>
        <v>0</v>
      </c>
      <c r="AU59" s="838">
        <f t="shared" si="110"/>
        <v>0</v>
      </c>
      <c r="AV59" s="669">
        <f t="shared" si="111"/>
        <v>0</v>
      </c>
      <c r="AW59" s="420"/>
      <c r="AX59" s="680">
        <f t="shared" si="112"/>
        <v>0</v>
      </c>
      <c r="AY59" s="838">
        <f t="shared" si="113"/>
        <v>0</v>
      </c>
      <c r="AZ59" s="838">
        <f t="shared" si="113"/>
        <v>0</v>
      </c>
      <c r="BA59" s="838">
        <f t="shared" si="113"/>
        <v>0</v>
      </c>
      <c r="BB59" s="669">
        <f t="shared" si="114"/>
        <v>0</v>
      </c>
      <c r="BC59" s="420"/>
      <c r="BD59" s="680">
        <f t="shared" si="115"/>
        <v>0</v>
      </c>
      <c r="BE59" s="838">
        <f t="shared" si="116"/>
        <v>0</v>
      </c>
      <c r="BF59" s="838">
        <f t="shared" si="116"/>
        <v>0</v>
      </c>
      <c r="BG59" s="838">
        <f t="shared" si="116"/>
        <v>0</v>
      </c>
      <c r="BH59" s="669">
        <f t="shared" si="117"/>
        <v>0</v>
      </c>
      <c r="BI59" s="420"/>
      <c r="BJ59" s="680">
        <f t="shared" si="118"/>
        <v>0</v>
      </c>
      <c r="BK59" s="838">
        <f t="shared" si="119"/>
        <v>0</v>
      </c>
      <c r="BL59" s="838">
        <f t="shared" si="119"/>
        <v>0</v>
      </c>
      <c r="BM59" s="838">
        <f t="shared" si="120"/>
        <v>0</v>
      </c>
      <c r="BN59" s="669">
        <f t="shared" si="121"/>
        <v>0</v>
      </c>
      <c r="BO59" s="420"/>
      <c r="BP59" s="680">
        <f t="shared" si="122"/>
        <v>0</v>
      </c>
      <c r="BQ59" s="838">
        <f t="shared" si="123"/>
        <v>0</v>
      </c>
      <c r="BR59" s="838">
        <f t="shared" si="123"/>
        <v>0</v>
      </c>
      <c r="BS59" s="838">
        <f t="shared" si="123"/>
        <v>0</v>
      </c>
      <c r="BT59" s="669">
        <f t="shared" si="124"/>
        <v>0</v>
      </c>
      <c r="BU59" s="420"/>
      <c r="BV59" s="680">
        <f t="shared" si="125"/>
        <v>0</v>
      </c>
      <c r="BW59" s="838">
        <f t="shared" si="126"/>
        <v>0</v>
      </c>
      <c r="BX59" s="838">
        <f t="shared" si="126"/>
        <v>0</v>
      </c>
      <c r="BY59" s="838">
        <f t="shared" si="126"/>
        <v>0</v>
      </c>
      <c r="BZ59" s="669">
        <f t="shared" si="127"/>
        <v>0</v>
      </c>
      <c r="CA59" s="420"/>
      <c r="CB59" s="680">
        <f t="shared" si="128"/>
        <v>0</v>
      </c>
      <c r="CC59" s="838">
        <f t="shared" si="129"/>
        <v>0</v>
      </c>
      <c r="CD59" s="838">
        <f t="shared" si="129"/>
        <v>0</v>
      </c>
      <c r="CE59" s="838">
        <f t="shared" si="129"/>
        <v>0</v>
      </c>
      <c r="CF59" s="669">
        <f t="shared" si="130"/>
        <v>0</v>
      </c>
      <c r="CG59" s="420"/>
      <c r="CH59" s="680">
        <f t="shared" si="131"/>
        <v>0</v>
      </c>
      <c r="CI59" s="838">
        <f t="shared" si="132"/>
        <v>0</v>
      </c>
      <c r="CJ59" s="838">
        <f t="shared" si="133"/>
        <v>0</v>
      </c>
      <c r="CK59" s="838">
        <f t="shared" si="134"/>
        <v>0</v>
      </c>
      <c r="CL59" s="669">
        <f t="shared" si="135"/>
        <v>0</v>
      </c>
      <c r="CM59" s="14"/>
      <c r="CN59" s="14"/>
    </row>
    <row r="60" spans="1:92" ht="11.25" customHeight="1" x14ac:dyDescent="0.2">
      <c r="A60" s="971" t="str">
        <f t="shared" si="100"/>
        <v xml:space="preserve">Senior notes due fiscal 2013 </v>
      </c>
      <c r="B60" s="838"/>
      <c r="C60" s="838"/>
      <c r="D60" s="838"/>
      <c r="E60" s="838"/>
      <c r="F60" s="695"/>
      <c r="G60" s="420"/>
      <c r="H60" s="680"/>
      <c r="I60" s="838"/>
      <c r="J60" s="838"/>
      <c r="K60" s="838"/>
      <c r="L60" s="695">
        <f t="shared" si="101"/>
        <v>1.1575</v>
      </c>
      <c r="M60" s="420"/>
      <c r="N60" s="680"/>
      <c r="O60" s="838"/>
      <c r="P60" s="838"/>
      <c r="Q60" s="838"/>
      <c r="R60" s="695">
        <f t="shared" si="102"/>
        <v>2.3149999999999999</v>
      </c>
      <c r="S60" s="420"/>
      <c r="T60" s="680"/>
      <c r="U60" s="838"/>
      <c r="V60" s="838"/>
      <c r="W60" s="838"/>
      <c r="X60" s="695">
        <f t="shared" si="103"/>
        <v>2.3149999999999999</v>
      </c>
      <c r="Y60" s="420"/>
      <c r="Z60" s="680"/>
      <c r="AA60" s="838"/>
      <c r="AB60" s="838"/>
      <c r="AC60" s="838"/>
      <c r="AD60" s="695">
        <f t="shared" si="104"/>
        <v>2.3149999999999999</v>
      </c>
      <c r="AE60" s="420"/>
      <c r="AF60" s="680"/>
      <c r="AG60" s="838"/>
      <c r="AH60" s="838"/>
      <c r="AI60" s="838"/>
      <c r="AJ60" s="695">
        <f>SUM(AF60:AI60)</f>
        <v>0</v>
      </c>
      <c r="AK60" s="420"/>
      <c r="AL60" s="680">
        <f t="shared" si="106"/>
        <v>0</v>
      </c>
      <c r="AM60" s="838">
        <f t="shared" si="107"/>
        <v>0</v>
      </c>
      <c r="AN60" s="838">
        <f t="shared" si="107"/>
        <v>0</v>
      </c>
      <c r="AO60" s="838">
        <f t="shared" si="107"/>
        <v>0</v>
      </c>
      <c r="AP60" s="669">
        <f>SUM(AL60:AO60)</f>
        <v>0</v>
      </c>
      <c r="AQ60" s="420"/>
      <c r="AR60" s="680">
        <f t="shared" si="109"/>
        <v>0</v>
      </c>
      <c r="AS60" s="838">
        <f t="shared" si="110"/>
        <v>0</v>
      </c>
      <c r="AT60" s="838">
        <f t="shared" si="110"/>
        <v>0</v>
      </c>
      <c r="AU60" s="838">
        <f t="shared" si="110"/>
        <v>0</v>
      </c>
      <c r="AV60" s="669">
        <f>SUM(AR60:AU60)</f>
        <v>0</v>
      </c>
      <c r="AW60" s="420"/>
      <c r="AX60" s="680">
        <f t="shared" si="112"/>
        <v>0</v>
      </c>
      <c r="AY60" s="838">
        <f t="shared" si="113"/>
        <v>0</v>
      </c>
      <c r="AZ60" s="838">
        <f t="shared" si="113"/>
        <v>0</v>
      </c>
      <c r="BA60" s="838">
        <f t="shared" si="113"/>
        <v>0</v>
      </c>
      <c r="BB60" s="669">
        <f>SUM(AX60:BA60)</f>
        <v>0</v>
      </c>
      <c r="BC60" s="420"/>
      <c r="BD60" s="680">
        <f t="shared" si="115"/>
        <v>0</v>
      </c>
      <c r="BE60" s="838">
        <f t="shared" si="116"/>
        <v>0</v>
      </c>
      <c r="BF60" s="838">
        <f t="shared" si="116"/>
        <v>0</v>
      </c>
      <c r="BG60" s="838">
        <f t="shared" si="116"/>
        <v>0</v>
      </c>
      <c r="BH60" s="669">
        <f>SUM(BD60:BG60)</f>
        <v>0</v>
      </c>
      <c r="BI60" s="420"/>
      <c r="BJ60" s="680">
        <f t="shared" si="118"/>
        <v>0</v>
      </c>
      <c r="BK60" s="838">
        <f t="shared" si="119"/>
        <v>0</v>
      </c>
      <c r="BL60" s="838">
        <f t="shared" si="119"/>
        <v>0</v>
      </c>
      <c r="BM60" s="838">
        <f t="shared" si="120"/>
        <v>0</v>
      </c>
      <c r="BN60" s="669">
        <f>SUM(BJ60:BM60)</f>
        <v>0</v>
      </c>
      <c r="BO60" s="420"/>
      <c r="BP60" s="680">
        <f t="shared" si="122"/>
        <v>0</v>
      </c>
      <c r="BQ60" s="838">
        <f t="shared" si="123"/>
        <v>0</v>
      </c>
      <c r="BR60" s="838">
        <f t="shared" si="123"/>
        <v>0</v>
      </c>
      <c r="BS60" s="838">
        <f t="shared" si="123"/>
        <v>0</v>
      </c>
      <c r="BT60" s="669">
        <f>SUM(BP60:BS60)</f>
        <v>0</v>
      </c>
      <c r="BU60" s="420"/>
      <c r="BV60" s="680">
        <f t="shared" si="125"/>
        <v>0</v>
      </c>
      <c r="BW60" s="838">
        <f t="shared" si="126"/>
        <v>0</v>
      </c>
      <c r="BX60" s="838">
        <f t="shared" si="126"/>
        <v>0</v>
      </c>
      <c r="BY60" s="838">
        <f t="shared" si="126"/>
        <v>0</v>
      </c>
      <c r="BZ60" s="669">
        <f>SUM(BV60:BY60)</f>
        <v>0</v>
      </c>
      <c r="CA60" s="420"/>
      <c r="CB60" s="680">
        <f t="shared" si="128"/>
        <v>0</v>
      </c>
      <c r="CC60" s="838">
        <f t="shared" si="129"/>
        <v>0</v>
      </c>
      <c r="CD60" s="838">
        <f t="shared" si="129"/>
        <v>0</v>
      </c>
      <c r="CE60" s="838">
        <f t="shared" si="129"/>
        <v>0</v>
      </c>
      <c r="CF60" s="669">
        <f>SUM(CB60:CE60)</f>
        <v>0</v>
      </c>
      <c r="CG60" s="420"/>
      <c r="CH60" s="680">
        <f t="shared" si="131"/>
        <v>0</v>
      </c>
      <c r="CI60" s="838">
        <f t="shared" si="132"/>
        <v>0</v>
      </c>
      <c r="CJ60" s="838">
        <f t="shared" si="133"/>
        <v>0</v>
      </c>
      <c r="CK60" s="838">
        <f t="shared" si="134"/>
        <v>0</v>
      </c>
      <c r="CL60" s="669">
        <f>SUM(CH60:CK60)</f>
        <v>0</v>
      </c>
      <c r="CM60" s="14"/>
      <c r="CN60" s="14"/>
    </row>
    <row r="61" spans="1:92" ht="11.25" customHeight="1" x14ac:dyDescent="0.2">
      <c r="A61" s="971" t="str">
        <f t="shared" si="100"/>
        <v xml:space="preserve">Senior notes due fiscal 2015 </v>
      </c>
      <c r="B61" s="838"/>
      <c r="C61" s="838"/>
      <c r="D61" s="838"/>
      <c r="E61" s="838"/>
      <c r="F61" s="695"/>
      <c r="G61" s="420"/>
      <c r="H61" s="680"/>
      <c r="I61" s="838"/>
      <c r="J61" s="838"/>
      <c r="K61" s="838"/>
      <c r="L61" s="695">
        <f t="shared" si="101"/>
        <v>6.4625000000000004</v>
      </c>
      <c r="M61" s="420"/>
      <c r="N61" s="680"/>
      <c r="O61" s="838"/>
      <c r="P61" s="838"/>
      <c r="Q61" s="838"/>
      <c r="R61" s="695">
        <f t="shared" si="102"/>
        <v>12.925000000000001</v>
      </c>
      <c r="S61" s="420"/>
      <c r="T61" s="680"/>
      <c r="U61" s="838"/>
      <c r="V61" s="838"/>
      <c r="W61" s="838"/>
      <c r="X61" s="695">
        <f t="shared" si="103"/>
        <v>12.925000000000001</v>
      </c>
      <c r="Y61" s="420"/>
      <c r="Z61" s="680"/>
      <c r="AA61" s="838"/>
      <c r="AB61" s="838"/>
      <c r="AC61" s="838"/>
      <c r="AD61" s="695">
        <f t="shared" si="104"/>
        <v>12.925000000000001</v>
      </c>
      <c r="AE61" s="420"/>
      <c r="AF61" s="680"/>
      <c r="AG61" s="838"/>
      <c r="AH61" s="838"/>
      <c r="AI61" s="838"/>
      <c r="AJ61" s="695">
        <f>SUM(AF61:AI61)</f>
        <v>0</v>
      </c>
      <c r="AK61" s="420"/>
      <c r="AL61" s="680">
        <f t="shared" si="106"/>
        <v>3.2312500000000002</v>
      </c>
      <c r="AM61" s="838">
        <f t="shared" si="107"/>
        <v>3.2312500000000002</v>
      </c>
      <c r="AN61" s="838">
        <f t="shared" si="107"/>
        <v>3.2312500000000002</v>
      </c>
      <c r="AO61" s="838">
        <f t="shared" si="107"/>
        <v>3.2312500000000002</v>
      </c>
      <c r="AP61" s="669">
        <f>SUM(AL61:AO61)</f>
        <v>12.925000000000001</v>
      </c>
      <c r="AQ61" s="420"/>
      <c r="AR61" s="680">
        <f t="shared" si="109"/>
        <v>3.2312500000000002</v>
      </c>
      <c r="AS61" s="838">
        <f t="shared" si="110"/>
        <v>3.2312500000000002</v>
      </c>
      <c r="AT61" s="838">
        <f t="shared" si="110"/>
        <v>3.2312500000000002</v>
      </c>
      <c r="AU61" s="838">
        <f t="shared" si="110"/>
        <v>3.2312500000000002</v>
      </c>
      <c r="AV61" s="669">
        <f>SUM(AR61:AU61)</f>
        <v>12.925000000000001</v>
      </c>
      <c r="AW61" s="420"/>
      <c r="AX61" s="680">
        <f t="shared" si="112"/>
        <v>0</v>
      </c>
      <c r="AY61" s="838">
        <f t="shared" si="113"/>
        <v>0</v>
      </c>
      <c r="AZ61" s="838">
        <f t="shared" si="113"/>
        <v>0</v>
      </c>
      <c r="BA61" s="838">
        <f t="shared" si="113"/>
        <v>0</v>
      </c>
      <c r="BB61" s="669">
        <f>SUM(AX61:BA61)</f>
        <v>0</v>
      </c>
      <c r="BC61" s="420"/>
      <c r="BD61" s="680">
        <f t="shared" si="115"/>
        <v>0</v>
      </c>
      <c r="BE61" s="838">
        <f t="shared" si="116"/>
        <v>0</v>
      </c>
      <c r="BF61" s="838">
        <f t="shared" si="116"/>
        <v>0</v>
      </c>
      <c r="BG61" s="838">
        <f t="shared" si="116"/>
        <v>0</v>
      </c>
      <c r="BH61" s="669">
        <f>SUM(BD61:BG61)</f>
        <v>0</v>
      </c>
      <c r="BI61" s="420"/>
      <c r="BJ61" s="680">
        <f t="shared" si="118"/>
        <v>0</v>
      </c>
      <c r="BK61" s="838">
        <f t="shared" si="119"/>
        <v>0</v>
      </c>
      <c r="BL61" s="838">
        <f t="shared" si="119"/>
        <v>0</v>
      </c>
      <c r="BM61" s="838">
        <f t="shared" si="120"/>
        <v>0</v>
      </c>
      <c r="BN61" s="669">
        <f>SUM(BJ61:BM61)</f>
        <v>0</v>
      </c>
      <c r="BO61" s="420"/>
      <c r="BP61" s="680">
        <f t="shared" si="122"/>
        <v>0</v>
      </c>
      <c r="BQ61" s="838">
        <f t="shared" si="123"/>
        <v>0</v>
      </c>
      <c r="BR61" s="838">
        <f t="shared" si="123"/>
        <v>0</v>
      </c>
      <c r="BS61" s="838">
        <f t="shared" si="123"/>
        <v>0</v>
      </c>
      <c r="BT61" s="669">
        <f>SUM(BP61:BS61)</f>
        <v>0</v>
      </c>
      <c r="BU61" s="420"/>
      <c r="BV61" s="680">
        <f t="shared" si="125"/>
        <v>0</v>
      </c>
      <c r="BW61" s="838">
        <f t="shared" si="126"/>
        <v>0</v>
      </c>
      <c r="BX61" s="838">
        <f t="shared" si="126"/>
        <v>0</v>
      </c>
      <c r="BY61" s="838">
        <f t="shared" si="126"/>
        <v>0</v>
      </c>
      <c r="BZ61" s="669">
        <f>SUM(BV61:BY61)</f>
        <v>0</v>
      </c>
      <c r="CA61" s="420"/>
      <c r="CB61" s="680">
        <f t="shared" si="128"/>
        <v>0</v>
      </c>
      <c r="CC61" s="838">
        <f t="shared" si="129"/>
        <v>0</v>
      </c>
      <c r="CD61" s="838">
        <f t="shared" si="129"/>
        <v>0</v>
      </c>
      <c r="CE61" s="838">
        <f t="shared" si="129"/>
        <v>0</v>
      </c>
      <c r="CF61" s="669">
        <f>SUM(CB61:CE61)</f>
        <v>0</v>
      </c>
      <c r="CG61" s="420"/>
      <c r="CH61" s="680">
        <f t="shared" si="131"/>
        <v>0</v>
      </c>
      <c r="CI61" s="838">
        <f t="shared" si="132"/>
        <v>0</v>
      </c>
      <c r="CJ61" s="838">
        <f t="shared" si="133"/>
        <v>0</v>
      </c>
      <c r="CK61" s="838">
        <f t="shared" si="134"/>
        <v>0</v>
      </c>
      <c r="CL61" s="669">
        <f>SUM(CH61:CK61)</f>
        <v>0</v>
      </c>
      <c r="CM61" s="14"/>
      <c r="CN61" s="14"/>
    </row>
    <row r="62" spans="1:92" ht="11.25" customHeight="1" x14ac:dyDescent="0.2">
      <c r="A62" s="971" t="str">
        <f t="shared" si="100"/>
        <v>Senior notes due fiscal 2009-Variable</v>
      </c>
      <c r="B62" s="838"/>
      <c r="C62" s="838"/>
      <c r="D62" s="838"/>
      <c r="E62" s="838"/>
      <c r="F62" s="695"/>
      <c r="G62" s="420"/>
      <c r="H62" s="680"/>
      <c r="I62" s="838"/>
      <c r="J62" s="838"/>
      <c r="K62" s="838"/>
      <c r="L62" s="695">
        <f t="shared" si="101"/>
        <v>0</v>
      </c>
      <c r="M62" s="420"/>
      <c r="N62" s="680"/>
      <c r="O62" s="838"/>
      <c r="P62" s="838"/>
      <c r="Q62" s="838"/>
      <c r="R62" s="695">
        <f t="shared" si="102"/>
        <v>0</v>
      </c>
      <c r="S62" s="420"/>
      <c r="T62" s="680"/>
      <c r="U62" s="838"/>
      <c r="V62" s="838"/>
      <c r="W62" s="838"/>
      <c r="X62" s="695">
        <f t="shared" si="103"/>
        <v>0</v>
      </c>
      <c r="Y62" s="420"/>
      <c r="Z62" s="680"/>
      <c r="AA62" s="838"/>
      <c r="AB62" s="838"/>
      <c r="AC62" s="838"/>
      <c r="AD62" s="695">
        <f t="shared" si="104"/>
        <v>0</v>
      </c>
      <c r="AE62" s="420"/>
      <c r="AF62" s="680"/>
      <c r="AG62" s="838"/>
      <c r="AH62" s="838"/>
      <c r="AI62" s="838"/>
      <c r="AJ62" s="695">
        <f>SUM(AF62:AI62)</f>
        <v>0</v>
      </c>
      <c r="AK62" s="420"/>
      <c r="AL62" s="680">
        <f t="shared" si="106"/>
        <v>0</v>
      </c>
      <c r="AM62" s="838">
        <f t="shared" si="107"/>
        <v>0</v>
      </c>
      <c r="AN62" s="838">
        <f t="shared" si="107"/>
        <v>0</v>
      </c>
      <c r="AO62" s="838">
        <f t="shared" si="107"/>
        <v>0</v>
      </c>
      <c r="AP62" s="669">
        <f>SUM(AL62:AO62)</f>
        <v>0</v>
      </c>
      <c r="AQ62" s="420"/>
      <c r="AR62" s="680">
        <f t="shared" si="109"/>
        <v>0</v>
      </c>
      <c r="AS62" s="838">
        <f t="shared" si="110"/>
        <v>0</v>
      </c>
      <c r="AT62" s="838">
        <f t="shared" si="110"/>
        <v>0</v>
      </c>
      <c r="AU62" s="838">
        <f t="shared" si="110"/>
        <v>0</v>
      </c>
      <c r="AV62" s="669">
        <f>SUM(AR62:AU62)</f>
        <v>0</v>
      </c>
      <c r="AW62" s="420"/>
      <c r="AX62" s="680">
        <f t="shared" si="112"/>
        <v>0</v>
      </c>
      <c r="AY62" s="838">
        <f t="shared" si="113"/>
        <v>0</v>
      </c>
      <c r="AZ62" s="838">
        <f t="shared" si="113"/>
        <v>0</v>
      </c>
      <c r="BA62" s="838">
        <f t="shared" si="113"/>
        <v>0</v>
      </c>
      <c r="BB62" s="669">
        <f>SUM(AX62:BA62)</f>
        <v>0</v>
      </c>
      <c r="BC62" s="420"/>
      <c r="BD62" s="680">
        <f t="shared" si="115"/>
        <v>0</v>
      </c>
      <c r="BE62" s="838">
        <f t="shared" si="116"/>
        <v>0</v>
      </c>
      <c r="BF62" s="838">
        <f t="shared" si="116"/>
        <v>0</v>
      </c>
      <c r="BG62" s="838">
        <f t="shared" si="116"/>
        <v>0</v>
      </c>
      <c r="BH62" s="669">
        <f>SUM(BD62:BG62)</f>
        <v>0</v>
      </c>
      <c r="BI62" s="420"/>
      <c r="BJ62" s="680">
        <f t="shared" si="118"/>
        <v>0</v>
      </c>
      <c r="BK62" s="838">
        <f t="shared" si="119"/>
        <v>0</v>
      </c>
      <c r="BL62" s="838">
        <f t="shared" si="119"/>
        <v>0</v>
      </c>
      <c r="BM62" s="838">
        <f t="shared" si="120"/>
        <v>0</v>
      </c>
      <c r="BN62" s="669">
        <f>SUM(BJ62:BM62)</f>
        <v>0</v>
      </c>
      <c r="BO62" s="420"/>
      <c r="BP62" s="680">
        <f t="shared" si="122"/>
        <v>0</v>
      </c>
      <c r="BQ62" s="838">
        <f t="shared" si="123"/>
        <v>0</v>
      </c>
      <c r="BR62" s="838">
        <f t="shared" si="123"/>
        <v>0</v>
      </c>
      <c r="BS62" s="838">
        <f t="shared" si="123"/>
        <v>0</v>
      </c>
      <c r="BT62" s="669">
        <f>SUM(BP62:BS62)</f>
        <v>0</v>
      </c>
      <c r="BU62" s="420"/>
      <c r="BV62" s="680">
        <f t="shared" si="125"/>
        <v>0</v>
      </c>
      <c r="BW62" s="838">
        <f t="shared" si="126"/>
        <v>0</v>
      </c>
      <c r="BX62" s="838">
        <f t="shared" si="126"/>
        <v>0</v>
      </c>
      <c r="BY62" s="838">
        <f t="shared" si="126"/>
        <v>0</v>
      </c>
      <c r="BZ62" s="669">
        <f>SUM(BV62:BY62)</f>
        <v>0</v>
      </c>
      <c r="CA62" s="420"/>
      <c r="CB62" s="680">
        <f t="shared" si="128"/>
        <v>0</v>
      </c>
      <c r="CC62" s="838">
        <f t="shared" si="129"/>
        <v>0</v>
      </c>
      <c r="CD62" s="838">
        <f t="shared" si="129"/>
        <v>0</v>
      </c>
      <c r="CE62" s="838">
        <f t="shared" si="129"/>
        <v>0</v>
      </c>
      <c r="CF62" s="669">
        <f>SUM(CB62:CE62)</f>
        <v>0</v>
      </c>
      <c r="CG62" s="420"/>
      <c r="CH62" s="680">
        <f t="shared" si="131"/>
        <v>0</v>
      </c>
      <c r="CI62" s="838">
        <f t="shared" si="132"/>
        <v>0</v>
      </c>
      <c r="CJ62" s="838">
        <f t="shared" si="133"/>
        <v>0</v>
      </c>
      <c r="CK62" s="838">
        <f t="shared" si="134"/>
        <v>0</v>
      </c>
      <c r="CL62" s="669">
        <f>SUM(CH62:CK62)</f>
        <v>0</v>
      </c>
      <c r="CM62" s="14"/>
      <c r="CN62" s="14"/>
    </row>
    <row r="63" spans="1:92" ht="11.25" customHeight="1" x14ac:dyDescent="0.2">
      <c r="A63" s="972" t="str">
        <f t="shared" si="100"/>
        <v>Senior notes due fiscal 2009-Fixed</v>
      </c>
      <c r="B63" s="81"/>
      <c r="C63" s="81"/>
      <c r="D63" s="81"/>
      <c r="E63" s="81"/>
      <c r="F63" s="966"/>
      <c r="G63" s="420"/>
      <c r="H63" s="841"/>
      <c r="I63" s="81"/>
      <c r="J63" s="81"/>
      <c r="K63" s="81"/>
      <c r="L63" s="966">
        <f t="shared" si="101"/>
        <v>0</v>
      </c>
      <c r="M63" s="420"/>
      <c r="N63" s="841"/>
      <c r="O63" s="81"/>
      <c r="P63" s="81"/>
      <c r="Q63" s="81"/>
      <c r="R63" s="966">
        <f t="shared" si="102"/>
        <v>0</v>
      </c>
      <c r="S63" s="420"/>
      <c r="T63" s="841"/>
      <c r="U63" s="81"/>
      <c r="V63" s="81"/>
      <c r="W63" s="81"/>
      <c r="X63" s="966">
        <f t="shared" si="103"/>
        <v>0</v>
      </c>
      <c r="Y63" s="420"/>
      <c r="Z63" s="841"/>
      <c r="AA63" s="81"/>
      <c r="AB63" s="81"/>
      <c r="AC63" s="81"/>
      <c r="AD63" s="966">
        <f t="shared" si="104"/>
        <v>0</v>
      </c>
      <c r="AE63" s="420"/>
      <c r="AF63" s="841"/>
      <c r="AG63" s="81"/>
      <c r="AH63" s="81"/>
      <c r="AI63" s="81"/>
      <c r="AJ63" s="966">
        <f>SUM(AF63:AI63)</f>
        <v>0</v>
      </c>
      <c r="AK63" s="420"/>
      <c r="AL63" s="841">
        <f t="shared" si="106"/>
        <v>0</v>
      </c>
      <c r="AM63" s="81">
        <f t="shared" si="107"/>
        <v>0</v>
      </c>
      <c r="AN63" s="81">
        <f t="shared" si="107"/>
        <v>0</v>
      </c>
      <c r="AO63" s="81">
        <f t="shared" si="107"/>
        <v>0</v>
      </c>
      <c r="AP63" s="843">
        <f>SUM(AL63:AO63)</f>
        <v>0</v>
      </c>
      <c r="AQ63" s="420"/>
      <c r="AR63" s="841">
        <f t="shared" si="109"/>
        <v>0</v>
      </c>
      <c r="AS63" s="81">
        <f t="shared" si="110"/>
        <v>0</v>
      </c>
      <c r="AT63" s="81">
        <f t="shared" si="110"/>
        <v>0</v>
      </c>
      <c r="AU63" s="81">
        <f t="shared" si="110"/>
        <v>0</v>
      </c>
      <c r="AV63" s="843">
        <f>SUM(AR63:AU63)</f>
        <v>0</v>
      </c>
      <c r="AW63" s="420"/>
      <c r="AX63" s="841">
        <f t="shared" si="112"/>
        <v>0</v>
      </c>
      <c r="AY63" s="81">
        <f t="shared" si="113"/>
        <v>0</v>
      </c>
      <c r="AZ63" s="81">
        <f t="shared" si="113"/>
        <v>0</v>
      </c>
      <c r="BA63" s="81">
        <f t="shared" si="113"/>
        <v>0</v>
      </c>
      <c r="BB63" s="843">
        <f>SUM(AX63:BA63)</f>
        <v>0</v>
      </c>
      <c r="BC63" s="420"/>
      <c r="BD63" s="841">
        <f t="shared" si="115"/>
        <v>0</v>
      </c>
      <c r="BE63" s="81">
        <f t="shared" si="116"/>
        <v>0</v>
      </c>
      <c r="BF63" s="81">
        <f t="shared" si="116"/>
        <v>0</v>
      </c>
      <c r="BG63" s="81">
        <f t="shared" si="116"/>
        <v>0</v>
      </c>
      <c r="BH63" s="843">
        <f>SUM(BD63:BG63)</f>
        <v>0</v>
      </c>
      <c r="BI63" s="420"/>
      <c r="BJ63" s="841">
        <f t="shared" si="118"/>
        <v>0</v>
      </c>
      <c r="BK63" s="81">
        <f t="shared" si="119"/>
        <v>0</v>
      </c>
      <c r="BL63" s="81">
        <f t="shared" si="119"/>
        <v>0</v>
      </c>
      <c r="BM63" s="81">
        <f t="shared" si="120"/>
        <v>0</v>
      </c>
      <c r="BN63" s="843">
        <f>SUM(BJ63:BM63)</f>
        <v>0</v>
      </c>
      <c r="BO63" s="420"/>
      <c r="BP63" s="841">
        <f t="shared" si="122"/>
        <v>0</v>
      </c>
      <c r="BQ63" s="81">
        <f t="shared" si="123"/>
        <v>0</v>
      </c>
      <c r="BR63" s="81">
        <f t="shared" si="123"/>
        <v>0</v>
      </c>
      <c r="BS63" s="81">
        <f t="shared" si="123"/>
        <v>0</v>
      </c>
      <c r="BT63" s="843">
        <f>SUM(BP63:BS63)</f>
        <v>0</v>
      </c>
      <c r="BU63" s="420"/>
      <c r="BV63" s="841">
        <f t="shared" si="125"/>
        <v>0</v>
      </c>
      <c r="BW63" s="81">
        <f t="shared" si="126"/>
        <v>0</v>
      </c>
      <c r="BX63" s="81">
        <f t="shared" si="126"/>
        <v>0</v>
      </c>
      <c r="BY63" s="81">
        <f t="shared" si="126"/>
        <v>0</v>
      </c>
      <c r="BZ63" s="843">
        <f>SUM(BV63:BY63)</f>
        <v>0</v>
      </c>
      <c r="CA63" s="420"/>
      <c r="CB63" s="841">
        <f t="shared" si="128"/>
        <v>0</v>
      </c>
      <c r="CC63" s="81">
        <f t="shared" si="129"/>
        <v>0</v>
      </c>
      <c r="CD63" s="81">
        <f t="shared" si="129"/>
        <v>0</v>
      </c>
      <c r="CE63" s="81">
        <f t="shared" si="129"/>
        <v>0</v>
      </c>
      <c r="CF63" s="843">
        <f>SUM(CB63:CE63)</f>
        <v>0</v>
      </c>
      <c r="CG63" s="420"/>
      <c r="CH63" s="841">
        <f t="shared" si="131"/>
        <v>0</v>
      </c>
      <c r="CI63" s="81">
        <f t="shared" si="132"/>
        <v>0</v>
      </c>
      <c r="CJ63" s="81">
        <f t="shared" si="133"/>
        <v>0</v>
      </c>
      <c r="CK63" s="81">
        <f t="shared" si="134"/>
        <v>0</v>
      </c>
      <c r="CL63" s="843">
        <f>SUM(CH63:CK63)</f>
        <v>0</v>
      </c>
      <c r="CM63" s="14"/>
      <c r="CN63" s="14"/>
    </row>
    <row r="64" spans="1:92" ht="11.25" customHeight="1" x14ac:dyDescent="0.2">
      <c r="A64" s="973" t="s">
        <v>100</v>
      </c>
      <c r="B64" s="926"/>
      <c r="C64" s="926"/>
      <c r="D64" s="926"/>
      <c r="E64" s="926"/>
      <c r="F64" s="668"/>
      <c r="G64" s="926"/>
      <c r="H64" s="679"/>
      <c r="I64" s="926"/>
      <c r="J64" s="926"/>
      <c r="K64" s="926"/>
      <c r="L64" s="668">
        <f>SUM(L53:L63)</f>
        <v>11.932500000000001</v>
      </c>
      <c r="M64" s="926"/>
      <c r="N64" s="679"/>
      <c r="O64" s="926"/>
      <c r="P64" s="926"/>
      <c r="Q64" s="926"/>
      <c r="R64" s="668">
        <f>SUM(R53:R63)</f>
        <v>26.445</v>
      </c>
      <c r="S64" s="926"/>
      <c r="T64" s="679"/>
      <c r="U64" s="926"/>
      <c r="V64" s="926"/>
      <c r="W64" s="926"/>
      <c r="X64" s="668">
        <f>SUM(X53:X63)</f>
        <v>24.84</v>
      </c>
      <c r="Y64" s="926"/>
      <c r="Z64" s="679"/>
      <c r="AA64" s="926"/>
      <c r="AB64" s="926"/>
      <c r="AC64" s="926"/>
      <c r="AD64" s="668">
        <f>SUM(AD53:AD63)</f>
        <v>24.697499999999998</v>
      </c>
      <c r="AE64" s="926"/>
      <c r="AF64" s="679"/>
      <c r="AG64" s="926"/>
      <c r="AH64" s="926"/>
      <c r="AI64" s="926"/>
      <c r="AJ64" s="668">
        <f t="shared" ref="AJ64:BL64" si="136">SUM(AJ53:AJ63)</f>
        <v>0</v>
      </c>
      <c r="AK64" s="926"/>
      <c r="AL64" s="679">
        <f t="shared" si="136"/>
        <v>8.5721249999999998</v>
      </c>
      <c r="AM64" s="926">
        <f t="shared" si="136"/>
        <v>8.2458750000000016</v>
      </c>
      <c r="AN64" s="926">
        <f t="shared" si="136"/>
        <v>8.2458750000000016</v>
      </c>
      <c r="AO64" s="926">
        <f t="shared" si="136"/>
        <v>8.2458750000000016</v>
      </c>
      <c r="AP64" s="668">
        <f t="shared" si="136"/>
        <v>33.309750000000008</v>
      </c>
      <c r="AQ64" s="926"/>
      <c r="AR64" s="679">
        <f t="shared" si="136"/>
        <v>8.2458750000000016</v>
      </c>
      <c r="AS64" s="926">
        <f t="shared" si="136"/>
        <v>8.2458750000000016</v>
      </c>
      <c r="AT64" s="926">
        <f t="shared" si="136"/>
        <v>8.2458750000000016</v>
      </c>
      <c r="AU64" s="926">
        <f t="shared" si="136"/>
        <v>8.2458750000000016</v>
      </c>
      <c r="AV64" s="668">
        <f t="shared" si="136"/>
        <v>32.983500000000006</v>
      </c>
      <c r="AW64" s="926"/>
      <c r="AX64" s="679">
        <f t="shared" si="136"/>
        <v>5.0146250000000006</v>
      </c>
      <c r="AY64" s="926">
        <f t="shared" si="136"/>
        <v>5.0146250000000006</v>
      </c>
      <c r="AZ64" s="926">
        <f t="shared" si="136"/>
        <v>5.0146250000000006</v>
      </c>
      <c r="BA64" s="926">
        <f t="shared" si="136"/>
        <v>6.1021250000000009</v>
      </c>
      <c r="BB64" s="668">
        <f t="shared" si="136"/>
        <v>21.146000000000001</v>
      </c>
      <c r="BC64" s="926"/>
      <c r="BD64" s="679">
        <f t="shared" si="136"/>
        <v>9.4521250000000006</v>
      </c>
      <c r="BE64" s="926">
        <f t="shared" si="136"/>
        <v>10.1894171875</v>
      </c>
      <c r="BF64" s="926">
        <f t="shared" si="136"/>
        <v>8.6548765625000001</v>
      </c>
      <c r="BG64" s="926">
        <f t="shared" si="136"/>
        <v>8.6362109374999996</v>
      </c>
      <c r="BH64" s="668">
        <f t="shared" si="136"/>
        <v>36.932629687500004</v>
      </c>
      <c r="BI64" s="926"/>
      <c r="BJ64" s="679">
        <f t="shared" si="136"/>
        <v>8.5702656250000011</v>
      </c>
      <c r="BK64" s="926">
        <f t="shared" si="136"/>
        <v>8.5523281250000007</v>
      </c>
      <c r="BL64" s="926">
        <f t="shared" si="136"/>
        <v>8.5433593749999996</v>
      </c>
      <c r="BM64" s="926">
        <f>SUM(BM53:BM63)</f>
        <v>8.5039012500000002</v>
      </c>
      <c r="BN64" s="668">
        <f>SUM(BN53:BN63)</f>
        <v>34.169854375</v>
      </c>
      <c r="BO64" s="926"/>
      <c r="BP64" s="679">
        <f>SUM(BP53:BP63)</f>
        <v>10.664443125</v>
      </c>
      <c r="BQ64" s="926">
        <f>SUM(BQ53:BQ63)</f>
        <v>10.664443125</v>
      </c>
      <c r="BR64" s="926">
        <f>SUM(BR53:BR63)</f>
        <v>10.664443125</v>
      </c>
      <c r="BS64" s="926">
        <f>SUM(BS53:BS63)</f>
        <v>10.664443125</v>
      </c>
      <c r="BT64" s="668">
        <f>SUM(BT53:BT63)</f>
        <v>42.6577725</v>
      </c>
      <c r="BU64" s="926"/>
      <c r="BV64" s="679">
        <f>SUM(BV53:BV63)</f>
        <v>10.664443125</v>
      </c>
      <c r="BW64" s="926">
        <f>SUM(BW53:BW63)</f>
        <v>10.664443125</v>
      </c>
      <c r="BX64" s="926">
        <f>SUM(BX53:BX63)</f>
        <v>10.664443125</v>
      </c>
      <c r="BY64" s="926">
        <f>SUM(BY53:BY63)</f>
        <v>10.664443125</v>
      </c>
      <c r="BZ64" s="668">
        <f>SUM(BZ53:BZ63)</f>
        <v>42.6577725</v>
      </c>
      <c r="CA64" s="926"/>
      <c r="CB64" s="679">
        <f>SUM(CB53:CB63)</f>
        <v>10.664443125</v>
      </c>
      <c r="CC64" s="926">
        <f>SUM(CC53:CC63)</f>
        <v>10.664443125</v>
      </c>
      <c r="CD64" s="926">
        <f>SUM(CD53:CD63)</f>
        <v>10.664443125</v>
      </c>
      <c r="CE64" s="926">
        <f>SUM(CE53:CE63)</f>
        <v>10.664443125</v>
      </c>
      <c r="CF64" s="668">
        <f>SUM(CF53:CF63)</f>
        <v>42.6577725</v>
      </c>
      <c r="CG64" s="926"/>
      <c r="CH64" s="679">
        <f>SUM(CH53:CH63)</f>
        <v>10.664443125</v>
      </c>
      <c r="CI64" s="926">
        <f>SUM(CI53:CI63)</f>
        <v>10.664443125</v>
      </c>
      <c r="CJ64" s="926">
        <f>SUM(CJ53:CJ63)</f>
        <v>10.664443125</v>
      </c>
      <c r="CK64" s="926">
        <f>SUM(CK53:CK63)</f>
        <v>10.664443125</v>
      </c>
      <c r="CL64" s="668">
        <f>SUM(CL53:CL63)</f>
        <v>42.6577725</v>
      </c>
      <c r="CM64" s="14"/>
      <c r="CN64" s="14"/>
    </row>
    <row r="65" spans="1:92" ht="11.25" customHeight="1" x14ac:dyDescent="0.2">
      <c r="A65" s="974"/>
      <c r="B65" s="838"/>
      <c r="C65" s="838"/>
      <c r="D65" s="838"/>
      <c r="E65" s="838"/>
      <c r="F65" s="695"/>
      <c r="G65" s="420"/>
      <c r="H65" s="680"/>
      <c r="I65" s="838"/>
      <c r="J65" s="838"/>
      <c r="K65" s="838"/>
      <c r="L65" s="695"/>
      <c r="M65" s="420"/>
      <c r="N65" s="680"/>
      <c r="O65" s="838"/>
      <c r="P65" s="838"/>
      <c r="Q65" s="838"/>
      <c r="R65" s="695"/>
      <c r="S65" s="420"/>
      <c r="T65" s="680"/>
      <c r="U65" s="838"/>
      <c r="V65" s="838"/>
      <c r="W65" s="838"/>
      <c r="X65" s="695"/>
      <c r="Y65" s="420"/>
      <c r="Z65" s="680"/>
      <c r="AA65" s="838"/>
      <c r="AB65" s="838"/>
      <c r="AC65" s="838"/>
      <c r="AD65" s="695"/>
      <c r="AE65" s="420"/>
      <c r="AF65" s="680"/>
      <c r="AG65" s="838"/>
      <c r="AH65" s="838"/>
      <c r="AI65" s="838"/>
      <c r="AJ65" s="695"/>
      <c r="AK65" s="420"/>
      <c r="AL65" s="680"/>
      <c r="AM65" s="838"/>
      <c r="AN65" s="838"/>
      <c r="AO65" s="838"/>
      <c r="AP65" s="669"/>
      <c r="AQ65" s="420"/>
      <c r="AR65" s="680"/>
      <c r="AS65" s="838"/>
      <c r="AT65" s="838"/>
      <c r="AU65" s="838"/>
      <c r="AV65" s="669"/>
      <c r="AW65" s="420"/>
      <c r="AX65" s="680"/>
      <c r="AY65" s="838"/>
      <c r="AZ65" s="838"/>
      <c r="BA65" s="838"/>
      <c r="BB65" s="669"/>
      <c r="BC65" s="420"/>
      <c r="BD65" s="680"/>
      <c r="BE65" s="838"/>
      <c r="BF65" s="838"/>
      <c r="BG65" s="838"/>
      <c r="BH65" s="669"/>
      <c r="BI65" s="420"/>
      <c r="BJ65" s="680"/>
      <c r="BK65" s="838"/>
      <c r="BL65" s="838"/>
      <c r="BM65" s="838"/>
      <c r="BN65" s="669"/>
      <c r="BO65" s="420"/>
      <c r="BP65" s="680"/>
      <c r="BQ65" s="838"/>
      <c r="BR65" s="838"/>
      <c r="BS65" s="838"/>
      <c r="BT65" s="669"/>
      <c r="BU65" s="420"/>
      <c r="BV65" s="680"/>
      <c r="BW65" s="838"/>
      <c r="BX65" s="838"/>
      <c r="BY65" s="838"/>
      <c r="BZ65" s="669"/>
      <c r="CA65" s="420"/>
      <c r="CB65" s="680"/>
      <c r="CC65" s="838"/>
      <c r="CD65" s="838"/>
      <c r="CE65" s="838"/>
      <c r="CF65" s="669"/>
      <c r="CG65" s="420"/>
      <c r="CH65" s="680"/>
      <c r="CI65" s="838"/>
      <c r="CJ65" s="838"/>
      <c r="CK65" s="838"/>
      <c r="CL65" s="669"/>
      <c r="CM65" s="14"/>
      <c r="CN65" s="14"/>
    </row>
    <row r="66" spans="1:92" ht="11.25" customHeight="1" x14ac:dyDescent="0.2">
      <c r="A66" s="975" t="s">
        <v>220</v>
      </c>
      <c r="B66" s="961"/>
      <c r="C66" s="961"/>
      <c r="D66" s="961"/>
      <c r="E66" s="961"/>
      <c r="F66" s="967">
        <f>'P&amp;L'!G16*-1</f>
        <v>14.23</v>
      </c>
      <c r="G66" s="926"/>
      <c r="H66" s="979"/>
      <c r="I66" s="961"/>
      <c r="J66" s="961"/>
      <c r="K66" s="961"/>
      <c r="L66" s="967">
        <f>'P&amp;L'!M16*-1</f>
        <v>12.792</v>
      </c>
      <c r="M66" s="926"/>
      <c r="N66" s="979"/>
      <c r="O66" s="961"/>
      <c r="P66" s="961"/>
      <c r="Q66" s="961"/>
      <c r="R66" s="967">
        <f>'P&amp;L'!S16*-1</f>
        <v>30.149000000000001</v>
      </c>
      <c r="S66" s="926"/>
      <c r="T66" s="979"/>
      <c r="U66" s="961"/>
      <c r="V66" s="961"/>
      <c r="W66" s="961"/>
      <c r="X66" s="967">
        <f>'P&amp;L'!Y16*-1</f>
        <v>25.693999999999999</v>
      </c>
      <c r="Y66" s="926"/>
      <c r="Z66" s="979"/>
      <c r="AA66" s="961"/>
      <c r="AB66" s="961"/>
      <c r="AC66" s="961"/>
      <c r="AD66" s="967">
        <f>'P&amp;L'!AE16*-1</f>
        <v>25.84</v>
      </c>
      <c r="AE66" s="926"/>
      <c r="AF66" s="979"/>
      <c r="AG66" s="961"/>
      <c r="AH66" s="961"/>
      <c r="AI66" s="961"/>
      <c r="AJ66" s="967">
        <f>'P&amp;L'!AK16*-1</f>
        <v>30.342999999999996</v>
      </c>
      <c r="AK66" s="926"/>
      <c r="AL66" s="979">
        <f>'P&amp;L'!AM16*-1</f>
        <v>9.5679999999999996</v>
      </c>
      <c r="AM66" s="961">
        <f>'P&amp;L'!AN16*-1</f>
        <v>9.1270000000000007</v>
      </c>
      <c r="AN66" s="961">
        <f>'P&amp;L'!AO16*-1</f>
        <v>9.1129999999999995</v>
      </c>
      <c r="AO66" s="961">
        <f>'P&amp;L'!AP16*-1</f>
        <v>8.5890000000000004</v>
      </c>
      <c r="AP66" s="967">
        <f>'P&amp;L'!AQ16*-1</f>
        <v>36.396999999999998</v>
      </c>
      <c r="AQ66" s="926"/>
      <c r="AR66" s="979">
        <f>'P&amp;L'!AS16*-1</f>
        <v>8.5670000000000002</v>
      </c>
      <c r="AS66" s="961">
        <f>'P&amp;L'!AT16*-1</f>
        <v>8.7769999999999992</v>
      </c>
      <c r="AT66" s="961">
        <f>'P&amp;L'!AU16*-1</f>
        <v>9.2370000000000001</v>
      </c>
      <c r="AU66" s="961">
        <f>'P&amp;L'!AV16*-1</f>
        <v>9.1319999999999997</v>
      </c>
      <c r="AV66" s="967">
        <f>'P&amp;L'!AW16*-1</f>
        <v>35.713000000000001</v>
      </c>
      <c r="AW66" s="926"/>
      <c r="AX66" s="979">
        <f>'P&amp;L'!AY16*-1</f>
        <v>8.7680000000000007</v>
      </c>
      <c r="AY66" s="961">
        <f>'P&amp;L'!AZ16*-1</f>
        <v>8.5440000000000005</v>
      </c>
      <c r="AZ66" s="961">
        <f>'P&amp;L'!BA16*-1</f>
        <v>8.5120000000000005</v>
      </c>
      <c r="BA66" s="961">
        <f>'P&amp;L'!BB16*-1</f>
        <v>7.8689999999999998</v>
      </c>
      <c r="BB66" s="967">
        <f>'P&amp;L'!BC16*-1</f>
        <v>33.692999999999998</v>
      </c>
      <c r="BC66" s="926"/>
      <c r="BD66" s="979">
        <f>'P&amp;L'!BE16*-1</f>
        <v>12.143000000000001</v>
      </c>
      <c r="BE66" s="961">
        <f>'P&amp;L'!BF16*-1</f>
        <v>12.001000000000001</v>
      </c>
      <c r="BF66" s="961">
        <f>'P&amp;L'!BG16*-1</f>
        <v>10.634</v>
      </c>
      <c r="BG66" s="961">
        <f>'P&amp;L'!BH16*-1</f>
        <v>10.134</v>
      </c>
      <c r="BH66" s="967">
        <f>'P&amp;L'!BI16*-1</f>
        <v>44.912000000000006</v>
      </c>
      <c r="BI66" s="926"/>
      <c r="BJ66" s="979">
        <f>'P&amp;L'!BK16*-1</f>
        <v>10.162000000000001</v>
      </c>
      <c r="BK66" s="961">
        <f>'P&amp;L'!BL16*-1</f>
        <v>10.097</v>
      </c>
      <c r="BL66" s="961">
        <f>'P&amp;L'!BM16*-1</f>
        <v>11.4</v>
      </c>
      <c r="BM66" s="961">
        <f>'P&amp;L'!BN16*-1</f>
        <v>11.401000000000003</v>
      </c>
      <c r="BN66" s="967">
        <f>'P&amp;L'!BO16*-1</f>
        <v>43.06</v>
      </c>
      <c r="BO66" s="926"/>
      <c r="BP66" s="979">
        <f>'P&amp;L'!BQ16*-1</f>
        <v>11.202999999999999</v>
      </c>
      <c r="BQ66" s="961">
        <f>'P&amp;L'!BR16*-1</f>
        <v>11.468</v>
      </c>
      <c r="BR66" s="961">
        <f>'P&amp;L'!BS16*-1</f>
        <v>11.782999999999999</v>
      </c>
      <c r="BS66" s="961"/>
      <c r="BT66" s="967"/>
      <c r="BU66" s="926"/>
      <c r="BV66" s="979"/>
      <c r="BW66" s="961"/>
      <c r="BX66" s="961"/>
      <c r="BY66" s="961"/>
      <c r="BZ66" s="967"/>
      <c r="CA66" s="926"/>
      <c r="CB66" s="979"/>
      <c r="CC66" s="961"/>
      <c r="CD66" s="961"/>
      <c r="CE66" s="961"/>
      <c r="CF66" s="967"/>
      <c r="CG66" s="926"/>
      <c r="CH66" s="979"/>
      <c r="CI66" s="961"/>
      <c r="CJ66" s="961"/>
      <c r="CK66" s="961"/>
      <c r="CL66" s="967"/>
      <c r="CM66" s="14"/>
      <c r="CN66" s="14"/>
    </row>
    <row r="67" spans="1:92" ht="11.25" customHeight="1" x14ac:dyDescent="0.2">
      <c r="A67" s="162"/>
      <c r="B67" s="201"/>
      <c r="C67" s="201"/>
      <c r="D67" s="201"/>
      <c r="E67" s="201"/>
      <c r="F67" s="205"/>
      <c r="G67" s="927"/>
      <c r="H67" s="201"/>
      <c r="I67" s="201"/>
      <c r="J67" s="201"/>
      <c r="K67" s="201"/>
      <c r="L67" s="205"/>
      <c r="M67" s="927"/>
      <c r="N67" s="201"/>
      <c r="O67" s="201"/>
      <c r="P67" s="201"/>
      <c r="Q67" s="201"/>
      <c r="R67" s="205"/>
      <c r="S67" s="927"/>
      <c r="T67" s="201"/>
      <c r="U67" s="201"/>
      <c r="V67" s="201"/>
      <c r="W67" s="201"/>
      <c r="X67" s="205"/>
      <c r="Y67" s="927"/>
      <c r="Z67" s="201"/>
      <c r="AA67" s="201"/>
      <c r="AB67" s="201"/>
      <c r="AC67" s="201"/>
      <c r="AD67" s="205"/>
      <c r="AE67" s="927"/>
      <c r="AF67" s="201"/>
      <c r="AG67" s="201"/>
      <c r="AH67" s="201"/>
      <c r="AI67" s="201"/>
      <c r="AJ67" s="201"/>
      <c r="AK67" s="927"/>
      <c r="AL67" s="201"/>
      <c r="AM67" s="201"/>
      <c r="AN67" s="201"/>
      <c r="AO67" s="201"/>
      <c r="AP67" s="201"/>
      <c r="AQ67" s="927"/>
      <c r="AR67" s="201"/>
      <c r="AS67" s="201"/>
      <c r="AT67" s="201"/>
      <c r="AU67" s="201"/>
      <c r="AV67" s="201"/>
      <c r="AW67" s="927"/>
      <c r="AX67" s="201"/>
      <c r="AY67" s="201"/>
      <c r="AZ67" s="201"/>
      <c r="BA67" s="201"/>
      <c r="BB67" s="201"/>
      <c r="BC67" s="927"/>
      <c r="BD67" s="201"/>
      <c r="BE67" s="201"/>
      <c r="BF67" s="201"/>
      <c r="BG67" s="201"/>
      <c r="BH67" s="201"/>
      <c r="BI67" s="927"/>
      <c r="BJ67" s="201"/>
      <c r="BK67" s="201"/>
      <c r="BL67" s="201"/>
      <c r="BM67" s="201"/>
      <c r="BN67" s="201"/>
      <c r="BO67" s="927"/>
      <c r="BP67" s="201"/>
      <c r="BQ67" s="201"/>
      <c r="BR67" s="201"/>
      <c r="BS67" s="201"/>
      <c r="BT67" s="201"/>
      <c r="BU67" s="927"/>
      <c r="BV67" s="201"/>
      <c r="BW67" s="201"/>
      <c r="BX67" s="201"/>
      <c r="BY67" s="201"/>
      <c r="BZ67" s="201"/>
      <c r="CA67" s="927"/>
      <c r="CB67" s="201"/>
      <c r="CC67" s="201"/>
      <c r="CD67" s="201"/>
      <c r="CE67" s="201"/>
      <c r="CF67" s="201"/>
      <c r="CG67" s="927"/>
      <c r="CH67" s="201"/>
      <c r="CI67" s="201"/>
      <c r="CJ67" s="201"/>
      <c r="CK67" s="201"/>
      <c r="CL67" s="201"/>
      <c r="CM67" s="14"/>
      <c r="CN67" s="14"/>
    </row>
    <row r="68" spans="1:92" ht="11.25" customHeight="1" x14ac:dyDescent="0.2">
      <c r="A68" s="162"/>
      <c r="B68" s="201"/>
      <c r="C68" s="201"/>
      <c r="D68" s="201"/>
      <c r="E68" s="201"/>
      <c r="F68" s="205"/>
      <c r="G68" s="927"/>
      <c r="H68" s="201"/>
      <c r="I68" s="201"/>
      <c r="J68" s="201"/>
      <c r="K68" s="201"/>
      <c r="L68" s="205"/>
      <c r="M68" s="927"/>
      <c r="N68" s="201"/>
      <c r="O68" s="201"/>
      <c r="P68" s="201"/>
      <c r="Q68" s="201"/>
      <c r="R68" s="205"/>
      <c r="S68" s="927"/>
      <c r="T68" s="201"/>
      <c r="U68" s="201"/>
      <c r="V68" s="201"/>
      <c r="W68" s="201"/>
      <c r="X68" s="205"/>
      <c r="Y68" s="927"/>
      <c r="Z68" s="201"/>
      <c r="AA68" s="201"/>
      <c r="AB68" s="201"/>
      <c r="AC68" s="201"/>
      <c r="AD68" s="205"/>
      <c r="AE68" s="927"/>
      <c r="AF68" s="201"/>
      <c r="AG68" s="201"/>
      <c r="AH68" s="201"/>
      <c r="AI68" s="201"/>
      <c r="AJ68" s="201"/>
      <c r="AK68" s="927"/>
      <c r="AL68" s="201"/>
      <c r="AM68" s="201"/>
      <c r="AN68" s="201"/>
      <c r="AO68" s="201"/>
      <c r="AP68" s="201"/>
      <c r="AQ68" s="927"/>
      <c r="AR68" s="201"/>
      <c r="AS68" s="201"/>
      <c r="AT68" s="201"/>
      <c r="AU68" s="201"/>
      <c r="AV68" s="201"/>
      <c r="AW68" s="927"/>
      <c r="AX68" s="201"/>
      <c r="AY68" s="201"/>
      <c r="AZ68" s="201"/>
      <c r="BA68" s="201"/>
      <c r="BB68" s="201"/>
      <c r="BC68" s="927"/>
      <c r="BD68" s="201"/>
      <c r="BE68" s="201"/>
      <c r="BF68" s="201"/>
      <c r="BG68" s="201"/>
      <c r="BH68" s="201"/>
      <c r="BI68" s="927"/>
      <c r="BJ68" s="201"/>
      <c r="BK68" s="201"/>
      <c r="BL68" s="201"/>
      <c r="BM68" s="201"/>
      <c r="BN68" s="201"/>
      <c r="BO68" s="927"/>
      <c r="BP68" s="201"/>
      <c r="BQ68" s="201"/>
      <c r="BR68" s="201"/>
      <c r="BS68" s="201"/>
      <c r="BT68" s="201"/>
      <c r="BU68" s="927"/>
      <c r="BV68" s="201"/>
      <c r="BW68" s="201"/>
      <c r="BX68" s="201"/>
      <c r="BY68" s="201"/>
      <c r="BZ68" s="201"/>
      <c r="CA68" s="927"/>
      <c r="CB68" s="201"/>
      <c r="CC68" s="201"/>
      <c r="CD68" s="201"/>
      <c r="CE68" s="201"/>
      <c r="CF68" s="201"/>
      <c r="CG68" s="927"/>
      <c r="CH68" s="201"/>
      <c r="CI68" s="201"/>
      <c r="CJ68" s="201"/>
      <c r="CK68" s="201"/>
      <c r="CL68" s="201"/>
      <c r="CM68" s="14"/>
      <c r="CN68" s="14"/>
    </row>
    <row r="69" spans="1:92" ht="11.25" customHeight="1" x14ac:dyDescent="0.2">
      <c r="A69" s="14"/>
      <c r="B69" s="14"/>
      <c r="C69" s="14"/>
      <c r="D69" s="14"/>
      <c r="E69" s="14"/>
      <c r="F69" s="14"/>
      <c r="G69" s="24"/>
      <c r="H69" s="14"/>
      <c r="I69" s="14"/>
      <c r="J69" s="14"/>
      <c r="K69" s="14"/>
      <c r="L69" s="14"/>
      <c r="M69" s="24"/>
      <c r="N69" s="14"/>
      <c r="O69" s="14"/>
      <c r="P69" s="14"/>
      <c r="Q69" s="14"/>
      <c r="R69" s="14"/>
      <c r="S69" s="24"/>
      <c r="T69" s="14"/>
      <c r="U69" s="14"/>
      <c r="V69" s="14"/>
      <c r="W69" s="14"/>
      <c r="X69" s="14"/>
      <c r="Y69" s="24"/>
      <c r="Z69" s="14"/>
      <c r="AA69" s="14"/>
      <c r="AB69" s="14"/>
      <c r="AC69" s="14"/>
      <c r="AD69" s="11"/>
      <c r="AE69" s="24"/>
      <c r="AF69" s="14"/>
      <c r="AG69" s="14"/>
      <c r="AH69" s="14"/>
      <c r="AI69" s="14"/>
      <c r="AJ69" s="14"/>
      <c r="AK69" s="24"/>
      <c r="AL69" s="14"/>
      <c r="AM69" s="14"/>
      <c r="AN69" s="14"/>
      <c r="AO69" s="14"/>
      <c r="AP69" s="14"/>
      <c r="AQ69" s="24"/>
      <c r="AR69" s="14"/>
      <c r="AS69" s="14"/>
      <c r="AT69" s="14"/>
      <c r="AU69" s="14"/>
      <c r="AV69" s="14"/>
      <c r="AW69" s="24"/>
      <c r="AX69" s="14"/>
      <c r="AY69" s="14"/>
      <c r="AZ69" s="14"/>
      <c r="BA69" s="458"/>
      <c r="BB69" s="14"/>
      <c r="BC69" s="24"/>
      <c r="BD69" s="458"/>
      <c r="BE69" s="458"/>
      <c r="BF69" s="458"/>
      <c r="BG69" s="458"/>
      <c r="BH69" s="458"/>
      <c r="BI69" s="24"/>
      <c r="BJ69" s="458"/>
      <c r="BK69" s="458"/>
      <c r="BL69" s="458"/>
      <c r="BM69" s="458"/>
      <c r="BN69" s="458"/>
      <c r="BO69" s="24"/>
      <c r="BP69" s="458"/>
      <c r="BQ69" s="458"/>
      <c r="BR69" s="458"/>
      <c r="BS69" s="458"/>
      <c r="BT69" s="458"/>
      <c r="BU69" s="24"/>
      <c r="BV69" s="458"/>
      <c r="BW69" s="458"/>
      <c r="BX69" s="458"/>
      <c r="BY69" s="458"/>
      <c r="BZ69" s="458"/>
      <c r="CA69" s="24"/>
      <c r="CB69" s="458"/>
      <c r="CC69" s="458"/>
      <c r="CD69" s="458"/>
      <c r="CE69" s="458"/>
      <c r="CF69" s="458"/>
      <c r="CG69" s="24"/>
      <c r="CH69" s="458"/>
      <c r="CI69" s="458"/>
      <c r="CJ69" s="458"/>
      <c r="CK69" s="458"/>
      <c r="CL69" s="458"/>
      <c r="CM69" s="14"/>
      <c r="CN69" s="14"/>
    </row>
    <row r="70" spans="1:92" ht="11.25" customHeight="1" x14ac:dyDescent="0.2">
      <c r="A70" s="14"/>
      <c r="B70" s="14"/>
      <c r="C70" s="14"/>
      <c r="D70" s="14"/>
      <c r="E70" s="14"/>
      <c r="F70" s="14"/>
      <c r="G70" s="24"/>
      <c r="H70" s="14"/>
      <c r="I70" s="14"/>
      <c r="J70" s="14"/>
      <c r="K70" s="14"/>
      <c r="L70" s="14"/>
      <c r="M70" s="24"/>
      <c r="N70" s="14"/>
      <c r="O70" s="14"/>
      <c r="P70" s="14"/>
      <c r="Q70" s="14"/>
      <c r="R70" s="14"/>
      <c r="S70" s="24"/>
      <c r="T70" s="14"/>
      <c r="U70" s="14"/>
      <c r="V70" s="14"/>
      <c r="W70" s="14"/>
      <c r="X70" s="14"/>
      <c r="Y70" s="24"/>
      <c r="Z70" s="14"/>
      <c r="AA70" s="14"/>
      <c r="AB70" s="14"/>
      <c r="AC70" s="14"/>
      <c r="AD70" s="11"/>
      <c r="AE70" s="24"/>
      <c r="AF70" s="14"/>
      <c r="AG70" s="14"/>
      <c r="AH70" s="14"/>
      <c r="AI70" s="14"/>
      <c r="AJ70" s="14"/>
      <c r="AK70" s="24"/>
      <c r="AL70" s="14"/>
      <c r="AM70" s="14"/>
      <c r="AN70" s="14"/>
      <c r="AO70" s="14"/>
      <c r="AP70" s="14"/>
      <c r="AQ70" s="24"/>
      <c r="AR70" s="14"/>
      <c r="AS70" s="14"/>
      <c r="AT70" s="14"/>
      <c r="AU70" s="14"/>
      <c r="AV70" s="14"/>
      <c r="AW70" s="24"/>
      <c r="AX70" s="14"/>
      <c r="AY70" s="14"/>
      <c r="AZ70" s="14"/>
      <c r="BA70" s="14"/>
      <c r="BB70" s="14"/>
      <c r="BC70" s="24"/>
      <c r="BD70" s="14"/>
      <c r="BE70" s="14"/>
      <c r="BF70" s="14"/>
      <c r="BG70" s="14"/>
      <c r="BH70" s="14"/>
      <c r="BI70" s="24"/>
      <c r="BJ70" s="14"/>
      <c r="BK70" s="14"/>
      <c r="BL70" s="14"/>
      <c r="BM70" s="14"/>
      <c r="BN70" s="14"/>
      <c r="BO70" s="24"/>
      <c r="BP70" s="14"/>
      <c r="BQ70" s="14"/>
      <c r="BR70" s="14"/>
      <c r="BS70" s="14"/>
      <c r="BT70" s="14"/>
      <c r="BU70" s="24"/>
      <c r="BV70" s="14"/>
      <c r="BW70" s="14"/>
      <c r="BX70" s="14"/>
      <c r="BY70" s="14"/>
      <c r="BZ70" s="14"/>
      <c r="CA70" s="24"/>
      <c r="CB70" s="14"/>
      <c r="CC70" s="14"/>
      <c r="CD70" s="14"/>
      <c r="CE70" s="14"/>
      <c r="CF70" s="14"/>
      <c r="CG70" s="24"/>
      <c r="CH70" s="14"/>
      <c r="CI70" s="14"/>
      <c r="CJ70" s="14"/>
      <c r="CK70" s="14"/>
      <c r="CL70" s="14"/>
      <c r="CM70" s="14"/>
      <c r="CN70" s="14"/>
    </row>
    <row r="71" spans="1:92" ht="11.25" customHeight="1" x14ac:dyDescent="0.2">
      <c r="A71" s="14"/>
      <c r="B71" s="14"/>
      <c r="C71" s="14"/>
      <c r="D71" s="14"/>
      <c r="E71" s="14"/>
      <c r="F71" s="14"/>
      <c r="G71" s="24"/>
      <c r="H71" s="14"/>
      <c r="I71" s="14"/>
      <c r="J71" s="14"/>
      <c r="K71" s="14"/>
      <c r="L71" s="14"/>
      <c r="M71" s="24"/>
      <c r="N71" s="14"/>
      <c r="O71" s="14"/>
      <c r="P71" s="14"/>
      <c r="Q71" s="14"/>
      <c r="R71" s="14"/>
      <c r="S71" s="24"/>
      <c r="T71" s="14"/>
      <c r="U71" s="14"/>
      <c r="V71" s="14"/>
      <c r="W71" s="14"/>
      <c r="X71" s="14"/>
      <c r="Y71" s="24"/>
      <c r="Z71" s="14"/>
      <c r="AA71" s="14"/>
      <c r="AB71" s="14"/>
      <c r="AC71" s="14"/>
      <c r="AD71" s="11"/>
      <c r="AE71" s="24"/>
      <c r="AF71" s="14"/>
      <c r="AG71" s="14"/>
      <c r="AH71" s="14"/>
      <c r="AI71" s="14"/>
      <c r="AJ71" s="14"/>
      <c r="AK71" s="24"/>
      <c r="AL71" s="14"/>
      <c r="AM71" s="14"/>
      <c r="AN71" s="14"/>
      <c r="AO71" s="14"/>
      <c r="AP71" s="14"/>
      <c r="AQ71" s="24"/>
      <c r="AR71" s="14"/>
      <c r="AS71" s="14"/>
      <c r="AT71" s="14"/>
      <c r="AU71" s="14"/>
      <c r="AV71" s="14"/>
      <c r="AW71" s="24"/>
      <c r="AX71" s="14"/>
      <c r="AY71" s="14"/>
      <c r="AZ71" s="14"/>
      <c r="BA71" s="14"/>
      <c r="BB71" s="14"/>
      <c r="BC71" s="24"/>
      <c r="BD71" s="14"/>
      <c r="BE71" s="14"/>
      <c r="BF71" s="14"/>
      <c r="BG71" s="14"/>
      <c r="BH71" s="14"/>
      <c r="BI71" s="24"/>
      <c r="BJ71" s="14"/>
      <c r="BK71" s="14"/>
      <c r="BL71" s="14"/>
      <c r="BM71" s="14"/>
      <c r="BN71" s="14"/>
      <c r="BO71" s="24"/>
      <c r="BP71" s="14"/>
      <c r="BQ71" s="14"/>
      <c r="BR71" s="14"/>
      <c r="BS71" s="14"/>
      <c r="BT71" s="14"/>
      <c r="BU71" s="24"/>
      <c r="BV71" s="14"/>
      <c r="BW71" s="14"/>
      <c r="BX71" s="14"/>
      <c r="BY71" s="14"/>
      <c r="BZ71" s="14"/>
      <c r="CA71" s="24"/>
      <c r="CB71" s="14"/>
      <c r="CC71" s="14"/>
      <c r="CD71" s="14"/>
      <c r="CE71" s="14"/>
      <c r="CF71" s="14"/>
      <c r="CG71" s="24"/>
      <c r="CH71" s="14"/>
      <c r="CI71" s="14"/>
      <c r="CJ71" s="14"/>
      <c r="CK71" s="14"/>
      <c r="CL71" s="14"/>
      <c r="CM71" s="14"/>
      <c r="CN71" s="14"/>
    </row>
    <row r="72" spans="1:92" ht="11.25" customHeight="1" x14ac:dyDescent="0.2">
      <c r="A72" s="14"/>
      <c r="B72" s="14"/>
      <c r="C72" s="14"/>
      <c r="D72" s="14"/>
      <c r="E72" s="14"/>
      <c r="F72" s="14"/>
      <c r="G72" s="24"/>
      <c r="H72" s="14"/>
      <c r="I72" s="14"/>
      <c r="J72" s="14"/>
      <c r="K72" s="14"/>
      <c r="L72" s="14"/>
      <c r="M72" s="24"/>
      <c r="N72" s="14"/>
      <c r="O72" s="14"/>
      <c r="P72" s="14"/>
      <c r="Q72" s="14"/>
      <c r="R72" s="14"/>
      <c r="S72" s="24"/>
      <c r="T72" s="14"/>
      <c r="U72" s="14"/>
      <c r="V72" s="14"/>
      <c r="W72" s="14"/>
      <c r="X72" s="14"/>
      <c r="Y72" s="24"/>
      <c r="Z72" s="14"/>
      <c r="AA72" s="14"/>
      <c r="AB72" s="14"/>
      <c r="AC72" s="14"/>
      <c r="AD72" s="11"/>
      <c r="AE72" s="24"/>
      <c r="AF72" s="14"/>
      <c r="AG72" s="14"/>
      <c r="AH72" s="14"/>
      <c r="AI72" s="14"/>
      <c r="AJ72" s="14"/>
      <c r="AK72" s="24"/>
      <c r="AL72" s="14"/>
      <c r="AM72" s="14"/>
      <c r="AN72" s="14"/>
      <c r="AO72" s="14"/>
      <c r="AP72" s="14"/>
      <c r="AQ72" s="24"/>
      <c r="AR72" s="14"/>
      <c r="AS72" s="14"/>
      <c r="AT72" s="14"/>
      <c r="AU72" s="14"/>
      <c r="AV72" s="14"/>
      <c r="AW72" s="24"/>
      <c r="AX72" s="14"/>
      <c r="AY72" s="14"/>
      <c r="AZ72" s="14"/>
      <c r="BA72" s="14"/>
      <c r="BB72" s="14"/>
      <c r="BC72" s="24"/>
      <c r="BD72" s="14"/>
      <c r="BE72" s="14"/>
      <c r="BF72" s="14"/>
      <c r="BG72" s="14"/>
      <c r="BH72" s="14"/>
      <c r="BI72" s="24"/>
      <c r="BJ72" s="14"/>
      <c r="BK72" s="14"/>
      <c r="BL72" s="14"/>
      <c r="BM72" s="14"/>
      <c r="BN72" s="14"/>
      <c r="BO72" s="24"/>
      <c r="BP72" s="14"/>
      <c r="BQ72" s="14"/>
      <c r="BR72" s="14"/>
      <c r="BS72" s="14"/>
      <c r="BT72" s="14"/>
      <c r="BU72" s="24"/>
      <c r="BV72" s="14"/>
      <c r="BW72" s="14"/>
      <c r="BX72" s="14"/>
      <c r="BY72" s="14"/>
      <c r="BZ72" s="14"/>
      <c r="CA72" s="24"/>
      <c r="CB72" s="14"/>
      <c r="CC72" s="14"/>
      <c r="CD72" s="14"/>
      <c r="CE72" s="14"/>
      <c r="CF72" s="14"/>
      <c r="CG72" s="24"/>
      <c r="CH72" s="14"/>
      <c r="CI72" s="14"/>
      <c r="CJ72" s="14"/>
      <c r="CK72" s="14"/>
      <c r="CL72" s="14"/>
      <c r="CM72" s="14"/>
      <c r="CN72" s="14"/>
    </row>
    <row r="73" spans="1:92" ht="11.25" customHeight="1" x14ac:dyDescent="0.2">
      <c r="A73" s="14"/>
      <c r="B73" s="14"/>
      <c r="C73" s="14"/>
      <c r="D73" s="14"/>
      <c r="E73" s="14"/>
      <c r="F73" s="14"/>
      <c r="G73" s="24"/>
      <c r="H73" s="14"/>
      <c r="I73" s="14"/>
      <c r="J73" s="14"/>
      <c r="K73" s="14"/>
      <c r="L73" s="14"/>
      <c r="M73" s="24"/>
      <c r="N73" s="14"/>
      <c r="O73" s="14"/>
      <c r="P73" s="14"/>
      <c r="Q73" s="14"/>
      <c r="R73" s="14"/>
      <c r="S73" s="24"/>
      <c r="T73" s="14"/>
      <c r="U73" s="14"/>
      <c r="V73" s="14"/>
      <c r="W73" s="14"/>
      <c r="X73" s="14"/>
      <c r="Y73" s="24"/>
      <c r="Z73" s="14"/>
      <c r="AA73" s="14"/>
      <c r="AB73" s="14"/>
      <c r="AC73" s="14"/>
      <c r="AD73" s="11"/>
      <c r="AE73" s="24"/>
      <c r="AF73" s="14"/>
      <c r="AG73" s="14"/>
      <c r="AH73" s="14"/>
      <c r="AI73" s="14"/>
      <c r="AJ73" s="14"/>
      <c r="AK73" s="24"/>
      <c r="AL73" s="14"/>
      <c r="AM73" s="14"/>
      <c r="AN73" s="14"/>
      <c r="AO73" s="14"/>
      <c r="AP73" s="14"/>
      <c r="AQ73" s="24"/>
      <c r="AR73" s="14"/>
      <c r="AS73" s="14"/>
      <c r="AT73" s="14"/>
      <c r="AU73" s="14"/>
      <c r="AV73" s="14"/>
      <c r="AW73" s="24"/>
      <c r="AX73" s="14"/>
      <c r="AY73" s="14"/>
      <c r="AZ73" s="14"/>
      <c r="BA73" s="14"/>
      <c r="BB73" s="14"/>
      <c r="BC73" s="24"/>
      <c r="BD73" s="14"/>
      <c r="BE73" s="14"/>
      <c r="BF73" s="14"/>
      <c r="BG73" s="14"/>
      <c r="BH73" s="14"/>
      <c r="BI73" s="24"/>
      <c r="BJ73" s="14"/>
      <c r="BK73" s="14"/>
      <c r="BL73" s="14"/>
      <c r="BM73" s="14"/>
      <c r="BN73" s="14"/>
      <c r="BO73" s="24"/>
      <c r="BP73" s="14"/>
      <c r="BQ73" s="14"/>
      <c r="BR73" s="14"/>
      <c r="BS73" s="14"/>
      <c r="BT73" s="14"/>
      <c r="BU73" s="24"/>
      <c r="BV73" s="14"/>
      <c r="BW73" s="14"/>
      <c r="BX73" s="14"/>
      <c r="BY73" s="14"/>
      <c r="BZ73" s="14"/>
      <c r="CA73" s="24"/>
      <c r="CB73" s="14"/>
      <c r="CC73" s="14"/>
      <c r="CD73" s="14"/>
      <c r="CE73" s="14"/>
      <c r="CF73" s="14"/>
      <c r="CG73" s="24"/>
      <c r="CH73" s="14"/>
      <c r="CI73" s="14"/>
      <c r="CJ73" s="14"/>
      <c r="CK73" s="14"/>
      <c r="CL73" s="14"/>
      <c r="CM73" s="14"/>
      <c r="CN73" s="14"/>
    </row>
    <row r="74" spans="1:92" ht="11.25" customHeight="1" x14ac:dyDescent="0.2">
      <c r="A74" s="14"/>
      <c r="B74" s="14"/>
      <c r="C74" s="14"/>
      <c r="D74" s="14"/>
      <c r="E74" s="14"/>
      <c r="F74" s="14"/>
      <c r="G74" s="24"/>
      <c r="H74" s="14"/>
      <c r="I74" s="14"/>
      <c r="J74" s="14"/>
      <c r="K74" s="14"/>
      <c r="L74" s="14"/>
      <c r="M74" s="24"/>
      <c r="N74" s="14"/>
      <c r="O74" s="14"/>
      <c r="P74" s="14"/>
      <c r="Q74" s="14"/>
      <c r="R74" s="14"/>
      <c r="S74" s="24"/>
      <c r="T74" s="14"/>
      <c r="U74" s="14"/>
      <c r="V74" s="14"/>
      <c r="W74" s="14"/>
      <c r="X74" s="14"/>
      <c r="Y74" s="24"/>
      <c r="Z74" s="14"/>
      <c r="AA74" s="14"/>
      <c r="AB74" s="14"/>
      <c r="AC74" s="14"/>
      <c r="AD74" s="11"/>
      <c r="AE74" s="24"/>
      <c r="AF74" s="14"/>
      <c r="AG74" s="14"/>
      <c r="AH74" s="14"/>
      <c r="AI74" s="14"/>
      <c r="AJ74" s="14"/>
      <c r="AK74" s="24"/>
      <c r="AL74" s="14"/>
      <c r="AM74" s="14"/>
      <c r="AN74" s="14"/>
      <c r="AO74" s="14"/>
      <c r="AP74" s="14"/>
      <c r="AQ74" s="24"/>
      <c r="AR74" s="14"/>
      <c r="AS74" s="14"/>
      <c r="AT74" s="14"/>
      <c r="AU74" s="14"/>
      <c r="AV74" s="14"/>
      <c r="AW74" s="24"/>
      <c r="AX74" s="14"/>
      <c r="AY74" s="14"/>
      <c r="AZ74" s="14"/>
      <c r="BA74" s="14"/>
      <c r="BB74" s="14"/>
      <c r="BC74" s="24"/>
      <c r="BD74" s="14"/>
      <c r="BE74" s="14"/>
      <c r="BF74" s="14"/>
      <c r="BG74" s="14"/>
      <c r="BH74" s="14"/>
      <c r="BI74" s="24"/>
      <c r="BJ74" s="14"/>
      <c r="BK74" s="14"/>
      <c r="BL74" s="14"/>
      <c r="BM74" s="14"/>
      <c r="BN74" s="14"/>
      <c r="BO74" s="24"/>
      <c r="BP74" s="14"/>
      <c r="BQ74" s="14"/>
      <c r="BR74" s="14"/>
      <c r="BS74" s="14"/>
      <c r="BT74" s="14"/>
      <c r="BU74" s="24"/>
      <c r="BV74" s="14"/>
      <c r="BW74" s="14"/>
      <c r="BX74" s="14"/>
      <c r="BY74" s="14"/>
      <c r="BZ74" s="14"/>
      <c r="CA74" s="24"/>
      <c r="CB74" s="14"/>
      <c r="CC74" s="14"/>
      <c r="CD74" s="14"/>
      <c r="CE74" s="14"/>
      <c r="CF74" s="14"/>
      <c r="CG74" s="24"/>
      <c r="CH74" s="14"/>
      <c r="CI74" s="14"/>
      <c r="CJ74" s="14"/>
      <c r="CK74" s="14"/>
      <c r="CL74" s="14"/>
      <c r="CM74" s="14"/>
      <c r="CN74" s="14"/>
    </row>
    <row r="75" spans="1:92" ht="11.25" customHeight="1" x14ac:dyDescent="0.2">
      <c r="A75" s="14"/>
      <c r="B75" s="14"/>
      <c r="C75" s="14"/>
      <c r="D75" s="14"/>
      <c r="E75" s="14"/>
      <c r="F75" s="14"/>
      <c r="G75" s="24"/>
      <c r="H75" s="14"/>
      <c r="I75" s="14"/>
      <c r="J75" s="14"/>
      <c r="K75" s="14"/>
      <c r="L75" s="14"/>
      <c r="M75" s="24"/>
      <c r="N75" s="14"/>
      <c r="O75" s="14"/>
      <c r="P75" s="14"/>
      <c r="Q75" s="14"/>
      <c r="R75" s="14"/>
      <c r="S75" s="24"/>
      <c r="T75" s="14"/>
      <c r="U75" s="14"/>
      <c r="V75" s="14"/>
      <c r="W75" s="14"/>
      <c r="X75" s="14"/>
      <c r="Y75" s="24"/>
      <c r="Z75" s="14"/>
      <c r="AA75" s="14"/>
      <c r="AB75" s="14"/>
      <c r="AC75" s="14"/>
      <c r="AD75" s="11"/>
      <c r="AE75" s="24"/>
      <c r="AF75" s="14"/>
      <c r="AG75" s="14"/>
      <c r="AH75" s="14"/>
      <c r="AI75" s="14"/>
      <c r="AJ75" s="14"/>
      <c r="AK75" s="24"/>
      <c r="AL75" s="14"/>
      <c r="AM75" s="14"/>
      <c r="AN75" s="14"/>
      <c r="AO75" s="14"/>
      <c r="AP75" s="14"/>
      <c r="AQ75" s="24"/>
      <c r="AR75" s="14"/>
      <c r="AS75" s="14"/>
      <c r="AT75" s="14"/>
      <c r="AU75" s="14"/>
      <c r="AV75" s="14"/>
      <c r="AW75" s="24"/>
      <c r="AX75" s="14"/>
      <c r="AY75" s="14"/>
      <c r="AZ75" s="14"/>
      <c r="BA75" s="14"/>
      <c r="BB75" s="14"/>
      <c r="BC75" s="24"/>
      <c r="BD75" s="14"/>
      <c r="BE75" s="14"/>
      <c r="BF75" s="14"/>
      <c r="BG75" s="14"/>
      <c r="BH75" s="14"/>
      <c r="BI75" s="24"/>
      <c r="BJ75" s="14"/>
      <c r="BK75" s="14"/>
      <c r="BL75" s="14"/>
      <c r="BM75" s="14"/>
      <c r="BN75" s="14"/>
      <c r="BO75" s="24"/>
      <c r="BP75" s="14"/>
      <c r="BQ75" s="14"/>
      <c r="BR75" s="14"/>
      <c r="BS75" s="14"/>
      <c r="BT75" s="14"/>
      <c r="BU75" s="24"/>
      <c r="BV75" s="14"/>
      <c r="BW75" s="14"/>
      <c r="BX75" s="14"/>
      <c r="BY75" s="14"/>
      <c r="BZ75" s="14"/>
      <c r="CA75" s="24"/>
      <c r="CB75" s="14"/>
      <c r="CC75" s="14"/>
      <c r="CD75" s="14"/>
      <c r="CE75" s="14"/>
      <c r="CF75" s="14"/>
      <c r="CG75" s="24"/>
      <c r="CH75" s="14"/>
      <c r="CI75" s="14"/>
      <c r="CJ75" s="14"/>
      <c r="CK75" s="14"/>
      <c r="CL75" s="14"/>
      <c r="CM75" s="14"/>
      <c r="CN75" s="14"/>
    </row>
    <row r="76" spans="1:92" ht="11.25" customHeight="1" x14ac:dyDescent="0.2">
      <c r="A76" s="14"/>
      <c r="B76" s="14"/>
      <c r="C76" s="14"/>
      <c r="D76" s="14"/>
      <c r="E76" s="14"/>
      <c r="F76" s="14"/>
      <c r="G76" s="24"/>
      <c r="H76" s="14"/>
      <c r="I76" s="14"/>
      <c r="J76" s="14"/>
      <c r="K76" s="14"/>
      <c r="L76" s="14"/>
      <c r="M76" s="24"/>
      <c r="N76" s="14"/>
      <c r="O76" s="14"/>
      <c r="P76" s="14"/>
      <c r="Q76" s="14"/>
      <c r="R76" s="14"/>
      <c r="S76" s="24"/>
      <c r="T76" s="14"/>
      <c r="U76" s="14"/>
      <c r="V76" s="14"/>
      <c r="W76" s="14"/>
      <c r="X76" s="14"/>
      <c r="Y76" s="24"/>
      <c r="Z76" s="14"/>
      <c r="AA76" s="14"/>
      <c r="AB76" s="14"/>
      <c r="AC76" s="14"/>
      <c r="AD76" s="11"/>
      <c r="AE76" s="24"/>
      <c r="AF76" s="14"/>
      <c r="AG76" s="14"/>
      <c r="AH76" s="14"/>
      <c r="AI76" s="14"/>
      <c r="AJ76" s="14"/>
      <c r="AK76" s="24"/>
      <c r="AL76" s="14"/>
      <c r="AM76" s="14"/>
      <c r="AN76" s="14"/>
      <c r="AO76" s="14"/>
      <c r="AP76" s="14"/>
      <c r="AQ76" s="24"/>
      <c r="AR76" s="14"/>
      <c r="AS76" s="14"/>
      <c r="AT76" s="14"/>
      <c r="AU76" s="14"/>
      <c r="AV76" s="14"/>
      <c r="AW76" s="24"/>
      <c r="AX76" s="14"/>
      <c r="AY76" s="14"/>
      <c r="AZ76" s="14"/>
      <c r="BA76" s="14"/>
      <c r="BB76" s="14"/>
      <c r="BC76" s="24"/>
      <c r="BD76" s="14"/>
      <c r="BE76" s="14"/>
      <c r="BF76" s="14"/>
      <c r="BG76" s="14"/>
      <c r="BH76" s="14"/>
      <c r="BI76" s="24"/>
      <c r="BJ76" s="14"/>
      <c r="BK76" s="14"/>
      <c r="BL76" s="14"/>
      <c r="BM76" s="14"/>
      <c r="BN76" s="14"/>
      <c r="BO76" s="24"/>
      <c r="BP76" s="14"/>
      <c r="BQ76" s="14"/>
      <c r="BR76" s="14"/>
      <c r="BS76" s="14"/>
      <c r="BT76" s="14"/>
      <c r="BU76" s="24"/>
      <c r="BV76" s="14"/>
      <c r="BW76" s="14"/>
      <c r="BX76" s="14"/>
      <c r="BY76" s="14"/>
      <c r="BZ76" s="14"/>
      <c r="CA76" s="24"/>
      <c r="CB76" s="14"/>
      <c r="CC76" s="14"/>
      <c r="CD76" s="14"/>
      <c r="CE76" s="14"/>
      <c r="CF76" s="14"/>
      <c r="CG76" s="24"/>
      <c r="CH76" s="14"/>
      <c r="CI76" s="14"/>
      <c r="CJ76" s="14"/>
      <c r="CK76" s="14"/>
      <c r="CL76" s="14"/>
      <c r="CM76" s="14"/>
      <c r="CN76" s="14"/>
    </row>
    <row r="77" spans="1:92" ht="11.25" customHeight="1" x14ac:dyDescent="0.2"/>
    <row r="78" spans="1:92" ht="11.25" customHeight="1" x14ac:dyDescent="0.2"/>
    <row r="79" spans="1:92" ht="11.25" customHeight="1" x14ac:dyDescent="0.2"/>
    <row r="80" spans="1:92" ht="11.25" customHeight="1" x14ac:dyDescent="0.2"/>
    <row r="81" ht="11.25" customHeight="1" x14ac:dyDescent="0.2"/>
    <row r="82" ht="11.25" customHeight="1" x14ac:dyDescent="0.2"/>
  </sheetData>
  <mergeCells count="15">
    <mergeCell ref="CH4:CK4"/>
    <mergeCell ref="B4:E4"/>
    <mergeCell ref="H4:K4"/>
    <mergeCell ref="N4:Q4"/>
    <mergeCell ref="T4:W4"/>
    <mergeCell ref="Z4:AC4"/>
    <mergeCell ref="BJ4:BM4"/>
    <mergeCell ref="BP4:BS4"/>
    <mergeCell ref="BV4:BY4"/>
    <mergeCell ref="CB4:CE4"/>
    <mergeCell ref="AF4:AI4"/>
    <mergeCell ref="AL4:AO4"/>
    <mergeCell ref="AR4:AU4"/>
    <mergeCell ref="AX4:BA4"/>
    <mergeCell ref="BD4:BG4"/>
  </mergeCells>
  <phoneticPr fontId="11" type="noConversion"/>
  <printOptions horizontalCentered="1" verticalCentered="1"/>
  <pageMargins left="0" right="0" top="0" bottom="0" header="0" footer="0"/>
  <pageSetup scale="73" orientation="landscape" r:id="rId1"/>
  <headerFooter alignWithMargins="0"/>
  <ignoredErrors>
    <ignoredError sqref="BS19:CL19"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x14ac:dyDescent="0.2"/>
  <cols>
    <col min="1" max="1" width="29.5703125" style="242" bestFit="1" customWidth="1"/>
    <col min="2" max="2" width="19.85546875" style="1434" customWidth="1"/>
    <col min="3" max="3" width="12" style="242" bestFit="1" customWidth="1"/>
    <col min="4" max="256" width="9.140625" style="242"/>
    <col min="257" max="257" width="29.5703125" style="242" bestFit="1" customWidth="1"/>
    <col min="258" max="258" width="19.85546875" style="242" customWidth="1"/>
    <col min="259" max="259" width="12" style="242" bestFit="1" customWidth="1"/>
    <col min="260" max="512" width="9.140625" style="242"/>
    <col min="513" max="513" width="29.5703125" style="242" bestFit="1" customWidth="1"/>
    <col min="514" max="514" width="19.85546875" style="242" customWidth="1"/>
    <col min="515" max="515" width="12" style="242" bestFit="1" customWidth="1"/>
    <col min="516" max="768" width="9.140625" style="242"/>
    <col min="769" max="769" width="29.5703125" style="242" bestFit="1" customWidth="1"/>
    <col min="770" max="770" width="19.85546875" style="242" customWidth="1"/>
    <col min="771" max="771" width="12" style="242" bestFit="1" customWidth="1"/>
    <col min="772" max="1024" width="9.140625" style="242"/>
    <col min="1025" max="1025" width="29.5703125" style="242" bestFit="1" customWidth="1"/>
    <col min="1026" max="1026" width="19.85546875" style="242" customWidth="1"/>
    <col min="1027" max="1027" width="12" style="242" bestFit="1" customWidth="1"/>
    <col min="1028" max="1280" width="9.140625" style="242"/>
    <col min="1281" max="1281" width="29.5703125" style="242" bestFit="1" customWidth="1"/>
    <col min="1282" max="1282" width="19.85546875" style="242" customWidth="1"/>
    <col min="1283" max="1283" width="12" style="242" bestFit="1" customWidth="1"/>
    <col min="1284" max="1536" width="9.140625" style="242"/>
    <col min="1537" max="1537" width="29.5703125" style="242" bestFit="1" customWidth="1"/>
    <col min="1538" max="1538" width="19.85546875" style="242" customWidth="1"/>
    <col min="1539" max="1539" width="12" style="242" bestFit="1" customWidth="1"/>
    <col min="1540" max="1792" width="9.140625" style="242"/>
    <col min="1793" max="1793" width="29.5703125" style="242" bestFit="1" customWidth="1"/>
    <col min="1794" max="1794" width="19.85546875" style="242" customWidth="1"/>
    <col min="1795" max="1795" width="12" style="242" bestFit="1" customWidth="1"/>
    <col min="1796" max="2048" width="9.140625" style="242"/>
    <col min="2049" max="2049" width="29.5703125" style="242" bestFit="1" customWidth="1"/>
    <col min="2050" max="2050" width="19.85546875" style="242" customWidth="1"/>
    <col min="2051" max="2051" width="12" style="242" bestFit="1" customWidth="1"/>
    <col min="2052" max="2304" width="9.140625" style="242"/>
    <col min="2305" max="2305" width="29.5703125" style="242" bestFit="1" customWidth="1"/>
    <col min="2306" max="2306" width="19.85546875" style="242" customWidth="1"/>
    <col min="2307" max="2307" width="12" style="242" bestFit="1" customWidth="1"/>
    <col min="2308" max="2560" width="9.140625" style="242"/>
    <col min="2561" max="2561" width="29.5703125" style="242" bestFit="1" customWidth="1"/>
    <col min="2562" max="2562" width="19.85546875" style="242" customWidth="1"/>
    <col min="2563" max="2563" width="12" style="242" bestFit="1" customWidth="1"/>
    <col min="2564" max="2816" width="9.140625" style="242"/>
    <col min="2817" max="2817" width="29.5703125" style="242" bestFit="1" customWidth="1"/>
    <col min="2818" max="2818" width="19.85546875" style="242" customWidth="1"/>
    <col min="2819" max="2819" width="12" style="242" bestFit="1" customWidth="1"/>
    <col min="2820" max="3072" width="9.140625" style="242"/>
    <col min="3073" max="3073" width="29.5703125" style="242" bestFit="1" customWidth="1"/>
    <col min="3074" max="3074" width="19.85546875" style="242" customWidth="1"/>
    <col min="3075" max="3075" width="12" style="242" bestFit="1" customWidth="1"/>
    <col min="3076" max="3328" width="9.140625" style="242"/>
    <col min="3329" max="3329" width="29.5703125" style="242" bestFit="1" customWidth="1"/>
    <col min="3330" max="3330" width="19.85546875" style="242" customWidth="1"/>
    <col min="3331" max="3331" width="12" style="242" bestFit="1" customWidth="1"/>
    <col min="3332" max="3584" width="9.140625" style="242"/>
    <col min="3585" max="3585" width="29.5703125" style="242" bestFit="1" customWidth="1"/>
    <col min="3586" max="3586" width="19.85546875" style="242" customWidth="1"/>
    <col min="3587" max="3587" width="12" style="242" bestFit="1" customWidth="1"/>
    <col min="3588" max="3840" width="9.140625" style="242"/>
    <col min="3841" max="3841" width="29.5703125" style="242" bestFit="1" customWidth="1"/>
    <col min="3842" max="3842" width="19.85546875" style="242" customWidth="1"/>
    <col min="3843" max="3843" width="12" style="242" bestFit="1" customWidth="1"/>
    <col min="3844" max="4096" width="9.140625" style="242"/>
    <col min="4097" max="4097" width="29.5703125" style="242" bestFit="1" customWidth="1"/>
    <col min="4098" max="4098" width="19.85546875" style="242" customWidth="1"/>
    <col min="4099" max="4099" width="12" style="242" bestFit="1" customWidth="1"/>
    <col min="4100" max="4352" width="9.140625" style="242"/>
    <col min="4353" max="4353" width="29.5703125" style="242" bestFit="1" customWidth="1"/>
    <col min="4354" max="4354" width="19.85546875" style="242" customWidth="1"/>
    <col min="4355" max="4355" width="12" style="242" bestFit="1" customWidth="1"/>
    <col min="4356" max="4608" width="9.140625" style="242"/>
    <col min="4609" max="4609" width="29.5703125" style="242" bestFit="1" customWidth="1"/>
    <col min="4610" max="4610" width="19.85546875" style="242" customWidth="1"/>
    <col min="4611" max="4611" width="12" style="242" bestFit="1" customWidth="1"/>
    <col min="4612" max="4864" width="9.140625" style="242"/>
    <col min="4865" max="4865" width="29.5703125" style="242" bestFit="1" customWidth="1"/>
    <col min="4866" max="4866" width="19.85546875" style="242" customWidth="1"/>
    <col min="4867" max="4867" width="12" style="242" bestFit="1" customWidth="1"/>
    <col min="4868" max="5120" width="9.140625" style="242"/>
    <col min="5121" max="5121" width="29.5703125" style="242" bestFit="1" customWidth="1"/>
    <col min="5122" max="5122" width="19.85546875" style="242" customWidth="1"/>
    <col min="5123" max="5123" width="12" style="242" bestFit="1" customWidth="1"/>
    <col min="5124" max="5376" width="9.140625" style="242"/>
    <col min="5377" max="5377" width="29.5703125" style="242" bestFit="1" customWidth="1"/>
    <col min="5378" max="5378" width="19.85546875" style="242" customWidth="1"/>
    <col min="5379" max="5379" width="12" style="242" bestFit="1" customWidth="1"/>
    <col min="5380" max="5632" width="9.140625" style="242"/>
    <col min="5633" max="5633" width="29.5703125" style="242" bestFit="1" customWidth="1"/>
    <col min="5634" max="5634" width="19.85546875" style="242" customWidth="1"/>
    <col min="5635" max="5635" width="12" style="242" bestFit="1" customWidth="1"/>
    <col min="5636" max="5888" width="9.140625" style="242"/>
    <col min="5889" max="5889" width="29.5703125" style="242" bestFit="1" customWidth="1"/>
    <col min="5890" max="5890" width="19.85546875" style="242" customWidth="1"/>
    <col min="5891" max="5891" width="12" style="242" bestFit="1" customWidth="1"/>
    <col min="5892" max="6144" width="9.140625" style="242"/>
    <col min="6145" max="6145" width="29.5703125" style="242" bestFit="1" customWidth="1"/>
    <col min="6146" max="6146" width="19.85546875" style="242" customWidth="1"/>
    <col min="6147" max="6147" width="12" style="242" bestFit="1" customWidth="1"/>
    <col min="6148" max="6400" width="9.140625" style="242"/>
    <col min="6401" max="6401" width="29.5703125" style="242" bestFit="1" customWidth="1"/>
    <col min="6402" max="6402" width="19.85546875" style="242" customWidth="1"/>
    <col min="6403" max="6403" width="12" style="242" bestFit="1" customWidth="1"/>
    <col min="6404" max="6656" width="9.140625" style="242"/>
    <col min="6657" max="6657" width="29.5703125" style="242" bestFit="1" customWidth="1"/>
    <col min="6658" max="6658" width="19.85546875" style="242" customWidth="1"/>
    <col min="6659" max="6659" width="12" style="242" bestFit="1" customWidth="1"/>
    <col min="6660" max="6912" width="9.140625" style="242"/>
    <col min="6913" max="6913" width="29.5703125" style="242" bestFit="1" customWidth="1"/>
    <col min="6914" max="6914" width="19.85546875" style="242" customWidth="1"/>
    <col min="6915" max="6915" width="12" style="242" bestFit="1" customWidth="1"/>
    <col min="6916" max="7168" width="9.140625" style="242"/>
    <col min="7169" max="7169" width="29.5703125" style="242" bestFit="1" customWidth="1"/>
    <col min="7170" max="7170" width="19.85546875" style="242" customWidth="1"/>
    <col min="7171" max="7171" width="12" style="242" bestFit="1" customWidth="1"/>
    <col min="7172" max="7424" width="9.140625" style="242"/>
    <col min="7425" max="7425" width="29.5703125" style="242" bestFit="1" customWidth="1"/>
    <col min="7426" max="7426" width="19.85546875" style="242" customWidth="1"/>
    <col min="7427" max="7427" width="12" style="242" bestFit="1" customWidth="1"/>
    <col min="7428" max="7680" width="9.140625" style="242"/>
    <col min="7681" max="7681" width="29.5703125" style="242" bestFit="1" customWidth="1"/>
    <col min="7682" max="7682" width="19.85546875" style="242" customWidth="1"/>
    <col min="7683" max="7683" width="12" style="242" bestFit="1" customWidth="1"/>
    <col min="7684" max="7936" width="9.140625" style="242"/>
    <col min="7937" max="7937" width="29.5703125" style="242" bestFit="1" customWidth="1"/>
    <col min="7938" max="7938" width="19.85546875" style="242" customWidth="1"/>
    <col min="7939" max="7939" width="12" style="242" bestFit="1" customWidth="1"/>
    <col min="7940" max="8192" width="9.140625" style="242"/>
    <col min="8193" max="8193" width="29.5703125" style="242" bestFit="1" customWidth="1"/>
    <col min="8194" max="8194" width="19.85546875" style="242" customWidth="1"/>
    <col min="8195" max="8195" width="12" style="242" bestFit="1" customWidth="1"/>
    <col min="8196" max="8448" width="9.140625" style="242"/>
    <col min="8449" max="8449" width="29.5703125" style="242" bestFit="1" customWidth="1"/>
    <col min="8450" max="8450" width="19.85546875" style="242" customWidth="1"/>
    <col min="8451" max="8451" width="12" style="242" bestFit="1" customWidth="1"/>
    <col min="8452" max="8704" width="9.140625" style="242"/>
    <col min="8705" max="8705" width="29.5703125" style="242" bestFit="1" customWidth="1"/>
    <col min="8706" max="8706" width="19.85546875" style="242" customWidth="1"/>
    <col min="8707" max="8707" width="12" style="242" bestFit="1" customWidth="1"/>
    <col min="8708" max="8960" width="9.140625" style="242"/>
    <col min="8961" max="8961" width="29.5703125" style="242" bestFit="1" customWidth="1"/>
    <col min="8962" max="8962" width="19.85546875" style="242" customWidth="1"/>
    <col min="8963" max="8963" width="12" style="242" bestFit="1" customWidth="1"/>
    <col min="8964" max="9216" width="9.140625" style="242"/>
    <col min="9217" max="9217" width="29.5703125" style="242" bestFit="1" customWidth="1"/>
    <col min="9218" max="9218" width="19.85546875" style="242" customWidth="1"/>
    <col min="9219" max="9219" width="12" style="242" bestFit="1" customWidth="1"/>
    <col min="9220" max="9472" width="9.140625" style="242"/>
    <col min="9473" max="9473" width="29.5703125" style="242" bestFit="1" customWidth="1"/>
    <col min="9474" max="9474" width="19.85546875" style="242" customWidth="1"/>
    <col min="9475" max="9475" width="12" style="242" bestFit="1" customWidth="1"/>
    <col min="9476" max="9728" width="9.140625" style="242"/>
    <col min="9729" max="9729" width="29.5703125" style="242" bestFit="1" customWidth="1"/>
    <col min="9730" max="9730" width="19.85546875" style="242" customWidth="1"/>
    <col min="9731" max="9731" width="12" style="242" bestFit="1" customWidth="1"/>
    <col min="9732" max="9984" width="9.140625" style="242"/>
    <col min="9985" max="9985" width="29.5703125" style="242" bestFit="1" customWidth="1"/>
    <col min="9986" max="9986" width="19.85546875" style="242" customWidth="1"/>
    <col min="9987" max="9987" width="12" style="242" bestFit="1" customWidth="1"/>
    <col min="9988" max="10240" width="9.140625" style="242"/>
    <col min="10241" max="10241" width="29.5703125" style="242" bestFit="1" customWidth="1"/>
    <col min="10242" max="10242" width="19.85546875" style="242" customWidth="1"/>
    <col min="10243" max="10243" width="12" style="242" bestFit="1" customWidth="1"/>
    <col min="10244" max="10496" width="9.140625" style="242"/>
    <col min="10497" max="10497" width="29.5703125" style="242" bestFit="1" customWidth="1"/>
    <col min="10498" max="10498" width="19.85546875" style="242" customWidth="1"/>
    <col min="10499" max="10499" width="12" style="242" bestFit="1" customWidth="1"/>
    <col min="10500" max="10752" width="9.140625" style="242"/>
    <col min="10753" max="10753" width="29.5703125" style="242" bestFit="1" customWidth="1"/>
    <col min="10754" max="10754" width="19.85546875" style="242" customWidth="1"/>
    <col min="10755" max="10755" width="12" style="242" bestFit="1" customWidth="1"/>
    <col min="10756" max="11008" width="9.140625" style="242"/>
    <col min="11009" max="11009" width="29.5703125" style="242" bestFit="1" customWidth="1"/>
    <col min="11010" max="11010" width="19.85546875" style="242" customWidth="1"/>
    <col min="11011" max="11011" width="12" style="242" bestFit="1" customWidth="1"/>
    <col min="11012" max="11264" width="9.140625" style="242"/>
    <col min="11265" max="11265" width="29.5703125" style="242" bestFit="1" customWidth="1"/>
    <col min="11266" max="11266" width="19.85546875" style="242" customWidth="1"/>
    <col min="11267" max="11267" width="12" style="242" bestFit="1" customWidth="1"/>
    <col min="11268" max="11520" width="9.140625" style="242"/>
    <col min="11521" max="11521" width="29.5703125" style="242" bestFit="1" customWidth="1"/>
    <col min="11522" max="11522" width="19.85546875" style="242" customWidth="1"/>
    <col min="11523" max="11523" width="12" style="242" bestFit="1" customWidth="1"/>
    <col min="11524" max="11776" width="9.140625" style="242"/>
    <col min="11777" max="11777" width="29.5703125" style="242" bestFit="1" customWidth="1"/>
    <col min="11778" max="11778" width="19.85546875" style="242" customWidth="1"/>
    <col min="11779" max="11779" width="12" style="242" bestFit="1" customWidth="1"/>
    <col min="11780" max="12032" width="9.140625" style="242"/>
    <col min="12033" max="12033" width="29.5703125" style="242" bestFit="1" customWidth="1"/>
    <col min="12034" max="12034" width="19.85546875" style="242" customWidth="1"/>
    <col min="12035" max="12035" width="12" style="242" bestFit="1" customWidth="1"/>
    <col min="12036" max="12288" width="9.140625" style="242"/>
    <col min="12289" max="12289" width="29.5703125" style="242" bestFit="1" customWidth="1"/>
    <col min="12290" max="12290" width="19.85546875" style="242" customWidth="1"/>
    <col min="12291" max="12291" width="12" style="242" bestFit="1" customWidth="1"/>
    <col min="12292" max="12544" width="9.140625" style="242"/>
    <col min="12545" max="12545" width="29.5703125" style="242" bestFit="1" customWidth="1"/>
    <col min="12546" max="12546" width="19.85546875" style="242" customWidth="1"/>
    <col min="12547" max="12547" width="12" style="242" bestFit="1" customWidth="1"/>
    <col min="12548" max="12800" width="9.140625" style="242"/>
    <col min="12801" max="12801" width="29.5703125" style="242" bestFit="1" customWidth="1"/>
    <col min="12802" max="12802" width="19.85546875" style="242" customWidth="1"/>
    <col min="12803" max="12803" width="12" style="242" bestFit="1" customWidth="1"/>
    <col min="12804" max="13056" width="9.140625" style="242"/>
    <col min="13057" max="13057" width="29.5703125" style="242" bestFit="1" customWidth="1"/>
    <col min="13058" max="13058" width="19.85546875" style="242" customWidth="1"/>
    <col min="13059" max="13059" width="12" style="242" bestFit="1" customWidth="1"/>
    <col min="13060" max="13312" width="9.140625" style="242"/>
    <col min="13313" max="13313" width="29.5703125" style="242" bestFit="1" customWidth="1"/>
    <col min="13314" max="13314" width="19.85546875" style="242" customWidth="1"/>
    <col min="13315" max="13315" width="12" style="242" bestFit="1" customWidth="1"/>
    <col min="13316" max="13568" width="9.140625" style="242"/>
    <col min="13569" max="13569" width="29.5703125" style="242" bestFit="1" customWidth="1"/>
    <col min="13570" max="13570" width="19.85546875" style="242" customWidth="1"/>
    <col min="13571" max="13571" width="12" style="242" bestFit="1" customWidth="1"/>
    <col min="13572" max="13824" width="9.140625" style="242"/>
    <col min="13825" max="13825" width="29.5703125" style="242" bestFit="1" customWidth="1"/>
    <col min="13826" max="13826" width="19.85546875" style="242" customWidth="1"/>
    <col min="13827" max="13827" width="12" style="242" bestFit="1" customWidth="1"/>
    <col min="13828" max="14080" width="9.140625" style="242"/>
    <col min="14081" max="14081" width="29.5703125" style="242" bestFit="1" customWidth="1"/>
    <col min="14082" max="14082" width="19.85546875" style="242" customWidth="1"/>
    <col min="14083" max="14083" width="12" style="242" bestFit="1" customWidth="1"/>
    <col min="14084" max="14336" width="9.140625" style="242"/>
    <col min="14337" max="14337" width="29.5703125" style="242" bestFit="1" customWidth="1"/>
    <col min="14338" max="14338" width="19.85546875" style="242" customWidth="1"/>
    <col min="14339" max="14339" width="12" style="242" bestFit="1" customWidth="1"/>
    <col min="14340" max="14592" width="9.140625" style="242"/>
    <col min="14593" max="14593" width="29.5703125" style="242" bestFit="1" customWidth="1"/>
    <col min="14594" max="14594" width="19.85546875" style="242" customWidth="1"/>
    <col min="14595" max="14595" width="12" style="242" bestFit="1" customWidth="1"/>
    <col min="14596" max="14848" width="9.140625" style="242"/>
    <col min="14849" max="14849" width="29.5703125" style="242" bestFit="1" customWidth="1"/>
    <col min="14850" max="14850" width="19.85546875" style="242" customWidth="1"/>
    <col min="14851" max="14851" width="12" style="242" bestFit="1" customWidth="1"/>
    <col min="14852" max="15104" width="9.140625" style="242"/>
    <col min="15105" max="15105" width="29.5703125" style="242" bestFit="1" customWidth="1"/>
    <col min="15106" max="15106" width="19.85546875" style="242" customWidth="1"/>
    <col min="15107" max="15107" width="12" style="242" bestFit="1" customWidth="1"/>
    <col min="15108" max="15360" width="9.140625" style="242"/>
    <col min="15361" max="15361" width="29.5703125" style="242" bestFit="1" customWidth="1"/>
    <col min="15362" max="15362" width="19.85546875" style="242" customWidth="1"/>
    <col min="15363" max="15363" width="12" style="242" bestFit="1" customWidth="1"/>
    <col min="15364" max="15616" width="9.140625" style="242"/>
    <col min="15617" max="15617" width="29.5703125" style="242" bestFit="1" customWidth="1"/>
    <col min="15618" max="15618" width="19.85546875" style="242" customWidth="1"/>
    <col min="15619" max="15619" width="12" style="242" bestFit="1" customWidth="1"/>
    <col min="15620" max="15872" width="9.140625" style="242"/>
    <col min="15873" max="15873" width="29.5703125" style="242" bestFit="1" customWidth="1"/>
    <col min="15874" max="15874" width="19.85546875" style="242" customWidth="1"/>
    <col min="15875" max="15875" width="12" style="242" bestFit="1" customWidth="1"/>
    <col min="15876" max="16128" width="9.140625" style="242"/>
    <col min="16129" max="16129" width="29.5703125" style="242" bestFit="1" customWidth="1"/>
    <col min="16130" max="16130" width="19.85546875" style="242" customWidth="1"/>
    <col min="16131" max="16131" width="12" style="242" bestFit="1" customWidth="1"/>
    <col min="16132" max="16384" width="9.140625" style="242"/>
  </cols>
  <sheetData>
    <row r="1" spans="1:2" x14ac:dyDescent="0.2">
      <c r="A1" s="242" t="s">
        <v>893</v>
      </c>
      <c r="B1" s="1433">
        <v>6.1</v>
      </c>
    </row>
    <row r="2" spans="1:2" x14ac:dyDescent="0.2">
      <c r="A2" s="242" t="s">
        <v>894</v>
      </c>
      <c r="B2" s="1436">
        <v>43160.695324074077</v>
      </c>
    </row>
    <row r="3" spans="1:2" x14ac:dyDescent="0.2">
      <c r="A3" s="242" t="s">
        <v>895</v>
      </c>
      <c r="B3" s="1434" t="s">
        <v>602</v>
      </c>
    </row>
    <row r="4" spans="1:2" x14ac:dyDescent="0.2">
      <c r="A4" s="242" t="s">
        <v>896</v>
      </c>
      <c r="B4" s="1434" t="s">
        <v>897</v>
      </c>
    </row>
    <row r="5" spans="1:2" x14ac:dyDescent="0.2">
      <c r="A5" s="242" t="s">
        <v>898</v>
      </c>
      <c r="B5" s="1434" t="s">
        <v>899</v>
      </c>
    </row>
    <row r="6" spans="1:2" x14ac:dyDescent="0.2">
      <c r="A6" s="242" t="s">
        <v>900</v>
      </c>
    </row>
    <row r="7" spans="1:2" x14ac:dyDescent="0.2">
      <c r="A7" s="242" t="s">
        <v>901</v>
      </c>
      <c r="B7" s="1434" t="s">
        <v>359</v>
      </c>
    </row>
    <row r="8" spans="1:2" x14ac:dyDescent="0.2">
      <c r="A8" s="242" t="s">
        <v>902</v>
      </c>
      <c r="B8" s="1434" t="s">
        <v>903</v>
      </c>
    </row>
    <row r="9" spans="1:2" x14ac:dyDescent="0.2">
      <c r="A9" s="242" t="s">
        <v>904</v>
      </c>
      <c r="B9" s="1434" t="s">
        <v>941</v>
      </c>
    </row>
    <row r="10" spans="1:2" x14ac:dyDescent="0.2">
      <c r="A10" s="242" t="s">
        <v>905</v>
      </c>
    </row>
    <row r="11" spans="1:2" x14ac:dyDescent="0.2">
      <c r="A11" s="242" t="s">
        <v>906</v>
      </c>
    </row>
    <row r="12" spans="1:2" x14ac:dyDescent="0.2">
      <c r="A12" s="242" t="s">
        <v>907</v>
      </c>
    </row>
    <row r="13" spans="1:2" x14ac:dyDescent="0.2">
      <c r="A13" s="242" t="s">
        <v>908</v>
      </c>
    </row>
    <row r="14" spans="1:2" x14ac:dyDescent="0.2">
      <c r="A14" s="242" t="s">
        <v>909</v>
      </c>
    </row>
    <row r="15" spans="1:2" x14ac:dyDescent="0.2">
      <c r="A15" s="242" t="s">
        <v>910</v>
      </c>
    </row>
    <row r="16" spans="1:2" x14ac:dyDescent="0.2">
      <c r="A16" s="242" t="s">
        <v>911</v>
      </c>
    </row>
    <row r="17" spans="1:4" x14ac:dyDescent="0.2">
      <c r="A17" s="242" t="s">
        <v>912</v>
      </c>
      <c r="B17" s="1434" t="s">
        <v>942</v>
      </c>
    </row>
    <row r="18" spans="1:4" x14ac:dyDescent="0.2">
      <c r="A18" s="242" t="s">
        <v>913</v>
      </c>
      <c r="B18" s="1434" t="s">
        <v>945</v>
      </c>
    </row>
    <row r="19" spans="1:4" x14ac:dyDescent="0.2">
      <c r="A19" s="242" t="s">
        <v>914</v>
      </c>
      <c r="B19" s="1434" t="s">
        <v>358</v>
      </c>
    </row>
    <row r="20" spans="1:4" x14ac:dyDescent="0.2">
      <c r="A20" s="242" t="s">
        <v>915</v>
      </c>
      <c r="B20" s="1435">
        <v>703395103</v>
      </c>
    </row>
    <row r="21" spans="1:4" x14ac:dyDescent="0.2">
      <c r="A21" s="242" t="s">
        <v>916</v>
      </c>
      <c r="B21" s="1434" t="s">
        <v>358</v>
      </c>
    </row>
    <row r="22" spans="1:4" x14ac:dyDescent="0.2">
      <c r="A22" s="242" t="s">
        <v>917</v>
      </c>
      <c r="B22" s="1435">
        <v>2672689</v>
      </c>
    </row>
    <row r="23" spans="1:4" x14ac:dyDescent="0.2">
      <c r="A23" s="242" t="s">
        <v>361</v>
      </c>
      <c r="B23" s="1433">
        <v>24.1</v>
      </c>
    </row>
    <row r="24" spans="1:4" x14ac:dyDescent="0.2">
      <c r="A24" s="242" t="s">
        <v>360</v>
      </c>
      <c r="B24" s="1434" t="s">
        <v>142</v>
      </c>
      <c r="D24" s="242" t="s">
        <v>428</v>
      </c>
    </row>
    <row r="25" spans="1:4" x14ac:dyDescent="0.2">
      <c r="A25" s="242" t="s">
        <v>918</v>
      </c>
      <c r="B25" s="1434" t="s">
        <v>946</v>
      </c>
    </row>
    <row r="26" spans="1:4" x14ac:dyDescent="0.2">
      <c r="A26" s="242" t="s">
        <v>919</v>
      </c>
      <c r="B26" s="1434">
        <v>0</v>
      </c>
    </row>
    <row r="27" spans="1:4" x14ac:dyDescent="0.2">
      <c r="A27" s="242" t="s">
        <v>920</v>
      </c>
      <c r="B27" s="1434" t="s">
        <v>921</v>
      </c>
    </row>
    <row r="28" spans="1:4" x14ac:dyDescent="0.2">
      <c r="A28" s="242" t="s">
        <v>922</v>
      </c>
      <c r="B28" s="1434" t="s">
        <v>923</v>
      </c>
    </row>
    <row r="29" spans="1:4" x14ac:dyDescent="0.2">
      <c r="A29" s="242" t="s">
        <v>924</v>
      </c>
    </row>
    <row r="30" spans="1:4" x14ac:dyDescent="0.2">
      <c r="A30" s="242" t="s">
        <v>925</v>
      </c>
    </row>
    <row r="31" spans="1:4" x14ac:dyDescent="0.2">
      <c r="A31" s="242" t="s">
        <v>926</v>
      </c>
    </row>
    <row r="32" spans="1:4" x14ac:dyDescent="0.2">
      <c r="A32" s="242" t="s">
        <v>927</v>
      </c>
      <c r="B32" s="1433"/>
    </row>
    <row r="33" spans="1:2" x14ac:dyDescent="0.2">
      <c r="A33" s="242" t="s">
        <v>928</v>
      </c>
      <c r="B33" s="1433"/>
    </row>
    <row r="34" spans="1:2" x14ac:dyDescent="0.2">
      <c r="A34" s="242" t="s">
        <v>929</v>
      </c>
      <c r="B34" s="1433"/>
    </row>
    <row r="35" spans="1:2" x14ac:dyDescent="0.2">
      <c r="A35" s="242" t="s">
        <v>930</v>
      </c>
      <c r="B35" s="1434">
        <v>1000000</v>
      </c>
    </row>
    <row r="36" spans="1:2" x14ac:dyDescent="0.2">
      <c r="A36" s="242" t="s">
        <v>931</v>
      </c>
      <c r="B36" s="1434" t="s">
        <v>943</v>
      </c>
    </row>
    <row r="37" spans="1:2" x14ac:dyDescent="0.2">
      <c r="A37" s="242" t="s">
        <v>932</v>
      </c>
      <c r="B37" s="1434" t="s">
        <v>933</v>
      </c>
    </row>
    <row r="38" spans="1:2" x14ac:dyDescent="0.2">
      <c r="A38" s="242" t="s">
        <v>934</v>
      </c>
      <c r="B38" s="1434" t="s">
        <v>935</v>
      </c>
    </row>
    <row r="39" spans="1:2" x14ac:dyDescent="0.2">
      <c r="A39" s="242" t="s">
        <v>936</v>
      </c>
      <c r="B39" s="1434" t="s">
        <v>944</v>
      </c>
    </row>
    <row r="40" spans="1:2" x14ac:dyDescent="0.2">
      <c r="A40" s="242" t="s">
        <v>937</v>
      </c>
      <c r="B40" s="1434">
        <v>1500005486</v>
      </c>
    </row>
    <row r="41" spans="1:2" x14ac:dyDescent="0.2">
      <c r="A41" s="242" t="s">
        <v>938</v>
      </c>
      <c r="B41" s="1434">
        <v>1</v>
      </c>
    </row>
    <row r="42" spans="1:2" x14ac:dyDescent="0.2">
      <c r="A42" s="260" t="s">
        <v>939</v>
      </c>
    </row>
    <row r="43" spans="1:2" x14ac:dyDescent="0.2">
      <c r="A43" s="242" t="s">
        <v>940</v>
      </c>
    </row>
  </sheetData>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x14ac:dyDescent="0.2"/>
  <cols>
    <col min="1" max="1" width="28.5703125" style="242" bestFit="1" customWidth="1"/>
    <col min="2" max="256" width="9.140625" style="242"/>
    <col min="257" max="257" width="28.5703125" style="242" bestFit="1" customWidth="1"/>
    <col min="258" max="512" width="9.140625" style="242"/>
    <col min="513" max="513" width="28.5703125" style="242" bestFit="1" customWidth="1"/>
    <col min="514" max="768" width="9.140625" style="242"/>
    <col min="769" max="769" width="28.5703125" style="242" bestFit="1" customWidth="1"/>
    <col min="770" max="1024" width="9.140625" style="242"/>
    <col min="1025" max="1025" width="28.5703125" style="242" bestFit="1" customWidth="1"/>
    <col min="1026" max="1280" width="9.140625" style="242"/>
    <col min="1281" max="1281" width="28.5703125" style="242" bestFit="1" customWidth="1"/>
    <col min="1282" max="1536" width="9.140625" style="242"/>
    <col min="1537" max="1537" width="28.5703125" style="242" bestFit="1" customWidth="1"/>
    <col min="1538" max="1792" width="9.140625" style="242"/>
    <col min="1793" max="1793" width="28.5703125" style="242" bestFit="1" customWidth="1"/>
    <col min="1794" max="2048" width="9.140625" style="242"/>
    <col min="2049" max="2049" width="28.5703125" style="242" bestFit="1" customWidth="1"/>
    <col min="2050" max="2304" width="9.140625" style="242"/>
    <col min="2305" max="2305" width="28.5703125" style="242" bestFit="1" customWidth="1"/>
    <col min="2306" max="2560" width="9.140625" style="242"/>
    <col min="2561" max="2561" width="28.5703125" style="242" bestFit="1" customWidth="1"/>
    <col min="2562" max="2816" width="9.140625" style="242"/>
    <col min="2817" max="2817" width="28.5703125" style="242" bestFit="1" customWidth="1"/>
    <col min="2818" max="3072" width="9.140625" style="242"/>
    <col min="3073" max="3073" width="28.5703125" style="242" bestFit="1" customWidth="1"/>
    <col min="3074" max="3328" width="9.140625" style="242"/>
    <col min="3329" max="3329" width="28.5703125" style="242" bestFit="1" customWidth="1"/>
    <col min="3330" max="3584" width="9.140625" style="242"/>
    <col min="3585" max="3585" width="28.5703125" style="242" bestFit="1" customWidth="1"/>
    <col min="3586" max="3840" width="9.140625" style="242"/>
    <col min="3841" max="3841" width="28.5703125" style="242" bestFit="1" customWidth="1"/>
    <col min="3842" max="4096" width="9.140625" style="242"/>
    <col min="4097" max="4097" width="28.5703125" style="242" bestFit="1" customWidth="1"/>
    <col min="4098" max="4352" width="9.140625" style="242"/>
    <col min="4353" max="4353" width="28.5703125" style="242" bestFit="1" customWidth="1"/>
    <col min="4354" max="4608" width="9.140625" style="242"/>
    <col min="4609" max="4609" width="28.5703125" style="242" bestFit="1" customWidth="1"/>
    <col min="4610" max="4864" width="9.140625" style="242"/>
    <col min="4865" max="4865" width="28.5703125" style="242" bestFit="1" customWidth="1"/>
    <col min="4866" max="5120" width="9.140625" style="242"/>
    <col min="5121" max="5121" width="28.5703125" style="242" bestFit="1" customWidth="1"/>
    <col min="5122" max="5376" width="9.140625" style="242"/>
    <col min="5377" max="5377" width="28.5703125" style="242" bestFit="1" customWidth="1"/>
    <col min="5378" max="5632" width="9.140625" style="242"/>
    <col min="5633" max="5633" width="28.5703125" style="242" bestFit="1" customWidth="1"/>
    <col min="5634" max="5888" width="9.140625" style="242"/>
    <col min="5889" max="5889" width="28.5703125" style="242" bestFit="1" customWidth="1"/>
    <col min="5890" max="6144" width="9.140625" style="242"/>
    <col min="6145" max="6145" width="28.5703125" style="242" bestFit="1" customWidth="1"/>
    <col min="6146" max="6400" width="9.140625" style="242"/>
    <col min="6401" max="6401" width="28.5703125" style="242" bestFit="1" customWidth="1"/>
    <col min="6402" max="6656" width="9.140625" style="242"/>
    <col min="6657" max="6657" width="28.5703125" style="242" bestFit="1" customWidth="1"/>
    <col min="6658" max="6912" width="9.140625" style="242"/>
    <col min="6913" max="6913" width="28.5703125" style="242" bestFit="1" customWidth="1"/>
    <col min="6914" max="7168" width="9.140625" style="242"/>
    <col min="7169" max="7169" width="28.5703125" style="242" bestFit="1" customWidth="1"/>
    <col min="7170" max="7424" width="9.140625" style="242"/>
    <col min="7425" max="7425" width="28.5703125" style="242" bestFit="1" customWidth="1"/>
    <col min="7426" max="7680" width="9.140625" style="242"/>
    <col min="7681" max="7681" width="28.5703125" style="242" bestFit="1" customWidth="1"/>
    <col min="7682" max="7936" width="9.140625" style="242"/>
    <col min="7937" max="7937" width="28.5703125" style="242" bestFit="1" customWidth="1"/>
    <col min="7938" max="8192" width="9.140625" style="242"/>
    <col min="8193" max="8193" width="28.5703125" style="242" bestFit="1" customWidth="1"/>
    <col min="8194" max="8448" width="9.140625" style="242"/>
    <col min="8449" max="8449" width="28.5703125" style="242" bestFit="1" customWidth="1"/>
    <col min="8450" max="8704" width="9.140625" style="242"/>
    <col min="8705" max="8705" width="28.5703125" style="242" bestFit="1" customWidth="1"/>
    <col min="8706" max="8960" width="9.140625" style="242"/>
    <col min="8961" max="8961" width="28.5703125" style="242" bestFit="1" customWidth="1"/>
    <col min="8962" max="9216" width="9.140625" style="242"/>
    <col min="9217" max="9217" width="28.5703125" style="242" bestFit="1" customWidth="1"/>
    <col min="9218" max="9472" width="9.140625" style="242"/>
    <col min="9473" max="9473" width="28.5703125" style="242" bestFit="1" customWidth="1"/>
    <col min="9474" max="9728" width="9.140625" style="242"/>
    <col min="9729" max="9729" width="28.5703125" style="242" bestFit="1" customWidth="1"/>
    <col min="9730" max="9984" width="9.140625" style="242"/>
    <col min="9985" max="9985" width="28.5703125" style="242" bestFit="1" customWidth="1"/>
    <col min="9986" max="10240" width="9.140625" style="242"/>
    <col min="10241" max="10241" width="28.5703125" style="242" bestFit="1" customWidth="1"/>
    <col min="10242" max="10496" width="9.140625" style="242"/>
    <col min="10497" max="10497" width="28.5703125" style="242" bestFit="1" customWidth="1"/>
    <col min="10498" max="10752" width="9.140625" style="242"/>
    <col min="10753" max="10753" width="28.5703125" style="242" bestFit="1" customWidth="1"/>
    <col min="10754" max="11008" width="9.140625" style="242"/>
    <col min="11009" max="11009" width="28.5703125" style="242" bestFit="1" customWidth="1"/>
    <col min="11010" max="11264" width="9.140625" style="242"/>
    <col min="11265" max="11265" width="28.5703125" style="242" bestFit="1" customWidth="1"/>
    <col min="11266" max="11520" width="9.140625" style="242"/>
    <col min="11521" max="11521" width="28.5703125" style="242" bestFit="1" customWidth="1"/>
    <col min="11522" max="11776" width="9.140625" style="242"/>
    <col min="11777" max="11777" width="28.5703125" style="242" bestFit="1" customWidth="1"/>
    <col min="11778" max="12032" width="9.140625" style="242"/>
    <col min="12033" max="12033" width="28.5703125" style="242" bestFit="1" customWidth="1"/>
    <col min="12034" max="12288" width="9.140625" style="242"/>
    <col min="12289" max="12289" width="28.5703125" style="242" bestFit="1" customWidth="1"/>
    <col min="12290" max="12544" width="9.140625" style="242"/>
    <col min="12545" max="12545" width="28.5703125" style="242" bestFit="1" customWidth="1"/>
    <col min="12546" max="12800" width="9.140625" style="242"/>
    <col min="12801" max="12801" width="28.5703125" style="242" bestFit="1" customWidth="1"/>
    <col min="12802" max="13056" width="9.140625" style="242"/>
    <col min="13057" max="13057" width="28.5703125" style="242" bestFit="1" customWidth="1"/>
    <col min="13058" max="13312" width="9.140625" style="242"/>
    <col min="13313" max="13313" width="28.5703125" style="242" bestFit="1" customWidth="1"/>
    <col min="13314" max="13568" width="9.140625" style="242"/>
    <col min="13569" max="13569" width="28.5703125" style="242" bestFit="1" customWidth="1"/>
    <col min="13570" max="13824" width="9.140625" style="242"/>
    <col min="13825" max="13825" width="28.5703125" style="242" bestFit="1" customWidth="1"/>
    <col min="13826" max="14080" width="9.140625" style="242"/>
    <col min="14081" max="14081" width="28.5703125" style="242" bestFit="1" customWidth="1"/>
    <col min="14082" max="14336" width="9.140625" style="242"/>
    <col min="14337" max="14337" width="28.5703125" style="242" bestFit="1" customWidth="1"/>
    <col min="14338" max="14592" width="9.140625" style="242"/>
    <col min="14593" max="14593" width="28.5703125" style="242" bestFit="1" customWidth="1"/>
    <col min="14594" max="14848" width="9.140625" style="242"/>
    <col min="14849" max="14849" width="28.5703125" style="242" bestFit="1" customWidth="1"/>
    <col min="14850" max="15104" width="9.140625" style="242"/>
    <col min="15105" max="15105" width="28.5703125" style="242" bestFit="1" customWidth="1"/>
    <col min="15106" max="15360" width="9.140625" style="242"/>
    <col min="15361" max="15361" width="28.5703125" style="242" bestFit="1" customWidth="1"/>
    <col min="15362" max="15616" width="9.140625" style="242"/>
    <col min="15617" max="15617" width="28.5703125" style="242" bestFit="1" customWidth="1"/>
    <col min="15618" max="15872" width="9.140625" style="242"/>
    <col min="15873" max="15873" width="28.5703125" style="242" bestFit="1" customWidth="1"/>
    <col min="15874" max="16128" width="9.140625" style="242"/>
    <col min="16129" max="16129" width="28.5703125" style="242" bestFit="1" customWidth="1"/>
    <col min="16130" max="16384" width="9.140625" style="242"/>
  </cols>
  <sheetData>
    <row r="1" spans="1:1" x14ac:dyDescent="0.2">
      <c r="A1" s="1437" t="s">
        <v>947</v>
      </c>
    </row>
    <row r="2" spans="1:1" x14ac:dyDescent="0.2">
      <c r="A2" s="1437" t="s">
        <v>952</v>
      </c>
    </row>
    <row r="3" spans="1:1" x14ac:dyDescent="0.2">
      <c r="A3" s="1437" t="s">
        <v>953</v>
      </c>
    </row>
    <row r="4" spans="1:1" x14ac:dyDescent="0.2">
      <c r="A4" s="1437" t="s">
        <v>954</v>
      </c>
    </row>
    <row r="5" spans="1:1" x14ac:dyDescent="0.2">
      <c r="A5" s="1437" t="s">
        <v>955</v>
      </c>
    </row>
    <row r="6" spans="1:1" x14ac:dyDescent="0.2">
      <c r="A6" s="1437" t="s">
        <v>948</v>
      </c>
    </row>
    <row r="7" spans="1:1" x14ac:dyDescent="0.2">
      <c r="A7" s="1437" t="s">
        <v>956</v>
      </c>
    </row>
    <row r="8" spans="1:1" x14ac:dyDescent="0.2">
      <c r="A8" s="1437" t="s">
        <v>957</v>
      </c>
    </row>
    <row r="9" spans="1:1" x14ac:dyDescent="0.2">
      <c r="A9" s="1437" t="s">
        <v>958</v>
      </c>
    </row>
    <row r="10" spans="1:1" x14ac:dyDescent="0.2">
      <c r="A10" s="1437" t="s">
        <v>949</v>
      </c>
    </row>
    <row r="11" spans="1:1" x14ac:dyDescent="0.2">
      <c r="A11" s="1437" t="s">
        <v>959</v>
      </c>
    </row>
    <row r="12" spans="1:1" x14ac:dyDescent="0.2">
      <c r="A12" s="1437" t="s">
        <v>950</v>
      </c>
    </row>
    <row r="13" spans="1:1" x14ac:dyDescent="0.2">
      <c r="A13" s="1437" t="s">
        <v>951</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1"/>
  <sheetViews>
    <sheetView workbookViewId="0"/>
  </sheetViews>
  <sheetFormatPr defaultRowHeight="12.75" x14ac:dyDescent="0.2"/>
  <sheetData>
    <row r="1" spans="1:2" x14ac:dyDescent="0.2">
      <c r="B1" t="s">
        <v>129</v>
      </c>
    </row>
  </sheetData>
  <phoneticPr fontId="11"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B2"/>
  <sheetViews>
    <sheetView workbookViewId="0"/>
  </sheetViews>
  <sheetFormatPr defaultRowHeight="12.75" x14ac:dyDescent="0.2"/>
  <sheetData>
    <row r="1" spans="1:80" x14ac:dyDescent="0.2">
      <c r="A1" t="s">
        <v>366</v>
      </c>
    </row>
    <row r="2" spans="1:80" x14ac:dyDescent="0.2">
      <c r="A2" s="27" t="s">
        <v>7</v>
      </c>
      <c r="B2" s="27" t="s">
        <v>160</v>
      </c>
      <c r="C2" s="27" t="s">
        <v>164</v>
      </c>
      <c r="D2" s="27" t="s">
        <v>152</v>
      </c>
      <c r="E2" s="27" t="s">
        <v>4</v>
      </c>
      <c r="F2" s="27" t="s">
        <v>160</v>
      </c>
      <c r="G2" s="27" t="s">
        <v>224</v>
      </c>
      <c r="H2" s="27" t="s">
        <v>269</v>
      </c>
      <c r="I2" s="27" t="s">
        <v>9</v>
      </c>
      <c r="J2" s="27" t="s">
        <v>116</v>
      </c>
      <c r="K2" s="27" t="s">
        <v>27</v>
      </c>
      <c r="L2" s="27" t="s">
        <v>160</v>
      </c>
      <c r="M2" s="27" t="s">
        <v>5</v>
      </c>
      <c r="N2" s="27" t="s">
        <v>153</v>
      </c>
      <c r="O2" s="27" t="s">
        <v>23</v>
      </c>
      <c r="P2" s="27" t="s">
        <v>160</v>
      </c>
      <c r="Q2" s="27" t="s">
        <v>166</v>
      </c>
      <c r="R2" s="27" t="s">
        <v>114</v>
      </c>
      <c r="S2" s="27" t="s">
        <v>165</v>
      </c>
      <c r="T2" s="27" t="s">
        <v>170</v>
      </c>
      <c r="U2" s="27" t="s">
        <v>6</v>
      </c>
      <c r="V2" s="27" t="s">
        <v>160</v>
      </c>
      <c r="W2" s="27" t="s">
        <v>365</v>
      </c>
      <c r="X2" s="27" t="s">
        <v>575</v>
      </c>
      <c r="Y2" s="27" t="s">
        <v>21</v>
      </c>
      <c r="Z2" s="27" t="s">
        <v>160</v>
      </c>
      <c r="AA2" s="27" t="s">
        <v>234</v>
      </c>
      <c r="AB2" s="27" t="s">
        <v>238</v>
      </c>
      <c r="AC2" s="27" t="s">
        <v>20</v>
      </c>
      <c r="AD2" s="27" t="s">
        <v>28</v>
      </c>
      <c r="AE2" s="27" t="s">
        <v>19</v>
      </c>
      <c r="AF2" s="27" t="s">
        <v>160</v>
      </c>
      <c r="AG2" s="27" t="s">
        <v>12</v>
      </c>
      <c r="AH2" s="27" t="s">
        <v>115</v>
      </c>
      <c r="AI2" s="27" t="s">
        <v>236</v>
      </c>
      <c r="AJ2" s="27" t="s">
        <v>30</v>
      </c>
      <c r="AK2" s="27" t="s">
        <v>233</v>
      </c>
      <c r="AL2" s="27" t="s">
        <v>2</v>
      </c>
      <c r="AM2" s="27" t="s">
        <v>10</v>
      </c>
      <c r="AN2" s="27" t="s">
        <v>241</v>
      </c>
      <c r="AO2" s="27" t="s">
        <v>11</v>
      </c>
      <c r="AP2" s="27" t="s">
        <v>242</v>
      </c>
      <c r="AQ2" s="27" t="s">
        <v>22</v>
      </c>
      <c r="AR2" s="27" t="s">
        <v>158</v>
      </c>
      <c r="AS2" s="27" t="s">
        <v>229</v>
      </c>
      <c r="AT2" s="27" t="s">
        <v>156</v>
      </c>
      <c r="AU2" s="27" t="s">
        <v>225</v>
      </c>
      <c r="AV2" s="27" t="s">
        <v>260</v>
      </c>
      <c r="AW2" s="27" t="s">
        <v>223</v>
      </c>
      <c r="AX2" s="27" t="s">
        <v>142</v>
      </c>
      <c r="AY2" s="27" t="s">
        <v>24</v>
      </c>
      <c r="AZ2" s="27" t="s">
        <v>160</v>
      </c>
      <c r="BA2" s="27" t="s">
        <v>228</v>
      </c>
      <c r="BB2" s="27" t="s">
        <v>230</v>
      </c>
      <c r="BC2" s="27" t="s">
        <v>26</v>
      </c>
      <c r="BD2" s="27" t="s">
        <v>160</v>
      </c>
      <c r="BE2" s="27" t="s">
        <v>3</v>
      </c>
      <c r="BF2" s="27" t="s">
        <v>243</v>
      </c>
      <c r="BG2" s="27" t="s">
        <v>163</v>
      </c>
      <c r="BH2" s="27" t="s">
        <v>154</v>
      </c>
      <c r="BI2" s="27" t="s">
        <v>363</v>
      </c>
      <c r="BJ2" s="27" t="s">
        <v>601</v>
      </c>
      <c r="BK2" s="27" t="s">
        <v>232</v>
      </c>
      <c r="BL2" s="27" t="s">
        <v>171</v>
      </c>
      <c r="BM2" s="27" t="s">
        <v>8</v>
      </c>
      <c r="BN2" s="27" t="s">
        <v>244</v>
      </c>
      <c r="BO2" s="27" t="s">
        <v>167</v>
      </c>
      <c r="BP2" s="27" t="s">
        <v>239</v>
      </c>
      <c r="BQ2" s="27" t="s">
        <v>168</v>
      </c>
      <c r="BR2" s="27" t="s">
        <v>240</v>
      </c>
      <c r="BS2" s="27" t="s">
        <v>364</v>
      </c>
      <c r="BT2" s="27" t="s">
        <v>142</v>
      </c>
      <c r="BU2" s="27" t="s">
        <v>235</v>
      </c>
      <c r="BV2" s="27" t="s">
        <v>169</v>
      </c>
      <c r="BW2" s="27" t="s">
        <v>25</v>
      </c>
      <c r="BX2" s="27" t="s">
        <v>160</v>
      </c>
      <c r="BY2" s="27" t="s">
        <v>29</v>
      </c>
      <c r="BZ2" s="27" t="s">
        <v>160</v>
      </c>
      <c r="CA2" s="27" t="s">
        <v>231</v>
      </c>
      <c r="CB2" s="27" t="s">
        <v>157</v>
      </c>
    </row>
  </sheetData>
  <phoneticPr fontId="11"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heetViews>
  <sheetFormatPr defaultRowHeight="12.75" x14ac:dyDescent="0.2"/>
  <sheetData/>
  <phoneticPr fontId="11"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e9dff103-7423-4098-999c-4d8d17374545</GUID>
    <SOURCE_ALTADDRESS>$B$4:$K$35</SOURCE_ALTADDRESS>
    <SOURCETYPE>Table</SOURCETYPE>
    <SOURCE_OBJECTNAME>Linking_Range_35</SOURCE_OBJECTNAME>
    <OBJECTTYPE>Native</OBJECTTYPE>
    <SOURCE_SHEETCODE>Sheet9</SOURCE_SHEETCODE>
    <SOURCE_SHEETNAME>Variance</SOURCE_SHEETNAME>
    <SOURCEAPPLICATION>EXCEL_SOURCE</SOURCEAPPLICATION>
    <UPDATEDAT>5/6/2015 9:56:18 AM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/MSResearch/Content/ExternalAssets/2015-04/Images/_0PvITTleEaKfme4tNcyDg--.png</TARGET_BINARYFULLNAME>
    <TARGET_STORYFULLNAME>/MSResearch/Content/ExternalAssets/2015-04/Sections/20150416_044127_Linking_Range_35.xml</TARGET_STORYFULLNAME>
    <TARGET_UUID>f44e4746-e478-11e4-8428-e799a3b9280a</TARGET_UUID>
    <LINKSTATUS>Unknown</LINKSTATUS>
  </Link>
  <Link>
    <GUID>952bd6f4-4a4c-437e-b0a0-0ec51c4dd140</GUID>
    <SOURCETYPE>Chart</SOURCETYPE>
    <SOURCE_OBJECTNAME>XRAY EBIT Trend</SOURCE_OBJECTNAME>
    <SOURCE_SHEETCODE>Sheet25</SOURCE_SHEETCODE>
    <SOURCE_SHEETNAME>Graphs</SOURCE_SHEETNAME>
    <OBJECTTYPE>Native</OBJECTTYPE>
    <SOURCEAPPLICATION>EXCEL_SOURCE</SOURCEAPPLICATION>
    <UPDATEDAT>5/6/2015 10:39:06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/MSResearch/Content/ExternalAssets/2015-04/Images/dhWYlD6xKk6ThTkevhh_gg--.png</TARGET_BINARYFULLNAME>
    <TARGET_STORYFULLNAME>/MSResearch/Content/ExternalAssets/2015-04/Sections/20150416_043208_XRAYEBITTrend.xml</TARGET_STORYFULLNAME>
    <TARGET_UUID>a702cc60-e477-11e4-8428-e799a3b9280a</TARGET_UUID>
    <LINKSTATUS>Unknown</LINKSTATUS>
  </Link>
  <Link>
    <GUID>ebf011fd-7d84-4764-b2d2-3fb82a30be35</GUID>
    <SOURCE_ALTADDRESS>$B$18:$AL$30</SOURCE_ALTADDRESS>
    <SOURCETYPE>Table</SOURCETYPE>
    <SOURCE_OBJECTNAME>Linking_Range_41</SOURCE_OBJECTNAME>
    <OBJECTTYPE>Native</OBJECTTYPE>
    <SOURCE_SHEETCODE>Sheet15</SOURCE_SHEETCODE>
    <SOURCE_SHEETNAME>ccGro</SOURCE_SHEETNAME>
    <SOURCEAPPLICATION>EXCEL_SOURCE</SOURCEAPPLICATION>
    <UPDATEDAT>5/6/2015 4:57:59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/MSResearch/Content/ExternalAssets/2015-04/Images/wQZVndbaNUSpP_f6sBXEoA--.png</TARGET_BINARYFULLNAME>
    <TARGET_STORYFULLNAME>/MSResearch/Content/ExternalAssets/2015-04/Sections/20150416_042059_Linking_Range_41.xml</TARGET_STORYFULLNAME>
    <TARGET_UUID>189fa444-e476-11e4-8428-e799a3b9280a</TARGET_UUID>
    <LINKSTATUS>Unknown</LINKSTATUS>
  </Link>
  <Link>
    <GUID>ed7e6996-7393-4e57-9214-87d3711d76df</GUID>
    <SOURCE_ALTADDRESS>$B$4:$O$15</SOURCE_ALTADDRESS>
    <SOURCETYPE>Table</SOURCETYPE>
    <SOURCE_OBJECTNAME>Linking_Range_36</SOURCE_OBJECTNAME>
    <OBJECTTYPE>Native</OBJECTTYPE>
    <SOURCE_SHEETCODE>Sheet12</SOURCE_SHEETCODE>
    <SOURCE_SHEETNAME>Guidance</SOURCE_SHEETNAME>
    <SOURCEAPPLICATION>EXCEL_SOURCE</SOURCEAPPLICATION>
    <UPDATEDAT>5/6/2015 4:59:20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/MSResearch/Content/ExternalAssets/2015-04/Images/m2YWruCisUKb1DkDuHyABg--.png</TARGET_BINARYFULLNAME>
    <TARGET_STORYFULLNAME>/MSResearch/Content/ExternalAssets/2015-04/Sections/20150416_042905_Linking_Range_36.xml</TARGET_STORYFULLNAME>
    <TARGET_UUID>3a0a0e70-e477-11e4-8428-e799a3b9280a</TARGET_UUID>
    <TRANSPARENTBACKGROUND>False</TRANSPARENTBACKGROUND>
    <TRANSPARENTPLOTAREA>False</TRANSPARENTPLOTAREA>
  </Link>
  <Link>
    <GUID>b8f47e53-c6fb-4cca-b09d-985cc21b6bdd</GUID>
    <SOURCE_ALTADDRESS>$B$4:$J$31</SOURCE_ALTADDRESS>
    <SOURCETYPE>Table</SOURCETYPE>
    <SOURCE_OBJECTNAME>Linking_Range_45</SOURCE_OBJECTNAME>
    <OBJECTTYPE>Native</OBJECTTYPE>
    <SOURCE_SHEETCODE>Sheet27</SOURCE_SHEETCODE>
    <SOURCE_SHEETNAME>Model Chgs</SOURCE_SHEETNAME>
    <SOURCEAPPLICATION>EXCEL_SOURCE</SOURCEAPPLICATION>
    <UPDATEDAT>5/6/2015 4:59:48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/MSResearch/Content/ExternalAssets/2015-04/Images/eD0I1aWBt0iRHdUNKARV6g--.png</TARGET_BINARYFULLNAME>
    <TARGET_STORYFULLNAME>/MSResearch/Content/ExternalAssets/2015-04/Sections/20150416_043131_Linking_Range_45.xml</TARGET_STORYFULLNAME>
    <TARGET_UUID>9156468a-e477-11e4-8428-e799a3b9280a</TARGET_UUID>
    <LINKSTATUS>Unknown</LINKSTATUS>
  </Link>
  <Link>
    <GUID>bbc765fd-5447-4d29-a870-9228d7682a4e</GUID>
    <SOURCETYPE>Chart</SOURCETYPE>
    <SOURCE_OBJECTNAME>Chart 2</SOURCE_OBJECTNAME>
    <SOURCE_SHEETCODE>Sheet18</SOURCE_SHEETCODE>
    <SOURCE_SHEETNAME>HSIC+PDCO</SOURCE_SHEETNAME>
    <OBJECTTYPE>Native</OBJECTTYPE>
    <SOURCEAPPLICATION>EXCEL_SOURCE</SOURCEAPPLICATION>
    <UPDATEDAT>5/6/2015 5:01:35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/MSResearch/Content/ExternalAssets/2015-04/Images/eSckybNG30Gyf6Y8jZ2dJg--.png</TARGET_BINARYFULLNAME>
    <TARGET_STORYFULLNAME>/MSResearch/Content/ExternalAssets/2015-04/Sections/20150416_044301_Chart2.xml</TARGET_STORYFULLNAME>
    <TARGET_UUID>2c44a410-e479-11e4-8428-e799a3b9280a</TARGET_UUID>
    <LINKSTATUS>Unknown</LINKSTATUS>
    <HIDEGRIDLINES>False</HIDEGRIDLINES>
  </Link>
  <Link>
    <GUID>8d9f8fec-5d5f-4426-bb3d-e741fbfbd880</GUID>
    <SOURCETYPE>Chart</SOURCETYPE>
    <SOURCE_OBJECTNAME>Chart 22</SOURCE_OBJECTNAME>
    <SOURCE_SHEETCODE>Sheet18</SOURCE_SHEETCODE>
    <SOURCE_SHEETNAME>HSIC+PDCO</SOURCE_SHEETNAME>
    <OBJECTTYPE>Native</OBJECTTYPE>
    <SOURCEAPPLICATION>EXCEL_SOURCE</SOURCEAPPLICATION>
    <UPDATEDAT>5/6/2015 5:02:33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/MSResearch/Content/ExternalAssets/2015-05/Images/TN5OiwaDh0uQBf624Y4qGw--.png</TARGET_BINARYFULLNAME>
    <TARGET_STORYFULLNAME>/MSResearch/Content/ExternalAssets/2015-05/Sections/20150506_050213_Chart22.xml</TARGET_STORYFULLNAME>
    <TARGET_UUID>2b4b6d2c-f433-11e4-96ae-7c07ebc02301</TARGET_UUID>
    <LINKSTATUS>Unknown</LINKSTATUS>
  </Link>
  <Link>
    <GUID>f95cec36-e70a-45de-b2a9-950779a76031</GUID>
    <SOURCETYPE>Chart</SOURCETYPE>
    <SOURCE_OBJECTNAME>MWA_Risk_Reward</SOURCE_OBJECTNAME>
    <SOURCE_SHEETCODE>MWRSSData</SOURCE_SHEETCODE>
    <SOURCE_SHEETNAME>MWA RR</SOURCE_SHEETNAME>
    <OBJECTTYPE>Native</OBJECTTYPE>
    <SOURCEAPPLICATION>EXCEL_SOURCE</SOURCEAPPLICATION>
    <UPDATEDAT>5/6/2015 7:16:57 PM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/MSResearch/Content/ExternalAssets/2015-04/Images/yNdxz3sfhEGVuYBDUBb23Q--.png</TARGET_BINARYFULLNAME>
    <TARGET_STORYFULLNAME>/MSResearch/Content/ExternalAssets/2015-04/Sections/20150416_041854_MWA_Risk_Reward.xml</TARGET_STORYFULLNAME>
    <TARGET_UUID>cddf65ca-e475-11e4-8428-e799a3b9280a</TARGET_UUID>
    <LINKSTATUS>Unknown</LINKSTATUS>
  </Link>
  <Link>
    <GUID>403cdfdb-d12f-4c25-984e-f69df2761aa7</GUID>
    <SOURCE_ALTADDRESS>$B$5:$BO$68</SOURCE_ALTADDRESS>
    <SOURCETYPE>Table</SOURCETYPE>
    <SOURCE_OBJECTNAME>Linking_Range_51</SOURCE_OBJECTNAME>
    <OBJECTTYPE>Native</OBJECTTYPE>
    <SOURCE_SHEETCODE>Sheet1</SOURCE_SHEETCODE>
    <SOURCE_SHEETNAME>P&amp;L</SOURCE_SHEETNAME>
    <SOURCEAPPLICATION>EXCEL_SOURCE</SOURCEAPPLICATION>
    <UPDATEDAT>5/6/2015 7:19:34 PM</UPDATEDAT>
    <SOURCE_ISOUTOFDATE>False</SOURCE_ISOUTOFDATE>
    <SOURCE_WORKBOOKNAME>XRAY.xls</SOURCE_WORKBOOKNAME>
    <SOURCE_WORKBOOKPATH>\\MSAD\ROOT\NA\NY\LIB\ER\HEALTH\Tools\Models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/MSResearch/Content/ExternalAssets/2015-04/Images/IQe3lJ1lm0_VPTkXVsaDuw--.png</TARGET_BINARYFULLNAME>
    <TARGET_STORYFULLNAME>/MSResearch/Content/ExternalAssets/2015-04/Sections/20150416_044657_Linking_Range_51.xml</TARGET_STORYFULLNAME>
    <TARGET_UUID>b8e115e8-e479-11e4-8428-e799a3b9280a</TARGET_UUID>
    <TRANSPARENTBACKGROUND>False</TRANSPARENTBACKGROUND>
    <TRANSPARENTPLOTAREA>False</TRANSPARENTPLOTAREA>
  </Link>
  <Link>
    <GUID>028df768-1c4d-4546-9ab8-89c82a6c7016</GUID>
    <SOURCETYPE>Chart</SOURCETYPE>
    <SOURCE_OBJECTNAME>Org Equip</SOURCE_OBJECTNAME>
    <SOURCE_SHEETCODE>Sheet18</SOURCE_SHEETCODE>
    <SOURCE_SHEETNAME>HSIC+PDCO</SOURCE_SHEETNAME>
    <OBJECTTYPE>Native</OBJECTTYPE>
    <SOURCEAPPLICATION>EXCEL_SOURCE</SOURCEAPPLICATION>
    <UPDATEDAT>5/21/2015 10:03:03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/MSResearch/Content/ExternalAssets/2015-05/Images/CgUt8YBZ1UKjr9tiaozVlQ--.png</TARGET_BINARYFULLNAME>
    <TARGET_STORYFULLNAME>/MSResearch/Content/ExternalAssets/2015-05/Sections/20150521_100300_OrgEquip.xml</TARGET_STORYFULLNAME>
    <TARGET_UUID>176342b8-ffc2-11e4-816b-9b441484c75b</TARGET_UUID>
  </Link>
  <Link>
    <GUID>659a75ce-da73-4928-887b-f11c9784e989</GUID>
    <SOURCETYPE>Chart</SOURCETYPE>
    <SOURCE_OBJECTNAME>Org Consum</SOURCE_OBJECTNAME>
    <SOURCE_SHEETCODE>Sheet18</SOURCE_SHEETCODE>
    <SOURCE_SHEETNAME>HSIC+PDCO</SOURCE_SHEETNAME>
    <OBJECTTYPE>Native</OBJECTTYPE>
    <SOURCEAPPLICATION>EXCEL_SOURCE</SOURCEAPPLICATION>
    <UPDATEDAT>5/21/2015 10:04:10 AM</UPDATEDAT>
    <SOURCE_ISOUTOFDATE>False</SOURCE_ISOUTOFDATE>
    <SOURCE_WORKBOOKNAME>XRAY.xls</SOURCE_WORKBOOKNAME>
    <SOURCE_WORKBOOKPATH>\\MSAD\ROOT\NA\NY\LIB\ER\HEALTH\Tools\Models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/MSResearch/Content/ExternalAssets/2015-05/Images/nE7QAhD6QUS1C9ox5-1N6g--.png</TARGET_BINARYFULLNAME>
    <TARGET_STORYFULLNAME>/MSResearch/Content/ExternalAssets/2015-05/Sections/20150521_100406_OrgConsum.xml</TARGET_STORYFULLNAME>
    <TARGET_UUID>3e694254-ffc2-11e4-816b-9b441484c75b</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327C2432-E33B-45A6-A406-6F92885B8321}">
  <ds:schemaRefs>
    <ds:schemaRef ds:uri="thomsonreuters.linking.metadata"/>
  </ds:schemaRefs>
</ds:datastoreItem>
</file>

<file path=customXml/itemProps2.xml><?xml version="1.0" encoding="utf-8"?>
<ds:datastoreItem xmlns:ds="http://schemas.openxmlformats.org/officeDocument/2006/customXml" ds:itemID="{C435C6E5-E1CB-4D41-A9C3-91056F6D02DD}">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130</vt:i4>
      </vt:variant>
    </vt:vector>
  </HeadingPairs>
  <TitlesOfParts>
    <vt:vector size="139" baseType="lpstr">
      <vt:lpstr>ImportantDisclosures</vt:lpstr>
      <vt:lpstr>P&amp;L</vt:lpstr>
      <vt:lpstr>RevBuild</vt:lpstr>
      <vt:lpstr>ccGro</vt:lpstr>
      <vt:lpstr>BalSht </vt:lpstr>
      <vt:lpstr>Cash Flow</vt:lpstr>
      <vt:lpstr>Debt</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ccGro!Linking_1</vt:lpstr>
      <vt:lpstr>Linking_13</vt:lpstr>
      <vt:lpstr>Linking_14</vt:lpstr>
      <vt:lpstr>Linking_15</vt:lpstr>
      <vt:lpstr>Linking_16</vt:lpstr>
      <vt:lpstr>Linking_17</vt:lpstr>
      <vt:lpstr>Linking_18</vt:lpstr>
      <vt:lpstr>Linking_19</vt:lpstr>
      <vt:lpstr>Linking_2</vt:lpstr>
      <vt:lpstr>Linking_20</vt:lpstr>
      <vt:lpstr>Linking_23</vt:lpstr>
      <vt:lpstr>Linking_26</vt:lpstr>
      <vt:lpstr>Linking_27</vt:lpstr>
      <vt:lpstr>Linking_28</vt:lpstr>
      <vt:lpstr>Linking_29</vt:lpstr>
      <vt:lpstr>Linking_30</vt:lpstr>
      <vt:lpstr>Linking_31</vt:lpstr>
      <vt:lpstr>Linking_32</vt:lpstr>
      <vt:lpstr>Linking_33</vt:lpstr>
      <vt:lpstr>Linking_35</vt:lpstr>
      <vt:lpstr>Linking_36</vt:lpstr>
      <vt:lpstr>Linking_38</vt:lpstr>
      <vt:lpstr>Linking_39</vt:lpstr>
      <vt:lpstr>Linking_40</vt:lpstr>
      <vt:lpstr>Linking_Range_1</vt:lpstr>
      <vt:lpstr>ccGro!Linking_Range_14</vt:lpstr>
      <vt:lpstr>ccGro!Linking_Range_15</vt:lpstr>
      <vt:lpstr>ccGro!Linking_Range_16</vt:lpstr>
      <vt:lpstr>Linking_Range_21</vt:lpstr>
      <vt:lpstr>ccGro!Linking_Range_24</vt:lpstr>
      <vt:lpstr>ccGro!Linking_Range_26</vt:lpstr>
      <vt:lpstr>Linking_Range_28</vt:lpstr>
      <vt:lpstr>ccGro!Linking_Range_29</vt:lpstr>
      <vt:lpstr>ccGro!Linking_Range_3</vt:lpstr>
      <vt:lpstr>ccGro!Linking_Range_31</vt:lpstr>
      <vt:lpstr>Linking_Range_33</vt:lpstr>
      <vt:lpstr>ccGro!Linking_Range_34</vt:lpstr>
      <vt:lpstr>ccGro!Linking_Range_38</vt:lpstr>
      <vt:lpstr>ccGro!Linking_Range_39</vt:lpstr>
      <vt:lpstr>Linking_Range_43</vt:lpstr>
      <vt:lpstr>ccGro!Linking_Range_44</vt:lpstr>
      <vt:lpstr>Linking_Range_46</vt:lpstr>
      <vt:lpstr>ccGro!Linking_Range_5</vt:lpstr>
      <vt:lpstr>Linking_Range_51</vt:lpstr>
      <vt:lpstr>Linking_Range_52</vt:lpstr>
      <vt:lpstr>ccGro!Linking_Range_54</vt:lpstr>
      <vt:lpstr>Linking_Range_55</vt:lpstr>
      <vt:lpstr>ccGro!Linking_Range_6</vt:lpstr>
      <vt:lpstr>'BalSht '!Linking_Range_60</vt:lpstr>
      <vt:lpstr>ccGro!Linking_Range_61</vt:lpstr>
      <vt:lpstr>Linking_Range_61</vt:lpstr>
      <vt:lpstr>Linking_Range_62</vt:lpstr>
      <vt:lpstr>ccGro!Linking_Range_66</vt:lpstr>
      <vt:lpstr>Linking_Range_66</vt:lpstr>
      <vt:lpstr>Linking_Range_67</vt:lpstr>
      <vt:lpstr>Linking_Range_68</vt:lpstr>
      <vt:lpstr>Linking_Range_69</vt:lpstr>
      <vt:lpstr>Linking_Range_70</vt:lpstr>
      <vt:lpstr>Linking_Range_72</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ccGro!Print_Area</vt:lpstr>
      <vt:lpstr>RevBuild!Print_Area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2011-02-01T06:20:47Z</dcterms:created>
  <dc:creator>Wachter, Zachary (Research)</dc:creator>
  <cp:lastModifiedBy>Wachter, Zachary (Research)</cp:lastModifiedBy>
  <cp:lastPrinted>2018-03-01T19:52:08Z</cp:lastPrinted>
  <dcterms:modified xsi:type="dcterms:W3CDTF">2018-03-01T21:41:18Z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72</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753829</vt:lpwstr>
  </property>
  <property fmtid="{D5CDD505-2E9C-101B-9397-08002B2CF9AE}" name="ERModPubCompanyName" pid="6">
    <vt:lpwstr>Patterson Companies, Inc.</vt:lpwstr>
  </property>
  <property fmtid="{D5CDD505-2E9C-101B-9397-08002B2CF9AE}" name="MSDH34TAG" pid="7">
    <vt:lpwstr>.TEZUF76X5TAHATHESADREYAK-00-INB160+*94600-06=4949d9b6/-1d99/-11e8/-a36b/-97f10757d665,MD=20180301170222/-0500,ZZ=000Z-f948.</vt:lpwstr>
  </property>
</Properties>
</file>